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4.xml" ContentType="application/vnd.ms-excel.threadedcomments+xml"/>
  <Override PartName="/xl/comments6.xml" ContentType="application/vnd.openxmlformats-officedocument.spreadsheetml.comments+xml"/>
  <Override PartName="/xl/threadedComments/threadedComment5.xml" ContentType="application/vnd.ms-excel.threadedcomments+xml"/>
  <Override PartName="/xl/comments7.xml" ContentType="application/vnd.openxmlformats-officedocument.spreadsheetml.comments+xml"/>
  <Override PartName="/xl/threadedComments/threadedComment6.xml" ContentType="application/vnd.ms-excel.threadedcomments+xml"/>
  <Override PartName="/xl/comments8.xml" ContentType="application/vnd.openxmlformats-officedocument.spreadsheetml.comments+xml"/>
  <Override PartName="/xl/threadedComments/threadedComment7.xml" ContentType="application/vnd.ms-excel.threadedcomments+xml"/>
  <Override PartName="/xl/comments9.xml" ContentType="application/vnd.openxmlformats-officedocument.spreadsheetml.comments+xml"/>
  <Override PartName="/xl/threadedComments/threadedComment8.xml" ContentType="application/vnd.ms-excel.threadedcomments+xml"/>
  <Override PartName="/xl/comments10.xml" ContentType="application/vnd.openxmlformats-officedocument.spreadsheetml.comments+xml"/>
  <Override PartName="/xl/threadedComments/threadedComment9.xml" ContentType="application/vnd.ms-excel.threadedcomments+xml"/>
  <Override PartName="/xl/comments11.xml" ContentType="application/vnd.openxmlformats-officedocument.spreadsheetml.comments+xml"/>
  <Override PartName="/xl/threadedComments/threadedComment10.xml" ContentType="application/vnd.ms-excel.threadedcomments+xml"/>
  <Override PartName="/xl/comments12.xml" ContentType="application/vnd.openxmlformats-officedocument.spreadsheetml.comments+xml"/>
  <Override PartName="/xl/threadedComments/threadedComment11.xml" ContentType="application/vnd.ms-excel.threadedcomments+xml"/>
  <Override PartName="/xl/comments13.xml" ContentType="application/vnd.openxmlformats-officedocument.spreadsheetml.comments+xml"/>
  <Override PartName="/xl/threadedComments/threadedComment12.xml" ContentType="application/vnd.ms-excel.threadedcomments+xml"/>
  <Override PartName="/xl/comments14.xml" ContentType="application/vnd.openxmlformats-officedocument.spreadsheetml.comments+xml"/>
  <Override PartName="/xl/threadedComments/threadedComment13.xml" ContentType="application/vnd.ms-excel.threadedcomments+xml"/>
  <Override PartName="/xl/comments15.xml" ContentType="application/vnd.openxmlformats-officedocument.spreadsheetml.comments+xml"/>
  <Override PartName="/xl/threadedComments/threadedComment14.xml" ContentType="application/vnd.ms-excel.threadedcomments+xml"/>
  <Override PartName="/xl/comments16.xml" ContentType="application/vnd.openxmlformats-officedocument.spreadsheetml.comments+xml"/>
  <Override PartName="/xl/threadedComments/threadedComment1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xl/webextensions/webextension5.xml" ContentType="application/vnd.ms-office.webextension+xml"/>
  <Override PartName="/xl/webextensions/webextension6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xr:revisionPtr revIDLastSave="14112" documentId="11_2F206C6948C74EE3E979BAFA89738C9863138395" xr6:coauthVersionLast="47" xr6:coauthVersionMax="47" xr10:uidLastSave="{DB9BB6DD-BDFE-4E60-90E4-CD160704C64C}"/>
  <bookViews>
    <workbookView xWindow="240" yWindow="105" windowWidth="14805" windowHeight="8010" firstSheet="100" activeTab="100" xr2:uid="{00000000-000D-0000-FFFF-FFFF00000000}"/>
  </bookViews>
  <sheets>
    <sheet name="A1-1" sheetId="15" r:id="rId1"/>
    <sheet name="A1-2" sheetId="16" r:id="rId2"/>
    <sheet name="A1-3" sheetId="39" r:id="rId3"/>
    <sheet name="A1-4" sheetId="17" r:id="rId4"/>
    <sheet name="A1-5" sheetId="18" r:id="rId5"/>
    <sheet name="A1-6" sheetId="19" r:id="rId6"/>
    <sheet name="B1-1" sheetId="20" r:id="rId7"/>
    <sheet name="B1-2" sheetId="40" r:id="rId8"/>
    <sheet name="B1-3" sheetId="41" r:id="rId9"/>
    <sheet name="B1-4" sheetId="43" r:id="rId10"/>
    <sheet name="B1-5" sheetId="44" r:id="rId11"/>
    <sheet name="B1-6" sheetId="22" r:id="rId12"/>
    <sheet name="B1-7" sheetId="42" r:id="rId13"/>
    <sheet name="A2-1" sheetId="38" r:id="rId14"/>
    <sheet name="A2-2" sheetId="3" r:id="rId15"/>
    <sheet name="A2-3" sheetId="2" r:id="rId16"/>
    <sheet name="A2-4" sheetId="37" r:id="rId17"/>
    <sheet name="A2-5" sheetId="45" r:id="rId18"/>
    <sheet name="B2-1" sheetId="36" r:id="rId19"/>
    <sheet name="B2-2" sheetId="4" r:id="rId20"/>
    <sheet name="B2-3" sheetId="5" r:id="rId21"/>
    <sheet name="B2-4" sheetId="81" r:id="rId22"/>
    <sheet name="B2-5" sheetId="7" r:id="rId23"/>
    <sheet name="A3-1" sheetId="82" r:id="rId24"/>
    <sheet name="A3-2" sheetId="83" r:id="rId25"/>
    <sheet name="A3-3" sheetId="85" r:id="rId26"/>
    <sheet name="A3-4" sheetId="26" r:id="rId27"/>
    <sheet name="A3-5" sheetId="11" r:id="rId28"/>
    <sheet name="A3-6" sheetId="34" r:id="rId29"/>
    <sheet name="A3-7" sheetId="12" r:id="rId30"/>
    <sheet name="A3-8" sheetId="55" r:id="rId31"/>
    <sheet name="B3-1" sheetId="78" r:id="rId32"/>
    <sheet name="B3-2" sheetId="79" r:id="rId33"/>
    <sheet name="B3-3" sheetId="80" r:id="rId34"/>
    <sheet name="B3-4" sheetId="30" r:id="rId35"/>
    <sheet name="B3-5" sheetId="35" r:id="rId36"/>
    <sheet name="B3-6" sheetId="31" r:id="rId37"/>
    <sheet name="B3-7" sheetId="32" r:id="rId38"/>
    <sheet name="B3-8" sheetId="33" r:id="rId39"/>
    <sheet name="Q4-12" sheetId="9" r:id="rId40"/>
    <sheet name="Q4-13" sheetId="10" r:id="rId41"/>
    <sheet name="A4-1" sheetId="84" r:id="rId42"/>
    <sheet name="A4-2" sheetId="47" r:id="rId43"/>
    <sheet name="A4-3" sheetId="48" r:id="rId44"/>
    <sheet name="工作表1" sheetId="86" r:id="rId45"/>
    <sheet name="A4-4" sheetId="49" r:id="rId46"/>
    <sheet name="A4-5" sheetId="50" r:id="rId47"/>
    <sheet name="A4-6" sheetId="51" r:id="rId48"/>
    <sheet name="A4-7" sheetId="54" r:id="rId49"/>
    <sheet name="A4-8" sheetId="52" r:id="rId50"/>
    <sheet name="B4-1" sheetId="53" r:id="rId51"/>
    <sheet name="B4-2" sheetId="56" r:id="rId52"/>
    <sheet name="B4-3" sheetId="57" r:id="rId53"/>
    <sheet name="B4-4" sheetId="58" r:id="rId54"/>
    <sheet name="B4-5" sheetId="59" r:id="rId55"/>
    <sheet name="B4-6" sheetId="60" r:id="rId56"/>
    <sheet name="B4-7" sheetId="61" r:id="rId57"/>
    <sheet name="B4-8" sheetId="74" r:id="rId58"/>
    <sheet name="B4-9" sheetId="63" r:id="rId59"/>
    <sheet name="A5-1" sheetId="64" r:id="rId60"/>
    <sheet name="A5-2" sheetId="65" r:id="rId61"/>
    <sheet name="A5-3" sheetId="87" r:id="rId62"/>
    <sheet name="A5-3 (2)" sheetId="88" r:id="rId63"/>
    <sheet name="A5-3 (3)" sheetId="92" r:id="rId64"/>
    <sheet name="A5-3 (4)" sheetId="93" r:id="rId65"/>
    <sheet name="A5-3題目和解答" sheetId="91" r:id="rId66"/>
    <sheet name="A3-3題目和解答" sheetId="89" r:id="rId67"/>
    <sheet name="A4-3題目和解答" sheetId="90" r:id="rId68"/>
    <sheet name="A5-4" sheetId="67" r:id="rId69"/>
    <sheet name="A5-5" sheetId="68" r:id="rId70"/>
    <sheet name="B5-1" sheetId="69" r:id="rId71"/>
    <sheet name="B5-2" sheetId="70" r:id="rId72"/>
    <sheet name="B5-3" sheetId="71" r:id="rId73"/>
    <sheet name="B5-4" sheetId="72" r:id="rId74"/>
    <sheet name="B5-5" sheetId="73" r:id="rId75"/>
    <sheet name="Q6-3" sheetId="97" r:id="rId76"/>
    <sheet name="Q6-4" sheetId="98" r:id="rId77"/>
    <sheet name="Q6-8" sheetId="99" r:id="rId78"/>
    <sheet name="Q6-9" sheetId="100" r:id="rId79"/>
    <sheet name="Q6-10" sheetId="101" r:id="rId80"/>
    <sheet name="A6-1" sheetId="94" r:id="rId81"/>
    <sheet name="A6-2" sheetId="95" r:id="rId82"/>
    <sheet name="A6-3" sheetId="96" r:id="rId83"/>
    <sheet name="Q6-18" sheetId="102" r:id="rId84"/>
    <sheet name="Q9-19" sheetId="110" r:id="rId85"/>
    <sheet name="Q9-20" sheetId="112" r:id="rId86"/>
    <sheet name="A9-1" sheetId="111" r:id="rId87"/>
    <sheet name="Q11-17" sheetId="107" r:id="rId88"/>
    <sheet name="Q11-18" sheetId="106" r:id="rId89"/>
    <sheet name="Q11-35" sheetId="103" r:id="rId90"/>
    <sheet name="Q12-2" sheetId="105" r:id="rId91"/>
    <sheet name="Q12-8" sheetId="104" r:id="rId92"/>
    <sheet name="Q12-15" sheetId="109" r:id="rId93"/>
    <sheet name="Q12-36" sheetId="113" r:id="rId94"/>
    <sheet name="Q12-38" sheetId="114" r:id="rId95"/>
    <sheet name="Q12-40" sheetId="108" r:id="rId96"/>
    <sheet name="Q14-15" sheetId="115" r:id="rId97"/>
    <sheet name="Q16-20" sheetId="116" r:id="rId98"/>
    <sheet name="Q17-23" sheetId="117" r:id="rId99"/>
    <sheet name="Q17-27" sheetId="118" r:id="rId100"/>
    <sheet name="Q18-3" sheetId="119" r:id="rId10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19" l="1"/>
  <c r="H11" i="119"/>
  <c r="G9" i="119"/>
  <c r="H8" i="119"/>
  <c r="H7" i="118"/>
  <c r="H6" i="118"/>
  <c r="H5" i="118"/>
  <c r="F9" i="117"/>
  <c r="F28" i="116"/>
  <c r="O24" i="115"/>
  <c r="J11" i="114"/>
  <c r="I11" i="114"/>
  <c r="AU13" i="110"/>
  <c r="AU9" i="110"/>
  <c r="AU10" i="110" s="1"/>
  <c r="AU14" i="110" s="1"/>
  <c r="J14" i="112"/>
  <c r="J10" i="112"/>
  <c r="F14" i="112"/>
  <c r="F10" i="112"/>
  <c r="F13" i="112"/>
  <c r="F9" i="112"/>
  <c r="T29" i="110"/>
  <c r="S29" i="110"/>
  <c r="R29" i="110"/>
  <c r="Q29" i="110"/>
  <c r="T28" i="110"/>
  <c r="S28" i="110"/>
  <c r="R28" i="110"/>
  <c r="Q28" i="110"/>
  <c r="N27" i="110"/>
  <c r="M27" i="110"/>
  <c r="Q27" i="110"/>
  <c r="T27" i="110"/>
  <c r="S27" i="110"/>
  <c r="R27" i="110"/>
  <c r="W9" i="110"/>
  <c r="V9" i="110"/>
  <c r="R8" i="110"/>
  <c r="Q8" i="110"/>
  <c r="M13" i="110"/>
  <c r="L13" i="110"/>
  <c r="J5" i="109"/>
  <c r="J6" i="109"/>
  <c r="N12" i="107"/>
  <c r="M10" i="107"/>
  <c r="N10" i="107"/>
  <c r="K9" i="106"/>
  <c r="K4" i="106"/>
  <c r="K5" i="106"/>
  <c r="K6" i="106"/>
  <c r="K7" i="106"/>
  <c r="K8" i="106"/>
  <c r="K3" i="106"/>
  <c r="D5" i="104"/>
  <c r="D4" i="104"/>
  <c r="F4" i="104"/>
  <c r="G4" i="104" s="1"/>
  <c r="F5" i="104"/>
  <c r="G5" i="104" s="1"/>
  <c r="D6" i="104" s="1"/>
  <c r="F6" i="104"/>
  <c r="F3" i="104"/>
  <c r="G3" i="104"/>
  <c r="O11" i="103"/>
  <c r="N12" i="103"/>
  <c r="N9" i="103"/>
  <c r="O8" i="103"/>
  <c r="N8" i="103"/>
  <c r="I11" i="100"/>
  <c r="I10" i="100"/>
  <c r="H9" i="100"/>
  <c r="J9" i="99"/>
  <c r="J8" i="99"/>
  <c r="J7" i="99"/>
  <c r="E16" i="97"/>
  <c r="E15" i="97"/>
  <c r="E14" i="97"/>
  <c r="E13" i="97"/>
  <c r="E12" i="97"/>
  <c r="E11" i="97"/>
  <c r="I4" i="95"/>
  <c r="I5" i="95"/>
  <c r="J6" i="95"/>
  <c r="D10" i="95"/>
  <c r="D9" i="95"/>
  <c r="D7" i="95"/>
  <c r="D8" i="95" s="1"/>
  <c r="E137" i="93"/>
  <c r="R137" i="93" s="1"/>
  <c r="D137" i="93"/>
  <c r="Q137" i="93" s="1"/>
  <c r="R136" i="93"/>
  <c r="Q136" i="93"/>
  <c r="O136" i="93"/>
  <c r="U136" i="93" s="1"/>
  <c r="N136" i="93"/>
  <c r="T136" i="93" s="1"/>
  <c r="R135" i="93"/>
  <c r="Q135" i="93"/>
  <c r="O135" i="93"/>
  <c r="U135" i="93" s="1"/>
  <c r="N135" i="93"/>
  <c r="T135" i="93" s="1"/>
  <c r="R134" i="93"/>
  <c r="Q134" i="93"/>
  <c r="O134" i="93"/>
  <c r="U134" i="93" s="1"/>
  <c r="N134" i="93"/>
  <c r="T134" i="93" s="1"/>
  <c r="R133" i="93"/>
  <c r="Q133" i="93"/>
  <c r="O133" i="93"/>
  <c r="U133" i="93" s="1"/>
  <c r="N133" i="93"/>
  <c r="T133" i="93" s="1"/>
  <c r="R132" i="93"/>
  <c r="Q132" i="93"/>
  <c r="O132" i="93"/>
  <c r="U132" i="93" s="1"/>
  <c r="N132" i="93"/>
  <c r="T132" i="93" s="1"/>
  <c r="R131" i="93"/>
  <c r="Q131" i="93"/>
  <c r="O131" i="93"/>
  <c r="U131" i="93" s="1"/>
  <c r="N131" i="93"/>
  <c r="T131" i="93" s="1"/>
  <c r="R130" i="93"/>
  <c r="Q130" i="93"/>
  <c r="O130" i="93"/>
  <c r="U130" i="93" s="1"/>
  <c r="N130" i="93"/>
  <c r="T130" i="93" s="1"/>
  <c r="R129" i="93"/>
  <c r="Q129" i="93"/>
  <c r="O129" i="93"/>
  <c r="U129" i="93" s="1"/>
  <c r="N129" i="93"/>
  <c r="T129" i="93" s="1"/>
  <c r="R128" i="93"/>
  <c r="Q128" i="93"/>
  <c r="O128" i="93"/>
  <c r="U128" i="93" s="1"/>
  <c r="N128" i="93"/>
  <c r="T128" i="93" s="1"/>
  <c r="R127" i="93"/>
  <c r="Q127" i="93"/>
  <c r="O127" i="93"/>
  <c r="U127" i="93" s="1"/>
  <c r="N127" i="93"/>
  <c r="T127" i="93" s="1"/>
  <c r="R126" i="93"/>
  <c r="Q126" i="93"/>
  <c r="O126" i="93"/>
  <c r="U126" i="93" s="1"/>
  <c r="N126" i="93"/>
  <c r="T126" i="93" s="1"/>
  <c r="R125" i="93"/>
  <c r="Q125" i="93"/>
  <c r="O125" i="93"/>
  <c r="U125" i="93" s="1"/>
  <c r="N125" i="93"/>
  <c r="T125" i="93" s="1"/>
  <c r="R124" i="93"/>
  <c r="Q124" i="93"/>
  <c r="O124" i="93"/>
  <c r="U124" i="93" s="1"/>
  <c r="N124" i="93"/>
  <c r="T124" i="93" s="1"/>
  <c r="R123" i="93"/>
  <c r="Q123" i="93"/>
  <c r="O123" i="93"/>
  <c r="U123" i="93" s="1"/>
  <c r="N123" i="93"/>
  <c r="T123" i="93" s="1"/>
  <c r="R122" i="93"/>
  <c r="Q122" i="93"/>
  <c r="O122" i="93"/>
  <c r="U122" i="93" s="1"/>
  <c r="N122" i="93"/>
  <c r="T122" i="93" s="1"/>
  <c r="R121" i="93"/>
  <c r="Q121" i="93"/>
  <c r="O121" i="93"/>
  <c r="U121" i="93" s="1"/>
  <c r="N121" i="93"/>
  <c r="T121" i="93" s="1"/>
  <c r="R120" i="93"/>
  <c r="Q120" i="93"/>
  <c r="O120" i="93"/>
  <c r="N120" i="93"/>
  <c r="K65" i="93"/>
  <c r="K64" i="93"/>
  <c r="K63" i="93"/>
  <c r="K62" i="93"/>
  <c r="K61" i="93"/>
  <c r="K60" i="93"/>
  <c r="K59" i="93"/>
  <c r="K58" i="93"/>
  <c r="K57" i="93"/>
  <c r="K56" i="93"/>
  <c r="K55" i="93"/>
  <c r="K54" i="93"/>
  <c r="K53" i="93"/>
  <c r="K52" i="93"/>
  <c r="K51" i="93"/>
  <c r="K50" i="93"/>
  <c r="K49" i="93"/>
  <c r="K66" i="93" s="1"/>
  <c r="AX34" i="93"/>
  <c r="AW34" i="93"/>
  <c r="AV34" i="93"/>
  <c r="AX33" i="93"/>
  <c r="AW33" i="93"/>
  <c r="AV33" i="93"/>
  <c r="AX32" i="93"/>
  <c r="AW32" i="93"/>
  <c r="AV32" i="93"/>
  <c r="AX31" i="93"/>
  <c r="AW31" i="93"/>
  <c r="AV31" i="93"/>
  <c r="AW30" i="93"/>
  <c r="AW29" i="93"/>
  <c r="AT29" i="93"/>
  <c r="AK28" i="93"/>
  <c r="AI28" i="93"/>
  <c r="AU27" i="93"/>
  <c r="AP27" i="93"/>
  <c r="AX27" i="93" s="1"/>
  <c r="AO27" i="93"/>
  <c r="AV27" i="93" s="1"/>
  <c r="AN27" i="93"/>
  <c r="AW27" i="93" s="1"/>
  <c r="AR27" i="93" s="1"/>
  <c r="AM27" i="93"/>
  <c r="AT27" i="93" s="1"/>
  <c r="AQ27" i="93" s="1"/>
  <c r="AU26" i="93"/>
  <c r="AP26" i="93"/>
  <c r="AX26" i="93" s="1"/>
  <c r="AO26" i="93"/>
  <c r="AV26" i="93" s="1"/>
  <c r="AN26" i="93"/>
  <c r="AW26" i="93" s="1"/>
  <c r="AR26" i="93" s="1"/>
  <c r="AM26" i="93"/>
  <c r="AT26" i="93" s="1"/>
  <c r="AQ26" i="93" s="1"/>
  <c r="AU25" i="93"/>
  <c r="AR25" i="93"/>
  <c r="AQ25" i="93"/>
  <c r="AN25" i="93"/>
  <c r="AM25" i="93"/>
  <c r="AU24" i="93"/>
  <c r="AR24" i="93"/>
  <c r="AQ24" i="93"/>
  <c r="AN24" i="93"/>
  <c r="AM24" i="93"/>
  <c r="AU23" i="93"/>
  <c r="AR23" i="93"/>
  <c r="AQ23" i="93"/>
  <c r="AN23" i="93"/>
  <c r="AM23" i="93"/>
  <c r="AU22" i="93"/>
  <c r="AN22" i="93"/>
  <c r="AM22" i="93"/>
  <c r="AR21" i="93"/>
  <c r="AQ21" i="93"/>
  <c r="AP21" i="93"/>
  <c r="AX21" i="93" s="1"/>
  <c r="AO21" i="93"/>
  <c r="AV21" i="93" s="1"/>
  <c r="AN21" i="93"/>
  <c r="AW21" i="93" s="1"/>
  <c r="AM21" i="93"/>
  <c r="AT21" i="93" s="1"/>
  <c r="AU20" i="93"/>
  <c r="AR20" i="93"/>
  <c r="AQ20" i="93"/>
  <c r="AN20" i="93"/>
  <c r="AM20" i="93"/>
  <c r="AR19" i="93"/>
  <c r="AQ19" i="93"/>
  <c r="AP19" i="93"/>
  <c r="AX19" i="93" s="1"/>
  <c r="AO19" i="93"/>
  <c r="AV19" i="93" s="1"/>
  <c r="AN19" i="93"/>
  <c r="AW19" i="93" s="1"/>
  <c r="AM19" i="93"/>
  <c r="AT19" i="93" s="1"/>
  <c r="AH19" i="93"/>
  <c r="AG19" i="93"/>
  <c r="AU18" i="93"/>
  <c r="AR18" i="93"/>
  <c r="AQ18" i="93"/>
  <c r="AN18" i="93"/>
  <c r="AM18" i="93"/>
  <c r="AU17" i="93"/>
  <c r="AR17" i="93"/>
  <c r="AQ17" i="93"/>
  <c r="AN17" i="93"/>
  <c r="AM17" i="93"/>
  <c r="AU16" i="93"/>
  <c r="AR16" i="93"/>
  <c r="AQ16" i="93"/>
  <c r="AN16" i="93"/>
  <c r="AM16" i="93"/>
  <c r="AU15" i="93"/>
  <c r="AR15" i="93"/>
  <c r="AQ15" i="93"/>
  <c r="AN15" i="93"/>
  <c r="AM15" i="93"/>
  <c r="AU14" i="93"/>
  <c r="AR14" i="93"/>
  <c r="AQ14" i="93"/>
  <c r="AN14" i="93"/>
  <c r="AM14" i="93"/>
  <c r="AU13" i="93"/>
  <c r="AP13" i="93"/>
  <c r="AX13" i="93" s="1"/>
  <c r="AO13" i="93"/>
  <c r="AV13" i="93" s="1"/>
  <c r="AN13" i="93"/>
  <c r="AW13" i="93" s="1"/>
  <c r="AR13" i="93" s="1"/>
  <c r="AM13" i="93"/>
  <c r="AT13" i="93" s="1"/>
  <c r="AQ13" i="93" s="1"/>
  <c r="AU12" i="93"/>
  <c r="AP12" i="93"/>
  <c r="AX12" i="93" s="1"/>
  <c r="AO12" i="93"/>
  <c r="AV12" i="93" s="1"/>
  <c r="AN12" i="93"/>
  <c r="AW12" i="93" s="1"/>
  <c r="AR12" i="93" s="1"/>
  <c r="AM12" i="93"/>
  <c r="AT12" i="93" s="1"/>
  <c r="AQ12" i="93" s="1"/>
  <c r="AU11" i="93"/>
  <c r="AP11" i="93"/>
  <c r="AX11" i="93" s="1"/>
  <c r="AO11" i="93"/>
  <c r="AV11" i="93" s="1"/>
  <c r="AN11" i="93"/>
  <c r="AW11" i="93" s="1"/>
  <c r="AR11" i="93" s="1"/>
  <c r="AM11" i="93"/>
  <c r="AT11" i="93" s="1"/>
  <c r="AQ11" i="93" s="1"/>
  <c r="AU10" i="93"/>
  <c r="AP10" i="93"/>
  <c r="AX10" i="93" s="1"/>
  <c r="AO10" i="93"/>
  <c r="AV10" i="93" s="1"/>
  <c r="AN10" i="93"/>
  <c r="AW10" i="93" s="1"/>
  <c r="AR10" i="93" s="1"/>
  <c r="AM10" i="93"/>
  <c r="AT10" i="93" s="1"/>
  <c r="AQ10" i="93" s="1"/>
  <c r="AU9" i="93"/>
  <c r="AP9" i="93"/>
  <c r="AO9" i="93"/>
  <c r="AN9" i="93"/>
  <c r="AM9" i="93"/>
  <c r="X121" i="92"/>
  <c r="X122" i="92"/>
  <c r="X123" i="92"/>
  <c r="X124" i="92"/>
  <c r="X125" i="92"/>
  <c r="X126" i="92"/>
  <c r="X127" i="92"/>
  <c r="X128" i="92"/>
  <c r="X129" i="92"/>
  <c r="X130" i="92"/>
  <c r="X131" i="92"/>
  <c r="X132" i="92"/>
  <c r="X133" i="92"/>
  <c r="X134" i="92"/>
  <c r="X135" i="92"/>
  <c r="X136" i="92"/>
  <c r="X137" i="92"/>
  <c r="X120" i="92"/>
  <c r="W121" i="92"/>
  <c r="W122" i="92"/>
  <c r="W123" i="92"/>
  <c r="W124" i="92"/>
  <c r="W125" i="92"/>
  <c r="W126" i="92"/>
  <c r="W127" i="92"/>
  <c r="W128" i="92"/>
  <c r="W129" i="92"/>
  <c r="W130" i="92"/>
  <c r="W131" i="92"/>
  <c r="W132" i="92"/>
  <c r="W133" i="92"/>
  <c r="W134" i="92"/>
  <c r="W135" i="92"/>
  <c r="W136" i="92"/>
  <c r="W137" i="92"/>
  <c r="W120" i="92"/>
  <c r="R121" i="92"/>
  <c r="R122" i="92"/>
  <c r="R123" i="92"/>
  <c r="R124" i="92"/>
  <c r="R125" i="92"/>
  <c r="R126" i="92"/>
  <c r="R127" i="92"/>
  <c r="R128" i="92"/>
  <c r="R129" i="92"/>
  <c r="R130" i="92"/>
  <c r="R131" i="92"/>
  <c r="R132" i="92"/>
  <c r="R133" i="92"/>
  <c r="R134" i="92"/>
  <c r="R135" i="92"/>
  <c r="R136" i="92"/>
  <c r="R120" i="92"/>
  <c r="Q121" i="92"/>
  <c r="Q122" i="92"/>
  <c r="Q123" i="92"/>
  <c r="Q124" i="92"/>
  <c r="Q125" i="92"/>
  <c r="Q126" i="92"/>
  <c r="Q127" i="92"/>
  <c r="Q128" i="92"/>
  <c r="Q129" i="92"/>
  <c r="Q130" i="92"/>
  <c r="Q131" i="92"/>
  <c r="Q132" i="92"/>
  <c r="Q133" i="92"/>
  <c r="Q134" i="92"/>
  <c r="Q135" i="92"/>
  <c r="Q136" i="92"/>
  <c r="Q120" i="92"/>
  <c r="O121" i="92"/>
  <c r="O122" i="92"/>
  <c r="O123" i="92"/>
  <c r="O124" i="92"/>
  <c r="O125" i="92"/>
  <c r="O126" i="92"/>
  <c r="O127" i="92"/>
  <c r="O128" i="92"/>
  <c r="O129" i="92"/>
  <c r="O130" i="92"/>
  <c r="O131" i="92"/>
  <c r="O132" i="92"/>
  <c r="O133" i="92"/>
  <c r="O134" i="92"/>
  <c r="O135" i="92"/>
  <c r="O136" i="92"/>
  <c r="N121" i="92"/>
  <c r="N122" i="92"/>
  <c r="N123" i="92"/>
  <c r="N124" i="92"/>
  <c r="N125" i="92"/>
  <c r="N126" i="92"/>
  <c r="N127" i="92"/>
  <c r="N128" i="92"/>
  <c r="N129" i="92"/>
  <c r="N130" i="92"/>
  <c r="N131" i="92"/>
  <c r="N132" i="92"/>
  <c r="N133" i="92"/>
  <c r="N134" i="92"/>
  <c r="N135" i="92"/>
  <c r="N136" i="92"/>
  <c r="O120" i="92"/>
  <c r="N120" i="92"/>
  <c r="O137" i="92"/>
  <c r="U137" i="92" s="1"/>
  <c r="N137" i="92"/>
  <c r="T137" i="92" s="1"/>
  <c r="K65" i="92"/>
  <c r="K64" i="92"/>
  <c r="K63" i="92"/>
  <c r="K62" i="92"/>
  <c r="K61" i="92"/>
  <c r="K60" i="92"/>
  <c r="K59" i="92"/>
  <c r="K58" i="92"/>
  <c r="K57" i="92"/>
  <c r="K56" i="92"/>
  <c r="K55" i="92"/>
  <c r="K54" i="92"/>
  <c r="K53" i="92"/>
  <c r="K52" i="92"/>
  <c r="K51" i="92"/>
  <c r="K50" i="92"/>
  <c r="K49" i="92"/>
  <c r="K66" i="92" s="1"/>
  <c r="E137" i="92"/>
  <c r="R137" i="92" s="1"/>
  <c r="D137" i="92"/>
  <c r="Q137" i="92" s="1"/>
  <c r="AX34" i="92"/>
  <c r="AW34" i="92"/>
  <c r="AV34" i="92"/>
  <c r="AX33" i="92"/>
  <c r="AW33" i="92"/>
  <c r="AV33" i="92"/>
  <c r="AX32" i="92"/>
  <c r="AW32" i="92"/>
  <c r="AV32" i="92"/>
  <c r="AX31" i="92"/>
  <c r="AW31" i="92"/>
  <c r="AV31" i="92"/>
  <c r="AW30" i="92"/>
  <c r="AW29" i="92"/>
  <c r="AT29" i="92"/>
  <c r="AK28" i="92"/>
  <c r="AI28" i="92"/>
  <c r="AU27" i="92"/>
  <c r="AP27" i="92"/>
  <c r="AX27" i="92" s="1"/>
  <c r="AO27" i="92"/>
  <c r="AV27" i="92" s="1"/>
  <c r="AN27" i="92"/>
  <c r="AW27" i="92" s="1"/>
  <c r="AR27" i="92" s="1"/>
  <c r="AM27" i="92"/>
  <c r="AT27" i="92" s="1"/>
  <c r="AQ27" i="92" s="1"/>
  <c r="AU26" i="92"/>
  <c r="AP26" i="92"/>
  <c r="AX26" i="92" s="1"/>
  <c r="AO26" i="92"/>
  <c r="AV26" i="92" s="1"/>
  <c r="AN26" i="92"/>
  <c r="AW26" i="92" s="1"/>
  <c r="AR26" i="92" s="1"/>
  <c r="AM26" i="92"/>
  <c r="AT26" i="92" s="1"/>
  <c r="AQ26" i="92" s="1"/>
  <c r="AU25" i="92"/>
  <c r="AR25" i="92"/>
  <c r="AQ25" i="92"/>
  <c r="AN25" i="92"/>
  <c r="AM25" i="92"/>
  <c r="AU24" i="92"/>
  <c r="AR24" i="92"/>
  <c r="AQ24" i="92"/>
  <c r="AN24" i="92"/>
  <c r="AM24" i="92"/>
  <c r="AU23" i="92"/>
  <c r="AR23" i="92"/>
  <c r="AQ23" i="92"/>
  <c r="AN23" i="92"/>
  <c r="AM23" i="92"/>
  <c r="AU22" i="92"/>
  <c r="AQ22" i="92"/>
  <c r="AN22" i="92"/>
  <c r="AM22" i="92"/>
  <c r="AR21" i="92"/>
  <c r="AQ21" i="92"/>
  <c r="AP21" i="92"/>
  <c r="AX21" i="92" s="1"/>
  <c r="AO21" i="92"/>
  <c r="AV21" i="92" s="1"/>
  <c r="AN21" i="92"/>
  <c r="AW21" i="92" s="1"/>
  <c r="AM21" i="92"/>
  <c r="AT21" i="92" s="1"/>
  <c r="AU20" i="92"/>
  <c r="AR20" i="92"/>
  <c r="AQ20" i="92"/>
  <c r="AN20" i="92"/>
  <c r="AM20" i="92"/>
  <c r="AR19" i="92"/>
  <c r="AQ19" i="92"/>
  <c r="AP19" i="92"/>
  <c r="AX19" i="92" s="1"/>
  <c r="AO19" i="92"/>
  <c r="AV19" i="92" s="1"/>
  <c r="AN19" i="92"/>
  <c r="AW19" i="92" s="1"/>
  <c r="AM19" i="92"/>
  <c r="AT19" i="92" s="1"/>
  <c r="AH19" i="92"/>
  <c r="AG19" i="92"/>
  <c r="AU18" i="92"/>
  <c r="AR18" i="92"/>
  <c r="AQ18" i="92"/>
  <c r="AN18" i="92"/>
  <c r="AM18" i="92"/>
  <c r="AU17" i="92"/>
  <c r="AR17" i="92"/>
  <c r="AQ17" i="92"/>
  <c r="AN17" i="92"/>
  <c r="AM17" i="92"/>
  <c r="AU16" i="92"/>
  <c r="AR16" i="92"/>
  <c r="AQ16" i="92"/>
  <c r="AN16" i="92"/>
  <c r="AM16" i="92"/>
  <c r="AU15" i="92"/>
  <c r="AR15" i="92"/>
  <c r="AQ15" i="92"/>
  <c r="AN15" i="92"/>
  <c r="AM15" i="92"/>
  <c r="AU14" i="92"/>
  <c r="AR14" i="92"/>
  <c r="AQ14" i="92"/>
  <c r="AN14" i="92"/>
  <c r="AM14" i="92"/>
  <c r="AU13" i="92"/>
  <c r="AP13" i="92"/>
  <c r="AX13" i="92" s="1"/>
  <c r="AO13" i="92"/>
  <c r="AV13" i="92" s="1"/>
  <c r="AN13" i="92"/>
  <c r="AW13" i="92" s="1"/>
  <c r="AR13" i="92" s="1"/>
  <c r="AM13" i="92"/>
  <c r="AT13" i="92" s="1"/>
  <c r="AQ13" i="92" s="1"/>
  <c r="AU12" i="92"/>
  <c r="AP12" i="92"/>
  <c r="AX12" i="92" s="1"/>
  <c r="AO12" i="92"/>
  <c r="AV12" i="92" s="1"/>
  <c r="AN12" i="92"/>
  <c r="AW12" i="92" s="1"/>
  <c r="AR12" i="92" s="1"/>
  <c r="AM12" i="92"/>
  <c r="AT12" i="92" s="1"/>
  <c r="AQ12" i="92" s="1"/>
  <c r="AU11" i="92"/>
  <c r="AP11" i="92"/>
  <c r="AX11" i="92" s="1"/>
  <c r="AO11" i="92"/>
  <c r="AV11" i="92" s="1"/>
  <c r="AN11" i="92"/>
  <c r="AW11" i="92" s="1"/>
  <c r="AR11" i="92" s="1"/>
  <c r="AM11" i="92"/>
  <c r="AT11" i="92" s="1"/>
  <c r="AQ11" i="92" s="1"/>
  <c r="AU10" i="92"/>
  <c r="AP10" i="92"/>
  <c r="AX10" i="92" s="1"/>
  <c r="AO10" i="92"/>
  <c r="AV10" i="92" s="1"/>
  <c r="AN10" i="92"/>
  <c r="AW10" i="92" s="1"/>
  <c r="AR10" i="92" s="1"/>
  <c r="AM10" i="92"/>
  <c r="AT10" i="92" s="1"/>
  <c r="AQ10" i="92" s="1"/>
  <c r="AU9" i="92"/>
  <c r="AP9" i="92"/>
  <c r="AO9" i="92"/>
  <c r="AN9" i="92"/>
  <c r="AM9" i="92"/>
  <c r="E137" i="88"/>
  <c r="D137" i="88"/>
  <c r="AX34" i="88"/>
  <c r="AW34" i="88"/>
  <c r="AV34" i="88"/>
  <c r="AX33" i="88"/>
  <c r="AW33" i="88"/>
  <c r="AV33" i="88"/>
  <c r="AX32" i="88"/>
  <c r="AW32" i="88"/>
  <c r="AV32" i="88"/>
  <c r="AX31" i="88"/>
  <c r="AW31" i="88"/>
  <c r="AV31" i="88"/>
  <c r="AW30" i="88"/>
  <c r="AW29" i="88"/>
  <c r="AT29" i="88"/>
  <c r="AK28" i="88"/>
  <c r="AI28" i="88"/>
  <c r="AU27" i="88"/>
  <c r="AP27" i="88"/>
  <c r="AX27" i="88" s="1"/>
  <c r="AO27" i="88"/>
  <c r="AV27" i="88" s="1"/>
  <c r="AN27" i="88"/>
  <c r="AW27" i="88" s="1"/>
  <c r="AR27" i="88" s="1"/>
  <c r="AM27" i="88"/>
  <c r="AT27" i="88" s="1"/>
  <c r="AQ27" i="88" s="1"/>
  <c r="AU26" i="88"/>
  <c r="AP26" i="88"/>
  <c r="AX26" i="88" s="1"/>
  <c r="AO26" i="88"/>
  <c r="AV26" i="88" s="1"/>
  <c r="AN26" i="88"/>
  <c r="AW26" i="88" s="1"/>
  <c r="AR26" i="88" s="1"/>
  <c r="AM26" i="88"/>
  <c r="AT26" i="88" s="1"/>
  <c r="AQ26" i="88" s="1"/>
  <c r="AU25" i="88"/>
  <c r="AR25" i="88"/>
  <c r="AQ25" i="88"/>
  <c r="AN25" i="88"/>
  <c r="AM25" i="88"/>
  <c r="AU24" i="88"/>
  <c r="AR24" i="88"/>
  <c r="AQ24" i="88"/>
  <c r="AN24" i="88"/>
  <c r="AM24" i="88"/>
  <c r="AU23" i="88"/>
  <c r="AR23" i="88"/>
  <c r="AQ23" i="88"/>
  <c r="AN23" i="88"/>
  <c r="AM23" i="88"/>
  <c r="AU22" i="88"/>
  <c r="AR22" i="88"/>
  <c r="AQ22" i="88"/>
  <c r="AN22" i="88"/>
  <c r="AM22" i="88"/>
  <c r="AR21" i="88"/>
  <c r="AQ21" i="88"/>
  <c r="AP21" i="88"/>
  <c r="AX21" i="88" s="1"/>
  <c r="AO21" i="88"/>
  <c r="AV21" i="88" s="1"/>
  <c r="AN21" i="88"/>
  <c r="AW21" i="88" s="1"/>
  <c r="AM21" i="88"/>
  <c r="AT21" i="88" s="1"/>
  <c r="AU20" i="88"/>
  <c r="AR20" i="88"/>
  <c r="AQ20" i="88"/>
  <c r="AN20" i="88"/>
  <c r="AM20" i="88"/>
  <c r="AR19" i="88"/>
  <c r="AQ19" i="88"/>
  <c r="AP19" i="88"/>
  <c r="AX19" i="88" s="1"/>
  <c r="AO19" i="88"/>
  <c r="AV19" i="88" s="1"/>
  <c r="AN19" i="88"/>
  <c r="AW19" i="88" s="1"/>
  <c r="AM19" i="88"/>
  <c r="AT19" i="88" s="1"/>
  <c r="AH19" i="88"/>
  <c r="AG19" i="88"/>
  <c r="AU18" i="88"/>
  <c r="AR18" i="88"/>
  <c r="AQ18" i="88"/>
  <c r="AN18" i="88"/>
  <c r="AM18" i="88"/>
  <c r="AU17" i="88"/>
  <c r="AR17" i="88"/>
  <c r="AQ17" i="88"/>
  <c r="AN17" i="88"/>
  <c r="AM17" i="88"/>
  <c r="AU16" i="88"/>
  <c r="AR16" i="88"/>
  <c r="AQ16" i="88"/>
  <c r="AN16" i="88"/>
  <c r="AM16" i="88"/>
  <c r="AU15" i="88"/>
  <c r="AR15" i="88"/>
  <c r="AQ15" i="88"/>
  <c r="AN15" i="88"/>
  <c r="AM15" i="88"/>
  <c r="AU14" i="88"/>
  <c r="AR14" i="88"/>
  <c r="AQ14" i="88"/>
  <c r="AN14" i="88"/>
  <c r="AM14" i="88"/>
  <c r="AU13" i="88"/>
  <c r="AP13" i="88"/>
  <c r="AX13" i="88" s="1"/>
  <c r="AO13" i="88"/>
  <c r="AV13" i="88" s="1"/>
  <c r="AN13" i="88"/>
  <c r="AW13" i="88" s="1"/>
  <c r="AR13" i="88" s="1"/>
  <c r="AM13" i="88"/>
  <c r="AT13" i="88" s="1"/>
  <c r="AQ13" i="88" s="1"/>
  <c r="AU12" i="88"/>
  <c r="AP12" i="88"/>
  <c r="AX12" i="88" s="1"/>
  <c r="AO12" i="88"/>
  <c r="AV12" i="88" s="1"/>
  <c r="AN12" i="88"/>
  <c r="AW12" i="88" s="1"/>
  <c r="AR12" i="88" s="1"/>
  <c r="AM12" i="88"/>
  <c r="AT12" i="88" s="1"/>
  <c r="AQ12" i="88" s="1"/>
  <c r="AU11" i="88"/>
  <c r="AP11" i="88"/>
  <c r="AX11" i="88" s="1"/>
  <c r="AO11" i="88"/>
  <c r="AV11" i="88" s="1"/>
  <c r="AN11" i="88"/>
  <c r="AW11" i="88" s="1"/>
  <c r="AR11" i="88" s="1"/>
  <c r="AM11" i="88"/>
  <c r="AT11" i="88" s="1"/>
  <c r="AQ11" i="88" s="1"/>
  <c r="AU10" i="88"/>
  <c r="AP10" i="88"/>
  <c r="AX10" i="88" s="1"/>
  <c r="AO10" i="88"/>
  <c r="AV10" i="88" s="1"/>
  <c r="AN10" i="88"/>
  <c r="AW10" i="88" s="1"/>
  <c r="AR10" i="88" s="1"/>
  <c r="AM10" i="88"/>
  <c r="AT10" i="88" s="1"/>
  <c r="AQ10" i="88" s="1"/>
  <c r="AU9" i="88"/>
  <c r="AP9" i="88"/>
  <c r="AO9" i="88"/>
  <c r="AN9" i="88"/>
  <c r="AM9" i="88"/>
  <c r="AP10" i="87"/>
  <c r="AP11" i="87"/>
  <c r="AP12" i="87"/>
  <c r="AP13" i="87"/>
  <c r="AP14" i="87"/>
  <c r="AP15" i="87"/>
  <c r="AP16" i="87"/>
  <c r="AP18" i="87"/>
  <c r="AP19" i="87"/>
  <c r="AP20" i="87"/>
  <c r="AP21" i="87"/>
  <c r="AP22" i="87"/>
  <c r="AP23" i="87"/>
  <c r="AP25" i="87"/>
  <c r="AP26" i="87"/>
  <c r="AP27" i="87"/>
  <c r="AO10" i="87"/>
  <c r="AO11" i="87"/>
  <c r="AO12" i="87"/>
  <c r="AO13" i="87"/>
  <c r="AO14" i="87"/>
  <c r="AO15" i="87"/>
  <c r="AO16" i="87"/>
  <c r="AO18" i="87"/>
  <c r="AO19" i="87"/>
  <c r="AO20" i="87"/>
  <c r="AO21" i="87"/>
  <c r="AO22" i="87"/>
  <c r="AO23" i="87"/>
  <c r="AO25" i="87"/>
  <c r="AO26" i="87"/>
  <c r="AO27" i="87"/>
  <c r="AO9" i="87"/>
  <c r="AP9" i="87"/>
  <c r="AQ14" i="87"/>
  <c r="AQ15" i="87"/>
  <c r="AQ16" i="87"/>
  <c r="AQ17" i="87"/>
  <c r="AQ18" i="87"/>
  <c r="AQ19" i="87"/>
  <c r="AQ20" i="87"/>
  <c r="AQ21" i="87"/>
  <c r="AQ22" i="87"/>
  <c r="AQ23" i="87"/>
  <c r="AQ24" i="87"/>
  <c r="AQ25" i="87"/>
  <c r="AR14" i="87"/>
  <c r="AR15" i="87"/>
  <c r="AR16" i="87"/>
  <c r="AR17" i="87"/>
  <c r="AR18" i="87"/>
  <c r="AR19" i="87"/>
  <c r="AR20" i="87"/>
  <c r="AR21" i="87"/>
  <c r="AR22" i="87"/>
  <c r="AR23" i="87"/>
  <c r="AR24" i="87"/>
  <c r="AR25" i="87"/>
  <c r="AX10" i="87"/>
  <c r="AR10" i="87" s="1"/>
  <c r="AX11" i="87"/>
  <c r="AR11" i="87" s="1"/>
  <c r="AX12" i="87"/>
  <c r="AR12" i="87" s="1"/>
  <c r="AX13" i="87"/>
  <c r="AR13" i="87" s="1"/>
  <c r="AX14" i="87"/>
  <c r="AX15" i="87"/>
  <c r="AX16" i="87"/>
  <c r="AX18" i="87"/>
  <c r="AX19" i="87"/>
  <c r="AX20" i="87"/>
  <c r="AX21" i="87"/>
  <c r="AX22" i="87"/>
  <c r="AX23" i="87"/>
  <c r="AX25" i="87"/>
  <c r="AX26" i="87"/>
  <c r="AX27" i="87"/>
  <c r="AX31" i="87"/>
  <c r="AX32" i="87"/>
  <c r="AX33" i="87"/>
  <c r="AX34" i="87"/>
  <c r="AX9" i="87"/>
  <c r="AR9" i="87" s="1"/>
  <c r="AW10" i="87"/>
  <c r="AW11" i="87"/>
  <c r="AW12" i="87"/>
  <c r="AW13" i="87"/>
  <c r="AW14" i="87"/>
  <c r="AW15" i="87"/>
  <c r="AW16" i="87"/>
  <c r="AW18" i="87"/>
  <c r="AW19" i="87"/>
  <c r="AW20" i="87"/>
  <c r="AW21" i="87"/>
  <c r="AW22" i="87"/>
  <c r="AW23" i="87"/>
  <c r="AW25" i="87"/>
  <c r="AW29" i="87"/>
  <c r="AW30" i="87"/>
  <c r="AW31" i="87"/>
  <c r="AW32" i="87"/>
  <c r="AW33" i="87"/>
  <c r="AW34" i="87"/>
  <c r="AW9" i="87"/>
  <c r="AV10" i="87"/>
  <c r="AQ10" i="87" s="1"/>
  <c r="AV11" i="87"/>
  <c r="AQ11" i="87" s="1"/>
  <c r="AV12" i="87"/>
  <c r="AQ12" i="87" s="1"/>
  <c r="AV13" i="87"/>
  <c r="AQ13" i="87" s="1"/>
  <c r="AV14" i="87"/>
  <c r="AV15" i="87"/>
  <c r="AV16" i="87"/>
  <c r="AV18" i="87"/>
  <c r="AV19" i="87"/>
  <c r="AV20" i="87"/>
  <c r="AV21" i="87"/>
  <c r="AV22" i="87"/>
  <c r="AV23" i="87"/>
  <c r="AV25" i="87"/>
  <c r="AV26" i="87"/>
  <c r="AV27" i="87"/>
  <c r="AV31" i="87"/>
  <c r="AV32" i="87"/>
  <c r="AV33" i="87"/>
  <c r="AV34" i="87"/>
  <c r="AV9" i="87"/>
  <c r="AQ9" i="87" s="1"/>
  <c r="AT29" i="87"/>
  <c r="AN19" i="87"/>
  <c r="AN21" i="87"/>
  <c r="AK28" i="87"/>
  <c r="AM19" i="87"/>
  <c r="AM21" i="87"/>
  <c r="AT21" i="87" s="1"/>
  <c r="AU27" i="87"/>
  <c r="AU26" i="87"/>
  <c r="AU25" i="87"/>
  <c r="AU24" i="87"/>
  <c r="AU23" i="87"/>
  <c r="AU22" i="87"/>
  <c r="AU20" i="87"/>
  <c r="AU18" i="87"/>
  <c r="AU17" i="87"/>
  <c r="AU16" i="87"/>
  <c r="AU15" i="87"/>
  <c r="AU14" i="87"/>
  <c r="AU13" i="87"/>
  <c r="AU12" i="87"/>
  <c r="AU11" i="87"/>
  <c r="AU10" i="87"/>
  <c r="AU9" i="87"/>
  <c r="AI28" i="87"/>
  <c r="D137" i="87"/>
  <c r="AH19" i="87"/>
  <c r="AG19" i="87"/>
  <c r="E137" i="87"/>
  <c r="E137" i="48"/>
  <c r="D137" i="48"/>
  <c r="K64" i="48"/>
  <c r="K63" i="48"/>
  <c r="K62" i="48"/>
  <c r="K61" i="48"/>
  <c r="K59" i="48"/>
  <c r="K58" i="48"/>
  <c r="K57" i="48"/>
  <c r="K56" i="48"/>
  <c r="K55" i="48"/>
  <c r="K54" i="48"/>
  <c r="K53" i="48"/>
  <c r="K52" i="48"/>
  <c r="K60" i="48"/>
  <c r="K51" i="48"/>
  <c r="K50" i="48"/>
  <c r="K49" i="48"/>
  <c r="K48" i="48"/>
  <c r="E92" i="85"/>
  <c r="D92" i="85"/>
  <c r="K35" i="85"/>
  <c r="K44" i="85"/>
  <c r="K43" i="85"/>
  <c r="K42" i="85"/>
  <c r="K41" i="85"/>
  <c r="K40" i="85"/>
  <c r="K39" i="85"/>
  <c r="K38" i="85"/>
  <c r="K37" i="85"/>
  <c r="K36" i="85"/>
  <c r="K45" i="85"/>
  <c r="E130" i="47"/>
  <c r="D130" i="47"/>
  <c r="L59" i="47"/>
  <c r="L58" i="47"/>
  <c r="L57" i="47"/>
  <c r="L56" i="47"/>
  <c r="L55" i="47"/>
  <c r="L54" i="47"/>
  <c r="L53" i="47"/>
  <c r="L52" i="47"/>
  <c r="L51" i="47"/>
  <c r="L50" i="47"/>
  <c r="L49" i="47"/>
  <c r="L48" i="47"/>
  <c r="L47" i="47"/>
  <c r="L46" i="47"/>
  <c r="L45" i="47"/>
  <c r="L44" i="47"/>
  <c r="L43" i="47"/>
  <c r="L42" i="47"/>
  <c r="L41" i="47"/>
  <c r="E121" i="84"/>
  <c r="D121" i="84"/>
  <c r="K53" i="84"/>
  <c r="K52" i="84"/>
  <c r="K51" i="84"/>
  <c r="K50" i="84"/>
  <c r="K49" i="84"/>
  <c r="K48" i="84"/>
  <c r="K47" i="84"/>
  <c r="K46" i="84"/>
  <c r="K45" i="84"/>
  <c r="K44" i="84"/>
  <c r="K43" i="84"/>
  <c r="K42" i="84"/>
  <c r="K39" i="84"/>
  <c r="K37" i="84"/>
  <c r="K41" i="84"/>
  <c r="K40" i="84"/>
  <c r="K38" i="84"/>
  <c r="E88" i="83"/>
  <c r="D88" i="83"/>
  <c r="K34" i="83"/>
  <c r="K38" i="83"/>
  <c r="K37" i="83"/>
  <c r="K36" i="83"/>
  <c r="K35" i="83"/>
  <c r="K33" i="83"/>
  <c r="K31" i="83"/>
  <c r="K32" i="83"/>
  <c r="K30" i="83"/>
  <c r="K29" i="83"/>
  <c r="K28" i="83"/>
  <c r="K27" i="83"/>
  <c r="K39" i="83"/>
  <c r="E80" i="82"/>
  <c r="D80" i="82"/>
  <c r="K36" i="82"/>
  <c r="K35" i="82"/>
  <c r="K34" i="82"/>
  <c r="K33" i="82"/>
  <c r="K32" i="82"/>
  <c r="K31" i="82"/>
  <c r="K30" i="82"/>
  <c r="K29" i="82"/>
  <c r="K28" i="82"/>
  <c r="K27" i="82"/>
  <c r="K26" i="82"/>
  <c r="K37" i="82" s="1"/>
  <c r="E109" i="81"/>
  <c r="D109" i="81"/>
  <c r="K46" i="81"/>
  <c r="K45" i="81"/>
  <c r="K44" i="81"/>
  <c r="K51" i="81"/>
  <c r="K50" i="81"/>
  <c r="K49" i="81"/>
  <c r="K48" i="81"/>
  <c r="K47" i="81"/>
  <c r="K43" i="81"/>
  <c r="K42" i="81"/>
  <c r="K41" i="81"/>
  <c r="K40" i="81"/>
  <c r="K39" i="81"/>
  <c r="K52" i="81" s="1"/>
  <c r="E87" i="80"/>
  <c r="D87" i="80"/>
  <c r="K40" i="80"/>
  <c r="K39" i="80"/>
  <c r="K38" i="80"/>
  <c r="K37" i="80"/>
  <c r="K36" i="80"/>
  <c r="K35" i="80"/>
  <c r="K34" i="80"/>
  <c r="K33" i="80"/>
  <c r="K32" i="80"/>
  <c r="K31" i="80"/>
  <c r="K30" i="80"/>
  <c r="K41" i="80" s="1"/>
  <c r="E90" i="79"/>
  <c r="D90" i="79"/>
  <c r="K40" i="79"/>
  <c r="K31" i="79"/>
  <c r="K33" i="79"/>
  <c r="K37" i="79"/>
  <c r="K36" i="79"/>
  <c r="K35" i="79"/>
  <c r="K34" i="79"/>
  <c r="K32" i="79"/>
  <c r="K39" i="79"/>
  <c r="K38" i="79"/>
  <c r="H42" i="78"/>
  <c r="H59" i="78"/>
  <c r="I52" i="78"/>
  <c r="C107" i="78"/>
  <c r="B107" i="78"/>
  <c r="K9" i="74"/>
  <c r="I18" i="61"/>
  <c r="H17" i="61"/>
  <c r="I14" i="61"/>
  <c r="H13" i="61"/>
  <c r="I10" i="61"/>
  <c r="H9" i="61"/>
  <c r="I6" i="61"/>
  <c r="H5" i="61"/>
  <c r="B109" i="55"/>
  <c r="B108" i="55"/>
  <c r="B107" i="55"/>
  <c r="C111" i="55"/>
  <c r="B105" i="55"/>
  <c r="B111" i="55" s="1"/>
  <c r="K12" i="59"/>
  <c r="J11" i="59"/>
  <c r="K8" i="59"/>
  <c r="J7" i="59"/>
  <c r="I20" i="50"/>
  <c r="H19" i="50"/>
  <c r="N17" i="50"/>
  <c r="I14" i="50"/>
  <c r="H13" i="50"/>
  <c r="I10" i="50"/>
  <c r="H9" i="50"/>
  <c r="I6" i="50"/>
  <c r="H5" i="50"/>
  <c r="E27" i="54"/>
  <c r="D26" i="54"/>
  <c r="E19" i="54"/>
  <c r="D18" i="54"/>
  <c r="G12" i="35"/>
  <c r="F7" i="35"/>
  <c r="G17" i="35"/>
  <c r="F17" i="35"/>
  <c r="C17" i="35"/>
  <c r="B17" i="35"/>
  <c r="F7" i="26"/>
  <c r="G12" i="26"/>
  <c r="G15" i="26"/>
  <c r="F15" i="26"/>
  <c r="F8" i="26"/>
  <c r="C43" i="31"/>
  <c r="C34" i="31"/>
  <c r="B33" i="31"/>
  <c r="B43" i="31" s="1"/>
  <c r="G8" i="17"/>
  <c r="X7" i="17"/>
  <c r="V6" i="17"/>
  <c r="F2" i="5"/>
  <c r="F1" i="5"/>
  <c r="F3" i="5" s="1"/>
  <c r="F4" i="5" s="1"/>
  <c r="F2" i="4"/>
  <c r="F1" i="4"/>
  <c r="F3" i="4"/>
  <c r="F4" i="4" s="1"/>
  <c r="F2" i="3"/>
  <c r="F1" i="3"/>
  <c r="F3" i="3"/>
  <c r="F4" i="3" s="1"/>
  <c r="F2" i="2"/>
  <c r="F1" i="2"/>
  <c r="F3" i="2" s="1"/>
  <c r="F4" i="2" s="1"/>
  <c r="M11" i="107" l="1"/>
  <c r="M13" i="107"/>
  <c r="G6" i="104"/>
  <c r="AM28" i="93"/>
  <c r="AT28" i="93" s="1"/>
  <c r="AT9" i="93"/>
  <c r="AN28" i="93"/>
  <c r="AW28" i="93" s="1"/>
  <c r="AW9" i="93"/>
  <c r="AV9" i="93"/>
  <c r="AX9" i="93"/>
  <c r="AT14" i="93"/>
  <c r="AO14" i="93"/>
  <c r="AW14" i="93"/>
  <c r="AP14" i="93"/>
  <c r="AT15" i="93"/>
  <c r="AO15" i="93"/>
  <c r="AV15" i="93" s="1"/>
  <c r="AW15" i="93"/>
  <c r="AP15" i="93"/>
  <c r="AX15" i="93" s="1"/>
  <c r="AT16" i="93"/>
  <c r="AO16" i="93"/>
  <c r="AV16" i="93" s="1"/>
  <c r="AW16" i="93"/>
  <c r="AP16" i="93"/>
  <c r="AX16" i="93" s="1"/>
  <c r="AT17" i="93"/>
  <c r="AO17" i="93"/>
  <c r="AV17" i="93" s="1"/>
  <c r="AW17" i="93"/>
  <c r="AP17" i="93"/>
  <c r="AX17" i="93" s="1"/>
  <c r="AT18" i="93"/>
  <c r="AO18" i="93"/>
  <c r="AV18" i="93" s="1"/>
  <c r="AW18" i="93"/>
  <c r="AP18" i="93"/>
  <c r="AX18" i="93" s="1"/>
  <c r="AT20" i="93"/>
  <c r="AO20" i="93"/>
  <c r="AV20" i="93" s="1"/>
  <c r="AW20" i="93"/>
  <c r="AP20" i="93"/>
  <c r="AX20" i="93" s="1"/>
  <c r="AT22" i="93"/>
  <c r="AO22" i="93"/>
  <c r="AV22" i="93" s="1"/>
  <c r="AQ22" i="93" s="1"/>
  <c r="AW22" i="93"/>
  <c r="AR22" i="93"/>
  <c r="AX22" i="93" s="1"/>
  <c r="AT23" i="93"/>
  <c r="AO23" i="93"/>
  <c r="AV23" i="93" s="1"/>
  <c r="AW23" i="93"/>
  <c r="AP23" i="93"/>
  <c r="AX23" i="93" s="1"/>
  <c r="AT24" i="93"/>
  <c r="AO24" i="93"/>
  <c r="AV24" i="93" s="1"/>
  <c r="AW24" i="93"/>
  <c r="AP24" i="93"/>
  <c r="AX24" i="93" s="1"/>
  <c r="AT25" i="93"/>
  <c r="AO25" i="93"/>
  <c r="AV25" i="93" s="1"/>
  <c r="AW25" i="93"/>
  <c r="AP25" i="93"/>
  <c r="AX25" i="93" s="1"/>
  <c r="N137" i="93"/>
  <c r="T137" i="93" s="1"/>
  <c r="T120" i="93"/>
  <c r="O137" i="93"/>
  <c r="U137" i="93" s="1"/>
  <c r="U120" i="93"/>
  <c r="W120" i="93"/>
  <c r="X120" i="93"/>
  <c r="W121" i="93"/>
  <c r="X121" i="93"/>
  <c r="W122" i="93"/>
  <c r="X122" i="93"/>
  <c r="W123" i="93"/>
  <c r="X123" i="93"/>
  <c r="W124" i="93"/>
  <c r="X124" i="93"/>
  <c r="W125" i="93"/>
  <c r="X125" i="93"/>
  <c r="W126" i="93"/>
  <c r="X126" i="93"/>
  <c r="W127" i="93"/>
  <c r="X127" i="93"/>
  <c r="W128" i="93"/>
  <c r="X128" i="93"/>
  <c r="W129" i="93"/>
  <c r="X129" i="93"/>
  <c r="W130" i="93"/>
  <c r="X130" i="93"/>
  <c r="W131" i="93"/>
  <c r="X131" i="93"/>
  <c r="W132" i="93"/>
  <c r="X132" i="93"/>
  <c r="W133" i="93"/>
  <c r="X133" i="93"/>
  <c r="W134" i="93"/>
  <c r="X134" i="93"/>
  <c r="W135" i="93"/>
  <c r="X135" i="93"/>
  <c r="W136" i="93"/>
  <c r="X136" i="93"/>
  <c r="W137" i="93"/>
  <c r="X137" i="93"/>
  <c r="T120" i="92"/>
  <c r="U120" i="92"/>
  <c r="T136" i="92"/>
  <c r="T135" i="92"/>
  <c r="T134" i="92"/>
  <c r="T133" i="92"/>
  <c r="T132" i="92"/>
  <c r="T131" i="92"/>
  <c r="T130" i="92"/>
  <c r="T129" i="92"/>
  <c r="T128" i="92"/>
  <c r="T127" i="92"/>
  <c r="T126" i="92"/>
  <c r="T125" i="92"/>
  <c r="T124" i="92"/>
  <c r="T123" i="92"/>
  <c r="T122" i="92"/>
  <c r="T121" i="92"/>
  <c r="U136" i="92"/>
  <c r="U135" i="92"/>
  <c r="U134" i="92"/>
  <c r="U133" i="92"/>
  <c r="U132" i="92"/>
  <c r="U131" i="92"/>
  <c r="U130" i="92"/>
  <c r="U129" i="92"/>
  <c r="U128" i="92"/>
  <c r="U127" i="92"/>
  <c r="U126" i="92"/>
  <c r="U125" i="92"/>
  <c r="U124" i="92"/>
  <c r="U123" i="92"/>
  <c r="U122" i="92"/>
  <c r="U121" i="92"/>
  <c r="AM28" i="92"/>
  <c r="AT28" i="92" s="1"/>
  <c r="AT9" i="92"/>
  <c r="AN28" i="92"/>
  <c r="AW28" i="92" s="1"/>
  <c r="AW9" i="92"/>
  <c r="AV9" i="92"/>
  <c r="AX9" i="92"/>
  <c r="AT14" i="92"/>
  <c r="AO14" i="92"/>
  <c r="AW14" i="92"/>
  <c r="AP14" i="92"/>
  <c r="AT15" i="92"/>
  <c r="AO15" i="92"/>
  <c r="AV15" i="92" s="1"/>
  <c r="AW15" i="92"/>
  <c r="AP15" i="92"/>
  <c r="AX15" i="92" s="1"/>
  <c r="AT16" i="92"/>
  <c r="AO16" i="92"/>
  <c r="AV16" i="92" s="1"/>
  <c r="AW16" i="92"/>
  <c r="AP16" i="92"/>
  <c r="AX16" i="92" s="1"/>
  <c r="AT17" i="92"/>
  <c r="AO17" i="92"/>
  <c r="AV17" i="92" s="1"/>
  <c r="AW17" i="92"/>
  <c r="AP17" i="92"/>
  <c r="AX17" i="92" s="1"/>
  <c r="AT18" i="92"/>
  <c r="AO18" i="92"/>
  <c r="AV18" i="92" s="1"/>
  <c r="AW18" i="92"/>
  <c r="AP18" i="92"/>
  <c r="AX18" i="92" s="1"/>
  <c r="AT20" i="92"/>
  <c r="AO20" i="92"/>
  <c r="AV20" i="92" s="1"/>
  <c r="AW20" i="92"/>
  <c r="AP20" i="92"/>
  <c r="AX20" i="92" s="1"/>
  <c r="AT22" i="92"/>
  <c r="AO22" i="92"/>
  <c r="AV22" i="92" s="1"/>
  <c r="AW22" i="92"/>
  <c r="AR22" i="92"/>
  <c r="AX22" i="92" s="1"/>
  <c r="AT23" i="92"/>
  <c r="AO23" i="92"/>
  <c r="AV23" i="92" s="1"/>
  <c r="AW23" i="92"/>
  <c r="AP23" i="92"/>
  <c r="AX23" i="92" s="1"/>
  <c r="AT24" i="92"/>
  <c r="AO24" i="92"/>
  <c r="AV24" i="92" s="1"/>
  <c r="AW24" i="92"/>
  <c r="AP24" i="92"/>
  <c r="AX24" i="92" s="1"/>
  <c r="AT25" i="92"/>
  <c r="AO25" i="92"/>
  <c r="AV25" i="92" s="1"/>
  <c r="AW25" i="92"/>
  <c r="AP25" i="92"/>
  <c r="AX25" i="92" s="1"/>
  <c r="AM28" i="88"/>
  <c r="AT28" i="88" s="1"/>
  <c r="AT9" i="88"/>
  <c r="AN28" i="88"/>
  <c r="AW28" i="88" s="1"/>
  <c r="AW9" i="88"/>
  <c r="AV9" i="88"/>
  <c r="AX9" i="88"/>
  <c r="AT14" i="88"/>
  <c r="AO14" i="88"/>
  <c r="AW14" i="88"/>
  <c r="AP14" i="88"/>
  <c r="AT15" i="88"/>
  <c r="AO15" i="88"/>
  <c r="AV15" i="88" s="1"/>
  <c r="AW15" i="88"/>
  <c r="AP15" i="88"/>
  <c r="AX15" i="88" s="1"/>
  <c r="AT16" i="88"/>
  <c r="AO16" i="88"/>
  <c r="AV16" i="88" s="1"/>
  <c r="AW16" i="88"/>
  <c r="AP16" i="88"/>
  <c r="AX16" i="88" s="1"/>
  <c r="AT17" i="88"/>
  <c r="AO17" i="88"/>
  <c r="AV17" i="88" s="1"/>
  <c r="AW17" i="88"/>
  <c r="AP17" i="88"/>
  <c r="AX17" i="88" s="1"/>
  <c r="AT18" i="88"/>
  <c r="AO18" i="88"/>
  <c r="AV18" i="88" s="1"/>
  <c r="AW18" i="88"/>
  <c r="AP18" i="88"/>
  <c r="AX18" i="88" s="1"/>
  <c r="AT20" i="88"/>
  <c r="AO20" i="88"/>
  <c r="AV20" i="88" s="1"/>
  <c r="AW20" i="88"/>
  <c r="AP20" i="88"/>
  <c r="AX20" i="88" s="1"/>
  <c r="AT22" i="88"/>
  <c r="AO22" i="88"/>
  <c r="AV22" i="88" s="1"/>
  <c r="AW22" i="88"/>
  <c r="AP22" i="88"/>
  <c r="AX22" i="88" s="1"/>
  <c r="AT23" i="88"/>
  <c r="AO23" i="88"/>
  <c r="AV23" i="88" s="1"/>
  <c r="AW23" i="88"/>
  <c r="AP23" i="88"/>
  <c r="AX23" i="88" s="1"/>
  <c r="AT24" i="88"/>
  <c r="AO24" i="88"/>
  <c r="AV24" i="88" s="1"/>
  <c r="AW24" i="88"/>
  <c r="AP24" i="88"/>
  <c r="AX24" i="88" s="1"/>
  <c r="AT25" i="88"/>
  <c r="AO25" i="88"/>
  <c r="AV25" i="88" s="1"/>
  <c r="AW25" i="88"/>
  <c r="AP25" i="88"/>
  <c r="AX25" i="88" s="1"/>
  <c r="AT19" i="87"/>
  <c r="AN9" i="87"/>
  <c r="AM9" i="87"/>
  <c r="AT9" i="87" s="1"/>
  <c r="AN10" i="87"/>
  <c r="AM10" i="87"/>
  <c r="AT10" i="87" s="1"/>
  <c r="AN11" i="87"/>
  <c r="AM11" i="87"/>
  <c r="AT11" i="87" s="1"/>
  <c r="AN12" i="87"/>
  <c r="AM12" i="87"/>
  <c r="AT12" i="87" s="1"/>
  <c r="AN13" i="87"/>
  <c r="AM13" i="87"/>
  <c r="AT13" i="87" s="1"/>
  <c r="AN14" i="87"/>
  <c r="AM14" i="87"/>
  <c r="AT14" i="87" s="1"/>
  <c r="AN15" i="87"/>
  <c r="AM15" i="87"/>
  <c r="AT15" i="87" s="1"/>
  <c r="AN16" i="87"/>
  <c r="AM16" i="87"/>
  <c r="AT16" i="87" s="1"/>
  <c r="AN17" i="87"/>
  <c r="AM17" i="87"/>
  <c r="AO17" i="87" s="1"/>
  <c r="AN18" i="87"/>
  <c r="AM18" i="87"/>
  <c r="AN20" i="87"/>
  <c r="AM20" i="87"/>
  <c r="AN22" i="87"/>
  <c r="AM22" i="87"/>
  <c r="AN23" i="87"/>
  <c r="AM23" i="87"/>
  <c r="AN24" i="87"/>
  <c r="AM24" i="87"/>
  <c r="AO24" i="87" s="1"/>
  <c r="AV24" i="87" s="1"/>
  <c r="AN25" i="87"/>
  <c r="AM25" i="87"/>
  <c r="AN26" i="87"/>
  <c r="AW26" i="87" s="1"/>
  <c r="AR26" i="87" s="1"/>
  <c r="AM26" i="87"/>
  <c r="AN27" i="87"/>
  <c r="AW27" i="87" s="1"/>
  <c r="AR27" i="87" s="1"/>
  <c r="AM27" i="87"/>
  <c r="AT27" i="87" s="1"/>
  <c r="AQ27" i="87" s="1"/>
  <c r="K65" i="48"/>
  <c r="L60" i="47"/>
  <c r="K54" i="84"/>
  <c r="K41" i="79"/>
  <c r="AX14" i="93" l="1"/>
  <c r="AP28" i="93"/>
  <c r="AV14" i="93"/>
  <c r="AO28" i="93"/>
  <c r="AR9" i="93"/>
  <c r="AQ9" i="93"/>
  <c r="AX14" i="92"/>
  <c r="AP28" i="92"/>
  <c r="AV14" i="92"/>
  <c r="AO28" i="92"/>
  <c r="AR9" i="92"/>
  <c r="AQ9" i="92"/>
  <c r="AX14" i="88"/>
  <c r="AP28" i="88"/>
  <c r="AV14" i="88"/>
  <c r="AO28" i="88"/>
  <c r="AR9" i="88"/>
  <c r="AQ9" i="88"/>
  <c r="AP24" i="87"/>
  <c r="AX24" i="87" s="1"/>
  <c r="AW24" i="87"/>
  <c r="AV17" i="87"/>
  <c r="AO28" i="87"/>
  <c r="AP17" i="87"/>
  <c r="AW17" i="87"/>
  <c r="AV28" i="87"/>
  <c r="AT26" i="87"/>
  <c r="AQ26" i="87" s="1"/>
  <c r="AT25" i="87"/>
  <c r="AT24" i="87"/>
  <c r="AT23" i="87"/>
  <c r="AT22" i="87"/>
  <c r="AT20" i="87"/>
  <c r="AT18" i="87"/>
  <c r="AT17" i="87"/>
  <c r="AM28" i="87"/>
  <c r="AT28" i="87" s="1"/>
  <c r="AN28" i="87"/>
  <c r="AW28" i="87" s="1"/>
  <c r="AP29" i="93" l="1"/>
  <c r="AO29" i="93"/>
  <c r="AV28" i="93"/>
  <c r="AP30" i="93"/>
  <c r="AX30" i="93" s="1"/>
  <c r="AX28" i="93"/>
  <c r="AP29" i="92"/>
  <c r="AO29" i="92"/>
  <c r="AV28" i="92"/>
  <c r="AP30" i="92"/>
  <c r="AX30" i="92" s="1"/>
  <c r="AX28" i="92"/>
  <c r="AP29" i="88"/>
  <c r="AO29" i="88"/>
  <c r="AV28" i="88"/>
  <c r="AP30" i="88"/>
  <c r="AX30" i="88" s="1"/>
  <c r="AX28" i="88"/>
  <c r="AX17" i="87"/>
  <c r="AP28" i="87"/>
  <c r="AP29" i="87" s="1"/>
  <c r="AO29" i="87"/>
  <c r="AQ29" i="87"/>
  <c r="AQ30" i="87" s="1"/>
  <c r="AX29" i="87"/>
  <c r="AO30" i="87"/>
  <c r="AV30" i="87" s="1"/>
  <c r="AR29" i="87"/>
  <c r="AR30" i="87" s="1"/>
  <c r="AV29" i="87"/>
  <c r="AP30" i="87"/>
  <c r="AX30" i="87" s="1"/>
  <c r="AX28" i="87"/>
  <c r="AV29" i="93" l="1"/>
  <c r="AR29" i="93"/>
  <c r="AR30" i="93" s="1"/>
  <c r="AO30" i="93"/>
  <c r="AV30" i="93" s="1"/>
  <c r="AX29" i="93"/>
  <c r="AQ29" i="93"/>
  <c r="AQ30" i="93" s="1"/>
  <c r="AV29" i="92"/>
  <c r="AR29" i="92"/>
  <c r="AR30" i="92" s="1"/>
  <c r="AO30" i="92"/>
  <c r="AV30" i="92" s="1"/>
  <c r="AX29" i="92"/>
  <c r="AQ29" i="92"/>
  <c r="AQ30" i="92" s="1"/>
  <c r="AV29" i="88"/>
  <c r="AR29" i="88"/>
  <c r="AR30" i="88" s="1"/>
  <c r="AO30" i="88"/>
  <c r="AV30" i="88" s="1"/>
  <c r="AX29" i="88"/>
  <c r="AQ29" i="88"/>
  <c r="AQ30" i="8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黃 奕捷</author>
  </authors>
  <commentList>
    <comment ref="A76" authorId="0" shapeId="0" xr:uid="{22C7670E-B719-401B-A5A5-EA2C38B0296A}">
      <text>
        <r>
          <rPr>
            <sz val="12"/>
            <color theme="1"/>
            <rFont val="新細明體"/>
            <family val="2"/>
            <scheme val="minor"/>
          </rPr>
          <t xml:space="preserve">黃 奕捷: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tc={440EC1AD-9133-4C1A-B64B-38FFDBF9B531}</author>
    <author>tc={7ECDE23B-FC30-4639-9B62-69F2DFF7F6BC}</author>
    <author>tc={DE544348-00E0-4326-B47B-CFF84C1737ED}</author>
    <author>tc={EBA6B24E-3CA0-4E79-BC58-E02927303D7C}</author>
    <author>tc={1A622B5A-126C-4537-9D98-D2967356A8B9}</author>
  </authors>
  <commentList>
    <comment ref="C3" authorId="0" shapeId="0" xr:uid="{440EC1AD-9133-4C1A-B64B-38FFDBF9B531}">
      <text>
        <t>[Threaded comment]
Your version of Excel allows you to read this threaded comment; however, any edits to it will get removed if the file is opened in a newer version of Excel. Learn more: https://go.microsoft.com/fwlink/?linkid=870924
Comment:
    詳見，Accounting (Studying).docx。CH9的19題。</t>
      </text>
    </comment>
    <comment ref="O4" authorId="1" shapeId="0" xr:uid="{7ECDE23B-FC30-4639-9B62-69F2DFF7F6BC}">
      <text>
        <t>[Threaded comment]
Your version of Excel allows you to read this threaded comment; however, any edits to it will get removed if the file is opened in a newer version of Excel. Learn more: https://go.microsoft.com/fwlink/?linkid=870924
Comment:
    收益 - 費用 = 淨利</t>
      </text>
    </comment>
    <comment ref="T4" authorId="2" shapeId="0" xr:uid="{DE544348-00E0-4326-B47B-CFF84C1737ED}">
      <text>
        <t>[Threaded comment]
Your version of Excel allows you to read this threaded comment; however, any edits to it will get removed if the file is opened in a newer version of Excel. Learn more: https://go.microsoft.com/fwlink/?linkid=870924
Comment:
    資產 - 負債 = 權益</t>
      </text>
    </comment>
    <comment ref="Q20" authorId="3" shapeId="0" xr:uid="{EBA6B24E-3CA0-4E79-BC58-E02927303D7C}">
      <text>
        <t>[Threaded comment]
Your version of Excel allows you to read this threaded comment; however, any edits to it will get removed if the file is opened in a newer version of Excel. Learn more: https://go.microsoft.com/fwlink/?linkid=870924
Comment:
    收益 - 費用 = 淨利</t>
      </text>
    </comment>
    <comment ref="S20" authorId="4" shapeId="0" xr:uid="{1A622B5A-126C-4537-9D98-D2967356A8B9}">
      <text>
        <t>[Threaded comment]
Your version of Excel allows you to read this threaded comment; however, any edits to it will get removed if the file is opened in a newer version of Excel. Learn more: https://go.microsoft.com/fwlink/?linkid=870924
Comment:
    資產 - 負債 = 權益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tc={D9802697-BFDB-4476-AFD6-0FAA6D9EF3A5}</author>
  </authors>
  <commentList>
    <comment ref="C3" authorId="0" shapeId="0" xr:uid="{D9802697-BFDB-4476-AFD6-0FAA6D9EF3A5}">
      <text>
        <t>[Threaded comment]
Your version of Excel allows you to read this threaded comment; however, any edits to it will get removed if the file is opened in a newer version of Excel. Learn more: https://go.microsoft.com/fwlink/?linkid=870924
Comment:
    詳見，Accounting (Studying).docx。CH9的20題。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tc={292C61DE-D93C-4D77-A133-651752AB9984}</author>
  </authors>
  <commentList>
    <comment ref="K9" authorId="0" shapeId="0" xr:uid="{292C61DE-D93C-4D77-A133-651752AB9984}">
      <text>
        <t>[Threaded comment]
Your version of Excel allows you to read this threaded comment; however, any edits to it will get removed if the file is opened in a newer version of Excel. Learn more: https://go.microsoft.com/fwlink/?linkid=870924
Comment:
    期末存貨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tc={B78456FF-FA2F-4143-8AFB-178C68BFD2EC}</author>
    <author>tc={F9D05D7D-128C-4E56-9275-7EB39E955679}</author>
    <author>tc={3B6C8113-ED6E-4DC2-9ECB-C6C993043A61}</author>
    <author>tc={2D1FCF36-BA95-4A0B-BD36-869E513646DD}</author>
  </authors>
  <commentList>
    <comment ref="H3" authorId="0" shapeId="0" xr:uid="{B78456FF-FA2F-4143-8AFB-178C68BFD2EC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參考，CH11-3-4 page 266。</t>
      </text>
    </comment>
    <comment ref="M3" authorId="1" shapeId="0" xr:uid="{F9D05D7D-128C-4E56-9275-7EB39E955679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參考，CH11-3-4 page 266。</t>
      </text>
    </comment>
    <comment ref="M8" authorId="2" shapeId="0" xr:uid="{3B6C8113-ED6E-4DC2-9ECB-C6C993043A61}">
      <text>
        <t>[Threaded comment]
Your version of Excel allows you to read this threaded comment; however, any edits to it will get removed if the file is opened in a newer version of Excel. Learn more: https://go.microsoft.com/fwlink/?linkid=870924
Comment:
    數值為上三項科目的數值總和</t>
      </text>
    </comment>
    <comment ref="M9" authorId="3" shapeId="0" xr:uid="{2D1FCF36-BA95-4A0B-BD36-869E513646DD}">
      <text>
        <t>[Threaded comment]
Your version of Excel allows you to read this threaded comment; however, any edits to it will get removed if the file is opened in a newer version of Excel. Learn more: https://go.microsoft.com/fwlink/?linkid=870924
Comment:
    成本率 = 可供銷售商品的成本/可供銷售商品的零售價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tc={C4F56186-D303-4132-A760-03B5963D4C53}</author>
    <author>tc={D0A40ABC-6F47-4367-9C0A-3E6D08031F71}</author>
  </authors>
  <commentList>
    <comment ref="C3" authorId="0" shapeId="0" xr:uid="{C4F56186-D303-4132-A760-03B5963D4C53}">
      <text>
        <t>[Threaded comment]
Your version of Excel allows you to read this threaded comment; however, any edits to it will get removed if the file is opened in a newer version of Excel. Learn more: https://go.microsoft.com/fwlink/?linkid=870924
Comment:
    詳見，CH12 part 1 Q36。</t>
      </text>
    </comment>
    <comment ref="C4" authorId="1" shapeId="0" xr:uid="{D0A40ABC-6F47-4367-9C0A-3E6D08031F71}">
      <text>
        <t>[Threaded comment]
Your version of Excel allows you to read this threaded comment; however, any edits to it will get removed if the file is opened in a newer version of Excel. Learn more: https://go.microsoft.com/fwlink/?linkid=870924
Comment:
    想求：
甲公司可認列的商譽是多少?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tc={A2168248-DE8B-4497-B27C-93AB61B1DC48}</author>
  </authors>
  <commentList>
    <comment ref="D6" authorId="0" shapeId="0" xr:uid="{A2168248-DE8B-4497-B27C-93AB61B1DC48}">
      <text>
        <t>[Threaded comment]
Your version of Excel allows you to read this threaded comment; however, any edits to it will get removed if the file is opened in a newer version of Excel. Learn more: https://go.microsoft.com/fwlink/?linkid=870924
Comment:
    此科目的數額為題目所問的成本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tc={71C7FF9F-E798-4FC5-BC85-087B97950848}</author>
  </authors>
  <commentList>
    <comment ref="C3" authorId="0" shapeId="0" xr:uid="{71C7FF9F-E798-4FC5-BC85-087B97950848}">
      <text>
        <t>[Threaded comment]
Your version of Excel allows you to read this threaded comment; however, any edits to it will get removed if the file is opened in a newer version of Excel. Learn more: https://go.microsoft.com/fwlink/?linkid=870924
Comment:
    詳見，accounting (studying).docx
檔的CH17 的 part 1的第23題。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tc={CC7D14B4-A154-4C7F-92CD-1CD71B53CED2}</author>
    <author>tc={4C91B4A1-C478-45F9-BA0D-A06DD97813F1}</author>
    <author>tc={00B3F093-5A89-4759-95DD-05276D17B09F}</author>
    <author>tc={CC071A20-76E3-4F24-B055-9CD93F290D67}</author>
  </authors>
  <commentList>
    <comment ref="A2" authorId="0" shapeId="0" xr:uid="{CC7D14B4-A154-4C7F-92CD-1CD71B53CED2}">
      <text>
        <t>[Threaded comment]
Your version of Excel allows you to read this threaded comment; however, any edits to it will get removed if the file is opened in a newer version of Excel. Learn more: https://go.microsoft.com/fwlink/?linkid=870924
Comment:
    跟A5-3的工作表內容不一樣，在這裡，我將物料視為收入的一種。
Reply:
    我剛剛忘了說，解答本所列的分錄跟我列的不一樣，不知是否可行？</t>
      </text>
    </comment>
    <comment ref="E2" authorId="1" shapeId="0" xr:uid="{4C91B4A1-C478-45F9-BA0D-A06DD97813F1}">
      <text>
        <t>[Threaded comment]
Your version of Excel allows you to read this threaded comment; however, any edits to it will get removed if the file is opened in a newer version of Excel. Learn more: https://go.microsoft.com/fwlink/?linkid=870924
Comment:
    A3-3題目和解答，詳見"A3-3題目和解答"工作表。</t>
      </text>
    </comment>
    <comment ref="E3" authorId="2" shapeId="0" xr:uid="{00B3F093-5A89-4759-95DD-05276D17B09F}">
      <text>
        <t>[Threaded comment]
Your version of Excel allows you to read this threaded comment; however, any edits to it will get removed if the file is opened in a newer version of Excel. Learn more: https://go.microsoft.com/fwlink/?linkid=870924
Comment:
    A4-3題目和解答，詳見
A4-3題目和解答的工作表。</t>
      </text>
    </comment>
    <comment ref="A30" authorId="3" shapeId="0" xr:uid="{CC071A20-76E3-4F24-B055-9CD93F290D67}">
      <text>
        <t>[Threaded comment]
Your version of Excel allows you to read this threaded comment; however, any edits to it will get removed if the file is opened in a newer version of Excel. Learn more: https://go.microsoft.com/fwlink/?linkid=870924
Comment:
    對題目A4-3，我的答案。
Reply:
    從A30到G39。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tc={34C353A3-4A3D-4BF6-A7BE-B482F619C311}</author>
    <author>tc={1451D451-CFAA-4007-83AE-B4F5D0AD411B}</author>
    <author>tc={ABE2E7D7-EB46-4F0A-B9FB-33BC587A6063}</author>
    <author>tc={2B64A37F-A65D-4470-BF11-B95FB13261DB}</author>
    <author>tc={B7A44D5C-E6C9-469A-9885-E630D2D0D089}</author>
    <author>tc={16CF95BD-9F68-4B88-A993-5745082502DD}</author>
    <author>tc={3262E0BF-B96D-4AF5-A9AD-CC02E3EDCE96}</author>
  </authors>
  <commentList>
    <comment ref="A2" authorId="0" shapeId="0" xr:uid="{34C353A3-4A3D-4BF6-A7BE-B482F619C311}">
      <text>
        <t>[Threaded comment]
Your version of Excel allows you to read this threaded comment; however, any edits to it will get removed if the file is opened in a newer version of Excel. Learn more: https://go.microsoft.com/fwlink/?linkid=870924
Comment:
    跟A5-3的工作表內容不一樣，在這裡，我將物料視為收入的一種。
Reply:
    我剛剛忘了說，解答本所列的分錄跟我列的不一樣，不知是否可行？
Reply:
    再次更正
Reply:
    跟A5-3(2)不一樣，我將累積折舊列為負債
Reply:
    這個錯誤的發現是來自課本的工作底稿的科目(我仔細觀察發現)
Reply:
    微小細節調整，合併儲存格和調整列寬。
Reply:
    微小細節調整，重新計算原本T字形的總計。並記錄在表格中。開始於cell K49和I120。
Reply:
    K49的是用公式算，則J120的就只是複製並貼上K49數值。
Reply:
    主要更正，T字形中的應付稅捐這個科目，從一萬元更正一千元。
Reply:
    細微增加，首先，增加一個小表格，根據I120的cell並用公式計算。其次，
用excel公式跟原本的小表格計算其相等性。</t>
      </text>
    </comment>
    <comment ref="E2" authorId="1" shapeId="0" xr:uid="{1451D451-CFAA-4007-83AE-B4F5D0AD411B}">
      <text>
        <t>[Threaded comment]
Your version of Excel allows you to read this threaded comment; however, any edits to it will get removed if the file is opened in a newer version of Excel. Learn more: https://go.microsoft.com/fwlink/?linkid=870924
Comment:
    A3-3題目和解答，詳見"A3-3題目和解答"工作表。</t>
      </text>
    </comment>
    <comment ref="E3" authorId="2" shapeId="0" xr:uid="{ABE2E7D7-EB46-4F0A-B9FB-33BC587A6063}">
      <text>
        <t>[Threaded comment]
Your version of Excel allows you to read this threaded comment; however, any edits to it will get removed if the file is opened in a newer version of Excel. Learn more: https://go.microsoft.com/fwlink/?linkid=870924
Comment:
    A4-3題目和解答，詳見
A4-3題目和解答的工作表。</t>
      </text>
    </comment>
    <comment ref="A30" authorId="3" shapeId="0" xr:uid="{2B64A37F-A65D-4470-BF11-B95FB13261DB}">
      <text>
        <t>[Threaded comment]
Your version of Excel allows you to read this threaded comment; however, any edits to it will get removed if the file is opened in a newer version of Excel. Learn more: https://go.microsoft.com/fwlink/?linkid=870924
Comment:
    對題目A4-3，我的答案。
Reply:
    從A30到G39。</t>
      </text>
    </comment>
    <comment ref="A114" authorId="4" shapeId="0" xr:uid="{B7A44D5C-E6C9-469A-9885-E630D2D0D089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根據I120的cell，將數值複製並貼上值，然後將負數的值移動貸方。</t>
      </text>
    </comment>
    <comment ref="K114" authorId="5" shapeId="0" xr:uid="{16CF95BD-9F68-4B88-A993-5745082502DD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根據I120的cell，並用excel的公式計算。</t>
      </text>
    </comment>
    <comment ref="H118" authorId="6" shapeId="0" xr:uid="{3262E0BF-B96D-4AF5-A9AD-CC02E3EDCE96}">
      <text>
        <t>[Threaded comment]
Your version of Excel allows you to read this threaded comment; however, any edits to it will get removed if the file is opened in a newer version of Excel. Learn more: https://go.microsoft.com/fwlink/?linkid=870924
Comment:
    原本的文字內容：T字形科目金額總計(只貼上值)
Reply:
    打算訂這樣但因為字元太長。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tc={B21C1172-9B1F-4066-A4A3-B5ABC655902D}</author>
    <author>tc={37EB792A-2639-4561-A575-313385C42344}</author>
    <author>tc={38D5FD98-E4E2-424A-B554-62B04CFF60CF}</author>
    <author>tc={C51CB67A-3161-470A-AA47-2F3C2952454B}</author>
    <author>tc={5E442DBC-6DBD-45E5-B3E5-777B38518E7F}</author>
    <author>tc={3F3212EA-9254-414B-9A16-E794A2D40884}</author>
    <author>tc={1D9A2D02-01C8-4450-91EA-387BCF469F5E}</author>
  </authors>
  <commentList>
    <comment ref="A2" authorId="0" shapeId="0" xr:uid="{B21C1172-9B1F-4066-A4A3-B5ABC655902D}">
      <text>
        <t>[Threaded comment]
Your version of Excel allows you to read this threaded comment; however, any edits to it will get removed if the file is opened in a newer version of Excel. Learn more: https://go.microsoft.com/fwlink/?linkid=870924
Comment:
    跟A5-3的工作表內容不一樣，在這裡，我將物料視為收入的一種。
Reply:
    我剛剛忘了說，解答本所列的分錄跟我列的不一樣，不知是否可行？
Reply:
    再次更正
Reply:
    跟A5-3(2)不一樣，我將累積折舊列為負債
Reply:
    這個錯誤的發現是來自課本的工作底稿的科目(我仔細觀察發現)
Reply:
    微小細節調整，合併儲存格和調整列寬。
Reply:
    微小細節調整，重新計算原本T字形的總計。並記錄在表格中。開始於cell K49和I120。
Reply:
    K49的是用公式算，則J120的就只是複製並貼上K49數值。
Reply:
    主要更正，T字形中的應付稅捐這個科目，從一萬元更正一千元。
Reply:
    細微增加，首先，增加一個小表格，根據I120的cell並用公式計算。其次，
用excel公式跟原本的小表格計算其相等性。
Reply:
    主要更正，剛剛檢討選擇題時，意外發現，累積折舊屬於資產減少，應記載於貸方。</t>
      </text>
    </comment>
    <comment ref="E2" authorId="1" shapeId="0" xr:uid="{37EB792A-2639-4561-A575-313385C42344}">
      <text>
        <t>[Threaded comment]
Your version of Excel allows you to read this threaded comment; however, any edits to it will get removed if the file is opened in a newer version of Excel. Learn more: https://go.microsoft.com/fwlink/?linkid=870924
Comment:
    A3-3題目和解答，詳見"A3-3題目和解答"工作表。</t>
      </text>
    </comment>
    <comment ref="E3" authorId="2" shapeId="0" xr:uid="{38D5FD98-E4E2-424A-B554-62B04CFF60CF}">
      <text>
        <t>[Threaded comment]
Your version of Excel allows you to read this threaded comment; however, any edits to it will get removed if the file is opened in a newer version of Excel. Learn more: https://go.microsoft.com/fwlink/?linkid=870924
Comment:
    A4-3題目和解答，詳見
A4-3題目和解答的工作表。</t>
      </text>
    </comment>
    <comment ref="A30" authorId="3" shapeId="0" xr:uid="{C51CB67A-3161-470A-AA47-2F3C2952454B}">
      <text>
        <t>[Threaded comment]
Your version of Excel allows you to read this threaded comment; however, any edits to it will get removed if the file is opened in a newer version of Excel. Learn more: https://go.microsoft.com/fwlink/?linkid=870924
Comment:
    對題目A4-3，我的答案。
Reply:
    從A30到G39。</t>
      </text>
    </comment>
    <comment ref="A114" authorId="4" shapeId="0" xr:uid="{5E442DBC-6DBD-45E5-B3E5-777B38518E7F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根據I120的cell，將數值複製並貼上值，然後將負數的值移動貸方。</t>
      </text>
    </comment>
    <comment ref="K114" authorId="5" shapeId="0" xr:uid="{3F3212EA-9254-414B-9A16-E794A2D40884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根據I120的cell，並用excel的公式計算。</t>
      </text>
    </comment>
    <comment ref="H118" authorId="6" shapeId="0" xr:uid="{1D9A2D02-01C8-4450-91EA-387BCF469F5E}">
      <text>
        <t>[Threaded comment]
Your version of Excel allows you to read this threaded comment; however, any edits to it will get removed if the file is opened in a newer version of Excel. Learn more: https://go.microsoft.com/fwlink/?linkid=870924
Comment:
    原本的文字內容：T字形科目金額總計(只貼上值)
Reply:
    打算訂這樣但因為字元太長。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tc={B234CC52-F045-4CAB-BFFD-355C1016A66D}</author>
    <author>tc={F592FC2C-ADC9-46F0-ABA3-CB530013588B}</author>
  </authors>
  <commentList>
    <comment ref="A1" authorId="0" shapeId="0" xr:uid="{B234CC52-F045-4CAB-BFFD-355C1016A66D}">
      <text>
        <t>[Threaded comment]
Your version of Excel allows you to read this threaded comment; however, any edits to it will get removed if the file is opened in a newer version of Excel. Learn more: https://go.microsoft.com/fwlink/?linkid=870924
Comment:
    下圖為會計學題目A4-3。擷取自解答本。</t>
      </text>
    </comment>
    <comment ref="H1" authorId="1" shapeId="0" xr:uid="{F592FC2C-ADC9-46F0-ABA3-CB530013588B}">
      <text>
        <t>[Threaded comment]
Your version of Excel allows you to read this threaded comment; however, any edits to it will get removed if the file is opened in a newer version of Excel. Learn more: https://go.microsoft.com/fwlink/?linkid=870924
Comment:
Reply:
    下圖為會計學解答本的A4-3中，所列的分錄。
Reply:
    跟我列的不一樣。
Reply:
    不知道這有沒有對最終結果帶來影響?
Reply:
    我列的分錄附加在A3-3的分錄下方。開始於A30這個cell。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tc={E38DB57D-D9F3-4B60-944E-2ACBDEE63CBF}</author>
    <author>tc={4918CD1F-A033-4363-B733-61AA30DB4233}</author>
  </authors>
  <commentList>
    <comment ref="C3" authorId="0" shapeId="0" xr:uid="{E38DB57D-D9F3-4B60-944E-2ACBDEE63CBF}">
      <text>
        <t>[Threaded comment]
Your version of Excel allows you to read this threaded comment; however, any edits to it will get removed if the file is opened in a newer version of Excel. Learn more: https://go.microsoft.com/fwlink/?linkid=870924
Comment:
    7/1賒帳65000元。
Reply:
    付款條件，2/10,1/20,N/30
Reply:
    7/6客戶退回商品共8000元。
Reply:
    7/19買方收到欠款的一半。</t>
      </text>
    </comment>
    <comment ref="C4" authorId="1" shapeId="0" xr:uid="{4918CD1F-A033-4363-B733-61AA30DB4233}">
      <text>
        <t>[Threaded comment]
Your version of Excel allows you to read this threaded comment; however, any edits to it will get removed if the file is opened in a newer version of Excel. Learn more: https://go.microsoft.com/fwlink/?linkid=870924
Comment:
    蕭貨折扣之金額?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tc={2BF7949A-E520-4B22-8B34-C6C2B631A144}</author>
    <author>tc={54C8DF78-BCF7-4F30-B2B3-06F6868CA926}</author>
    <author>tc={8CEAB13A-9878-4CE5-B35B-68A76FCB55E4}</author>
    <author>tc={2E1E66FB-CEE8-4322-9793-535FCF4E34EA}</author>
    <author>tc={E2536F55-FEB5-4C30-98C1-6A8201B4EA3E}</author>
    <author>tc={764B817D-E01A-44F6-8B13-1955C6C81B88}</author>
  </authors>
  <commentList>
    <comment ref="D10" authorId="0" shapeId="0" xr:uid="{2BF7949A-E520-4B22-8B34-C6C2B631A144}">
      <text>
        <t>[Threaded comment]
Your version of Excel allows you to read this threaded comment; however, any edits to it will get removed if the file is opened in a newer version of Excel. Learn more: https://go.microsoft.com/fwlink/?linkid=870924
Comment:
    應收款項差額=期末應收款項-期初應收款項-已經收回的應收款項=本期銷貨淨額</t>
      </text>
    </comment>
    <comment ref="E10" authorId="1" shapeId="0" xr:uid="{54C8DF78-BCF7-4F30-B2B3-06F6868CA926}">
      <text>
        <t>[Threaded comment]
Your version of Excel allows you to read this threaded comment; however, any edits to it will get removed if the file is opened in a newer version of Excel. Learn more: https://go.microsoft.com/fwlink/?linkid=870924
Comment:
    方程式
Reply:
    期末應收帳款 - 8000 - 26000 = 30000
Reply:
    期末應收帳款 = 8000 + 26000 + 30000 = 64000</t>
      </text>
    </comment>
    <comment ref="D11" authorId="2" shapeId="0" xr:uid="{8CEAB13A-9878-4CE5-B35B-68A76FCB55E4}">
      <text>
        <t>[Threaded comment]
Your version of Excel allows you to read this threaded comment; however, any edits to it will get removed if the file is opened in a newer version of Excel. Learn more: https://go.microsoft.com/fwlink/?linkid=870924
Comment:
    銷貨成本 = 期初存貨 + 購貨 - ( 購貨退回 + 購貨折讓 + 購貨折扣 ) - 期末存貨</t>
      </text>
    </comment>
    <comment ref="D12" authorId="3" shapeId="0" xr:uid="{2E1E66FB-CEE8-4322-9793-535FCF4E34E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銷貨毛利=銷貨淨額 - 銷貨成本 </t>
      </text>
    </comment>
    <comment ref="L12" authorId="4" shapeId="0" xr:uid="{E2536F55-FEB5-4C30-98C1-6A8201B4EA3E}">
      <text>
        <t>[Threaded comment]
Your version of Excel allows you to read this threaded comment; however, any edits to it will get removed if the file is opened in a newer version of Excel. Learn more: https://go.microsoft.com/fwlink/?linkid=870924
Comment:
    金額來自於E11的這個cell。</t>
      </text>
    </comment>
    <comment ref="C13" authorId="5" shapeId="0" xr:uid="{764B817D-E01A-44F6-8B13-1955C6C81B88}">
      <text>
        <t>[Threaded comment]
Your version of Excel allows you to read this threaded comment; however, any edits to it will get removed if the file is opened in a newer version of Excel. Learn more: https://go.microsoft.com/fwlink/?linkid=870924
Comment:
    因為題目沒提到，所以假設商品的折扣等為零。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tc={CFFC20E6-724D-42CF-9E56-EA298CCE4715}</author>
    <author>tc={64DEB0AB-2B10-40C6-89DD-197FFD9974A2}</author>
    <author>tc={08EA928B-FC29-4A2B-93C7-D8C2AB78A100}</author>
    <author>tc={3E6ED9F6-59A9-44E1-96CF-742977B3EA74}</author>
    <author>tc={B06AEFA8-872A-401B-B9C0-ECF82E1C154A}</author>
  </authors>
  <commentList>
    <comment ref="M2" authorId="0" shapeId="0" xr:uid="{CFFC20E6-724D-42CF-9E56-EA298CCE4715}">
      <text>
        <t>[Threaded comment]
Your version of Excel allows you to read this threaded comment; however, any edits to it will get removed if the file is opened in a newer version of Excel. Learn more: https://go.microsoft.com/fwlink/?linkid=870924
Comment:
    題目提到各年度有連帶關係。
Reply:
    所以，才有一些等式成立。
Reply:
    詳見，各個會計科目的註解。</t>
      </text>
    </comment>
    <comment ref="V2" authorId="1" shapeId="0" xr:uid="{64DEB0AB-2B10-40C6-89DD-197FFD9974A2}">
      <text>
        <t>[Threaded comment]
Your version of Excel allows you to read this threaded comment; however, any edits to it will get removed if the file is opened in a newer version of Excel. Learn more: https://go.microsoft.com/fwlink/?linkid=870924
Comment:
    題目沒有這些欄位，但我自行增加，因為需要這些來計算題目所要求的。
Reply:
    有些欄位不求，因為沒必要。那些欄位將為空白。</t>
      </text>
    </comment>
    <comment ref="Z2" authorId="2" shapeId="0" xr:uid="{08EA928B-FC29-4A2B-93C7-D8C2AB78A100}">
      <text>
        <t>[Threaded comment]
Your version of Excel allows you to read this threaded comment; however, any edits to it will get removed if the file is opened in a newer version of Excel. Learn more: https://go.microsoft.com/fwlink/?linkid=870924
Comment:
    題目未提供任何線索，所以我假設這些交易沒有折扣、折讓、回扣等。</t>
      </text>
    </comment>
    <comment ref="Q3" authorId="3" shapeId="0" xr:uid="{3E6ED9F6-59A9-44E1-96CF-742977B3EA74}">
      <text>
        <t>[Threaded comment]
Your version of Excel allows you to read this threaded comment; however, any edits to it will get removed if the file is opened in a newer version of Excel. Learn more: https://go.microsoft.com/fwlink/?linkid=870924
Comment:
    18年期末存貨=19年期初存貨。</t>
      </text>
    </comment>
    <comment ref="Y3" authorId="4" shapeId="0" xr:uid="{B06AEFA8-872A-401B-B9C0-ECF82E1C154A}">
      <text>
        <t>[Threaded comment]
Your version of Excel allows you to read this threaded comment; however, any edits to it will get removed if the file is opened in a newer version of Excel. Learn more: https://go.microsoft.com/fwlink/?linkid=870924
Comment:
    18年銷貨淨額 = 18年銷貨
Reply:
    因為我的假設。
Reply:
    詳見假設底下的欄位。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tc={35ED09B8-8FC7-450B-B04D-AEFE9B343FBB}</author>
  </authors>
  <commentList>
    <comment ref="I8" authorId="0" shapeId="0" xr:uid="{35ED09B8-8FC7-450B-B04D-AEFE9B343FBB}">
      <text>
        <t>[Threaded comment]
Your version of Excel allows you to read this threaded comment; however, any edits to it will get removed if the file is opened in a newer version of Excel. Learn more: https://go.microsoft.com/fwlink/?linkid=870924
Comment:
    這就是題目所要求的。</t>
      </text>
    </comment>
  </commentList>
</comments>
</file>

<file path=xl/sharedStrings.xml><?xml version="1.0" encoding="utf-8"?>
<sst xmlns="http://schemas.openxmlformats.org/spreadsheetml/2006/main" count="5661" uniqueCount="495">
  <si>
    <t>見docx檔</t>
  </si>
  <si>
    <t>題目</t>
  </si>
  <si>
    <t>情況１</t>
  </si>
  <si>
    <t>情況２</t>
  </si>
  <si>
    <t>情況３</t>
  </si>
  <si>
    <t>答案</t>
  </si>
  <si>
    <t>期初資產</t>
  </si>
  <si>
    <t>期初負債</t>
  </si>
  <si>
    <t>期初權益</t>
  </si>
  <si>
    <t>期末資產</t>
  </si>
  <si>
    <t>期末負債</t>
  </si>
  <si>
    <t>期末權益</t>
  </si>
  <si>
    <t>本期收益</t>
  </si>
  <si>
    <t>本期費損</t>
  </si>
  <si>
    <t>本期淨利</t>
  </si>
  <si>
    <t>本期增資</t>
  </si>
  <si>
    <t>本期提取</t>
  </si>
  <si>
    <t>借方</t>
  </si>
  <si>
    <t>=</t>
  </si>
  <si>
    <t>貸方</t>
  </si>
  <si>
    <t>編號</t>
  </si>
  <si>
    <t>子編號</t>
  </si>
  <si>
    <t>日期</t>
  </si>
  <si>
    <t>資產</t>
  </si>
  <si>
    <t>+</t>
  </si>
  <si>
    <t>費損</t>
  </si>
  <si>
    <t>收益</t>
  </si>
  <si>
    <t>負債</t>
  </si>
  <si>
    <t>權益</t>
  </si>
  <si>
    <t>現金</t>
  </si>
  <si>
    <t>應收帳款</t>
  </si>
  <si>
    <t>辦公設備</t>
  </si>
  <si>
    <t>薪資費用</t>
  </si>
  <si>
    <t>郵電費</t>
  </si>
  <si>
    <t>租金費用</t>
  </si>
  <si>
    <t>雜項費用</t>
  </si>
  <si>
    <t>服務收入</t>
  </si>
  <si>
    <t>其他應付款</t>
  </si>
  <si>
    <t>業主資本</t>
  </si>
  <si>
    <t>-</t>
  </si>
  <si>
    <t>參考公式</t>
  </si>
  <si>
    <t>Δ收益 - Δ費損 = Δ淨利 </t>
  </si>
  <si>
    <t>年度</t>
  </si>
  <si>
    <t>業主提取</t>
  </si>
  <si>
    <t>增加投資</t>
  </si>
  <si>
    <t>Δ權益 + 提取 - 增資 = Δ淨利　  </t>
  </si>
  <si>
    <t>Δ資產 - Δ負債 = Δ權益 </t>
  </si>
  <si>
    <t>商店</t>
  </si>
  <si>
    <t>本期損益</t>
  </si>
  <si>
    <t>甲</t>
  </si>
  <si>
    <t>乙</t>
  </si>
  <si>
    <t>丙</t>
  </si>
  <si>
    <t>運輸設備</t>
  </si>
  <si>
    <t>修繕費</t>
  </si>
  <si>
    <t>其他費用</t>
  </si>
  <si>
    <t>期初</t>
  </si>
  <si>
    <t>期末</t>
  </si>
  <si>
    <t>本期</t>
  </si>
  <si>
    <t>損益</t>
  </si>
  <si>
    <t>應收帳款 </t>
  </si>
  <si>
    <t>資產 </t>
  </si>
  <si>
    <t>總資產</t>
  </si>
  <si>
    <t>業主權益</t>
  </si>
  <si>
    <t>現金 </t>
  </si>
  <si>
    <t>總負債</t>
  </si>
  <si>
    <t>土地 </t>
  </si>
  <si>
    <t>權益總額</t>
  </si>
  <si>
    <t>預付費用</t>
  </si>
  <si>
    <t xml:space="preserve">資產 </t>
  </si>
  <si>
    <t>應收票據 </t>
  </si>
  <si>
    <t>短期貸款</t>
  </si>
  <si>
    <t>負債 </t>
  </si>
  <si>
    <t>預收收入 </t>
  </si>
  <si>
    <t>應付費用 </t>
  </si>
  <si>
    <t xml:space="preserve">負債 </t>
  </si>
  <si>
    <t>應付票據 </t>
  </si>
  <si>
    <t>銀行借款</t>
  </si>
  <si>
    <t>見A3-8工作表</t>
  </si>
  <si>
    <t>會計科目</t>
  </si>
  <si>
    <t>會計要素分類</t>
  </si>
  <si>
    <t>增加實際方向</t>
  </si>
  <si>
    <t>土地</t>
  </si>
  <si>
    <t>業主往來</t>
  </si>
  <si>
    <t>預收收入</t>
  </si>
  <si>
    <t>稅捐</t>
  </si>
  <si>
    <t>利息收入</t>
  </si>
  <si>
    <t>薪資</t>
  </si>
  <si>
    <t>長期借款</t>
  </si>
  <si>
    <t>長期負債</t>
  </si>
  <si>
    <t xml:space="preserve">現金 </t>
  </si>
  <si>
    <t xml:space="preserve">應收票據 </t>
  </si>
  <si>
    <t xml:space="preserve">應付票據 </t>
  </si>
  <si>
    <t>應收票據</t>
  </si>
  <si>
    <t>應付帳款</t>
  </si>
  <si>
    <t>分錄</t>
  </si>
  <si>
    <t>科目ID</t>
  </si>
  <si>
    <t>科目</t>
  </si>
  <si>
    <t>辦公設備費用</t>
  </si>
  <si>
    <t>佣金</t>
  </si>
  <si>
    <t>應收佣金</t>
  </si>
  <si>
    <t>廣告費</t>
  </si>
  <si>
    <t>水電費</t>
  </si>
  <si>
    <t>應付郵電款</t>
  </si>
  <si>
    <t>應付票據</t>
  </si>
  <si>
    <t>租金</t>
  </si>
  <si>
    <t>T字形</t>
  </si>
  <si>
    <t>總計</t>
  </si>
  <si>
    <t>合計</t>
  </si>
  <si>
    <t>試算表</t>
  </si>
  <si>
    <t>振義仲介行</t>
  </si>
  <si>
    <t>25種</t>
  </si>
  <si>
    <t>債務</t>
  </si>
  <si>
    <t>利息支出</t>
  </si>
  <si>
    <t>房租費用</t>
  </si>
  <si>
    <t>借現金貸權益</t>
  </si>
  <si>
    <t>借現金貸應付貨款</t>
  </si>
  <si>
    <t>借債款貸業主資本</t>
  </si>
  <si>
    <t>借利息支出貸房租費用</t>
  </si>
  <si>
    <t>預付保險費</t>
  </si>
  <si>
    <t>預付租金</t>
  </si>
  <si>
    <t>應付辦公設備款</t>
  </si>
  <si>
    <t>文具用品費用</t>
  </si>
  <si>
    <t>佣金收入</t>
  </si>
  <si>
    <t>三德貿易行</t>
  </si>
  <si>
    <t>文具用品費</t>
  </si>
  <si>
    <t>應付文具用品款</t>
  </si>
  <si>
    <t>運費收入</t>
  </si>
  <si>
    <t>應收運費</t>
  </si>
  <si>
    <t>中興行</t>
  </si>
  <si>
    <t>日記簿</t>
  </si>
  <si>
    <t>第1頁</t>
  </si>
  <si>
    <t>20年</t>
  </si>
  <si>
    <t>月</t>
  </si>
  <si>
    <t>日</t>
  </si>
  <si>
    <t>類頁</t>
  </si>
  <si>
    <t>借方金額</t>
  </si>
  <si>
    <t>貸方金額</t>
  </si>
  <si>
    <t>摘要</t>
  </si>
  <si>
    <t>日頁</t>
  </si>
  <si>
    <t>借貸</t>
  </si>
  <si>
    <t>餘額</t>
  </si>
  <si>
    <t>借</t>
  </si>
  <si>
    <t>"</t>
  </si>
  <si>
    <t>洗衣設備</t>
  </si>
  <si>
    <t>物料</t>
  </si>
  <si>
    <t>應付物料款</t>
  </si>
  <si>
    <t>第21頁</t>
  </si>
  <si>
    <t>應收洗衣款</t>
  </si>
  <si>
    <t>洗衣收入</t>
  </si>
  <si>
    <t>第37頁</t>
  </si>
  <si>
    <t>貸</t>
  </si>
  <si>
    <t>平</t>
  </si>
  <si>
    <t>第27頁</t>
  </si>
  <si>
    <t>第41頁</t>
  </si>
  <si>
    <t>第25頁</t>
  </si>
  <si>
    <t>第51頁</t>
  </si>
  <si>
    <t>第53頁</t>
  </si>
  <si>
    <t>金新洗衣店</t>
  </si>
  <si>
    <t>2020/1031</t>
  </si>
  <si>
    <t>錯誤試算表</t>
  </si>
  <si>
    <t>更正後的試算表</t>
  </si>
  <si>
    <t>台東商店</t>
  </si>
  <si>
    <t>會計項目</t>
  </si>
  <si>
    <t>借方餘額</t>
  </si>
  <si>
    <t>貸方餘額</t>
  </si>
  <si>
    <t>1th</t>
  </si>
  <si>
    <t>電費</t>
  </si>
  <si>
    <t>2th</t>
  </si>
  <si>
    <t>跳過</t>
  </si>
  <si>
    <t>A2-5</t>
  </si>
  <si>
    <t>分錄表</t>
  </si>
  <si>
    <t>機器設備</t>
  </si>
  <si>
    <t>應付機器設備款</t>
  </si>
  <si>
    <t>應付水電款</t>
  </si>
  <si>
    <t>洗車收入</t>
  </si>
  <si>
    <t>應收洗車收入</t>
  </si>
  <si>
    <t>應收洗車費用</t>
  </si>
  <si>
    <t>應付設備款</t>
  </si>
  <si>
    <t>應付票據(本票)</t>
  </si>
  <si>
    <t>應付水電費</t>
  </si>
  <si>
    <t>洗車設備費</t>
  </si>
  <si>
    <t>A3-8</t>
  </si>
  <si>
    <t>如上</t>
  </si>
  <si>
    <t>張氏洗車行</t>
  </si>
  <si>
    <t>B3-1</t>
  </si>
  <si>
    <t>顧問收入</t>
  </si>
  <si>
    <t>應收顧問款</t>
  </si>
  <si>
    <t>旅費</t>
  </si>
  <si>
    <t>顧問費收入</t>
  </si>
  <si>
    <t>應收顧問費收入</t>
  </si>
  <si>
    <t>預付租金費用</t>
  </si>
  <si>
    <t>國隆顧問社</t>
  </si>
  <si>
    <t>B3-2</t>
  </si>
  <si>
    <t>業主投資</t>
  </si>
  <si>
    <t>預付保費</t>
  </si>
  <si>
    <t>交際費</t>
  </si>
  <si>
    <t>應收運款</t>
  </si>
  <si>
    <t>安全搬運行</t>
  </si>
  <si>
    <t>預收租金</t>
  </si>
  <si>
    <t>辦公設備費</t>
  </si>
  <si>
    <t>快潔清潔行</t>
  </si>
  <si>
    <t>備註</t>
  </si>
  <si>
    <t>題目沒提到日期，所以日期我隨便訂。</t>
  </si>
  <si>
    <t>優點顧問社</t>
  </si>
  <si>
    <t>交易</t>
  </si>
  <si>
    <t>因為題目要求我舉例交易十則，條件只有現金餘額應為十萬元。</t>
  </si>
  <si>
    <t>內容</t>
  </si>
  <si>
    <t>微波爐設備</t>
  </si>
  <si>
    <t>業主我投入十萬的資金到旺旺便當店</t>
  </si>
  <si>
    <t>花了兩千元買微波爐，付現</t>
  </si>
  <si>
    <t>花了五千元買炒菜鍋，付現</t>
  </si>
  <si>
    <t>炒菜鍋設備</t>
  </si>
  <si>
    <t>發現椅子有點破損，於是花了一千元買椅子，付現</t>
  </si>
  <si>
    <t>業主我又投入八萬的資金到旺旺便當店</t>
  </si>
  <si>
    <t>付水電費五千，付現</t>
  </si>
  <si>
    <t>椅子設備</t>
  </si>
  <si>
    <t>業主我因急需用錢，提取兩萬的資金</t>
  </si>
  <si>
    <t>花了三千元訂購十箱高麗菜，付現</t>
  </si>
  <si>
    <t>花了七千元買切菜機，付現</t>
  </si>
  <si>
    <t>付員工薪資三萬，付現</t>
  </si>
  <si>
    <t>生鮮雜貨費</t>
  </si>
  <si>
    <t>切菜機設備</t>
  </si>
  <si>
    <t>旺旺便當店</t>
  </si>
  <si>
    <t>分錄更正</t>
  </si>
  <si>
    <t>錯誤T字形</t>
  </si>
  <si>
    <t>T字形更正</t>
  </si>
  <si>
    <t>情況</t>
  </si>
  <si>
    <t>營業收入</t>
  </si>
  <si>
    <t>應收營業款</t>
  </si>
  <si>
    <t>文具用品</t>
  </si>
  <si>
    <t>辦公用品</t>
  </si>
  <si>
    <t>應付薪資</t>
  </si>
  <si>
    <t>業務往來</t>
  </si>
  <si>
    <t>上年底</t>
  </si>
  <si>
    <t>租金收入</t>
  </si>
  <si>
    <t>保險費</t>
  </si>
  <si>
    <t>折舊</t>
  </si>
  <si>
    <t>累積折舊 --辦公設備費用</t>
  </si>
  <si>
    <t>用品盤存</t>
  </si>
  <si>
    <t>利息費用</t>
  </si>
  <si>
    <t>應付利息</t>
  </si>
  <si>
    <t>累積折舊--運輸設備</t>
  </si>
  <si>
    <t>應付稅捐</t>
  </si>
  <si>
    <t>累積折舊--洗衣設備</t>
  </si>
  <si>
    <t>物料費</t>
  </si>
  <si>
    <t>第33頁</t>
  </si>
  <si>
    <t>第35頁</t>
  </si>
  <si>
    <t>第57頁</t>
  </si>
  <si>
    <t>第59頁</t>
  </si>
  <si>
    <t>第63頁</t>
  </si>
  <si>
    <t>?表示數值未知</t>
  </si>
  <si>
    <t>正泰商行</t>
  </si>
  <si>
    <t>科目餘額</t>
  </si>
  <si>
    <t>空格代表沒有數值</t>
  </si>
  <si>
    <t>調整前</t>
  </si>
  <si>
    <t>調整後</t>
  </si>
  <si>
    <t>應收收入</t>
  </si>
  <si>
    <t>?</t>
  </si>
  <si>
    <t>累積折舊</t>
  </si>
  <si>
    <t>應付費用</t>
  </si>
  <si>
    <t>業務收入</t>
  </si>
  <si>
    <t>調整分錄</t>
  </si>
  <si>
    <t>提示</t>
  </si>
  <si>
    <t>遞延項目的期末調整</t>
  </si>
  <si>
    <t>事項</t>
  </si>
  <si>
    <t>基礎</t>
  </si>
  <si>
    <t>參考</t>
  </si>
  <si>
    <t>權責基礎</t>
  </si>
  <si>
    <t>課本CH4-4</t>
  </si>
  <si>
    <t>注意</t>
  </si>
  <si>
    <t>每種情況所用的基礎會不同</t>
  </si>
  <si>
    <t>預收租金收入</t>
  </si>
  <si>
    <t>聯合基礎</t>
  </si>
  <si>
    <t>預收票據(本票)</t>
  </si>
  <si>
    <t>年利率</t>
  </si>
  <si>
    <t>一個月的利息</t>
  </si>
  <si>
    <t>本金</t>
  </si>
  <si>
    <t>已知</t>
  </si>
  <si>
    <t>同時出租</t>
  </si>
  <si>
    <t>出租半年</t>
  </si>
  <si>
    <t>年底時調整分錄的試算表如右</t>
  </si>
  <si>
    <t>試問</t>
  </si>
  <si>
    <t>何時起租</t>
  </si>
  <si>
    <t>每月租金多少</t>
  </si>
  <si>
    <t>2020/10/1預付一年保費9600元</t>
  </si>
  <si>
    <t>現金基礎</t>
  </si>
  <si>
    <t>預收租金費用</t>
  </si>
  <si>
    <t>過程</t>
  </si>
  <si>
    <t>參考資料</t>
  </si>
  <si>
    <t>呆帳</t>
  </si>
  <si>
    <t>課本CH4-6的調整實例</t>
  </si>
  <si>
    <t>第三頁</t>
  </si>
  <si>
    <t>預計10000</t>
  </si>
  <si>
    <t>發現4000未用完</t>
  </si>
  <si>
    <t>15000已過期</t>
  </si>
  <si>
    <t>一年三十萬租金</t>
  </si>
  <si>
    <t>預收一年租金</t>
  </si>
  <si>
    <t>採歷年制</t>
  </si>
  <si>
    <t>設備費用</t>
  </si>
  <si>
    <t>成本</t>
  </si>
  <si>
    <t>估計殘值</t>
  </si>
  <si>
    <t>租約期間</t>
  </si>
  <si>
    <t>1年</t>
  </si>
  <si>
    <t>殘餘</t>
  </si>
  <si>
    <t>出租一年</t>
  </si>
  <si>
    <t>A3-3</t>
  </si>
  <si>
    <t>A5-3</t>
  </si>
  <si>
    <t>工作底稿</t>
  </si>
  <si>
    <t>金欣洗衣店</t>
  </si>
  <si>
    <t>調整</t>
  </si>
  <si>
    <t>單位</t>
  </si>
  <si>
    <t>新台幣</t>
  </si>
  <si>
    <t>元</t>
  </si>
  <si>
    <t>將空字串轉換為零</t>
  </si>
  <si>
    <t>調整後試算表</t>
  </si>
  <si>
    <t>綜合損益表</t>
  </si>
  <si>
    <t>資產負債表</t>
  </si>
  <si>
    <t>分錄ID</t>
  </si>
  <si>
    <t>A4-3</t>
  </si>
  <si>
    <t>更正版</t>
  </si>
  <si>
    <t>相關題目</t>
  </si>
  <si>
    <t>A3-3題目和解答</t>
  </si>
  <si>
    <t>A4-3題目和解答</t>
  </si>
  <si>
    <t>T字形科目金額總計</t>
  </si>
  <si>
    <t>科目金額總計</t>
  </si>
  <si>
    <t>試算表(數值版)</t>
  </si>
  <si>
    <t>試算表(公式版)</t>
  </si>
  <si>
    <t>比較</t>
  </si>
  <si>
    <t>相同</t>
  </si>
  <si>
    <t>數值</t>
  </si>
  <si>
    <t>結帳分錄和過帳</t>
  </si>
  <si>
    <t>租金費</t>
  </si>
  <si>
    <t>A4-3的題目</t>
  </si>
  <si>
    <t>A4-3的分錄</t>
  </si>
  <si>
    <t>銷貨毛利率</t>
  </si>
  <si>
    <t>銷貨總額</t>
  </si>
  <si>
    <t>銷貨運費</t>
  </si>
  <si>
    <t>銷貨退回</t>
  </si>
  <si>
    <t>銷貨折扣</t>
  </si>
  <si>
    <t>營業費用+銷貨運費</t>
  </si>
  <si>
    <t>想求</t>
  </si>
  <si>
    <t>該年度淨利</t>
  </si>
  <si>
    <t>求得</t>
  </si>
  <si>
    <t>銷貨淨額</t>
  </si>
  <si>
    <t>銷貨毛利</t>
  </si>
  <si>
    <t>營業淨利</t>
  </si>
  <si>
    <t>稅前淨利</t>
  </si>
  <si>
    <t>所得稅</t>
  </si>
  <si>
    <t>購貨</t>
  </si>
  <si>
    <t>方程式</t>
  </si>
  <si>
    <t>購貨退出</t>
  </si>
  <si>
    <t>41,800 = 期初存貨 + 45,000 - ( 800  + 0 + 400 ) + 1000 - 9000</t>
  </si>
  <si>
    <t>購貨折扣</t>
  </si>
  <si>
    <t xml:space="preserve">期初存貨 = 41,800 - ( 45,000 - ( 800  + 0 + 400 ) + 1000 - 9000 ) </t>
  </si>
  <si>
    <t>購貨運費</t>
  </si>
  <si>
    <t>期初存貨 = 6000</t>
  </si>
  <si>
    <t>銷貨成本</t>
  </si>
  <si>
    <t>期末存貨</t>
  </si>
  <si>
    <t>期初存貨</t>
  </si>
  <si>
    <t>商品定價</t>
  </si>
  <si>
    <t>商業折扣</t>
  </si>
  <si>
    <t>現金折扣</t>
  </si>
  <si>
    <t>訂貨日</t>
  </si>
  <si>
    <t>收款款項應被記載為</t>
  </si>
  <si>
    <t>鞋子收入</t>
  </si>
  <si>
    <t>付款日</t>
  </si>
  <si>
    <t>商品費用</t>
  </si>
  <si>
    <t>商品退回</t>
  </si>
  <si>
    <t>買方</t>
  </si>
  <si>
    <t>賣方</t>
  </si>
  <si>
    <t>買方購貨20000</t>
  </si>
  <si>
    <t>期初應收帳款</t>
  </si>
  <si>
    <t>銷貨</t>
  </si>
  <si>
    <t>收回之應收帳款</t>
  </si>
  <si>
    <t>賣方現金銷貨5000</t>
  </si>
  <si>
    <t>貨品費</t>
  </si>
  <si>
    <t>現金銷貨</t>
  </si>
  <si>
    <t>銷貨收入</t>
  </si>
  <si>
    <t>期末應收款項</t>
  </si>
  <si>
    <t>賣方收回應收帳款26000</t>
  </si>
  <si>
    <t>結算銷貨成本</t>
  </si>
  <si>
    <t>假設</t>
  </si>
  <si>
    <t>購貨折讓</t>
  </si>
  <si>
    <t>銷貨折讓</t>
  </si>
  <si>
    <t>購貨（銷貨）淨額的綜合損益表</t>
  </si>
  <si>
    <t>減</t>
  </si>
  <si>
    <t>銷貨退出</t>
  </si>
  <si>
    <t>購貨淨額</t>
  </si>
  <si>
    <t>加</t>
  </si>
  <si>
    <t>購貨成本</t>
  </si>
  <si>
    <t>上面分錄的綜合損益表</t>
  </si>
  <si>
    <t>商品總額</t>
  </si>
  <si>
    <t>期貨存貨</t>
  </si>
  <si>
    <t>銷貨成本的公式</t>
  </si>
  <si>
    <t>商品總額=期初存貨+購貨淨額</t>
  </si>
  <si>
    <t>商品總額=期初存貨 + 購貨淨額</t>
  </si>
  <si>
    <t>商品單價</t>
  </si>
  <si>
    <t>賒銷商品200件</t>
  </si>
  <si>
    <t>商品數量</t>
  </si>
  <si>
    <t>定價每件1000元</t>
  </si>
  <si>
    <t>折扣</t>
  </si>
  <si>
    <t>八折成交</t>
  </si>
  <si>
    <t>銷貨折扣率</t>
  </si>
  <si>
    <t>付款條件2/10,N/30</t>
  </si>
  <si>
    <t>折扣前商品費用</t>
  </si>
  <si>
    <t>折扣後商品費用</t>
  </si>
  <si>
    <t>營業</t>
  </si>
  <si>
    <t>自行新增</t>
  </si>
  <si>
    <t>毛利(損)</t>
  </si>
  <si>
    <t>費用</t>
  </si>
  <si>
    <t>淨利(損)</t>
  </si>
  <si>
    <t>綜合報表</t>
  </si>
  <si>
    <t>定額</t>
  </si>
  <si>
    <t>支出憑證</t>
  </si>
  <si>
    <t>零用金餘額</t>
  </si>
  <si>
    <t>使用</t>
  </si>
  <si>
    <t>最終的零用金餘額</t>
  </si>
  <si>
    <t>資產損益表</t>
  </si>
  <si>
    <t>銀行調節表</t>
  </si>
  <si>
    <t>編號ID</t>
  </si>
  <si>
    <t>某某公司</t>
  </si>
  <si>
    <t>第一頁</t>
  </si>
  <si>
    <t>電話費</t>
  </si>
  <si>
    <t>某年</t>
  </si>
  <si>
    <t>某某年</t>
  </si>
  <si>
    <t>借或貸</t>
  </si>
  <si>
    <t>帳上公司存款餘額</t>
  </si>
  <si>
    <t>代收票據</t>
  </si>
  <si>
    <t>(1)帳上誤記</t>
  </si>
  <si>
    <t>第二頁</t>
  </si>
  <si>
    <t>(2)票據未入帳</t>
  </si>
  <si>
    <t>正確存款餘額</t>
  </si>
  <si>
    <t>第四頁</t>
  </si>
  <si>
    <t>第五頁</t>
  </si>
  <si>
    <t>帳上銀行存款餘額</t>
  </si>
  <si>
    <t>銀行結單餘額</t>
  </si>
  <si>
    <t>(1)送存帳款</t>
  </si>
  <si>
    <t>(3)支票未兌現</t>
  </si>
  <si>
    <t>(2)代收手續費</t>
  </si>
  <si>
    <t>(4)帳上誤記</t>
  </si>
  <si>
    <t>進銷貨資料</t>
  </si>
  <si>
    <t>零售價</t>
  </si>
  <si>
    <t>存貨</t>
  </si>
  <si>
    <t>6月</t>
  </si>
  <si>
    <t>可供銷售商品</t>
  </si>
  <si>
    <t>成本率</t>
  </si>
  <si>
    <t>期末存貨的零售價</t>
  </si>
  <si>
    <t>期末存貨的成本</t>
  </si>
  <si>
    <t>第一批</t>
  </si>
  <si>
    <t>第二批</t>
  </si>
  <si>
    <t>第三批</t>
  </si>
  <si>
    <t>第四批</t>
  </si>
  <si>
    <t>本年銷貨</t>
  </si>
  <si>
    <t>原始表格</t>
  </si>
  <si>
    <t>零售法的表格</t>
  </si>
  <si>
    <t>本期購貨</t>
  </si>
  <si>
    <t>期末存貨零售業</t>
  </si>
  <si>
    <t>期末存貨成本</t>
  </si>
  <si>
    <t>本期資產</t>
  </si>
  <si>
    <t>折舊率</t>
  </si>
  <si>
    <t>折舊額</t>
  </si>
  <si>
    <t>本期剩下資產</t>
  </si>
  <si>
    <t>房地產</t>
  </si>
  <si>
    <t>房屋</t>
  </si>
  <si>
    <t>乙公司</t>
  </si>
  <si>
    <t>甲公司購買價格</t>
  </si>
  <si>
    <t>帳面金額</t>
  </si>
  <si>
    <t>公允價值</t>
  </si>
  <si>
    <t>無形資產</t>
  </si>
  <si>
    <t>交換表</t>
  </si>
  <si>
    <t>甲公司鑽探機器設備</t>
  </si>
  <si>
    <t>乙公司開採機器設備</t>
  </si>
  <si>
    <t>設備成本</t>
  </si>
  <si>
    <t>現金收(付)</t>
  </si>
  <si>
    <t>甲公司</t>
  </si>
  <si>
    <t>換入資產認列金額</t>
  </si>
  <si>
    <t>利息</t>
  </si>
  <si>
    <t>償還</t>
  </si>
  <si>
    <t>債務合計</t>
  </si>
  <si>
    <t>資本公積--庫藏股票交易</t>
  </si>
  <si>
    <t>財務報表上</t>
  </si>
  <si>
    <t>股本</t>
  </si>
  <si>
    <t>財務報表</t>
  </si>
  <si>
    <t>股本溢價</t>
  </si>
  <si>
    <t>未分配盈餘</t>
  </si>
  <si>
    <t>庫藏股票</t>
  </si>
  <si>
    <t>權益合計</t>
  </si>
  <si>
    <t>期間初</t>
  </si>
  <si>
    <t>期間末</t>
  </si>
  <si>
    <t>流通在外股數</t>
  </si>
  <si>
    <t>調整後股利率</t>
  </si>
  <si>
    <t>流通期間比例</t>
  </si>
  <si>
    <t>加權股數</t>
  </si>
  <si>
    <t>應付公司債</t>
  </si>
  <si>
    <t>公司債溢價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</si>
</sst>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176" formatCode="#,##0_);[Red]\(#,##0\)"/>
    <numFmt numFmtId="177" formatCode="0.00_);[Red]\(0.00\)"/>
    <numFmt numFmtId="178" formatCode="#,##0.00_);[Red]\(#,##0.00\)"/>
    <numFmt numFmtId="179" formatCode="#,##0_ "/>
    <numFmt numFmtId="180" formatCode="#,##0;[Red]#,##0"/>
    <numFmt numFmtId="181" formatCode="#,##0.00_ "/>
    <numFmt numFmtId="182" formatCode="m&quot;月&quot;d&quot;日&quot;"/>
    <numFmt numFmtId="183" formatCode="#,##0.000_ "/>
  </numFmts>
  <fonts count="6">
    <font>
      <sz val="12"/>
      <color theme="1"/>
      <name val="新細明體"/>
      <family val="2"/>
      <scheme val="minor"/>
    </font>
    <font>
      <b/>
      <sz val="12"/>
      <color theme="1"/>
      <name val="新細明體"/>
      <family val="2"/>
      <scheme val="minor"/>
    </font>
    <font>
      <sz val="12"/>
      <color rgb="FF000000"/>
      <name val="Calibri"/>
      <charset val="1"/>
    </font>
    <font>
      <sz val="11"/>
      <color rgb="FF242424"/>
      <name val="Calibri"/>
      <family val="2"/>
      <charset val="1"/>
    </font>
    <font>
      <sz val="12"/>
      <name val="Calibri"/>
      <charset val="1"/>
    </font>
    <font>
      <sz val="11"/>
      <color rgb="FF444444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136">
    <xf numFmtId="0" fontId="0" fillId="0" borderId="0" xfId="0"/>
    <xf numFmtId="41" fontId="0" fillId="0" borderId="0" xfId="0" applyNumberFormat="1"/>
    <xf numFmtId="41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14" fontId="0" fillId="0" borderId="1" xfId="0" applyNumberFormat="1" applyBorder="1"/>
    <xf numFmtId="14" fontId="0" fillId="0" borderId="0" xfId="0" applyNumberFormat="1"/>
    <xf numFmtId="41" fontId="0" fillId="0" borderId="2" xfId="0" applyNumberFormat="1" applyBorder="1"/>
    <xf numFmtId="3" fontId="0" fillId="0" borderId="0" xfId="0" applyNumberFormat="1"/>
    <xf numFmtId="0" fontId="0" fillId="0" borderId="4" xfId="0" applyBorder="1"/>
    <xf numFmtId="3" fontId="0" fillId="0" borderId="4" xfId="0" applyNumberFormat="1" applyBorder="1"/>
    <xf numFmtId="41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76" fontId="0" fillId="0" borderId="0" xfId="0" applyNumberFormat="1"/>
    <xf numFmtId="0" fontId="1" fillId="0" borderId="3" xfId="0" applyFont="1" applyBorder="1"/>
    <xf numFmtId="0" fontId="2" fillId="0" borderId="0" xfId="0" applyFont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38" fontId="0" fillId="0" borderId="0" xfId="0" applyNumberFormat="1"/>
    <xf numFmtId="176" fontId="0" fillId="0" borderId="1" xfId="0" applyNumberFormat="1" applyBorder="1"/>
    <xf numFmtId="14" fontId="0" fillId="0" borderId="5" xfId="0" applyNumberFormat="1" applyBorder="1"/>
    <xf numFmtId="176" fontId="0" fillId="0" borderId="2" xfId="0" applyNumberFormat="1" applyBorder="1"/>
    <xf numFmtId="176" fontId="0" fillId="0" borderId="3" xfId="0" applyNumberFormat="1" applyBorder="1"/>
    <xf numFmtId="0" fontId="0" fillId="0" borderId="9" xfId="0" applyBorder="1"/>
    <xf numFmtId="176" fontId="0" fillId="0" borderId="4" xfId="0" applyNumberFormat="1" applyBorder="1"/>
    <xf numFmtId="176" fontId="0" fillId="0" borderId="10" xfId="0" applyNumberFormat="1" applyBorder="1"/>
    <xf numFmtId="176" fontId="0" fillId="0" borderId="8" xfId="0" applyNumberFormat="1" applyBorder="1"/>
    <xf numFmtId="176" fontId="0" fillId="0" borderId="11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6" xfId="0" applyNumberFormat="1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11" xfId="0" applyNumberFormat="1" applyBorder="1"/>
    <xf numFmtId="177" fontId="0" fillId="0" borderId="0" xfId="0" applyNumberFormat="1"/>
    <xf numFmtId="178" fontId="0" fillId="0" borderId="0" xfId="0" applyNumberFormat="1"/>
    <xf numFmtId="0" fontId="3" fillId="0" borderId="2" xfId="0" applyFont="1" applyBorder="1"/>
    <xf numFmtId="0" fontId="0" fillId="0" borderId="12" xfId="0" applyBorder="1"/>
    <xf numFmtId="0" fontId="0" fillId="0" borderId="13" xfId="0" applyBorder="1"/>
    <xf numFmtId="176" fontId="0" fillId="0" borderId="14" xfId="0" applyNumberFormat="1" applyBorder="1"/>
    <xf numFmtId="0" fontId="0" fillId="0" borderId="10" xfId="0" applyBorder="1"/>
    <xf numFmtId="0" fontId="0" fillId="5" borderId="0" xfId="0" applyFill="1"/>
    <xf numFmtId="0" fontId="0" fillId="6" borderId="0" xfId="0" applyFill="1"/>
    <xf numFmtId="179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180" fontId="0" fillId="0" borderId="0" xfId="0" applyNumberFormat="1"/>
    <xf numFmtId="0" fontId="0" fillId="10" borderId="0" xfId="0" applyFill="1"/>
    <xf numFmtId="0" fontId="0" fillId="11" borderId="0" xfId="0" applyFill="1"/>
    <xf numFmtId="0" fontId="0" fillId="9" borderId="1" xfId="0" applyFill="1" applyBorder="1"/>
    <xf numFmtId="0" fontId="0" fillId="0" borderId="14" xfId="0" applyBorder="1"/>
    <xf numFmtId="0" fontId="0" fillId="0" borderId="15" xfId="0" applyBorder="1"/>
    <xf numFmtId="0" fontId="0" fillId="0" borderId="11" xfId="0" applyBorder="1"/>
    <xf numFmtId="179" fontId="0" fillId="0" borderId="16" xfId="0" applyNumberFormat="1" applyBorder="1"/>
    <xf numFmtId="179" fontId="0" fillId="4" borderId="0" xfId="0" applyNumberFormat="1" applyFill="1"/>
    <xf numFmtId="179" fontId="0" fillId="0" borderId="17" xfId="0" applyNumberFormat="1" applyBorder="1"/>
    <xf numFmtId="0" fontId="0" fillId="0" borderId="17" xfId="0" applyBorder="1"/>
    <xf numFmtId="180" fontId="0" fillId="0" borderId="4" xfId="0" applyNumberFormat="1" applyBorder="1"/>
    <xf numFmtId="180" fontId="0" fillId="0" borderId="16" xfId="0" applyNumberFormat="1" applyBorder="1"/>
    <xf numFmtId="179" fontId="0" fillId="0" borderId="18" xfId="0" applyNumberFormat="1" applyBorder="1"/>
    <xf numFmtId="180" fontId="0" fillId="0" borderId="3" xfId="0" applyNumberFormat="1" applyBorder="1"/>
    <xf numFmtId="180" fontId="0" fillId="0" borderId="19" xfId="0" applyNumberFormat="1" applyBorder="1"/>
    <xf numFmtId="0" fontId="0" fillId="0" borderId="18" xfId="0" applyBorder="1"/>
    <xf numFmtId="180" fontId="0" fillId="0" borderId="1" xfId="0" applyNumberFormat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179" fontId="0" fillId="0" borderId="19" xfId="0" applyNumberFormat="1" applyBorder="1"/>
    <xf numFmtId="0" fontId="0" fillId="2" borderId="6" xfId="0" applyFill="1" applyBorder="1"/>
    <xf numFmtId="0" fontId="0" fillId="2" borderId="5" xfId="0" applyFill="1" applyBorder="1"/>
    <xf numFmtId="0" fontId="0" fillId="5" borderId="5" xfId="0" applyFill="1" applyBorder="1"/>
    <xf numFmtId="0" fontId="0" fillId="7" borderId="5" xfId="0" applyFill="1" applyBorder="1"/>
    <xf numFmtId="0" fontId="0" fillId="9" borderId="5" xfId="0" applyFill="1" applyBorder="1"/>
    <xf numFmtId="180" fontId="0" fillId="4" borderId="10" xfId="0" applyNumberFormat="1" applyFill="1" applyBorder="1"/>
    <xf numFmtId="0" fontId="0" fillId="2" borderId="2" xfId="0" applyFill="1" applyBorder="1"/>
    <xf numFmtId="179" fontId="0" fillId="2" borderId="1" xfId="0" applyNumberFormat="1" applyFill="1" applyBorder="1"/>
    <xf numFmtId="0" fontId="0" fillId="2" borderId="1" xfId="0" applyFill="1" applyBorder="1"/>
    <xf numFmtId="180" fontId="0" fillId="2" borderId="1" xfId="0" applyNumberFormat="1" applyFill="1" applyBorder="1"/>
    <xf numFmtId="180" fontId="0" fillId="2" borderId="2" xfId="0" applyNumberFormat="1" applyFill="1" applyBorder="1"/>
    <xf numFmtId="180" fontId="0" fillId="2" borderId="0" xfId="0" applyNumberFormat="1" applyFill="1"/>
    <xf numFmtId="180" fontId="0" fillId="2" borderId="3" xfId="0" applyNumberFormat="1" applyFill="1" applyBorder="1"/>
    <xf numFmtId="0" fontId="0" fillId="2" borderId="3" xfId="0" applyFill="1" applyBorder="1"/>
    <xf numFmtId="179" fontId="0" fillId="2" borderId="0" xfId="0" applyNumberFormat="1" applyFill="1"/>
    <xf numFmtId="176" fontId="0" fillId="2" borderId="0" xfId="0" applyNumberFormat="1" applyFill="1"/>
    <xf numFmtId="0" fontId="0" fillId="5" borderId="3" xfId="0" applyFill="1" applyBorder="1"/>
    <xf numFmtId="179" fontId="0" fillId="5" borderId="0" xfId="0" applyNumberFormat="1" applyFill="1"/>
    <xf numFmtId="180" fontId="0" fillId="5" borderId="0" xfId="0" applyNumberFormat="1" applyFill="1"/>
    <xf numFmtId="180" fontId="0" fillId="5" borderId="3" xfId="0" applyNumberFormat="1" applyFill="1" applyBorder="1"/>
    <xf numFmtId="0" fontId="0" fillId="7" borderId="3" xfId="0" applyFill="1" applyBorder="1"/>
    <xf numFmtId="179" fontId="0" fillId="7" borderId="3" xfId="0" applyNumberFormat="1" applyFill="1" applyBorder="1"/>
    <xf numFmtId="180" fontId="0" fillId="7" borderId="0" xfId="0" applyNumberFormat="1" applyFill="1"/>
    <xf numFmtId="180" fontId="0" fillId="7" borderId="3" xfId="0" applyNumberFormat="1" applyFill="1" applyBorder="1"/>
    <xf numFmtId="0" fontId="0" fillId="12" borderId="5" xfId="0" applyFill="1" applyBorder="1"/>
    <xf numFmtId="0" fontId="0" fillId="12" borderId="3" xfId="0" applyFill="1" applyBorder="1"/>
    <xf numFmtId="0" fontId="0" fillId="12" borderId="0" xfId="0" applyFill="1"/>
    <xf numFmtId="179" fontId="0" fillId="12" borderId="3" xfId="0" applyNumberFormat="1" applyFill="1" applyBorder="1"/>
    <xf numFmtId="180" fontId="0" fillId="12" borderId="0" xfId="0" applyNumberFormat="1" applyFill="1"/>
    <xf numFmtId="180" fontId="0" fillId="12" borderId="3" xfId="0" applyNumberFormat="1" applyFill="1" applyBorder="1"/>
    <xf numFmtId="0" fontId="0" fillId="9" borderId="3" xfId="0" applyFill="1" applyBorder="1"/>
    <xf numFmtId="179" fontId="0" fillId="9" borderId="0" xfId="0" applyNumberFormat="1" applyFill="1"/>
    <xf numFmtId="180" fontId="0" fillId="9" borderId="0" xfId="0" applyNumberFormat="1" applyFill="1"/>
    <xf numFmtId="180" fontId="0" fillId="9" borderId="3" xfId="0" applyNumberFormat="1" applyFill="1" applyBorder="1"/>
    <xf numFmtId="176" fontId="0" fillId="9" borderId="0" xfId="0" applyNumberFormat="1" applyFill="1"/>
    <xf numFmtId="179" fontId="0" fillId="9" borderId="4" xfId="0" applyNumberFormat="1" applyFill="1" applyBorder="1"/>
    <xf numFmtId="0" fontId="0" fillId="9" borderId="10" xfId="0" applyFill="1" applyBorder="1"/>
    <xf numFmtId="179" fontId="0" fillId="12" borderId="0" xfId="0" applyNumberFormat="1" applyFill="1"/>
    <xf numFmtId="176" fontId="0" fillId="12" borderId="0" xfId="0" applyNumberFormat="1" applyFill="1"/>
    <xf numFmtId="0" fontId="0" fillId="0" borderId="0" xfId="0" applyAlignment="1">
      <alignment horizontal="center"/>
    </xf>
    <xf numFmtId="0" fontId="4" fillId="0" borderId="0" xfId="0" applyFont="1" applyAlignment="1">
      <alignment wrapText="1"/>
    </xf>
    <xf numFmtId="181" fontId="0" fillId="0" borderId="0" xfId="0" applyNumberFormat="1"/>
    <xf numFmtId="182" fontId="0" fillId="0" borderId="0" xfId="0" applyNumberFormat="1"/>
    <xf numFmtId="0" fontId="3" fillId="0" borderId="0" xfId="0" applyFont="1"/>
    <xf numFmtId="179" fontId="0" fillId="0" borderId="4" xfId="0" applyNumberFormat="1" applyBorder="1"/>
    <xf numFmtId="179" fontId="0" fillId="0" borderId="1" xfId="0" applyNumberFormat="1" applyBorder="1"/>
    <xf numFmtId="0" fontId="0" fillId="0" borderId="16" xfId="0" applyBorder="1"/>
    <xf numFmtId="0" fontId="5" fillId="0" borderId="0" xfId="0" applyFont="1"/>
    <xf numFmtId="179" fontId="0" fillId="0" borderId="3" xfId="0" applyNumberFormat="1" applyBorder="1"/>
    <xf numFmtId="179" fontId="0" fillId="0" borderId="10" xfId="0" applyNumberFormat="1" applyBorder="1"/>
    <xf numFmtId="176" fontId="0" fillId="0" borderId="18" xfId="0" applyNumberFormat="1" applyBorder="1"/>
    <xf numFmtId="183" fontId="0" fillId="0" borderId="0" xfId="0" applyNumberFormat="1"/>
    <xf numFmtId="183" fontId="0" fillId="2" borderId="0" xfId="0" applyNumberFormat="1" applyFill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4" xfId="0" applyNumberFormat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theme" Target="theme/theme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microsoft.com/office/2017/10/relationships/person" Target="persons/perso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54</xdr:row>
      <xdr:rowOff>85725</xdr:rowOff>
    </xdr:from>
    <xdr:to>
      <xdr:col>6</xdr:col>
      <xdr:colOff>619125</xdr:colOff>
      <xdr:row>70</xdr:row>
      <xdr:rowOff>161925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523BD542-2676-0D25-7AC6-7B6A0C4C3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11401425"/>
          <a:ext cx="4562475" cy="3429000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23</xdr:row>
      <xdr:rowOff>171450</xdr:rowOff>
    </xdr:from>
    <xdr:to>
      <xdr:col>12</xdr:col>
      <xdr:colOff>76200</xdr:colOff>
      <xdr:row>45</xdr:row>
      <xdr:rowOff>123825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99E8B150-36C9-2731-6ABE-12E69607D744}"/>
            </a:ext>
            <a:ext uri="{147F2762-F138-4A5C-976F-8EAC2B608ADB}">
              <a16:predDERef xmlns:a16="http://schemas.microsoft.com/office/drawing/2014/main" pred="{523BD542-2676-0D25-7AC6-7B6A0C4C3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4991100"/>
          <a:ext cx="3429000" cy="4562475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285750</xdr:colOff>
      <xdr:row>1</xdr:row>
      <xdr:rowOff>76200</xdr:rowOff>
    </xdr:from>
    <xdr:to>
      <xdr:col>12</xdr:col>
      <xdr:colOff>285750</xdr:colOff>
      <xdr:row>23</xdr:row>
      <xdr:rowOff>28575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2E4B6D5E-85AA-1CEE-9C3F-DE0A73850C7E}"/>
            </a:ext>
            <a:ext uri="{147F2762-F138-4A5C-976F-8EAC2B608ADB}">
              <a16:predDERef xmlns:a16="http://schemas.microsoft.com/office/drawing/2014/main" pred="{99E8B150-36C9-2731-6ABE-12E69607D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86350" y="285750"/>
          <a:ext cx="3429000" cy="45624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25</xdr:row>
      <xdr:rowOff>200025</xdr:rowOff>
    </xdr:from>
    <xdr:to>
      <xdr:col>5</xdr:col>
      <xdr:colOff>304800</xdr:colOff>
      <xdr:row>47</xdr:row>
      <xdr:rowOff>152400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92D00025-CADB-2A02-6118-76B3AEF08620}"/>
            </a:ext>
            <a:ext uri="{147F2762-F138-4A5C-976F-8EAC2B608ADB}">
              <a16:predDERef xmlns:a16="http://schemas.microsoft.com/office/drawing/2014/main" pred="{2E4B6D5E-85AA-1CEE-9C3F-DE0A73850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7725" y="5438775"/>
          <a:ext cx="3429000" cy="456247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</xdr:row>
      <xdr:rowOff>38100</xdr:rowOff>
    </xdr:from>
    <xdr:to>
      <xdr:col>5</xdr:col>
      <xdr:colOff>247650</xdr:colOff>
      <xdr:row>24</xdr:row>
      <xdr:rowOff>200025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A4B8BDF9-102C-1055-82A1-0F369D9451AA}"/>
            </a:ext>
            <a:ext uri="{147F2762-F138-4A5C-976F-8EAC2B608ADB}">
              <a16:predDERef xmlns:a16="http://schemas.microsoft.com/office/drawing/2014/main" pred="{92D00025-CADB-2A02-6118-76B3AEF08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0575" y="666750"/>
          <a:ext cx="3429000" cy="4562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3</xdr:col>
      <xdr:colOff>381000</xdr:colOff>
      <xdr:row>6</xdr:row>
      <xdr:rowOff>123825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B659ADA2-1E14-4078-902A-227C543A0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9100"/>
          <a:ext cx="2638425" cy="96202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9</xdr:col>
      <xdr:colOff>552450</xdr:colOff>
      <xdr:row>7</xdr:row>
      <xdr:rowOff>9525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BC988DE9-A2E1-49FF-9514-B02E4A36031B}"/>
            </a:ext>
            <a:ext uri="{147F2762-F138-4A5C-976F-8EAC2B608ADB}">
              <a16:predDERef xmlns:a16="http://schemas.microsoft.com/office/drawing/2014/main" pred="{B659ADA2-1E14-4078-902A-227C543A0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00625" y="419100"/>
          <a:ext cx="2124075" cy="10572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黃 奕捷" id="{301AB195-C950-41D3-AE73-D8C412ED5AFC}" userId="黃 奕捷" providerId="None"/>
  <person displayName="黃 奕捷" id="{F702E3D2-4E7B-40B8-9A75-837AA64B8094}" userId="f81d786479e637b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4-02-03T09:25:10.67" personId="{F702E3D2-4E7B-40B8-9A75-837AA64B8094}" id="{CC7D14B4-A154-4C7F-92CD-1CD71B53CED2}">
    <text>跟A5-3的工作表內容不一樣，在這裡，我將物料視為收入的一種。</text>
  </threadedComment>
  <threadedComment ref="A2" dT="2024-02-03T09:31:08.17" personId="{F702E3D2-4E7B-40B8-9A75-837AA64B8094}" id="{F0BF6E50-40F4-4E74-ABF4-5F96E60DF16B}" parentId="{CC7D14B4-A154-4C7F-92CD-1CD71B53CED2}">
    <text>我剛剛忘了說，解答本所列的分錄跟我列的不一樣，不知是否可行？</text>
  </threadedComment>
  <threadedComment ref="E2" dT="2024-02-03T10:08:02.82" personId="{F702E3D2-4E7B-40B8-9A75-837AA64B8094}" id="{4C91B4A1-C478-45F9-BA0D-A06DD97813F1}">
    <text>A3-3題目和解答，詳見"A3-3題目和解答"工作表。</text>
  </threadedComment>
  <threadedComment ref="E3" dT="2024-02-03T10:08:37.95" personId="{F702E3D2-4E7B-40B8-9A75-837AA64B8094}" id="{00B3F093-5A89-4759-95DD-05276D17B09F}">
    <text>A4-3題目和解答，詳見
A4-3題目和解答的工作表。</text>
  </threadedComment>
  <threadedComment ref="A30" dT="2024-02-03T09:44:28.14" personId="{F702E3D2-4E7B-40B8-9A75-837AA64B8094}" id="{CC071A20-76E3-4F24-B055-9CD93F290D67}">
    <text>對題目A4-3，我的答案。</text>
  </threadedComment>
  <threadedComment ref="A30" dT="2024-02-03T09:44:52.87" personId="{F702E3D2-4E7B-40B8-9A75-837AA64B8094}" id="{39AC9627-0524-4982-AF55-F9131E04DD9A}" parentId="{CC071A20-76E3-4F24-B055-9CD93F290D67}">
    <text>從A30到G39。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C3" dT="2024-02-12T08:49:46.37" personId="{F702E3D2-4E7B-40B8-9A75-837AA64B8094}" id="{D9802697-BFDB-4476-AFD6-0FAA6D9EF3A5}">
    <text>詳見，Accounting (Studying).docx。CH9的20題。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K9" dT="2024-02-12T00:20:14.63" personId="{F702E3D2-4E7B-40B8-9A75-837AA64B8094}" id="{292C61DE-D93C-4D77-A133-651752AB9984}">
    <text>期末存貨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H3" dT="2024-02-06T07:18:52.11" personId="{F702E3D2-4E7B-40B8-9A75-837AA64B8094}" id="{B78456FF-FA2F-4143-8AFB-178C68BFD2EC}">
    <text>參考，CH11-3-4 page 266。</text>
  </threadedComment>
  <threadedComment ref="M3" dT="2024-02-06T07:18:52.11" personId="{F702E3D2-4E7B-40B8-9A75-837AA64B8094}" id="{F9D05D7D-128C-4E56-9275-7EB39E955679}">
    <text>參考，CH11-3-4 page 266。</text>
  </threadedComment>
  <threadedComment ref="M8" dT="2024-02-06T07:28:10.83" personId="{F702E3D2-4E7B-40B8-9A75-837AA64B8094}" id="{3B6C8113-ED6E-4DC2-9ECB-C6C993043A61}">
    <text>數值為上三項科目的數值總和</text>
  </threadedComment>
  <threadedComment ref="M9" dT="2024-02-06T07:30:07.54" personId="{F702E3D2-4E7B-40B8-9A75-837AA64B8094}" id="{2D1FCF36-BA95-4A0B-BD36-869E513646DD}">
    <text>成本率 = 可供銷售商品的成本/可供銷售商品的零售價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C3" dT="2024-02-12T12:45:56.36" personId="{F702E3D2-4E7B-40B8-9A75-837AA64B8094}" id="{C4F56186-D303-4132-A760-03B5963D4C53}">
    <text>詳見，CH12 part 1 Q36。</text>
  </threadedComment>
  <threadedComment ref="C4" dT="2024-02-12T13:08:40.34" personId="{F702E3D2-4E7B-40B8-9A75-837AA64B8094}" id="{D0A40ABC-6F47-4367-9C0A-3E6D08031F71}">
    <text>想求：
甲公司可認列的商譽是多少?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D6" dT="2024-02-12T01:32:06.60" personId="{F702E3D2-4E7B-40B8-9A75-837AA64B8094}" id="{A2168248-DE8B-4497-B27C-93AB61B1DC48}">
    <text>此科目的數額為題目所問的成本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C3" dT="2024-02-13T08:42:52.15" personId="{F702E3D2-4E7B-40B8-9A75-837AA64B8094}" id="{71C7FF9F-E798-4FC5-BC85-087B97950848}">
    <text>詳見，accounting (studying).docx
檔的CH17 的 part 1的第23題。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4-02-03T09:25:10.67" personId="{F702E3D2-4E7B-40B8-9A75-837AA64B8094}" id="{34C353A3-4A3D-4BF6-A7BE-B482F619C311}">
    <text>跟A5-3的工作表內容不一樣，在這裡，我將物料視為收入的一種。</text>
  </threadedComment>
  <threadedComment ref="A2" dT="2024-02-03T09:31:08.17" personId="{F702E3D2-4E7B-40B8-9A75-837AA64B8094}" id="{52CF8F65-A775-4F7F-B6F5-871127E84498}" parentId="{34C353A3-4A3D-4BF6-A7BE-B482F619C311}">
    <text>我剛剛忘了說，解答本所列的分錄跟我列的不一樣，不知是否可行？</text>
  </threadedComment>
  <threadedComment ref="A2" dT="2024-02-03T18:18:02.22" personId="{F702E3D2-4E7B-40B8-9A75-837AA64B8094}" id="{B67CE214-93F3-4A05-B40D-F0A5AF05AD69}" parentId="{34C353A3-4A3D-4BF6-A7BE-B482F619C311}">
    <text>再次更正</text>
  </threadedComment>
  <threadedComment ref="A2" dT="2024-02-03T18:18:56.70" personId="{F702E3D2-4E7B-40B8-9A75-837AA64B8094}" id="{6C205B26-3855-49B9-8995-1CE80BCB42B6}" parentId="{34C353A3-4A3D-4BF6-A7BE-B482F619C311}">
    <text>跟A5-3(2)不一樣，我將累積折舊列為負債</text>
  </threadedComment>
  <threadedComment ref="A2" dT="2024-02-03T18:19:42.34" personId="{F702E3D2-4E7B-40B8-9A75-837AA64B8094}" id="{D8FB1711-06D1-44D4-B3B4-EE0353839A31}" parentId="{34C353A3-4A3D-4BF6-A7BE-B482F619C311}">
    <text>這個錯誤的發現是來自課本的工作底稿的科目(我仔細觀察發現)</text>
  </threadedComment>
  <threadedComment ref="A2" dT="2024-02-03T18:29:58.14" personId="{F702E3D2-4E7B-40B8-9A75-837AA64B8094}" id="{FE5D0B41-08BE-4A2F-8134-1534481056A9}" parentId="{34C353A3-4A3D-4BF6-A7BE-B482F619C311}">
    <text>微小細節調整，合併儲存格和調整列寬。</text>
  </threadedComment>
  <threadedComment ref="A2" dT="2024-02-03T18:49:25.52" personId="{F702E3D2-4E7B-40B8-9A75-837AA64B8094}" id="{56327A2F-D194-45B1-901C-D23618F8710B}" parentId="{34C353A3-4A3D-4BF6-A7BE-B482F619C311}">
    <text>微小細節調整，重新計算原本T字形的總計。並記錄在表格中。開始於cell K49和I120。</text>
  </threadedComment>
  <threadedComment ref="A2" dT="2024-02-03T18:50:19.93" personId="{F702E3D2-4E7B-40B8-9A75-837AA64B8094}" id="{CF97F40E-AE0F-4DA6-9C40-5A687DD7A0A5}" parentId="{34C353A3-4A3D-4BF6-A7BE-B482F619C311}">
    <text>K49的是用公式算，則J120的就只是複製並貼上K49數值。</text>
  </threadedComment>
  <threadedComment ref="A2" dT="2024-02-03T19:05:58.82" personId="{F702E3D2-4E7B-40B8-9A75-837AA64B8094}" id="{0E9C7AB0-C15C-4ECC-9C90-70A7A473C8EC}" parentId="{34C353A3-4A3D-4BF6-A7BE-B482F619C311}">
    <text>主要更正，T字形中的應付稅捐這個科目，從一萬元更正一千元。</text>
  </threadedComment>
  <threadedComment ref="A2" dT="2024-02-03T19:08:43.15" personId="{F702E3D2-4E7B-40B8-9A75-837AA64B8094}" id="{E6B362F5-1FB2-42DA-A07A-691AA64651DA}" parentId="{34C353A3-4A3D-4BF6-A7BE-B482F619C311}">
    <text>細微增加，首先，增加一個小表格，根據I120的cell並用公式計算。其次，
用excel公式跟原本的小表格計算其相等性。</text>
  </threadedComment>
  <threadedComment ref="E2" dT="2024-02-03T10:08:02.82" personId="{F702E3D2-4E7B-40B8-9A75-837AA64B8094}" id="{1451D451-CFAA-4007-83AE-B4F5D0AD411B}">
    <text>A3-3題目和解答，詳見"A3-3題目和解答"工作表。</text>
  </threadedComment>
  <threadedComment ref="E3" dT="2024-02-03T10:08:37.95" personId="{F702E3D2-4E7B-40B8-9A75-837AA64B8094}" id="{ABE2E7D7-EB46-4F0A-B9FB-33BC587A6063}">
    <text>A4-3題目和解答，詳見
A4-3題目和解答的工作表。</text>
  </threadedComment>
  <threadedComment ref="A30" dT="2024-02-03T09:44:28.14" personId="{F702E3D2-4E7B-40B8-9A75-837AA64B8094}" id="{2B64A37F-A65D-4470-BF11-B95FB13261DB}">
    <text>對題目A4-3，我的答案。</text>
  </threadedComment>
  <threadedComment ref="A30" dT="2024-02-03T09:44:52.87" personId="{F702E3D2-4E7B-40B8-9A75-837AA64B8094}" id="{498972CE-A988-4175-A435-BF010757FFCD}" parentId="{2B64A37F-A65D-4470-BF11-B95FB13261DB}">
    <text>從A30到G39。</text>
  </threadedComment>
  <threadedComment ref="A114" dT="2024-02-03T18:58:36.43" personId="{F702E3D2-4E7B-40B8-9A75-837AA64B8094}" id="{B7A44D5C-E6C9-469A-9885-E630D2D0D089}">
    <text>根據I120的cell，將數值複製並貼上值，然後將負數的值移動貸方。</text>
  </threadedComment>
  <threadedComment ref="K114" dT="2024-02-03T18:57:12.38" personId="{F702E3D2-4E7B-40B8-9A75-837AA64B8094}" id="{16CF95BD-9F68-4B88-A993-5745082502DD}">
    <text>根據I120的cell，並用excel的公式計算。</text>
  </threadedComment>
  <threadedComment ref="H118" dT="2024-02-03T18:46:00.96" personId="{F702E3D2-4E7B-40B8-9A75-837AA64B8094}" id="{3262E0BF-B96D-4AF5-A9AD-CC02E3EDCE96}">
    <text>原本的文字內容：T字形科目金額總計(只貼上值)</text>
  </threadedComment>
  <threadedComment ref="H118" dT="2024-02-03T18:46:28.96" personId="{F702E3D2-4E7B-40B8-9A75-837AA64B8094}" id="{D1A72220-FFE8-4066-8E45-FCC9411847AC}" parentId="{3262E0BF-B96D-4AF5-A9AD-CC02E3EDCE96}">
    <text>打算訂這樣但因為字元太長。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4-02-03T09:25:10.67" personId="{F702E3D2-4E7B-40B8-9A75-837AA64B8094}" id="{B21C1172-9B1F-4066-A4A3-B5ABC655902D}">
    <text>跟A5-3的工作表內容不一樣，在這裡，我將物料視為收入的一種。</text>
  </threadedComment>
  <threadedComment ref="A2" dT="2024-02-03T09:31:08.17" personId="{F702E3D2-4E7B-40B8-9A75-837AA64B8094}" id="{0EF2658E-9DFF-475C-8C5B-AE89DB93F7E4}" parentId="{B21C1172-9B1F-4066-A4A3-B5ABC655902D}">
    <text>我剛剛忘了說，解答本所列的分錄跟我列的不一樣，不知是否可行？</text>
  </threadedComment>
  <threadedComment ref="A2" dT="2024-02-03T18:18:02.22" personId="{F702E3D2-4E7B-40B8-9A75-837AA64B8094}" id="{6AAAE81A-DA94-4768-AAF1-A0AD342B5FB1}" parentId="{B21C1172-9B1F-4066-A4A3-B5ABC655902D}">
    <text>再次更正</text>
  </threadedComment>
  <threadedComment ref="A2" dT="2024-02-03T18:18:56.70" personId="{F702E3D2-4E7B-40B8-9A75-837AA64B8094}" id="{36D49CC6-663F-40A5-8C68-7407A001AFA6}" parentId="{B21C1172-9B1F-4066-A4A3-B5ABC655902D}">
    <text>跟A5-3(2)不一樣，我將累積折舊列為負債</text>
  </threadedComment>
  <threadedComment ref="A2" dT="2024-02-03T18:19:42.34" personId="{F702E3D2-4E7B-40B8-9A75-837AA64B8094}" id="{798729DA-4029-47B5-9EB5-1E3FA46E04CE}" parentId="{B21C1172-9B1F-4066-A4A3-B5ABC655902D}">
    <text>這個錯誤的發現是來自課本的工作底稿的科目(我仔細觀察發現)</text>
  </threadedComment>
  <threadedComment ref="A2" dT="2024-02-03T18:29:58.14" personId="{F702E3D2-4E7B-40B8-9A75-837AA64B8094}" id="{32E067A6-CFD8-49EA-91BE-3655D102D4A3}" parentId="{B21C1172-9B1F-4066-A4A3-B5ABC655902D}">
    <text>微小細節調整，合併儲存格和調整列寬。</text>
  </threadedComment>
  <threadedComment ref="A2" dT="2024-02-03T18:49:25.52" personId="{F702E3D2-4E7B-40B8-9A75-837AA64B8094}" id="{87BB30BA-FA07-451B-B18B-234D06D6621F}" parentId="{B21C1172-9B1F-4066-A4A3-B5ABC655902D}">
    <text>微小細節調整，重新計算原本T字形的總計。並記錄在表格中。開始於cell K49和I120。</text>
  </threadedComment>
  <threadedComment ref="A2" dT="2024-02-03T18:50:19.93" personId="{F702E3D2-4E7B-40B8-9A75-837AA64B8094}" id="{8B345983-2AAF-467B-A3F1-509A6E708E3D}" parentId="{B21C1172-9B1F-4066-A4A3-B5ABC655902D}">
    <text>K49的是用公式算，則J120的就只是複製並貼上K49數值。</text>
  </threadedComment>
  <threadedComment ref="A2" dT="2024-02-03T19:05:58.82" personId="{F702E3D2-4E7B-40B8-9A75-837AA64B8094}" id="{D963009A-F0CF-45C5-A33D-2E6FA69BC355}" parentId="{B21C1172-9B1F-4066-A4A3-B5ABC655902D}">
    <text>主要更正，T字形中的應付稅捐這個科目，從一萬元更正一千元。</text>
  </threadedComment>
  <threadedComment ref="A2" dT="2024-02-03T19:08:43.15" personId="{F702E3D2-4E7B-40B8-9A75-837AA64B8094}" id="{B13E741B-C4FC-4C42-9F3D-BEB64B8C7B8C}" parentId="{B21C1172-9B1F-4066-A4A3-B5ABC655902D}">
    <text>細微增加，首先，增加一個小表格，根據I120的cell並用公式計算。其次，
用excel公式跟原本的小表格計算其相等性。</text>
  </threadedComment>
  <threadedComment ref="A2" dT="2024-02-03T20:30:13.42" personId="{F702E3D2-4E7B-40B8-9A75-837AA64B8094}" id="{94B3013D-72D5-41DF-920F-7D80FD250D3E}" parentId="{B21C1172-9B1F-4066-A4A3-B5ABC655902D}">
    <text>主要更正，剛剛檢討選擇題時，意外發現，累積折舊屬於資產減少，應記載於貸方。</text>
  </threadedComment>
  <threadedComment ref="E2" dT="2024-02-03T10:08:02.82" personId="{F702E3D2-4E7B-40B8-9A75-837AA64B8094}" id="{37EB792A-2639-4561-A575-313385C42344}">
    <text>A3-3題目和解答，詳見"A3-3題目和解答"工作表。</text>
  </threadedComment>
  <threadedComment ref="E3" dT="2024-02-03T10:08:37.95" personId="{F702E3D2-4E7B-40B8-9A75-837AA64B8094}" id="{38D5FD98-E4E2-424A-B554-62B04CFF60CF}">
    <text>A4-3題目和解答，詳見
A4-3題目和解答的工作表。</text>
  </threadedComment>
  <threadedComment ref="A30" dT="2024-02-03T09:44:28.14" personId="{F702E3D2-4E7B-40B8-9A75-837AA64B8094}" id="{C51CB67A-3161-470A-AA47-2F3C2952454B}">
    <text>對題目A4-3，我的答案。</text>
  </threadedComment>
  <threadedComment ref="A30" dT="2024-02-03T09:44:52.87" personId="{F702E3D2-4E7B-40B8-9A75-837AA64B8094}" id="{155FC2CB-74AC-4A4A-8CA9-862BDC16E6DF}" parentId="{C51CB67A-3161-470A-AA47-2F3C2952454B}">
    <text>從A30到G39。</text>
  </threadedComment>
  <threadedComment ref="A114" dT="2024-02-03T18:58:36.43" personId="{F702E3D2-4E7B-40B8-9A75-837AA64B8094}" id="{5E442DBC-6DBD-45E5-B3E5-777B38518E7F}">
    <text>根據I120的cell，將數值複製並貼上值，然後將負數的值移動貸方。</text>
  </threadedComment>
  <threadedComment ref="K114" dT="2024-02-03T18:57:12.38" personId="{F702E3D2-4E7B-40B8-9A75-837AA64B8094}" id="{3F3212EA-9254-414B-9A16-E794A2D40884}">
    <text>根據I120的cell，並用excel的公式計算。</text>
  </threadedComment>
  <threadedComment ref="H118" dT="2024-02-03T18:46:00.96" personId="{F702E3D2-4E7B-40B8-9A75-837AA64B8094}" id="{1D9A2D02-01C8-4450-91EA-387BCF469F5E}">
    <text>原本的文字內容：T字形科目金額總計(只貼上值)</text>
  </threadedComment>
  <threadedComment ref="H118" dT="2024-02-03T18:46:28.96" personId="{F702E3D2-4E7B-40B8-9A75-837AA64B8094}" id="{EF79D621-2F0D-4E49-A50E-5DD91AF3EFFA}" parentId="{1D9A2D02-01C8-4450-91EA-387BCF469F5E}">
    <text>打算訂這樣但因為字元太長。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4-02-03T09:38:47.23" personId="{F702E3D2-4E7B-40B8-9A75-837AA64B8094}" id="{B234CC52-F045-4CAB-BFFD-355C1016A66D}">
    <text>下圖為會計學題目A4-3。擷取自解答本。</text>
  </threadedComment>
  <threadedComment ref="H1" personId="{301AB195-C950-41D3-AE73-D8C412ED5AFC}" id="{F592FC2C-ADC9-46F0-ABA3-CB530013588B}">
    <text xml:space="preserve">
</text>
  </threadedComment>
  <threadedComment ref="H1" dT="2024-02-03T09:37:52.76" personId="{F702E3D2-4E7B-40B8-9A75-837AA64B8094}" id="{CAC2BD7F-B9D8-489D-B971-DEAEEFD2EC30}" parentId="{F592FC2C-ADC9-46F0-ABA3-CB530013588B}">
    <text>下圖為會計學解答本的A4-3中，所列的分錄。</text>
  </threadedComment>
  <threadedComment ref="H1" dT="2024-02-03T09:39:08.55" personId="{F702E3D2-4E7B-40B8-9A75-837AA64B8094}" id="{26E6EF74-D88E-46A3-B8FC-AAA4756903A5}" parentId="{F592FC2C-ADC9-46F0-ABA3-CB530013588B}">
    <text>跟我列的不一樣。</text>
  </threadedComment>
  <threadedComment ref="H1" dT="2024-02-03T09:39:42.69" personId="{F702E3D2-4E7B-40B8-9A75-837AA64B8094}" id="{57BC9BE9-A9AF-43F8-A768-CEF96647D6D7}" parentId="{F592FC2C-ADC9-46F0-ABA3-CB530013588B}">
    <text>不知道這有沒有對最終結果帶來影響?</text>
  </threadedComment>
  <threadedComment ref="H1" dT="2024-02-03T09:43:19.32" personId="{F702E3D2-4E7B-40B8-9A75-837AA64B8094}" id="{88A816EC-20E5-4B57-919E-44D958D0208F}" parentId="{F592FC2C-ADC9-46F0-ABA3-CB530013588B}">
    <text>我列的分錄附加在A3-3的分錄下方。開始於A30這個cell。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3" dT="2024-02-04T10:19:59.71" personId="{F702E3D2-4E7B-40B8-9A75-837AA64B8094}" id="{E38DB57D-D9F3-4B60-944E-2ACBDEE63CBF}">
    <text>7/1賒帳65000元。</text>
  </threadedComment>
  <threadedComment ref="C3" dT="2024-02-04T10:20:34.93" personId="{F702E3D2-4E7B-40B8-9A75-837AA64B8094}" id="{B1973B37-4EB5-4632-84CF-B94DB75C46DC}" parentId="{E38DB57D-D9F3-4B60-944E-2ACBDEE63CBF}">
    <text>付款條件，2/10,1/20,N/30</text>
  </threadedComment>
  <threadedComment ref="C3" dT="2024-02-04T10:21:12.94" personId="{F702E3D2-4E7B-40B8-9A75-837AA64B8094}" id="{90CDC947-8E43-4DF4-9907-F847D46E9118}" parentId="{E38DB57D-D9F3-4B60-944E-2ACBDEE63CBF}">
    <text>7/6客戶退回商品共8000元。</text>
  </threadedComment>
  <threadedComment ref="C3" dT="2024-02-04T10:21:55.75" personId="{F702E3D2-4E7B-40B8-9A75-837AA64B8094}" id="{769611D6-932C-4E57-B0CF-73CA2FD83987}" parentId="{E38DB57D-D9F3-4B60-944E-2ACBDEE63CBF}">
    <text>7/19買方收到欠款的一半。</text>
  </threadedComment>
  <threadedComment ref="C4" dT="2024-02-04T10:22:26.39" personId="{F702E3D2-4E7B-40B8-9A75-837AA64B8094}" id="{4918CD1F-A033-4363-B733-61AA30DB4233}">
    <text>蕭貨折扣之金額?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0" dT="2024-02-04T10:52:21.23" personId="{F702E3D2-4E7B-40B8-9A75-837AA64B8094}" id="{2BF7949A-E520-4B22-8B34-C6C2B631A144}">
    <text>應收款項差額=期末應收款項-期初應收款項-已經收回的應收款項=本期銷貨淨額</text>
  </threadedComment>
  <threadedComment ref="E10" dT="2024-02-04T10:55:19.15" personId="{F702E3D2-4E7B-40B8-9A75-837AA64B8094}" id="{54C8DF78-BCF7-4F30-B2B3-06F6868CA926}">
    <text>方程式</text>
  </threadedComment>
  <threadedComment ref="E10" dT="2024-02-04T10:55:55.27" personId="{F702E3D2-4E7B-40B8-9A75-837AA64B8094}" id="{81F9CD07-A3A4-4002-AE83-16F62152514C}" parentId="{54C8DF78-BCF7-4F30-B2B3-06F6868CA926}">
    <text>期末應收帳款 - 8000 - 26000 = 30000</text>
  </threadedComment>
  <threadedComment ref="E10" dT="2024-02-04T10:56:37.32" personId="{F702E3D2-4E7B-40B8-9A75-837AA64B8094}" id="{05A93C1A-70B7-45C5-B7EE-B60290D09020}" parentId="{54C8DF78-BCF7-4F30-B2B3-06F6868CA926}">
    <text>期末應收帳款 = 8000 + 26000 + 30000 = 64000</text>
  </threadedComment>
  <threadedComment ref="D11" dT="2024-02-04T10:59:27.78" personId="{F702E3D2-4E7B-40B8-9A75-837AA64B8094}" id="{8CEAB13A-9878-4CE5-B35B-68A76FCB55E4}">
    <text>銷貨成本 = 期初存貨 + 購貨 - ( 購貨退回 + 購貨折讓 + 購貨折扣 ) - 期末存貨</text>
  </threadedComment>
  <threadedComment ref="D12" dT="2024-02-04T10:57:49.39" personId="{F702E3D2-4E7B-40B8-9A75-837AA64B8094}" id="{2E1E66FB-CEE8-4322-9793-535FCF4E34EA}">
    <text xml:space="preserve">銷貨毛利=銷貨淨額 - 銷貨成本 </text>
  </threadedComment>
  <threadedComment ref="L12" dT="2024-02-04T12:34:38.64" personId="{F702E3D2-4E7B-40B8-9A75-837AA64B8094}" id="{E2536F55-FEB5-4C30-98C1-6A8201B4EA3E}">
    <text>金額來自於E11的這個cell。</text>
  </threadedComment>
  <threadedComment ref="C13" dT="2024-02-04T10:51:35.33" personId="{F702E3D2-4E7B-40B8-9A75-837AA64B8094}" id="{764B817D-E01A-44F6-8B13-1955C6C81B88}">
    <text>因為題目沒提到，所以假設商品的折扣等為零。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M2" dT="2024-02-04T07:39:58.62" personId="{F702E3D2-4E7B-40B8-9A75-837AA64B8094}" id="{CFFC20E6-724D-42CF-9E56-EA298CCE4715}">
    <text>題目提到各年度有連帶關係。</text>
  </threadedComment>
  <threadedComment ref="M2" dT="2024-02-04T07:40:23.40" personId="{F702E3D2-4E7B-40B8-9A75-837AA64B8094}" id="{5F9F081E-3DC4-4493-AF38-E7FE6C4D1A44}" parentId="{CFFC20E6-724D-42CF-9E56-EA298CCE4715}">
    <text>所以，才有一些等式成立。</text>
  </threadedComment>
  <threadedComment ref="M2" dT="2024-02-04T07:40:56.41" personId="{F702E3D2-4E7B-40B8-9A75-837AA64B8094}" id="{0C5864AD-AC4C-4223-8A08-9D4FBD6C12D6}" parentId="{CFFC20E6-724D-42CF-9E56-EA298CCE4715}">
    <text>詳見，各個會計科目的註解。</text>
  </threadedComment>
  <threadedComment ref="V2" dT="2024-02-04T07:37:48.83" personId="{F702E3D2-4E7B-40B8-9A75-837AA64B8094}" id="{64DEB0AB-2B10-40C6-89DD-197FFD9974A2}">
    <text>題目沒有這些欄位，但我自行增加，因為需要這些來計算題目所要求的。</text>
  </threadedComment>
  <threadedComment ref="V2" dT="2024-02-04T07:45:43.23" personId="{F702E3D2-4E7B-40B8-9A75-837AA64B8094}" id="{50243AEB-7C8D-4F19-BCB9-9014CFB275F5}" parentId="{64DEB0AB-2B10-40C6-89DD-197FFD9974A2}">
    <text>有些欄位不求，因為沒必要。那些欄位將為空白。</text>
  </threadedComment>
  <threadedComment ref="Z2" dT="2024-02-04T07:36:32.85" personId="{F702E3D2-4E7B-40B8-9A75-837AA64B8094}" id="{08EA928B-FC29-4A2B-93C7-D8C2AB78A100}">
    <text>題目未提供任何線索，所以我假設這些交易沒有折扣、折讓、回扣等。</text>
  </threadedComment>
  <threadedComment ref="Q3" dT="2024-02-04T07:39:31.84" personId="{F702E3D2-4E7B-40B8-9A75-837AA64B8094}" id="{3E6ED9F6-59A9-44E1-96CF-742977B3EA74}">
    <text>18年期末存貨=19年期初存貨。</text>
  </threadedComment>
  <threadedComment ref="Y3" dT="2024-02-04T07:38:53.46" personId="{F702E3D2-4E7B-40B8-9A75-837AA64B8094}" id="{B06AEFA8-872A-401B-B9C0-ECF82E1C154A}">
    <text>18年銷貨淨額 = 18年銷貨</text>
  </threadedComment>
  <threadedComment ref="Y3" dT="2024-02-04T07:42:59.27" personId="{F702E3D2-4E7B-40B8-9A75-837AA64B8094}" id="{831F7E43-5B18-4990-B79E-636356C4E461}" parentId="{B06AEFA8-872A-401B-B9C0-ECF82E1C154A}">
    <text>因為我的假設。</text>
  </threadedComment>
  <threadedComment ref="Y3" dT="2024-02-04T07:43:15.27" personId="{F702E3D2-4E7B-40B8-9A75-837AA64B8094}" id="{AE0DFEFB-A357-4C81-BC03-036CC3745127}" parentId="{B06AEFA8-872A-401B-B9C0-ECF82E1C154A}">
    <text>詳見假設底下的欄位。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I8" dT="2024-02-05T15:55:09.62" personId="{F702E3D2-4E7B-40B8-9A75-837AA64B8094}" id="{35ED09B8-8FC7-450B-B04D-AEFE9B343FBB}">
    <text>這就是題目所要求的。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C3" dT="2024-02-12T08:49:46.37" personId="{F702E3D2-4E7B-40B8-9A75-837AA64B8094}" id="{440EC1AD-9133-4C1A-B64B-38FFDBF9B531}">
    <text>詳見，Accounting (Studying).docx。CH9的19題。</text>
  </threadedComment>
  <threadedComment ref="O4" dT="2024-02-12T09:29:45.06" personId="{F702E3D2-4E7B-40B8-9A75-837AA64B8094}" id="{7ECDE23B-FC30-4639-9B62-69F2DFF7F6BC}">
    <text>收益 - 費用 = 淨利</text>
  </threadedComment>
  <threadedComment ref="T4" dT="2024-02-12T09:29:45.06" personId="{F702E3D2-4E7B-40B8-9A75-837AA64B8094}" id="{DE544348-00E0-4326-B47B-CFF84C1737ED}">
    <text>資產 - 負債 = 權益</text>
  </threadedComment>
  <threadedComment ref="Q20" dT="2024-02-12T09:29:45.06" personId="{F702E3D2-4E7B-40B8-9A75-837AA64B8094}" id="{EBA6B24E-3CA0-4E79-BC58-E02927303D7C}">
    <text>收益 - 費用 = 淨利</text>
  </threadedComment>
  <threadedComment ref="S20" dT="2024-02-12T09:29:45.06" personId="{F702E3D2-4E7B-40B8-9A75-837AA64B8094}" id="{1A622B5A-126C-4537-9D98-D2967356A8B9}">
    <text>資產 - 負債 = 權益</text>
  </threadedComment>
</ThreadedComments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6" Type="http://schemas.microsoft.com/office/2011/relationships/webextension" Target="webextension6.xml"/><Relationship Id="rId5" Type="http://schemas.microsoft.com/office/2011/relationships/webextension" Target="webextension5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1" width="350" row="0">
    <wetp:webextensionref xmlns:r="http://schemas.openxmlformats.org/officeDocument/2006/relationships" r:id="rId2"/>
  </wetp:taskpane>
  <wetp:taskpane dockstate="right" visibility="0" width="350" row="0">
    <wetp:webextensionref xmlns:r="http://schemas.openxmlformats.org/officeDocument/2006/relationships" r:id="rId3"/>
  </wetp:taskpane>
  <wetp:taskpane dockstate="right" visibility="0" width="350" row="0">
    <wetp:webextensionref xmlns:r="http://schemas.openxmlformats.org/officeDocument/2006/relationships" r:id="rId4"/>
  </wetp:taskpane>
  <wetp:taskpane dockstate="right" visibility="0" width="350" row="0">
    <wetp:webextensionref xmlns:r="http://schemas.openxmlformats.org/officeDocument/2006/relationships" r:id="rId5"/>
  </wetp:taskpane>
  <wetp:taskpane dockstate="right" visibility="0" width="350" row="0">
    <wetp:webextensionref xmlns:r="http://schemas.openxmlformats.org/officeDocument/2006/relationships" r:id="rId6"/>
  </wetp:taskpane>
</wetp:taskpanes>
</file>

<file path=xl/webextensions/webextension1.xml><?xml version="1.0" encoding="utf-8"?>
<we:webextension xmlns:we="http://schemas.microsoft.com/office/webextensions/webextension/2010/11" id="{35987786-65E7-4B26-A8E9-06770C621992}">
  <we:reference id="wa200005502" version="1.0.0.9" store="en-US" storeType="omex"/>
  <we:alternateReferences>
    <we:reference id="wa200005502" version="1.0.0.9" store="en-US" storeType="omex"/>
  </we:alternateReferences>
  <we:properties>
    <we:property name="docId" value="&quot;6olNHdQ5f8jHVcGwRCQyl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179AA62D-F516-4798-AE53-212FEB2FC382}">
  <we:reference id="wa104379220" version="8.0.0.0" store="en-US" storeType="omex"/>
  <we:alternateReferences>
    <we:reference id="wa104379220" version="8.0.0.0" store="en-US" storeType="omex"/>
  </we:alternateReferences>
  <we:properties>
    <we:property name="Office.AutoShowTaskpaneWithDocument" value="true"/>
    <we:property name="stocksChange" value="{}"/>
    <we:property name="stocks" value="{}"/>
    <we:property name="stocksOrder" value="[]"/>
    <we:property name="updateIntervalIndex" value="2"/>
    <we:property name="stocksSources" value="{}"/>
    <we:property name="lastCryptoCompare" value="0"/>
    <we:property name="lastIexCall" value="0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3.xml><?xml version="1.0" encoding="utf-8"?>
<we:webextension xmlns:we="http://schemas.microsoft.com/office/webextensions/webextension/2010/11" id="{6049A758-FD05-4FEE-8706-3D40FC984BBC}">
  <we:reference id="wa104380194" version="1.1.2.0" store="en-US" storeType="omex"/>
  <we:alternateReferences>
    <we:reference id="wa104380194" version="1.1.2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4.xml><?xml version="1.0" encoding="utf-8"?>
<we:webextension xmlns:we="http://schemas.microsoft.com/office/webextensions/webextension/2010/11" id="{59178E66-7789-433B-B99E-C216F0E05099}">
  <we:reference id="WA104380126" version="1.0.0.0" store="zh-TW" storeType="omex"/>
  <we:alternateReferences>
    <we:reference id="WA104380126" version="1.0.0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5.xml><?xml version="1.0" encoding="utf-8"?>
<we:webextension xmlns:we="http://schemas.microsoft.com/office/webextensions/webextension/2010/11" id="{BFE8C2BE-F71F-4481-8D7B-CF8DC68BFAA4}">
  <we:reference id="WA104168603" version="1.0.0.6" store="zh-TW" storeType="omex"/>
  <we:alternateReferences>
    <we:reference id="WA104168603" version="1.0.0.6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6.xml><?xml version="1.0" encoding="utf-8"?>
<we:webextension xmlns:we="http://schemas.microsoft.com/office/webextensions/webextension/2010/11" id="{B1B7CEED-C651-4A8F-A89B-CCA860E0EF22}">
  <we:reference id="WA104379850" version="1.0.0.0" store="zh-TW" storeType="omex"/>
  <we:alternateReferences>
    <we:reference id="WA104379850" version="1.0.0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4.xml"/></Relationships>
</file>

<file path=xl/worksheets/_rels/sheet7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8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8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8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8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9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9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9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9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5.xml"/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6446A-07A8-4B10-B901-BA7198F65BAB}">
  <dimension ref="A1"/>
  <sheetViews>
    <sheetView workbookViewId="0">
      <selection activeCell="B12" sqref="B12"/>
    </sheetView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E44C-5B8B-40ED-A374-6AB6B21E1CA0}">
  <dimension ref="A1:AB15"/>
  <sheetViews>
    <sheetView topLeftCell="D1" workbookViewId="0">
      <selection activeCell="D15" sqref="D15"/>
    </sheetView>
  </sheetViews>
  <sheetFormatPr defaultRowHeight="16.5"/>
  <cols>
    <col min="3" max="3" width="9.25" bestFit="1" customWidth="1"/>
    <col min="5" max="5" width="14.375" bestFit="1" customWidth="1"/>
    <col min="7" max="7" width="14.375" bestFit="1" customWidth="1"/>
    <col min="9" max="9" width="14.375" bestFit="1" customWidth="1"/>
    <col min="11" max="11" width="14.375" bestFit="1" customWidth="1"/>
    <col min="13" max="13" width="13.5" bestFit="1" customWidth="1"/>
    <col min="15" max="15" width="13.5" bestFit="1" customWidth="1"/>
    <col min="17" max="17" width="13.5" bestFit="1" customWidth="1"/>
    <col min="19" max="19" width="13.5" bestFit="1" customWidth="1"/>
    <col min="22" max="22" width="14.375" bestFit="1" customWidth="1"/>
    <col min="24" max="24" width="14.375" bestFit="1" customWidth="1"/>
    <col min="26" max="26" width="14.375" bestFit="1" customWidth="1"/>
    <col min="28" max="28" width="13.5" bestFit="1" customWidth="1"/>
  </cols>
  <sheetData>
    <row r="1" spans="1:28">
      <c r="Q1" t="s">
        <v>17</v>
      </c>
      <c r="T1" t="s">
        <v>18</v>
      </c>
      <c r="U1" t="s">
        <v>19</v>
      </c>
    </row>
    <row r="2" spans="1:28">
      <c r="A2" t="s">
        <v>20</v>
      </c>
      <c r="B2" t="s">
        <v>21</v>
      </c>
      <c r="C2" t="s">
        <v>22</v>
      </c>
      <c r="G2" t="s">
        <v>23</v>
      </c>
      <c r="J2" t="s">
        <v>24</v>
      </c>
      <c r="M2" t="s">
        <v>25</v>
      </c>
      <c r="T2" t="s">
        <v>18</v>
      </c>
      <c r="U2" t="s">
        <v>24</v>
      </c>
      <c r="V2" t="s">
        <v>26</v>
      </c>
      <c r="X2" t="s">
        <v>27</v>
      </c>
      <c r="Y2" t="s">
        <v>24</v>
      </c>
      <c r="Z2" t="s">
        <v>28</v>
      </c>
    </row>
    <row r="3" spans="1:28">
      <c r="D3" t="s">
        <v>24</v>
      </c>
      <c r="E3" t="s">
        <v>29</v>
      </c>
      <c r="F3" t="s">
        <v>24</v>
      </c>
      <c r="G3" t="s">
        <v>30</v>
      </c>
      <c r="H3" t="s">
        <v>24</v>
      </c>
      <c r="I3" t="s">
        <v>52</v>
      </c>
      <c r="J3" t="s">
        <v>24</v>
      </c>
      <c r="K3" t="s">
        <v>32</v>
      </c>
      <c r="L3" t="s">
        <v>24</v>
      </c>
      <c r="M3" t="s">
        <v>33</v>
      </c>
      <c r="N3" t="s">
        <v>24</v>
      </c>
      <c r="O3" t="s">
        <v>34</v>
      </c>
      <c r="P3" t="s">
        <v>24</v>
      </c>
      <c r="Q3" t="s">
        <v>53</v>
      </c>
      <c r="R3" t="s">
        <v>24</v>
      </c>
      <c r="S3" t="s">
        <v>54</v>
      </c>
      <c r="T3" t="s">
        <v>18</v>
      </c>
      <c r="U3" t="s">
        <v>24</v>
      </c>
      <c r="V3" t="s">
        <v>36</v>
      </c>
      <c r="W3" t="s">
        <v>24</v>
      </c>
      <c r="X3" t="s">
        <v>37</v>
      </c>
      <c r="Y3" t="s">
        <v>24</v>
      </c>
      <c r="Z3" t="s">
        <v>38</v>
      </c>
      <c r="AA3" t="s">
        <v>24</v>
      </c>
      <c r="AB3" t="s">
        <v>43</v>
      </c>
    </row>
    <row r="4" spans="1:28">
      <c r="A4">
        <v>1</v>
      </c>
      <c r="C4" s="8">
        <v>44105</v>
      </c>
      <c r="D4" t="s">
        <v>24</v>
      </c>
      <c r="E4" s="17">
        <v>90000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 t="s">
        <v>18</v>
      </c>
      <c r="U4" s="17"/>
      <c r="V4" s="17"/>
      <c r="W4" s="17"/>
      <c r="X4" s="17"/>
      <c r="Y4" s="17" t="s">
        <v>24</v>
      </c>
      <c r="Z4" s="17">
        <v>90000</v>
      </c>
      <c r="AA4" s="17"/>
      <c r="AB4" s="17"/>
    </row>
    <row r="5" spans="1:28">
      <c r="A5">
        <v>2</v>
      </c>
      <c r="D5" t="s">
        <v>39</v>
      </c>
      <c r="E5" s="17">
        <v>200000</v>
      </c>
      <c r="F5" s="17"/>
      <c r="G5" s="17"/>
      <c r="H5" s="17" t="s">
        <v>24</v>
      </c>
      <c r="I5" s="17">
        <v>600000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 t="s">
        <v>18</v>
      </c>
      <c r="U5" s="17"/>
      <c r="V5" s="17"/>
      <c r="W5" s="17" t="s">
        <v>24</v>
      </c>
      <c r="X5" s="17">
        <v>400000</v>
      </c>
      <c r="Y5" s="17"/>
      <c r="Z5" s="17"/>
      <c r="AA5" s="17"/>
      <c r="AB5" s="17"/>
    </row>
    <row r="6" spans="1:28">
      <c r="A6">
        <v>3</v>
      </c>
      <c r="D6" t="s">
        <v>39</v>
      </c>
      <c r="E6" s="17">
        <v>20000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 t="s">
        <v>18</v>
      </c>
      <c r="U6" s="17"/>
      <c r="V6" s="17"/>
      <c r="W6" s="17" t="s">
        <v>39</v>
      </c>
      <c r="X6" s="17">
        <v>40000</v>
      </c>
      <c r="Y6" s="17"/>
      <c r="Z6" s="17"/>
      <c r="AA6" s="17" t="s">
        <v>39</v>
      </c>
      <c r="AB6" s="17">
        <v>20000</v>
      </c>
    </row>
    <row r="7" spans="1:28">
      <c r="A7">
        <v>4</v>
      </c>
      <c r="D7" t="s">
        <v>24</v>
      </c>
      <c r="E7" s="17">
        <v>90000</v>
      </c>
      <c r="F7" s="17" t="s">
        <v>24</v>
      </c>
      <c r="G7" s="17">
        <v>100000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 t="s">
        <v>18</v>
      </c>
      <c r="U7" s="17" t="s">
        <v>24</v>
      </c>
      <c r="V7" s="17">
        <v>190000</v>
      </c>
      <c r="W7" s="17"/>
      <c r="X7" s="17"/>
      <c r="Y7" s="17" t="s">
        <v>24</v>
      </c>
      <c r="Z7" s="17">
        <v>150000</v>
      </c>
      <c r="AA7" s="17"/>
      <c r="AB7" s="17"/>
    </row>
    <row r="8" spans="1:28">
      <c r="A8">
        <v>5</v>
      </c>
      <c r="D8" t="s">
        <v>24</v>
      </c>
      <c r="E8" s="17">
        <v>80000</v>
      </c>
      <c r="F8" s="17" t="s">
        <v>24</v>
      </c>
      <c r="G8" s="17">
        <v>60000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 t="s">
        <v>18</v>
      </c>
      <c r="U8" s="17" t="s">
        <v>24</v>
      </c>
      <c r="V8" s="17">
        <v>140000</v>
      </c>
      <c r="W8" s="17"/>
      <c r="X8" s="17"/>
      <c r="Y8" s="17"/>
      <c r="Z8" s="17"/>
      <c r="AA8" s="17"/>
      <c r="AB8" s="17"/>
    </row>
    <row r="9" spans="1:28">
      <c r="A9">
        <v>6</v>
      </c>
      <c r="B9">
        <v>1</v>
      </c>
      <c r="D9" t="s">
        <v>39</v>
      </c>
      <c r="E9" s="17">
        <v>100000</v>
      </c>
      <c r="F9" s="17"/>
      <c r="G9" s="17"/>
      <c r="H9" s="17"/>
      <c r="I9" s="17"/>
      <c r="J9" s="17" t="s">
        <v>24</v>
      </c>
      <c r="K9" s="17">
        <v>100000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pans="1:28">
      <c r="A10">
        <v>6</v>
      </c>
      <c r="B10">
        <v>2</v>
      </c>
      <c r="D10" t="s">
        <v>39</v>
      </c>
      <c r="E10" s="17">
        <v>40000</v>
      </c>
      <c r="F10" s="17"/>
      <c r="G10" s="17"/>
      <c r="H10" s="17"/>
      <c r="I10" s="17"/>
      <c r="J10" s="17"/>
      <c r="K10" s="17"/>
      <c r="L10" s="17" t="s">
        <v>24</v>
      </c>
      <c r="M10" s="17">
        <v>40000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pans="1:28">
      <c r="A11">
        <v>6</v>
      </c>
      <c r="B11">
        <v>3</v>
      </c>
      <c r="D11" t="s">
        <v>39</v>
      </c>
      <c r="E11" s="17">
        <v>80000</v>
      </c>
      <c r="F11" s="17"/>
      <c r="G11" s="17"/>
      <c r="H11" s="17"/>
      <c r="I11" s="17"/>
      <c r="J11" s="17"/>
      <c r="K11" s="17"/>
      <c r="L11" s="17"/>
      <c r="M11" s="17"/>
      <c r="N11" s="17" t="s">
        <v>24</v>
      </c>
      <c r="O11" s="17">
        <v>80000</v>
      </c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pans="1:28">
      <c r="A12">
        <v>6</v>
      </c>
      <c r="B12">
        <v>4</v>
      </c>
      <c r="D12" t="s">
        <v>39</v>
      </c>
      <c r="E12" s="17">
        <v>50000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 t="s">
        <v>24</v>
      </c>
      <c r="Q12" s="17">
        <v>50000</v>
      </c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spans="1:28">
      <c r="A13">
        <v>6</v>
      </c>
      <c r="B13">
        <v>5</v>
      </c>
      <c r="D13" t="s">
        <v>39</v>
      </c>
      <c r="E13" s="17">
        <v>30000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>
        <v>30000</v>
      </c>
      <c r="T13" s="17"/>
      <c r="U13" s="17"/>
      <c r="V13" s="17"/>
      <c r="W13" s="17"/>
      <c r="X13" s="17"/>
      <c r="Y13" s="17"/>
      <c r="Z13" s="17"/>
      <c r="AA13" s="17"/>
      <c r="AB13" s="17"/>
    </row>
    <row r="14" spans="1:28">
      <c r="A14">
        <v>7</v>
      </c>
      <c r="D14" t="s">
        <v>39</v>
      </c>
      <c r="E14" s="17">
        <v>80000</v>
      </c>
      <c r="F14" s="17"/>
      <c r="G14" s="17"/>
      <c r="H14" s="17" t="s">
        <v>24</v>
      </c>
      <c r="I14" s="17">
        <v>80000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pans="1:28">
      <c r="A15">
        <v>8</v>
      </c>
      <c r="D15" t="s">
        <v>24</v>
      </c>
      <c r="E15" s="17">
        <v>40000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 t="s">
        <v>18</v>
      </c>
      <c r="U15" s="17"/>
      <c r="V15" s="17"/>
      <c r="W15" s="17"/>
      <c r="X15" s="17"/>
      <c r="Y15" s="17" t="s">
        <v>24</v>
      </c>
      <c r="Z15" s="17">
        <v>40000</v>
      </c>
      <c r="AA15" s="17"/>
      <c r="AB15" s="17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3EB4A-0299-49B1-97BE-457A25CD665F}">
  <dimension ref="C3:I9"/>
  <sheetViews>
    <sheetView workbookViewId="0">
      <selection activeCell="I4" sqref="I4"/>
    </sheetView>
  </sheetViews>
  <sheetFormatPr defaultRowHeight="16.5"/>
  <cols>
    <col min="5" max="5" width="9.375" bestFit="1" customWidth="1"/>
    <col min="6" max="6" width="14" bestFit="1" customWidth="1"/>
    <col min="7" max="7" width="14" customWidth="1"/>
    <col min="8" max="8" width="14" bestFit="1" customWidth="1"/>
    <col min="9" max="9" width="9.375" bestFit="1" customWidth="1"/>
  </cols>
  <sheetData>
    <row r="3" spans="3:9">
      <c r="C3" t="s">
        <v>1</v>
      </c>
    </row>
    <row r="4" spans="3:9">
      <c r="D4" t="s">
        <v>487</v>
      </c>
      <c r="E4" t="s">
        <v>488</v>
      </c>
      <c r="F4" t="s">
        <v>489</v>
      </c>
      <c r="G4" t="s">
        <v>490</v>
      </c>
      <c r="H4" t="s">
        <v>491</v>
      </c>
      <c r="I4" t="s">
        <v>492</v>
      </c>
    </row>
    <row r="5" spans="3:9">
      <c r="D5" s="118">
        <v>45292</v>
      </c>
      <c r="E5" s="118">
        <v>45352</v>
      </c>
      <c r="F5" s="51">
        <v>1000</v>
      </c>
      <c r="H5">
        <f>1/6</f>
        <v>0.16666666666666666</v>
      </c>
      <c r="I5" s="51">
        <v>2000</v>
      </c>
    </row>
    <row r="6" spans="3:9">
      <c r="D6" s="118">
        <v>45352</v>
      </c>
      <c r="E6" s="118">
        <v>45413</v>
      </c>
      <c r="F6" s="51">
        <v>1500</v>
      </c>
      <c r="G6">
        <v>1.2</v>
      </c>
      <c r="H6" s="117">
        <f>3/12</f>
        <v>0.25</v>
      </c>
      <c r="I6" s="51">
        <v>5400</v>
      </c>
    </row>
    <row r="7" spans="3:9">
      <c r="D7" s="118">
        <v>45413</v>
      </c>
      <c r="E7" s="118">
        <v>45597</v>
      </c>
      <c r="F7" s="51">
        <v>1800</v>
      </c>
      <c r="H7" s="117">
        <f>6/12</f>
        <v>0.5</v>
      </c>
      <c r="I7" s="51">
        <v>10800</v>
      </c>
    </row>
    <row r="8" spans="3:9">
      <c r="D8" s="118">
        <v>45597</v>
      </c>
      <c r="E8" s="118">
        <v>45657</v>
      </c>
      <c r="F8" s="51">
        <v>3300</v>
      </c>
      <c r="H8" s="117">
        <v>0</v>
      </c>
      <c r="I8" s="51">
        <v>0</v>
      </c>
    </row>
    <row r="9" spans="3:9">
      <c r="D9" s="129" t="s">
        <v>107</v>
      </c>
      <c r="E9" s="129"/>
      <c r="F9" s="51">
        <v>3300</v>
      </c>
      <c r="H9" s="117">
        <v>1</v>
      </c>
      <c r="I9" s="51">
        <v>18200</v>
      </c>
    </row>
  </sheetData>
  <mergeCells count="1">
    <mergeCell ref="D9:E9"/>
  </mergeCell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E91DC-B85A-45A7-94FA-A64A193747BD}">
  <dimension ref="C3:H14"/>
  <sheetViews>
    <sheetView tabSelected="1" workbookViewId="0">
      <selection activeCell="G12" sqref="G12"/>
    </sheetView>
  </sheetViews>
  <sheetFormatPr defaultRowHeight="16.5"/>
  <cols>
    <col min="4" max="4" width="9.25" bestFit="1" customWidth="1"/>
    <col min="5" max="6" width="11.75" bestFit="1" customWidth="1"/>
    <col min="7" max="7" width="10.625" bestFit="1" customWidth="1"/>
  </cols>
  <sheetData>
    <row r="3" spans="3:8">
      <c r="C3" t="s">
        <v>1</v>
      </c>
    </row>
    <row r="4" spans="3:8">
      <c r="D4" t="s">
        <v>94</v>
      </c>
    </row>
    <row r="5" spans="3:8">
      <c r="D5" t="s">
        <v>22</v>
      </c>
      <c r="E5" t="s">
        <v>96</v>
      </c>
      <c r="F5" t="s">
        <v>96</v>
      </c>
      <c r="G5" t="s">
        <v>17</v>
      </c>
      <c r="H5" t="s">
        <v>19</v>
      </c>
    </row>
    <row r="6" spans="3:8">
      <c r="D6" s="8">
        <v>43647</v>
      </c>
      <c r="E6" t="s">
        <v>29</v>
      </c>
      <c r="G6" s="51">
        <v>208424</v>
      </c>
      <c r="H6" s="51"/>
    </row>
    <row r="7" spans="3:8">
      <c r="F7" t="s">
        <v>493</v>
      </c>
      <c r="G7" s="51"/>
      <c r="H7" s="51">
        <v>200000</v>
      </c>
    </row>
    <row r="8" spans="3:8">
      <c r="F8" t="s">
        <v>494</v>
      </c>
      <c r="G8" s="51"/>
      <c r="H8" s="51">
        <f>$G$6-$H$7</f>
        <v>8424</v>
      </c>
    </row>
    <row r="9" spans="3:8">
      <c r="D9" s="8">
        <v>44012</v>
      </c>
      <c r="E9" t="s">
        <v>239</v>
      </c>
      <c r="G9" s="51">
        <f>$H$7*0.06</f>
        <v>12000</v>
      </c>
      <c r="H9" s="51"/>
    </row>
    <row r="10" spans="3:8">
      <c r="E10" t="s">
        <v>494</v>
      </c>
      <c r="G10" s="51">
        <f>$H$11-$G$9</f>
        <v>2000.0000000000018</v>
      </c>
      <c r="H10" s="51"/>
    </row>
    <row r="11" spans="3:8">
      <c r="F11" t="s">
        <v>29</v>
      </c>
      <c r="G11" s="51"/>
      <c r="H11" s="51">
        <f>$H$7*0.07</f>
        <v>14000.000000000002</v>
      </c>
    </row>
    <row r="12" spans="3:8">
      <c r="G12" s="51"/>
      <c r="H12" s="51"/>
    </row>
    <row r="13" spans="3:8">
      <c r="G13" s="51"/>
      <c r="H13" s="51"/>
    </row>
    <row r="14" spans="3:8">
      <c r="G14" s="51"/>
      <c r="H14" s="5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3A07-CD87-4EF8-B107-8CE59A6E4981}">
  <dimension ref="B1:S7"/>
  <sheetViews>
    <sheetView workbookViewId="0">
      <selection activeCell="A7" sqref="A7"/>
    </sheetView>
  </sheetViews>
  <sheetFormatPr defaultRowHeight="16.5"/>
  <cols>
    <col min="3" max="4" width="9.625" bestFit="1" customWidth="1"/>
    <col min="6" max="6" width="15.125" bestFit="1" customWidth="1"/>
    <col min="18" max="18" width="14.375" bestFit="1" customWidth="1"/>
  </cols>
  <sheetData>
    <row r="1" spans="2:19">
      <c r="B1" t="s">
        <v>1</v>
      </c>
      <c r="J1" t="s">
        <v>5</v>
      </c>
    </row>
    <row r="2" spans="2:19">
      <c r="B2" t="s">
        <v>42</v>
      </c>
      <c r="C2" t="s">
        <v>26</v>
      </c>
      <c r="D2" t="s">
        <v>25</v>
      </c>
      <c r="E2" t="s">
        <v>43</v>
      </c>
      <c r="F2" t="s">
        <v>44</v>
      </c>
      <c r="G2" t="s">
        <v>9</v>
      </c>
      <c r="H2" t="s">
        <v>10</v>
      </c>
      <c r="J2" t="s">
        <v>42</v>
      </c>
      <c r="K2" t="s">
        <v>26</v>
      </c>
      <c r="L2" t="s">
        <v>25</v>
      </c>
      <c r="M2" t="s">
        <v>43</v>
      </c>
      <c r="N2" t="s">
        <v>44</v>
      </c>
      <c r="O2" t="s">
        <v>9</v>
      </c>
      <c r="P2" t="s">
        <v>10</v>
      </c>
      <c r="Q2" t="s">
        <v>11</v>
      </c>
      <c r="R2" t="s">
        <v>8</v>
      </c>
      <c r="S2" t="s">
        <v>14</v>
      </c>
    </row>
    <row r="3" spans="2:19">
      <c r="B3">
        <v>17</v>
      </c>
      <c r="C3" s="17"/>
      <c r="D3" s="17">
        <v>250000</v>
      </c>
      <c r="E3" s="17">
        <v>30000</v>
      </c>
      <c r="F3" s="17">
        <v>100000</v>
      </c>
      <c r="G3" s="17">
        <v>500000</v>
      </c>
      <c r="H3" s="17">
        <v>210000</v>
      </c>
      <c r="J3">
        <v>17</v>
      </c>
      <c r="K3" s="17">
        <v>230000</v>
      </c>
      <c r="L3" s="17">
        <v>250000</v>
      </c>
      <c r="M3" s="17">
        <v>30000</v>
      </c>
      <c r="N3" s="17">
        <v>100000</v>
      </c>
      <c r="O3" s="17">
        <v>500000</v>
      </c>
      <c r="P3" s="17">
        <v>210000</v>
      </c>
      <c r="Q3" s="17">
        <v>290000</v>
      </c>
      <c r="R3" s="17">
        <v>240000</v>
      </c>
      <c r="S3" s="24">
        <v>-20000</v>
      </c>
    </row>
    <row r="4" spans="2:19">
      <c r="B4">
        <v>18</v>
      </c>
      <c r="C4" s="17">
        <v>400000</v>
      </c>
      <c r="D4" s="17">
        <v>300000</v>
      </c>
      <c r="E4" s="17">
        <v>80000</v>
      </c>
      <c r="F4" s="17">
        <v>120000</v>
      </c>
      <c r="G4" s="17">
        <v>700000</v>
      </c>
      <c r="H4" s="17"/>
      <c r="J4">
        <v>18</v>
      </c>
      <c r="K4" s="17">
        <v>400000</v>
      </c>
      <c r="L4" s="17">
        <v>300000</v>
      </c>
      <c r="M4" s="17">
        <v>80000</v>
      </c>
      <c r="N4" s="17">
        <v>120000</v>
      </c>
      <c r="O4" s="17">
        <v>700000</v>
      </c>
      <c r="P4" s="17">
        <v>270000</v>
      </c>
      <c r="Q4" s="17">
        <v>430000</v>
      </c>
      <c r="R4" s="17">
        <v>290000</v>
      </c>
      <c r="S4" s="24">
        <v>100000</v>
      </c>
    </row>
    <row r="5" spans="2:19">
      <c r="B5">
        <v>19</v>
      </c>
      <c r="C5" s="17">
        <v>500000</v>
      </c>
      <c r="D5" s="17">
        <v>370000</v>
      </c>
      <c r="E5" s="17"/>
      <c r="F5" s="17">
        <v>120000</v>
      </c>
      <c r="G5" s="17">
        <v>800000</v>
      </c>
      <c r="H5" s="17">
        <v>200000</v>
      </c>
      <c r="J5">
        <v>19</v>
      </c>
      <c r="K5" s="17">
        <v>500000</v>
      </c>
      <c r="L5" s="17">
        <v>370000</v>
      </c>
      <c r="M5" s="17">
        <v>80000</v>
      </c>
      <c r="N5" s="17">
        <v>120000</v>
      </c>
      <c r="O5" s="17">
        <v>800000</v>
      </c>
      <c r="P5" s="17">
        <v>200000</v>
      </c>
      <c r="Q5" s="17">
        <v>600000</v>
      </c>
      <c r="R5" s="17">
        <v>430000</v>
      </c>
      <c r="S5" s="24">
        <v>130000</v>
      </c>
    </row>
    <row r="6" spans="2:19">
      <c r="B6">
        <v>20</v>
      </c>
      <c r="C6" s="17">
        <v>600000</v>
      </c>
      <c r="D6" s="17">
        <v>650000</v>
      </c>
      <c r="E6" s="17">
        <v>50000</v>
      </c>
      <c r="F6" s="17">
        <v>180000</v>
      </c>
      <c r="G6" s="17"/>
      <c r="H6" s="17">
        <v>250000</v>
      </c>
      <c r="J6">
        <v>20</v>
      </c>
      <c r="K6" s="17">
        <v>600000</v>
      </c>
      <c r="L6" s="17">
        <v>650000</v>
      </c>
      <c r="M6" s="17">
        <v>50000</v>
      </c>
      <c r="N6" s="17">
        <v>180000</v>
      </c>
      <c r="O6" s="17">
        <v>330000</v>
      </c>
      <c r="P6" s="17">
        <v>250000</v>
      </c>
      <c r="Q6" s="17">
        <v>80000</v>
      </c>
      <c r="R6" s="17">
        <v>600000</v>
      </c>
      <c r="S6" s="24">
        <v>-50000</v>
      </c>
    </row>
    <row r="7" spans="2:19">
      <c r="B7">
        <v>16</v>
      </c>
      <c r="D7" s="17"/>
      <c r="E7" s="17"/>
      <c r="F7" s="17">
        <v>240000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D77C7-8E98-48AB-A084-A91A1BABDE93}">
  <dimension ref="A1:V6"/>
  <sheetViews>
    <sheetView topLeftCell="E1" workbookViewId="0">
      <selection activeCell="U4" sqref="U4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  <col min="7" max="7" width="9.625" bestFit="1" customWidth="1"/>
  </cols>
  <sheetData>
    <row r="1" spans="1:22">
      <c r="A1" s="20" t="s">
        <v>40</v>
      </c>
      <c r="B1" t="s">
        <v>1</v>
      </c>
      <c r="C1" t="s">
        <v>55</v>
      </c>
      <c r="F1" t="s">
        <v>56</v>
      </c>
      <c r="I1" t="s">
        <v>57</v>
      </c>
      <c r="M1" t="s">
        <v>5</v>
      </c>
      <c r="N1" t="s">
        <v>55</v>
      </c>
      <c r="Q1" t="s">
        <v>56</v>
      </c>
      <c r="T1" t="s">
        <v>57</v>
      </c>
    </row>
    <row r="2" spans="1:22">
      <c r="A2" s="21" t="s">
        <v>41</v>
      </c>
      <c r="B2" t="s">
        <v>47</v>
      </c>
      <c r="C2" t="s">
        <v>23</v>
      </c>
      <c r="D2" t="s">
        <v>27</v>
      </c>
      <c r="E2" t="s">
        <v>28</v>
      </c>
      <c r="F2" t="s">
        <v>23</v>
      </c>
      <c r="G2" t="s">
        <v>27</v>
      </c>
      <c r="H2" t="s">
        <v>28</v>
      </c>
      <c r="I2" t="s">
        <v>26</v>
      </c>
      <c r="J2" t="s">
        <v>25</v>
      </c>
      <c r="K2" t="s">
        <v>58</v>
      </c>
      <c r="M2" t="s">
        <v>47</v>
      </c>
      <c r="N2" t="s">
        <v>23</v>
      </c>
      <c r="O2" t="s">
        <v>27</v>
      </c>
      <c r="P2" t="s">
        <v>28</v>
      </c>
      <c r="Q2" t="s">
        <v>23</v>
      </c>
      <c r="R2" t="s">
        <v>27</v>
      </c>
      <c r="S2" t="s">
        <v>28</v>
      </c>
      <c r="T2" t="s">
        <v>26</v>
      </c>
      <c r="U2" t="s">
        <v>25</v>
      </c>
      <c r="V2" t="s">
        <v>58</v>
      </c>
    </row>
    <row r="3" spans="1:22">
      <c r="A3" s="21" t="s">
        <v>45</v>
      </c>
      <c r="B3" t="s">
        <v>49</v>
      </c>
      <c r="C3" s="17">
        <v>8000</v>
      </c>
      <c r="D3" s="17">
        <v>4020</v>
      </c>
      <c r="E3" s="17"/>
      <c r="F3" s="17">
        <v>9000</v>
      </c>
      <c r="G3" s="17"/>
      <c r="H3" s="17"/>
      <c r="I3" s="17">
        <v>2000</v>
      </c>
      <c r="J3" s="17"/>
      <c r="K3" s="17">
        <v>800</v>
      </c>
      <c r="M3" t="s">
        <v>49</v>
      </c>
      <c r="N3" s="24">
        <v>8000</v>
      </c>
      <c r="O3" s="24">
        <v>4020</v>
      </c>
      <c r="P3" s="24">
        <v>3980</v>
      </c>
      <c r="Q3" s="24">
        <v>9000</v>
      </c>
      <c r="R3" s="24">
        <v>200</v>
      </c>
      <c r="S3" s="24">
        <v>8800</v>
      </c>
      <c r="T3" s="24">
        <v>2000</v>
      </c>
      <c r="U3" s="24">
        <v>1200</v>
      </c>
      <c r="V3" s="24">
        <v>800</v>
      </c>
    </row>
    <row r="4" spans="1:22">
      <c r="A4" s="21" t="s">
        <v>46</v>
      </c>
      <c r="B4" t="s">
        <v>50</v>
      </c>
      <c r="C4" s="17">
        <v>8500</v>
      </c>
      <c r="D4" s="17"/>
      <c r="E4" s="17">
        <v>8400</v>
      </c>
      <c r="G4" s="17">
        <v>3000</v>
      </c>
      <c r="H4" s="17">
        <v>5000</v>
      </c>
      <c r="I4" s="17"/>
      <c r="J4" s="17">
        <v>9000</v>
      </c>
      <c r="K4" s="17"/>
      <c r="M4" t="s">
        <v>50</v>
      </c>
      <c r="N4" s="24">
        <v>8500</v>
      </c>
      <c r="O4" s="24">
        <v>100</v>
      </c>
      <c r="P4" s="24">
        <v>8400</v>
      </c>
      <c r="Q4" s="24">
        <v>8000</v>
      </c>
      <c r="R4" s="24">
        <v>3000</v>
      </c>
      <c r="S4" s="24">
        <v>5000</v>
      </c>
      <c r="T4" s="24">
        <v>6500</v>
      </c>
      <c r="U4" s="24">
        <v>9000</v>
      </c>
      <c r="V4" s="24">
        <v>-3500</v>
      </c>
    </row>
    <row r="5" spans="1:22">
      <c r="A5" s="22"/>
      <c r="B5" t="s">
        <v>51</v>
      </c>
      <c r="C5" s="17"/>
      <c r="D5" s="17">
        <v>2000</v>
      </c>
      <c r="E5" s="17">
        <v>5000</v>
      </c>
      <c r="G5" s="17">
        <v>2000</v>
      </c>
      <c r="H5" s="17"/>
      <c r="I5" s="17">
        <v>6000</v>
      </c>
      <c r="J5" s="17">
        <v>4000</v>
      </c>
      <c r="K5" s="17"/>
      <c r="M5" t="s">
        <v>51</v>
      </c>
      <c r="N5" s="24">
        <v>7000</v>
      </c>
      <c r="O5" s="24">
        <v>2000</v>
      </c>
      <c r="P5" s="24">
        <v>5000</v>
      </c>
      <c r="Q5" s="24">
        <v>9000</v>
      </c>
      <c r="R5" s="24">
        <v>2000</v>
      </c>
      <c r="S5" s="24">
        <v>7000</v>
      </c>
      <c r="T5" s="24">
        <v>6000</v>
      </c>
      <c r="U5" s="24">
        <v>4000</v>
      </c>
      <c r="V5" s="24">
        <v>2000</v>
      </c>
    </row>
    <row r="6" spans="1:22">
      <c r="A6" s="2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FA1E3-89FC-4767-B479-1032CD37F801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84BB-4322-4865-90A1-AF8D43AAA858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33B0B-AA5E-4839-8726-C88401EB6BF2}">
  <dimension ref="A1:I10"/>
  <sheetViews>
    <sheetView workbookViewId="0"/>
  </sheetViews>
  <sheetFormatPr defaultRowHeight="16.5"/>
  <cols>
    <col min="1" max="1" width="11.75" bestFit="1" customWidth="1"/>
  </cols>
  <sheetData>
    <row r="1" spans="1:9">
      <c r="A1" s="6" t="s">
        <v>59</v>
      </c>
      <c r="B1" t="s">
        <v>60</v>
      </c>
      <c r="C1" s="1">
        <v>25700</v>
      </c>
      <c r="E1" t="s">
        <v>61</v>
      </c>
      <c r="F1" s="1">
        <f>SUM($C1:$C5)</f>
        <v>49960</v>
      </c>
      <c r="H1" t="s">
        <v>62</v>
      </c>
      <c r="I1" s="1">
        <v>20000</v>
      </c>
    </row>
    <row r="2" spans="1:9">
      <c r="A2" s="6" t="s">
        <v>63</v>
      </c>
      <c r="B2" t="s">
        <v>60</v>
      </c>
      <c r="C2" s="1">
        <v>2380</v>
      </c>
      <c r="E2" t="s">
        <v>64</v>
      </c>
      <c r="F2" s="1">
        <f>SUM($C6:$C10)</f>
        <v>27870</v>
      </c>
    </row>
    <row r="3" spans="1:9">
      <c r="A3" s="6" t="s">
        <v>65</v>
      </c>
      <c r="B3" t="s">
        <v>60</v>
      </c>
      <c r="C3" s="1">
        <v>16000</v>
      </c>
      <c r="E3" t="s">
        <v>66</v>
      </c>
      <c r="F3" s="1">
        <f>$F1-$F2</f>
        <v>22090</v>
      </c>
    </row>
    <row r="4" spans="1:9">
      <c r="A4" s="6" t="s">
        <v>67</v>
      </c>
      <c r="B4" t="s">
        <v>68</v>
      </c>
      <c r="C4" s="1">
        <v>2190</v>
      </c>
      <c r="E4" t="s">
        <v>14</v>
      </c>
      <c r="F4" s="1">
        <f>$F3-$I1</f>
        <v>2090</v>
      </c>
    </row>
    <row r="5" spans="1:9">
      <c r="A5" s="6" t="s">
        <v>69</v>
      </c>
      <c r="B5" t="s">
        <v>68</v>
      </c>
      <c r="C5" s="1">
        <v>3690</v>
      </c>
    </row>
    <row r="6" spans="1:9">
      <c r="A6" t="s">
        <v>70</v>
      </c>
      <c r="B6" t="s">
        <v>71</v>
      </c>
      <c r="C6" s="1">
        <v>12000</v>
      </c>
    </row>
    <row r="7" spans="1:9">
      <c r="A7" t="s">
        <v>72</v>
      </c>
      <c r="B7" t="s">
        <v>71</v>
      </c>
      <c r="C7" s="1">
        <v>480</v>
      </c>
    </row>
    <row r="8" spans="1:9">
      <c r="A8" t="s">
        <v>73</v>
      </c>
      <c r="B8" t="s">
        <v>74</v>
      </c>
      <c r="C8" s="1">
        <v>520</v>
      </c>
    </row>
    <row r="9" spans="1:9">
      <c r="A9" t="s">
        <v>75</v>
      </c>
      <c r="B9" t="s">
        <v>74</v>
      </c>
      <c r="C9" s="1">
        <v>9680</v>
      </c>
    </row>
    <row r="10" spans="1:9">
      <c r="A10" t="s">
        <v>37</v>
      </c>
      <c r="B10" t="s">
        <v>74</v>
      </c>
      <c r="C10" s="1">
        <v>5190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7091-E7E2-4BE5-B4BB-7E8AB986DFEC}">
  <dimension ref="A1:I9"/>
  <sheetViews>
    <sheetView workbookViewId="0"/>
  </sheetViews>
  <sheetFormatPr defaultRowHeight="16.5"/>
  <cols>
    <col min="1" max="1" width="11.75" bestFit="1" customWidth="1"/>
  </cols>
  <sheetData>
    <row r="1" spans="1:9">
      <c r="A1" s="6" t="s">
        <v>59</v>
      </c>
      <c r="B1" t="s">
        <v>60</v>
      </c>
      <c r="C1" s="1">
        <v>234000</v>
      </c>
      <c r="E1" t="s">
        <v>61</v>
      </c>
      <c r="F1" s="1">
        <f>SUM($C1:$C4)</f>
        <v>508450</v>
      </c>
      <c r="H1" t="s">
        <v>62</v>
      </c>
      <c r="I1" s="1">
        <v>240000</v>
      </c>
    </row>
    <row r="2" spans="1:9">
      <c r="A2" s="6" t="s">
        <v>63</v>
      </c>
      <c r="B2" t="s">
        <v>60</v>
      </c>
      <c r="C2" s="1">
        <v>72650</v>
      </c>
      <c r="E2" t="s">
        <v>64</v>
      </c>
      <c r="F2" s="1">
        <f>SUM($C5:$C9)</f>
        <v>262780</v>
      </c>
    </row>
    <row r="3" spans="1:9">
      <c r="A3" s="6" t="s">
        <v>65</v>
      </c>
      <c r="B3" t="s">
        <v>60</v>
      </c>
      <c r="C3" s="1">
        <v>180000</v>
      </c>
      <c r="E3" t="s">
        <v>66</v>
      </c>
      <c r="F3" s="1">
        <f>$F1-$F2</f>
        <v>245670</v>
      </c>
    </row>
    <row r="4" spans="1:9">
      <c r="A4" s="6" t="s">
        <v>67</v>
      </c>
      <c r="B4" t="s">
        <v>68</v>
      </c>
      <c r="C4" s="1">
        <v>21800</v>
      </c>
      <c r="E4" t="s">
        <v>14</v>
      </c>
      <c r="F4" s="1">
        <f>$F3-$I1</f>
        <v>5670</v>
      </c>
    </row>
    <row r="5" spans="1:9">
      <c r="A5" t="s">
        <v>76</v>
      </c>
      <c r="B5" t="s">
        <v>71</v>
      </c>
      <c r="C5" s="1">
        <v>100000</v>
      </c>
    </row>
    <row r="6" spans="1:9">
      <c r="A6" t="s">
        <v>72</v>
      </c>
      <c r="B6" t="s">
        <v>71</v>
      </c>
      <c r="C6" s="1">
        <v>9000</v>
      </c>
    </row>
    <row r="7" spans="1:9">
      <c r="A7" t="s">
        <v>73</v>
      </c>
      <c r="B7" t="s">
        <v>74</v>
      </c>
      <c r="C7" s="1">
        <v>7060</v>
      </c>
    </row>
    <row r="8" spans="1:9">
      <c r="A8" t="s">
        <v>75</v>
      </c>
      <c r="B8" t="s">
        <v>74</v>
      </c>
      <c r="C8" s="1">
        <v>96720</v>
      </c>
    </row>
    <row r="9" spans="1:9">
      <c r="A9" t="s">
        <v>37</v>
      </c>
      <c r="B9" t="s">
        <v>74</v>
      </c>
      <c r="C9" s="1">
        <v>50000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5D9D8-CD9D-497B-BECC-D1C920B3529D}">
  <dimension ref="A1"/>
  <sheetViews>
    <sheetView workbookViewId="0">
      <selection activeCell="F17" sqref="F17"/>
    </sheetView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14695-C4AC-40FE-985B-45303E2AC14F}">
  <dimension ref="A1"/>
  <sheetViews>
    <sheetView workbookViewId="0">
      <selection activeCell="D10" sqref="D10"/>
    </sheetView>
  </sheetViews>
  <sheetFormatPr defaultRowHeight="16.5"/>
  <cols>
    <col min="1" max="1" width="13.75" bestFit="1" customWidth="1"/>
  </cols>
  <sheetData>
    <row r="1" spans="1:1">
      <c r="A1" t="s">
        <v>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F583-61FE-468F-B9AD-8C055E100D8A}">
  <dimension ref="A1:C11"/>
  <sheetViews>
    <sheetView workbookViewId="0">
      <selection activeCell="M12" sqref="M12"/>
    </sheetView>
  </sheetViews>
  <sheetFormatPr defaultRowHeight="16.5"/>
  <cols>
    <col min="1" max="1" width="9.625" bestFit="1" customWidth="1"/>
    <col min="2" max="3" width="14" bestFit="1" customWidth="1"/>
  </cols>
  <sheetData>
    <row r="1" spans="1:3">
      <c r="A1" t="s">
        <v>78</v>
      </c>
      <c r="B1" t="s">
        <v>79</v>
      </c>
      <c r="C1" t="s">
        <v>80</v>
      </c>
    </row>
    <row r="2" spans="1:3">
      <c r="A2" t="s">
        <v>29</v>
      </c>
      <c r="B2" t="s">
        <v>23</v>
      </c>
      <c r="C2" t="s">
        <v>17</v>
      </c>
    </row>
    <row r="3" spans="1:3">
      <c r="A3" t="s">
        <v>81</v>
      </c>
      <c r="B3" t="s">
        <v>23</v>
      </c>
      <c r="C3" t="s">
        <v>17</v>
      </c>
    </row>
    <row r="4" spans="1:3">
      <c r="A4" t="s">
        <v>82</v>
      </c>
      <c r="B4" t="s">
        <v>28</v>
      </c>
      <c r="C4" t="s">
        <v>19</v>
      </c>
    </row>
    <row r="5" spans="1:3">
      <c r="A5" t="s">
        <v>83</v>
      </c>
      <c r="B5" t="s">
        <v>27</v>
      </c>
      <c r="C5" t="s">
        <v>19</v>
      </c>
    </row>
    <row r="6" spans="1:3">
      <c r="A6" t="s">
        <v>84</v>
      </c>
      <c r="B6" t="s">
        <v>25</v>
      </c>
      <c r="C6" t="s">
        <v>17</v>
      </c>
    </row>
    <row r="7" spans="1:3">
      <c r="A7" t="s">
        <v>85</v>
      </c>
      <c r="B7" t="s">
        <v>26</v>
      </c>
      <c r="C7" t="s">
        <v>19</v>
      </c>
    </row>
    <row r="8" spans="1:3">
      <c r="A8" t="s">
        <v>76</v>
      </c>
      <c r="B8" t="s">
        <v>27</v>
      </c>
      <c r="C8" t="s">
        <v>19</v>
      </c>
    </row>
    <row r="9" spans="1:3">
      <c r="A9" t="s">
        <v>67</v>
      </c>
      <c r="B9" t="s">
        <v>23</v>
      </c>
      <c r="C9" t="s">
        <v>17</v>
      </c>
    </row>
    <row r="10" spans="1:3">
      <c r="A10" t="s">
        <v>86</v>
      </c>
      <c r="B10" t="s">
        <v>25</v>
      </c>
      <c r="C10" t="s">
        <v>17</v>
      </c>
    </row>
    <row r="11" spans="1:3">
      <c r="A11" t="s">
        <v>87</v>
      </c>
      <c r="B11" t="s">
        <v>88</v>
      </c>
      <c r="C1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C7E6-74AB-4E18-AB63-AA070391B8DB}">
  <dimension ref="A1:I15"/>
  <sheetViews>
    <sheetView workbookViewId="0">
      <selection activeCell="F1" sqref="F1"/>
    </sheetView>
  </sheetViews>
  <sheetFormatPr defaultRowHeight="16.5"/>
  <cols>
    <col min="2" max="2" width="14.375" bestFit="1" customWidth="1"/>
  </cols>
  <sheetData>
    <row r="1" spans="1:9">
      <c r="A1" t="s">
        <v>1</v>
      </c>
      <c r="B1" t="s">
        <v>2</v>
      </c>
      <c r="C1" t="s">
        <v>3</v>
      </c>
      <c r="D1" t="s">
        <v>4</v>
      </c>
      <c r="F1" t="s">
        <v>5</v>
      </c>
      <c r="G1" t="s">
        <v>2</v>
      </c>
      <c r="H1" t="s">
        <v>3</v>
      </c>
      <c r="I1" t="s">
        <v>4</v>
      </c>
    </row>
    <row r="2" spans="1:9">
      <c r="A2" t="s">
        <v>6</v>
      </c>
      <c r="B2" s="17">
        <v>140000</v>
      </c>
      <c r="C2" s="17">
        <v>170000</v>
      </c>
      <c r="D2" s="17"/>
      <c r="F2" t="s">
        <v>6</v>
      </c>
      <c r="G2" s="17">
        <v>140000</v>
      </c>
      <c r="H2" s="17">
        <v>170000</v>
      </c>
      <c r="I2" s="17">
        <v>50000</v>
      </c>
    </row>
    <row r="3" spans="1:9">
      <c r="A3" t="s">
        <v>7</v>
      </c>
      <c r="B3" s="17">
        <v>48000</v>
      </c>
      <c r="C3" s="17"/>
      <c r="D3" s="17">
        <v>30000</v>
      </c>
      <c r="F3" t="s">
        <v>7</v>
      </c>
      <c r="G3" s="17">
        <v>48000</v>
      </c>
      <c r="H3" s="17">
        <v>10000</v>
      </c>
      <c r="I3" s="17">
        <v>30000</v>
      </c>
    </row>
    <row r="4" spans="1:9">
      <c r="A4" t="s">
        <v>8</v>
      </c>
      <c r="B4" s="17"/>
      <c r="C4" s="17">
        <v>160000</v>
      </c>
      <c r="D4" s="17">
        <v>20000</v>
      </c>
      <c r="F4" t="s">
        <v>8</v>
      </c>
      <c r="G4" s="17">
        <v>92000</v>
      </c>
      <c r="H4" s="17">
        <v>160000</v>
      </c>
      <c r="I4" s="17">
        <v>20000</v>
      </c>
    </row>
    <row r="5" spans="1:9">
      <c r="A5" t="s">
        <v>9</v>
      </c>
      <c r="B5" s="17">
        <v>138000</v>
      </c>
      <c r="C5" s="17"/>
      <c r="D5" s="17"/>
      <c r="F5" t="s">
        <v>9</v>
      </c>
      <c r="G5" s="17">
        <v>138000</v>
      </c>
      <c r="H5" s="17">
        <v>244000</v>
      </c>
      <c r="I5" s="17">
        <v>68000</v>
      </c>
    </row>
    <row r="6" spans="1:9">
      <c r="A6" t="s">
        <v>10</v>
      </c>
      <c r="B6" s="17"/>
      <c r="C6" s="17">
        <v>86000</v>
      </c>
      <c r="D6" s="17">
        <v>28000</v>
      </c>
      <c r="F6" t="s">
        <v>10</v>
      </c>
      <c r="G6" s="17">
        <v>254000</v>
      </c>
      <c r="H6" s="17">
        <v>86000</v>
      </c>
      <c r="I6" s="17">
        <v>28000</v>
      </c>
    </row>
    <row r="7" spans="1:9">
      <c r="A7" t="s">
        <v>11</v>
      </c>
      <c r="B7" s="17"/>
      <c r="C7" s="17">
        <v>158000</v>
      </c>
      <c r="D7" s="17">
        <v>40000</v>
      </c>
      <c r="F7" t="s">
        <v>11</v>
      </c>
      <c r="G7" s="17">
        <v>116000</v>
      </c>
      <c r="H7" s="17">
        <v>158000</v>
      </c>
      <c r="I7" s="17">
        <v>40000</v>
      </c>
    </row>
    <row r="8" spans="1:9">
      <c r="A8" t="s">
        <v>12</v>
      </c>
      <c r="B8" s="17">
        <v>70000</v>
      </c>
      <c r="C8" s="17"/>
      <c r="D8" s="17">
        <v>100000</v>
      </c>
      <c r="F8" t="s">
        <v>12</v>
      </c>
      <c r="G8" s="17">
        <v>70000</v>
      </c>
      <c r="H8" s="17">
        <v>316000</v>
      </c>
      <c r="I8" s="17">
        <v>100000</v>
      </c>
    </row>
    <row r="9" spans="1:9">
      <c r="A9" t="s">
        <v>13</v>
      </c>
      <c r="B9" s="17"/>
      <c r="C9" s="17">
        <v>308000</v>
      </c>
      <c r="D9" s="17">
        <v>70000</v>
      </c>
      <c r="F9" t="s">
        <v>13</v>
      </c>
      <c r="G9" s="17">
        <v>46000</v>
      </c>
      <c r="H9" s="17">
        <v>308000</v>
      </c>
      <c r="I9" s="17">
        <v>70000</v>
      </c>
    </row>
    <row r="10" spans="1:9">
      <c r="A10" t="s">
        <v>14</v>
      </c>
      <c r="B10" s="17">
        <v>24000</v>
      </c>
      <c r="C10" s="17">
        <v>8000</v>
      </c>
      <c r="D10" s="17"/>
      <c r="F10" t="s">
        <v>14</v>
      </c>
      <c r="G10" s="17">
        <v>24000</v>
      </c>
      <c r="H10" s="17">
        <v>8000</v>
      </c>
      <c r="I10" s="17">
        <v>30000</v>
      </c>
    </row>
    <row r="11" spans="1:9">
      <c r="A11" t="s">
        <v>15</v>
      </c>
      <c r="B11" s="17">
        <v>0</v>
      </c>
      <c r="C11" s="17">
        <v>100000</v>
      </c>
      <c r="D11" s="17"/>
      <c r="F11" t="s">
        <v>15</v>
      </c>
      <c r="G11" s="17">
        <v>0</v>
      </c>
      <c r="H11" s="17">
        <v>100000</v>
      </c>
      <c r="I11" s="17">
        <v>15000</v>
      </c>
    </row>
    <row r="12" spans="1:9">
      <c r="A12" t="s">
        <v>16</v>
      </c>
      <c r="B12" s="17">
        <v>0</v>
      </c>
      <c r="C12" s="17"/>
      <c r="D12" s="17">
        <v>25000</v>
      </c>
      <c r="F12" t="s">
        <v>16</v>
      </c>
      <c r="G12" s="17">
        <v>0</v>
      </c>
      <c r="H12" s="17">
        <v>11000</v>
      </c>
      <c r="I12" s="17">
        <v>25000</v>
      </c>
    </row>
    <row r="13" spans="1:9">
      <c r="G13" s="17"/>
      <c r="H13" s="17"/>
      <c r="I13" s="17"/>
    </row>
    <row r="14" spans="1:9">
      <c r="G14" s="17"/>
      <c r="H14" s="17"/>
      <c r="I14" s="17"/>
    </row>
    <row r="15" spans="1:9">
      <c r="G15" s="17"/>
      <c r="H15" s="17"/>
      <c r="I15" s="1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D7973-8FAB-49FD-8D31-28EE123EFE7E}">
  <dimension ref="A1:I10"/>
  <sheetViews>
    <sheetView workbookViewId="0">
      <selection activeCell="E15" sqref="E15"/>
    </sheetView>
  </sheetViews>
  <sheetFormatPr defaultRowHeight="16.5"/>
  <sheetData>
    <row r="1" spans="1:9">
      <c r="A1" s="6" t="s">
        <v>30</v>
      </c>
      <c r="B1" t="s">
        <v>60</v>
      </c>
      <c r="C1" s="1">
        <v>40000</v>
      </c>
      <c r="E1" t="s">
        <v>61</v>
      </c>
      <c r="F1" s="1">
        <f>SUM($C1:$C4)</f>
        <v>197000</v>
      </c>
      <c r="H1" t="s">
        <v>62</v>
      </c>
      <c r="I1" s="1">
        <v>220000</v>
      </c>
    </row>
    <row r="2" spans="1:9">
      <c r="A2" s="6" t="s">
        <v>89</v>
      </c>
      <c r="B2" t="s">
        <v>60</v>
      </c>
      <c r="C2" s="1">
        <v>100000</v>
      </c>
      <c r="E2" t="s">
        <v>64</v>
      </c>
      <c r="F2" s="1">
        <f>SUM($C5:$C8)</f>
        <v>443000</v>
      </c>
    </row>
    <row r="3" spans="1:9">
      <c r="A3" s="6" t="s">
        <v>90</v>
      </c>
      <c r="B3" t="s">
        <v>68</v>
      </c>
      <c r="C3" s="1">
        <v>50000</v>
      </c>
      <c r="E3" t="s">
        <v>66</v>
      </c>
      <c r="F3" s="1">
        <f>$F1-$F2</f>
        <v>-246000</v>
      </c>
    </row>
    <row r="4" spans="1:9">
      <c r="A4" s="6" t="s">
        <v>67</v>
      </c>
      <c r="B4" t="s">
        <v>68</v>
      </c>
      <c r="C4" s="1">
        <v>7000</v>
      </c>
      <c r="E4" t="s">
        <v>14</v>
      </c>
      <c r="F4" s="1">
        <f>$F3-$I1</f>
        <v>-466000</v>
      </c>
    </row>
    <row r="5" spans="1:9">
      <c r="A5" t="s">
        <v>52</v>
      </c>
      <c r="B5" t="s">
        <v>68</v>
      </c>
      <c r="C5" s="1">
        <v>300000</v>
      </c>
    </row>
    <row r="6" spans="1:9">
      <c r="A6" t="s">
        <v>91</v>
      </c>
      <c r="B6" t="s">
        <v>71</v>
      </c>
      <c r="C6" s="1">
        <v>60000</v>
      </c>
    </row>
    <row r="7" spans="1:9">
      <c r="A7" t="s">
        <v>76</v>
      </c>
      <c r="B7" t="s">
        <v>74</v>
      </c>
      <c r="C7" s="1">
        <v>60000</v>
      </c>
    </row>
    <row r="8" spans="1:9">
      <c r="A8" t="s">
        <v>83</v>
      </c>
      <c r="B8" t="s">
        <v>74</v>
      </c>
      <c r="C8" s="1">
        <v>23000</v>
      </c>
    </row>
    <row r="9" spans="1:9">
      <c r="C9" s="1"/>
    </row>
    <row r="10" spans="1:9">
      <c r="C10" s="1"/>
    </row>
  </sheetData>
  <sortState xmlns:xlrd2="http://schemas.microsoft.com/office/spreadsheetml/2017/richdata2" ref="A1:C8">
    <sortCondition descending="1" ref="B1:B8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4B2DD-7696-430C-9991-5DA5A81F5AFD}">
  <dimension ref="A1:I10"/>
  <sheetViews>
    <sheetView workbookViewId="0">
      <selection activeCell="E4" sqref="E4"/>
    </sheetView>
  </sheetViews>
  <sheetFormatPr defaultRowHeight="16.5"/>
  <sheetData>
    <row r="1" spans="1:9">
      <c r="A1" s="6" t="s">
        <v>89</v>
      </c>
      <c r="B1" t="s">
        <v>60</v>
      </c>
      <c r="C1" s="1">
        <v>140000</v>
      </c>
      <c r="E1" t="s">
        <v>61</v>
      </c>
      <c r="F1" s="1">
        <f>SUM($C1:$C4)</f>
        <v>990000</v>
      </c>
      <c r="H1" t="s">
        <v>62</v>
      </c>
      <c r="I1" s="1">
        <v>500000</v>
      </c>
    </row>
    <row r="2" spans="1:9">
      <c r="A2" s="6" t="s">
        <v>30</v>
      </c>
      <c r="B2" t="s">
        <v>68</v>
      </c>
      <c r="C2" s="1">
        <v>150000</v>
      </c>
      <c r="E2" t="s">
        <v>64</v>
      </c>
      <c r="F2" s="1">
        <f>SUM($C5:$C7)</f>
        <v>610000</v>
      </c>
    </row>
    <row r="3" spans="1:9">
      <c r="A3" s="6" t="s">
        <v>92</v>
      </c>
      <c r="B3" t="s">
        <v>68</v>
      </c>
      <c r="C3" s="1">
        <v>300000</v>
      </c>
      <c r="E3" t="s">
        <v>66</v>
      </c>
      <c r="F3" s="1">
        <f>$F1-$F2</f>
        <v>380000</v>
      </c>
    </row>
    <row r="4" spans="1:9">
      <c r="A4" s="6" t="s">
        <v>52</v>
      </c>
      <c r="B4" t="s">
        <v>68</v>
      </c>
      <c r="C4" s="1">
        <v>400000</v>
      </c>
      <c r="E4" t="s">
        <v>14</v>
      </c>
      <c r="F4" s="1">
        <f>$F3-$I1</f>
        <v>-120000</v>
      </c>
    </row>
    <row r="5" spans="1:9">
      <c r="A5" t="s">
        <v>93</v>
      </c>
      <c r="B5" t="s">
        <v>74</v>
      </c>
      <c r="C5" s="1">
        <v>200000</v>
      </c>
    </row>
    <row r="6" spans="1:9">
      <c r="A6" t="s">
        <v>83</v>
      </c>
      <c r="B6" t="s">
        <v>74</v>
      </c>
      <c r="C6" s="1">
        <v>50000</v>
      </c>
    </row>
    <row r="7" spans="1:9">
      <c r="A7" t="s">
        <v>91</v>
      </c>
      <c r="B7" t="s">
        <v>74</v>
      </c>
      <c r="C7" s="1">
        <v>360000</v>
      </c>
    </row>
    <row r="8" spans="1:9">
      <c r="C8" s="1"/>
    </row>
    <row r="9" spans="1:9">
      <c r="C9" s="1"/>
    </row>
    <row r="10" spans="1:9">
      <c r="C10" s="1"/>
    </row>
  </sheetData>
  <sortState xmlns:xlrd2="http://schemas.microsoft.com/office/spreadsheetml/2017/richdata2" ref="A1:C7">
    <sortCondition descending="1" ref="B1:B7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C6658-236E-45A7-B8AD-E409BC950717}">
  <dimension ref="A2:K109"/>
  <sheetViews>
    <sheetView topLeftCell="A94" workbookViewId="0">
      <selection activeCell="A96" sqref="A96:A97"/>
    </sheetView>
  </sheetViews>
  <sheetFormatPr defaultRowHeight="16.5"/>
  <cols>
    <col min="3" max="4" width="14" bestFit="1" customWidth="1"/>
    <col min="5" max="6" width="12.25" bestFit="1" customWidth="1"/>
    <col min="11" max="11" width="10.37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43831</v>
      </c>
      <c r="D4" s="6" t="s">
        <v>29</v>
      </c>
      <c r="F4" s="17">
        <v>1000000</v>
      </c>
    </row>
    <row r="5" spans="1:7">
      <c r="A5">
        <v>1</v>
      </c>
      <c r="E5" s="52" t="s">
        <v>38</v>
      </c>
      <c r="G5" s="17">
        <v>1000000</v>
      </c>
    </row>
    <row r="6" spans="1:7">
      <c r="A6">
        <v>2</v>
      </c>
      <c r="B6">
        <v>5</v>
      </c>
      <c r="C6" s="8">
        <v>43831</v>
      </c>
      <c r="D6" s="54" t="s">
        <v>97</v>
      </c>
      <c r="F6" s="17">
        <v>850000</v>
      </c>
    </row>
    <row r="7" spans="1:7">
      <c r="A7">
        <v>2</v>
      </c>
      <c r="E7" s="49" t="s">
        <v>29</v>
      </c>
      <c r="F7" s="17"/>
      <c r="G7" s="17">
        <v>850000</v>
      </c>
    </row>
    <row r="8" spans="1:7">
      <c r="A8">
        <v>3</v>
      </c>
      <c r="B8">
        <v>5</v>
      </c>
      <c r="C8" s="8">
        <v>43831</v>
      </c>
      <c r="D8" s="54" t="s">
        <v>97</v>
      </c>
      <c r="F8" s="17">
        <v>120000</v>
      </c>
    </row>
    <row r="9" spans="1:7">
      <c r="A9">
        <v>3</v>
      </c>
      <c r="E9" s="52" t="s">
        <v>43</v>
      </c>
      <c r="G9" s="17">
        <v>120000</v>
      </c>
    </row>
    <row r="10" spans="1:7">
      <c r="A10">
        <v>4</v>
      </c>
      <c r="B10">
        <v>1</v>
      </c>
      <c r="C10" s="8">
        <v>43831</v>
      </c>
      <c r="D10" s="6" t="s">
        <v>29</v>
      </c>
      <c r="F10" s="17">
        <v>160000</v>
      </c>
    </row>
    <row r="11" spans="1:7">
      <c r="A11">
        <v>4</v>
      </c>
      <c r="E11" s="54" t="s">
        <v>98</v>
      </c>
      <c r="G11" s="17">
        <v>160000</v>
      </c>
    </row>
    <row r="12" spans="1:7">
      <c r="A12">
        <v>5</v>
      </c>
      <c r="B12">
        <v>1</v>
      </c>
      <c r="C12" s="8">
        <v>43831</v>
      </c>
      <c r="D12" s="6" t="s">
        <v>99</v>
      </c>
      <c r="F12" s="17">
        <v>120000</v>
      </c>
    </row>
    <row r="13" spans="1:7">
      <c r="A13">
        <v>5</v>
      </c>
      <c r="E13" s="54" t="s">
        <v>98</v>
      </c>
      <c r="G13" s="17">
        <v>120000</v>
      </c>
    </row>
    <row r="14" spans="1:7">
      <c r="A14">
        <v>6</v>
      </c>
      <c r="B14">
        <v>5</v>
      </c>
      <c r="C14" s="8">
        <v>43831</v>
      </c>
      <c r="D14" s="54" t="s">
        <v>100</v>
      </c>
      <c r="F14" s="17">
        <v>20000</v>
      </c>
    </row>
    <row r="15" spans="1:7">
      <c r="A15">
        <v>6</v>
      </c>
      <c r="E15" s="49" t="s">
        <v>29</v>
      </c>
      <c r="G15" s="17">
        <v>20000</v>
      </c>
    </row>
    <row r="16" spans="1:7">
      <c r="A16">
        <v>7</v>
      </c>
      <c r="B16">
        <v>5</v>
      </c>
      <c r="C16" s="8">
        <v>43831</v>
      </c>
      <c r="D16" s="54" t="s">
        <v>101</v>
      </c>
      <c r="F16" s="17">
        <v>20000</v>
      </c>
    </row>
    <row r="17" spans="1:7">
      <c r="A17">
        <v>7</v>
      </c>
      <c r="E17" s="54" t="s">
        <v>100</v>
      </c>
      <c r="G17" s="17">
        <v>20000</v>
      </c>
    </row>
    <row r="18" spans="1:7">
      <c r="A18">
        <v>8</v>
      </c>
      <c r="B18">
        <v>5</v>
      </c>
      <c r="C18" s="8">
        <v>43831</v>
      </c>
      <c r="D18" s="54" t="s">
        <v>33</v>
      </c>
      <c r="F18" s="17">
        <v>9000</v>
      </c>
    </row>
    <row r="19" spans="1:7">
      <c r="A19">
        <v>8</v>
      </c>
      <c r="E19" s="49" t="s">
        <v>102</v>
      </c>
      <c r="G19" s="17">
        <v>9000</v>
      </c>
    </row>
    <row r="20" spans="1:7">
      <c r="A20">
        <v>9</v>
      </c>
      <c r="B20">
        <v>2</v>
      </c>
      <c r="C20" s="8">
        <v>43831</v>
      </c>
      <c r="D20" s="49" t="s">
        <v>102</v>
      </c>
      <c r="F20" s="17">
        <v>2000</v>
      </c>
    </row>
    <row r="21" spans="1:7">
      <c r="A21">
        <v>9</v>
      </c>
      <c r="E21" s="54" t="s">
        <v>33</v>
      </c>
      <c r="G21" s="17">
        <v>2000</v>
      </c>
    </row>
    <row r="22" spans="1:7">
      <c r="A22">
        <v>10</v>
      </c>
      <c r="B22">
        <v>5</v>
      </c>
      <c r="C22" s="8">
        <v>43831</v>
      </c>
      <c r="D22" s="49" t="s">
        <v>102</v>
      </c>
      <c r="F22" s="17">
        <v>7000</v>
      </c>
    </row>
    <row r="23" spans="1:7">
      <c r="A23">
        <v>10</v>
      </c>
      <c r="E23" s="52" t="s">
        <v>82</v>
      </c>
      <c r="G23" s="17">
        <v>7000</v>
      </c>
    </row>
    <row r="24" spans="1:7">
      <c r="A24">
        <v>11</v>
      </c>
      <c r="B24">
        <v>3</v>
      </c>
      <c r="C24" s="8">
        <v>43831</v>
      </c>
      <c r="D24" s="52" t="s">
        <v>82</v>
      </c>
      <c r="F24" s="17">
        <v>100000</v>
      </c>
    </row>
    <row r="25" spans="1:7">
      <c r="A25">
        <v>11</v>
      </c>
      <c r="E25" s="49" t="s">
        <v>103</v>
      </c>
      <c r="G25" s="17">
        <v>100000</v>
      </c>
    </row>
    <row r="26" spans="1:7">
      <c r="A26">
        <v>12</v>
      </c>
      <c r="B26">
        <v>3</v>
      </c>
      <c r="C26" s="8">
        <v>43831</v>
      </c>
      <c r="D26" s="52" t="s">
        <v>43</v>
      </c>
      <c r="F26" s="17">
        <v>40000</v>
      </c>
    </row>
    <row r="27" spans="1:7">
      <c r="A27">
        <v>12</v>
      </c>
      <c r="E27" s="54" t="s">
        <v>98</v>
      </c>
      <c r="G27" s="17">
        <v>40000</v>
      </c>
    </row>
    <row r="28" spans="1:7">
      <c r="A28">
        <v>13</v>
      </c>
      <c r="B28">
        <v>1</v>
      </c>
      <c r="C28" s="8">
        <v>43831</v>
      </c>
      <c r="D28" s="6" t="s">
        <v>29</v>
      </c>
      <c r="F28" s="17">
        <v>300000</v>
      </c>
    </row>
    <row r="29" spans="1:7">
      <c r="A29">
        <v>13</v>
      </c>
      <c r="E29" s="52" t="s">
        <v>38</v>
      </c>
      <c r="G29" s="17">
        <v>300000</v>
      </c>
    </row>
    <row r="30" spans="1:7">
      <c r="A30">
        <v>14</v>
      </c>
      <c r="B30">
        <v>5</v>
      </c>
      <c r="C30" s="8">
        <v>43831</v>
      </c>
      <c r="D30" s="54" t="s">
        <v>86</v>
      </c>
      <c r="F30" s="17">
        <v>120000</v>
      </c>
    </row>
    <row r="31" spans="1:7">
      <c r="A31">
        <v>14</v>
      </c>
      <c r="E31" s="49" t="s">
        <v>29</v>
      </c>
      <c r="G31" s="17">
        <v>120000</v>
      </c>
    </row>
    <row r="32" spans="1:7">
      <c r="A32">
        <v>15</v>
      </c>
      <c r="B32">
        <v>5</v>
      </c>
      <c r="C32" s="8">
        <v>43831</v>
      </c>
      <c r="D32" s="54" t="s">
        <v>104</v>
      </c>
      <c r="F32" s="17">
        <v>60000</v>
      </c>
    </row>
    <row r="33" spans="1:11">
      <c r="A33">
        <v>15</v>
      </c>
      <c r="E33" s="49" t="s">
        <v>29</v>
      </c>
      <c r="G33" s="17">
        <v>60000</v>
      </c>
    </row>
    <row r="35" spans="1:11">
      <c r="A35" t="s">
        <v>105</v>
      </c>
    </row>
    <row r="37" spans="1:11">
      <c r="A37" t="s">
        <v>20</v>
      </c>
      <c r="B37" t="s">
        <v>95</v>
      </c>
    </row>
    <row r="38" spans="1:11">
      <c r="A38">
        <v>1</v>
      </c>
      <c r="B38">
        <v>1</v>
      </c>
      <c r="C38" s="6" t="s">
        <v>29</v>
      </c>
      <c r="J38" t="s">
        <v>20</v>
      </c>
      <c r="K38" t="s">
        <v>106</v>
      </c>
    </row>
    <row r="39" spans="1:11">
      <c r="C39" s="8">
        <v>43831</v>
      </c>
      <c r="D39" s="17">
        <v>1000000</v>
      </c>
      <c r="E39">
        <v>1</v>
      </c>
      <c r="J39">
        <v>1</v>
      </c>
      <c r="K39" s="55">
        <f>SUM(D39:D45)-SUM(G39:G45)</f>
        <v>410000</v>
      </c>
    </row>
    <row r="40" spans="1:11">
      <c r="F40" s="8">
        <v>43831</v>
      </c>
      <c r="G40" s="17">
        <v>850000</v>
      </c>
      <c r="H40">
        <v>2</v>
      </c>
      <c r="J40">
        <v>2</v>
      </c>
      <c r="K40" s="55">
        <f>SUM(D48)-SUM(G48)</f>
        <v>120000</v>
      </c>
    </row>
    <row r="41" spans="1:11">
      <c r="C41" s="8">
        <v>43831</v>
      </c>
      <c r="D41" s="17">
        <v>160000</v>
      </c>
      <c r="E41">
        <v>4</v>
      </c>
      <c r="J41">
        <v>3</v>
      </c>
      <c r="K41" s="55">
        <f>SUM(D51)-SUM(G51)</f>
        <v>-100000</v>
      </c>
    </row>
    <row r="42" spans="1:11">
      <c r="F42" s="8">
        <v>43831</v>
      </c>
      <c r="G42" s="17">
        <v>20000</v>
      </c>
      <c r="H42">
        <v>6</v>
      </c>
      <c r="J42">
        <v>4</v>
      </c>
      <c r="K42" s="55">
        <f>SUM(D54:D55)-SUM(G54:G55)</f>
        <v>-1300000</v>
      </c>
    </row>
    <row r="43" spans="1:11">
      <c r="C43" s="8">
        <v>43831</v>
      </c>
      <c r="D43" s="17">
        <v>300000</v>
      </c>
      <c r="E43">
        <v>13</v>
      </c>
      <c r="J43">
        <v>5</v>
      </c>
      <c r="K43" s="55">
        <f>SUM(D58:D59)-SUM(G58:G59)</f>
        <v>-80000</v>
      </c>
    </row>
    <row r="44" spans="1:11">
      <c r="C44" s="8"/>
      <c r="D44" s="17"/>
      <c r="F44" s="8">
        <v>43831</v>
      </c>
      <c r="G44" s="17">
        <v>120000</v>
      </c>
      <c r="H44">
        <v>14</v>
      </c>
      <c r="J44">
        <v>6</v>
      </c>
      <c r="K44" s="55">
        <f>SUM(D62:D63)-SUM(G62:G63)</f>
        <v>93000</v>
      </c>
    </row>
    <row r="45" spans="1:11">
      <c r="C45" s="8"/>
      <c r="D45" s="17"/>
      <c r="F45" s="8">
        <v>43831</v>
      </c>
      <c r="G45" s="17">
        <v>60000</v>
      </c>
      <c r="H45">
        <v>15</v>
      </c>
      <c r="J45">
        <v>7</v>
      </c>
      <c r="K45" s="55">
        <f>SUM(D66:D68)-SUM(G66:G68)</f>
        <v>-320000</v>
      </c>
    </row>
    <row r="46" spans="1:11">
      <c r="J46">
        <v>8</v>
      </c>
      <c r="K46" s="55">
        <f>SUM(D71:D72)-SUM(G71:G72)</f>
        <v>970000</v>
      </c>
    </row>
    <row r="47" spans="1:11">
      <c r="A47">
        <v>2</v>
      </c>
      <c r="B47">
        <v>1</v>
      </c>
      <c r="C47" s="6" t="s">
        <v>99</v>
      </c>
      <c r="J47">
        <v>9</v>
      </c>
      <c r="K47" s="55">
        <f>SUM(D75)-SUM(G75)</f>
        <v>0</v>
      </c>
    </row>
    <row r="48" spans="1:11">
      <c r="C48" s="8">
        <v>43831</v>
      </c>
      <c r="D48" s="17">
        <v>120000</v>
      </c>
      <c r="E48">
        <v>5</v>
      </c>
      <c r="J48">
        <v>10</v>
      </c>
      <c r="K48" s="55">
        <f>SUM(D78)-SUM(G78)</f>
        <v>20000</v>
      </c>
    </row>
    <row r="49" spans="1:11">
      <c r="C49" s="8"/>
      <c r="D49" s="17"/>
      <c r="J49">
        <v>11</v>
      </c>
      <c r="K49" s="55">
        <f>SUM(D81:D82)-SUM(G81:G82)</f>
        <v>7000</v>
      </c>
    </row>
    <row r="50" spans="1:11">
      <c r="A50">
        <v>3</v>
      </c>
      <c r="B50">
        <v>2</v>
      </c>
      <c r="C50" s="49" t="s">
        <v>103</v>
      </c>
      <c r="D50" s="17"/>
      <c r="J50">
        <v>12</v>
      </c>
      <c r="K50" s="55">
        <f>SUM(D85)-SUM(G85)</f>
        <v>120000</v>
      </c>
    </row>
    <row r="51" spans="1:11">
      <c r="F51" s="8">
        <v>43831</v>
      </c>
      <c r="G51" s="17">
        <v>100000</v>
      </c>
      <c r="H51">
        <v>11</v>
      </c>
      <c r="J51">
        <v>13</v>
      </c>
      <c r="K51" s="55">
        <f>SUM(D88)-SUM(G88)</f>
        <v>60000</v>
      </c>
    </row>
    <row r="52" spans="1:11">
      <c r="J52" t="s">
        <v>107</v>
      </c>
      <c r="K52" s="55">
        <f>SUM(K39:K51)</f>
        <v>0</v>
      </c>
    </row>
    <row r="53" spans="1:11">
      <c r="A53">
        <v>4</v>
      </c>
      <c r="B53">
        <v>3</v>
      </c>
      <c r="C53" s="52" t="s">
        <v>38</v>
      </c>
    </row>
    <row r="54" spans="1:11">
      <c r="F54" s="8">
        <v>43831</v>
      </c>
      <c r="G54" s="17">
        <v>1000000</v>
      </c>
      <c r="H54">
        <v>1</v>
      </c>
    </row>
    <row r="55" spans="1:11">
      <c r="F55" s="8">
        <v>43831</v>
      </c>
      <c r="G55" s="17">
        <v>300000</v>
      </c>
      <c r="H55">
        <v>13</v>
      </c>
    </row>
    <row r="57" spans="1:11">
      <c r="A57">
        <v>5</v>
      </c>
      <c r="B57">
        <v>3</v>
      </c>
      <c r="C57" s="52" t="s">
        <v>43</v>
      </c>
    </row>
    <row r="58" spans="1:11">
      <c r="F58" s="8">
        <v>43831</v>
      </c>
      <c r="G58" s="17">
        <v>120000</v>
      </c>
      <c r="H58">
        <v>3</v>
      </c>
    </row>
    <row r="59" spans="1:11">
      <c r="C59" s="8">
        <v>43831</v>
      </c>
      <c r="D59" s="17">
        <v>40000</v>
      </c>
      <c r="E59">
        <v>12</v>
      </c>
    </row>
    <row r="61" spans="1:11">
      <c r="A61">
        <v>6</v>
      </c>
      <c r="B61">
        <v>3</v>
      </c>
      <c r="C61" s="52" t="s">
        <v>82</v>
      </c>
    </row>
    <row r="62" spans="1:11">
      <c r="F62" s="8">
        <v>43831</v>
      </c>
      <c r="G62" s="17">
        <v>7000</v>
      </c>
      <c r="H62">
        <v>10</v>
      </c>
    </row>
    <row r="63" spans="1:11">
      <c r="C63" s="8">
        <v>43831</v>
      </c>
      <c r="D63" s="17">
        <v>100000</v>
      </c>
      <c r="E63">
        <v>11</v>
      </c>
    </row>
    <row r="65" spans="1:8">
      <c r="A65">
        <v>7</v>
      </c>
      <c r="B65">
        <v>4</v>
      </c>
      <c r="C65" s="53" t="s">
        <v>98</v>
      </c>
    </row>
    <row r="66" spans="1:8">
      <c r="F66" s="8">
        <v>43831</v>
      </c>
      <c r="G66" s="17">
        <v>160000</v>
      </c>
      <c r="H66">
        <v>4</v>
      </c>
    </row>
    <row r="67" spans="1:8">
      <c r="F67" s="8">
        <v>43831</v>
      </c>
      <c r="G67" s="17">
        <v>120000</v>
      </c>
      <c r="H67">
        <v>5</v>
      </c>
    </row>
    <row r="68" spans="1:8">
      <c r="F68" s="8">
        <v>43831</v>
      </c>
      <c r="G68" s="17">
        <v>40000</v>
      </c>
      <c r="H68">
        <v>12</v>
      </c>
    </row>
    <row r="70" spans="1:8">
      <c r="A70">
        <v>8</v>
      </c>
      <c r="B70">
        <v>5</v>
      </c>
      <c r="C70" s="54" t="s">
        <v>97</v>
      </c>
    </row>
    <row r="71" spans="1:8">
      <c r="C71" s="8">
        <v>43831</v>
      </c>
      <c r="D71" s="17">
        <v>850000</v>
      </c>
      <c r="E71">
        <v>2</v>
      </c>
    </row>
    <row r="72" spans="1:8">
      <c r="C72" s="8">
        <v>43831</v>
      </c>
      <c r="D72" s="17">
        <v>120000</v>
      </c>
      <c r="E72">
        <v>3</v>
      </c>
    </row>
    <row r="74" spans="1:8">
      <c r="A74">
        <v>9</v>
      </c>
      <c r="B74">
        <v>5</v>
      </c>
      <c r="C74" s="54" t="s">
        <v>100</v>
      </c>
    </row>
    <row r="75" spans="1:8">
      <c r="C75" s="8">
        <v>43831</v>
      </c>
      <c r="D75" s="17">
        <v>20000</v>
      </c>
      <c r="E75">
        <v>6</v>
      </c>
      <c r="F75" s="8">
        <v>43831</v>
      </c>
      <c r="G75" s="17">
        <v>20000</v>
      </c>
      <c r="H75">
        <v>7</v>
      </c>
    </row>
    <row r="77" spans="1:8">
      <c r="A77">
        <v>10</v>
      </c>
      <c r="B77">
        <v>5</v>
      </c>
      <c r="C77" s="54" t="s">
        <v>101</v>
      </c>
    </row>
    <row r="78" spans="1:8">
      <c r="C78" s="8">
        <v>43831</v>
      </c>
      <c r="D78" s="17">
        <v>20000</v>
      </c>
      <c r="E78">
        <v>8</v>
      </c>
    </row>
    <row r="80" spans="1:8">
      <c r="A80">
        <v>11</v>
      </c>
      <c r="B80">
        <v>5</v>
      </c>
      <c r="C80" s="54" t="s">
        <v>33</v>
      </c>
    </row>
    <row r="81" spans="1:8">
      <c r="C81" s="8">
        <v>43831</v>
      </c>
      <c r="D81" s="17">
        <v>9000</v>
      </c>
      <c r="E81">
        <v>5</v>
      </c>
    </row>
    <row r="82" spans="1:8">
      <c r="F82" s="8">
        <v>43831</v>
      </c>
      <c r="G82" s="17">
        <v>2000</v>
      </c>
      <c r="H82">
        <v>9</v>
      </c>
    </row>
    <row r="84" spans="1:8">
      <c r="A84">
        <v>12</v>
      </c>
      <c r="B84">
        <v>5</v>
      </c>
      <c r="C84" s="54" t="s">
        <v>86</v>
      </c>
    </row>
    <row r="85" spans="1:8">
      <c r="C85" s="8">
        <v>43831</v>
      </c>
      <c r="D85" s="17">
        <v>120000</v>
      </c>
      <c r="E85">
        <v>14</v>
      </c>
    </row>
    <row r="87" spans="1:8">
      <c r="A87">
        <v>13</v>
      </c>
      <c r="B87">
        <v>5</v>
      </c>
      <c r="C87" s="54" t="s">
        <v>104</v>
      </c>
    </row>
    <row r="88" spans="1:8">
      <c r="C88" s="8">
        <v>43831</v>
      </c>
      <c r="D88" s="17">
        <v>60000</v>
      </c>
      <c r="E88">
        <v>15</v>
      </c>
    </row>
    <row r="90" spans="1:8">
      <c r="A90" t="s">
        <v>108</v>
      </c>
    </row>
    <row r="92" spans="1:8">
      <c r="C92" t="s">
        <v>109</v>
      </c>
    </row>
    <row r="93" spans="1:8">
      <c r="C93" t="s">
        <v>108</v>
      </c>
    </row>
    <row r="94" spans="1:8">
      <c r="C94" s="8">
        <v>44105</v>
      </c>
    </row>
    <row r="95" spans="1:8">
      <c r="A95" t="s">
        <v>20</v>
      </c>
      <c r="B95" t="s">
        <v>95</v>
      </c>
      <c r="C95" t="s">
        <v>96</v>
      </c>
      <c r="D95" t="s">
        <v>17</v>
      </c>
      <c r="E95" t="s">
        <v>19</v>
      </c>
    </row>
    <row r="96" spans="1:8">
      <c r="A96">
        <v>1</v>
      </c>
      <c r="B96">
        <v>1</v>
      </c>
      <c r="C96" s="6" t="s">
        <v>29</v>
      </c>
      <c r="D96" s="17">
        <v>410000</v>
      </c>
      <c r="E96" s="17"/>
    </row>
    <row r="97" spans="1:5">
      <c r="A97">
        <v>2</v>
      </c>
      <c r="B97">
        <v>1</v>
      </c>
      <c r="C97" s="6" t="s">
        <v>99</v>
      </c>
      <c r="D97" s="17">
        <v>120000</v>
      </c>
      <c r="E97" s="17"/>
    </row>
    <row r="98" spans="1:5">
      <c r="A98">
        <v>3</v>
      </c>
      <c r="B98">
        <v>2</v>
      </c>
      <c r="C98" s="49" t="s">
        <v>103</v>
      </c>
      <c r="D98" s="17"/>
      <c r="E98" s="17">
        <v>100000</v>
      </c>
    </row>
    <row r="99" spans="1:5">
      <c r="A99">
        <v>4</v>
      </c>
      <c r="B99">
        <v>3</v>
      </c>
      <c r="C99" s="52" t="s">
        <v>38</v>
      </c>
      <c r="D99" s="17"/>
      <c r="E99" s="17">
        <v>1300000</v>
      </c>
    </row>
    <row r="100" spans="1:5">
      <c r="A100">
        <v>5</v>
      </c>
      <c r="B100">
        <v>3</v>
      </c>
      <c r="C100" s="52" t="s">
        <v>43</v>
      </c>
      <c r="D100" s="17"/>
      <c r="E100" s="17">
        <v>80000</v>
      </c>
    </row>
    <row r="101" spans="1:5">
      <c r="A101">
        <v>6</v>
      </c>
      <c r="B101">
        <v>3</v>
      </c>
      <c r="C101" s="52" t="s">
        <v>82</v>
      </c>
      <c r="D101" s="17">
        <v>93000</v>
      </c>
      <c r="E101" s="17"/>
    </row>
    <row r="102" spans="1:5">
      <c r="A102">
        <v>7</v>
      </c>
      <c r="B102">
        <v>4</v>
      </c>
      <c r="C102" s="53" t="s">
        <v>98</v>
      </c>
      <c r="D102" s="17"/>
      <c r="E102" s="17">
        <v>320000</v>
      </c>
    </row>
    <row r="103" spans="1:5">
      <c r="A103">
        <v>8</v>
      </c>
      <c r="B103">
        <v>5</v>
      </c>
      <c r="C103" s="54" t="s">
        <v>97</v>
      </c>
      <c r="D103" s="17">
        <v>970000</v>
      </c>
      <c r="E103" s="17"/>
    </row>
    <row r="104" spans="1:5">
      <c r="A104">
        <v>9</v>
      </c>
      <c r="B104">
        <v>5</v>
      </c>
      <c r="C104" s="54" t="s">
        <v>100</v>
      </c>
      <c r="D104" s="17">
        <v>0</v>
      </c>
      <c r="E104" s="17"/>
    </row>
    <row r="105" spans="1:5">
      <c r="A105">
        <v>10</v>
      </c>
      <c r="B105">
        <v>5</v>
      </c>
      <c r="C105" s="54" t="s">
        <v>101</v>
      </c>
      <c r="D105" s="17">
        <v>20000</v>
      </c>
      <c r="E105" s="17"/>
    </row>
    <row r="106" spans="1:5">
      <c r="A106">
        <v>11</v>
      </c>
      <c r="B106">
        <v>5</v>
      </c>
      <c r="C106" s="54" t="s">
        <v>33</v>
      </c>
      <c r="D106" s="17">
        <v>7000</v>
      </c>
      <c r="E106" s="17"/>
    </row>
    <row r="107" spans="1:5">
      <c r="A107">
        <v>12</v>
      </c>
      <c r="B107">
        <v>5</v>
      </c>
      <c r="C107" s="54" t="s">
        <v>86</v>
      </c>
      <c r="D107" s="17">
        <v>120000</v>
      </c>
      <c r="E107" s="17"/>
    </row>
    <row r="108" spans="1:5">
      <c r="A108">
        <v>13</v>
      </c>
      <c r="B108">
        <v>5</v>
      </c>
      <c r="C108" s="54" t="s">
        <v>104</v>
      </c>
      <c r="D108" s="17">
        <v>60000</v>
      </c>
      <c r="E108" s="17"/>
    </row>
    <row r="109" spans="1:5">
      <c r="C109" t="s">
        <v>107</v>
      </c>
      <c r="D109" s="17">
        <f>SUM(D96:D108)</f>
        <v>1800000</v>
      </c>
      <c r="E109" s="17">
        <f>SUM(E96:E108)</f>
        <v>1800000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DEF84-B9AF-4D4D-BEBE-19DB0E442104}">
  <dimension ref="A1:Z5"/>
  <sheetViews>
    <sheetView workbookViewId="0"/>
  </sheetViews>
  <sheetFormatPr defaultRowHeight="16.5"/>
  <cols>
    <col min="1" max="1" width="22.875" bestFit="1" customWidth="1"/>
    <col min="3" max="3" width="13.5" bestFit="1" customWidth="1"/>
    <col min="8" max="8" width="10.125" bestFit="1" customWidth="1"/>
    <col min="10" max="11" width="10.125" bestFit="1" customWidth="1"/>
    <col min="13" max="13" width="10.125" bestFit="1" customWidth="1"/>
    <col min="65" max="65" width="22.875" bestFit="1" customWidth="1"/>
  </cols>
  <sheetData>
    <row r="1" spans="1:26">
      <c r="A1" t="s">
        <v>110</v>
      </c>
      <c r="C1" t="s">
        <v>29</v>
      </c>
      <c r="H1" t="s">
        <v>38</v>
      </c>
      <c r="M1" t="s">
        <v>111</v>
      </c>
      <c r="R1" t="s">
        <v>112</v>
      </c>
      <c r="W1" t="s">
        <v>113</v>
      </c>
    </row>
    <row r="2" spans="1:26">
      <c r="A2" t="s">
        <v>114</v>
      </c>
      <c r="C2" s="2">
        <v>500000</v>
      </c>
      <c r="D2" s="4">
        <v>1</v>
      </c>
      <c r="E2" s="2"/>
      <c r="F2" s="3"/>
      <c r="H2" s="2"/>
      <c r="I2" s="4"/>
      <c r="J2" s="2">
        <v>500000</v>
      </c>
      <c r="K2" s="3">
        <v>1</v>
      </c>
      <c r="M2" s="2">
        <v>20000</v>
      </c>
      <c r="N2" s="4">
        <v>2</v>
      </c>
      <c r="O2" s="2"/>
      <c r="P2" s="3"/>
      <c r="R2" s="2"/>
      <c r="S2" s="4"/>
      <c r="T2" s="2">
        <v>10000</v>
      </c>
      <c r="U2" s="3">
        <v>4</v>
      </c>
      <c r="W2" s="2">
        <v>10000</v>
      </c>
      <c r="X2" s="4">
        <v>4</v>
      </c>
      <c r="Y2" s="2"/>
      <c r="Z2" s="3"/>
    </row>
    <row r="3" spans="1:26">
      <c r="A3" t="s">
        <v>115</v>
      </c>
      <c r="D3" s="5"/>
      <c r="E3" s="1">
        <v>20000</v>
      </c>
      <c r="F3">
        <v>2</v>
      </c>
      <c r="I3" s="5"/>
      <c r="J3" s="1">
        <v>1000000</v>
      </c>
      <c r="K3">
        <v>3</v>
      </c>
      <c r="M3" s="1">
        <v>1000000</v>
      </c>
      <c r="N3" s="5">
        <v>3</v>
      </c>
    </row>
    <row r="4" spans="1:26">
      <c r="A4" t="s">
        <v>116</v>
      </c>
    </row>
    <row r="5" spans="1:26">
      <c r="A5" t="s">
        <v>117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E602-3082-4CCA-A94A-5BA29D1A233B}">
  <dimension ref="A2:M80"/>
  <sheetViews>
    <sheetView workbookViewId="0">
      <selection activeCell="I9" sqref="A1:XFD1048576"/>
    </sheetView>
  </sheetViews>
  <sheetFormatPr defaultRowHeight="16.5"/>
  <cols>
    <col min="3" max="3" width="16.25" bestFit="1" customWidth="1"/>
    <col min="4" max="4" width="14" bestFit="1" customWidth="1"/>
    <col min="5" max="5" width="16.25" bestFit="1" customWidth="1"/>
    <col min="6" max="6" width="9.62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44228</v>
      </c>
      <c r="D4" s="6" t="s">
        <v>29</v>
      </c>
      <c r="F4" s="17">
        <v>400000</v>
      </c>
    </row>
    <row r="5" spans="1:7">
      <c r="A5">
        <v>1</v>
      </c>
      <c r="E5" s="52" t="s">
        <v>38</v>
      </c>
      <c r="G5" s="17">
        <v>400000</v>
      </c>
    </row>
    <row r="6" spans="1:7">
      <c r="A6">
        <v>2</v>
      </c>
      <c r="B6">
        <v>1</v>
      </c>
      <c r="C6" s="8">
        <v>44228</v>
      </c>
      <c r="D6" s="6" t="s">
        <v>118</v>
      </c>
      <c r="F6" s="17">
        <v>3600</v>
      </c>
    </row>
    <row r="7" spans="1:7">
      <c r="A7">
        <v>2</v>
      </c>
      <c r="D7" s="6" t="s">
        <v>119</v>
      </c>
      <c r="F7" s="17">
        <v>120000</v>
      </c>
    </row>
    <row r="8" spans="1:7">
      <c r="A8">
        <v>2</v>
      </c>
      <c r="C8" s="8"/>
      <c r="E8" s="49" t="s">
        <v>29</v>
      </c>
      <c r="G8" s="17">
        <v>123600</v>
      </c>
    </row>
    <row r="9" spans="1:7">
      <c r="A9">
        <v>3</v>
      </c>
      <c r="B9">
        <v>5</v>
      </c>
      <c r="C9" s="8">
        <v>44229</v>
      </c>
      <c r="D9" s="54" t="s">
        <v>97</v>
      </c>
      <c r="F9" s="17">
        <v>160000</v>
      </c>
    </row>
    <row r="10" spans="1:7">
      <c r="A10">
        <v>3</v>
      </c>
      <c r="E10" s="49" t="s">
        <v>120</v>
      </c>
      <c r="G10" s="17">
        <v>160000</v>
      </c>
    </row>
    <row r="11" spans="1:7">
      <c r="A11">
        <v>4</v>
      </c>
      <c r="B11">
        <v>5</v>
      </c>
      <c r="C11" s="8">
        <v>44231</v>
      </c>
      <c r="D11" s="54" t="s">
        <v>121</v>
      </c>
      <c r="F11" s="17">
        <v>14000</v>
      </c>
    </row>
    <row r="12" spans="1:7">
      <c r="A12">
        <v>4</v>
      </c>
      <c r="E12" s="49" t="s">
        <v>29</v>
      </c>
      <c r="G12" s="17">
        <v>14000</v>
      </c>
    </row>
    <row r="13" spans="1:7">
      <c r="A13">
        <v>5</v>
      </c>
      <c r="B13">
        <v>1</v>
      </c>
      <c r="C13" s="8">
        <v>44241</v>
      </c>
      <c r="D13" s="6" t="s">
        <v>29</v>
      </c>
      <c r="F13" s="17">
        <v>95000</v>
      </c>
    </row>
    <row r="14" spans="1:7">
      <c r="A14">
        <v>5</v>
      </c>
      <c r="E14" s="56" t="s">
        <v>122</v>
      </c>
      <c r="F14" s="17"/>
      <c r="G14" s="17">
        <v>95000</v>
      </c>
    </row>
    <row r="15" spans="1:7">
      <c r="A15">
        <v>6</v>
      </c>
      <c r="B15">
        <v>5</v>
      </c>
      <c r="C15" s="8">
        <v>44245</v>
      </c>
      <c r="D15" s="54" t="s">
        <v>101</v>
      </c>
      <c r="F15" s="17">
        <v>20000</v>
      </c>
    </row>
    <row r="16" spans="1:7">
      <c r="A16">
        <v>6</v>
      </c>
      <c r="E16" s="49" t="s">
        <v>29</v>
      </c>
      <c r="G16" s="17">
        <v>20000</v>
      </c>
    </row>
    <row r="17" spans="1:11">
      <c r="A17">
        <v>7</v>
      </c>
      <c r="B17">
        <v>1</v>
      </c>
      <c r="C17" s="8">
        <v>44250</v>
      </c>
      <c r="D17" s="6" t="s">
        <v>99</v>
      </c>
      <c r="F17" s="17">
        <v>130000</v>
      </c>
    </row>
    <row r="18" spans="1:11">
      <c r="A18">
        <v>7</v>
      </c>
      <c r="E18" s="56" t="s">
        <v>122</v>
      </c>
      <c r="G18" s="17">
        <v>130000</v>
      </c>
    </row>
    <row r="19" spans="1:11">
      <c r="A19">
        <v>8</v>
      </c>
      <c r="B19">
        <v>5</v>
      </c>
      <c r="C19" s="8">
        <v>44255</v>
      </c>
      <c r="D19" s="54" t="s">
        <v>86</v>
      </c>
      <c r="F19" s="17">
        <v>180000</v>
      </c>
    </row>
    <row r="20" spans="1:11">
      <c r="A20">
        <v>8</v>
      </c>
      <c r="E20" s="49" t="s">
        <v>29</v>
      </c>
      <c r="G20" s="17">
        <v>180000</v>
      </c>
    </row>
    <row r="22" spans="1:11">
      <c r="A22" t="s">
        <v>105</v>
      </c>
    </row>
    <row r="24" spans="1:11">
      <c r="A24" t="s">
        <v>20</v>
      </c>
      <c r="B24" t="s">
        <v>95</v>
      </c>
    </row>
    <row r="25" spans="1:11">
      <c r="A25">
        <v>1</v>
      </c>
      <c r="B25">
        <v>1</v>
      </c>
      <c r="C25" s="6" t="s">
        <v>29</v>
      </c>
      <c r="J25" t="s">
        <v>20</v>
      </c>
      <c r="K25" t="s">
        <v>106</v>
      </c>
    </row>
    <row r="26" spans="1:11">
      <c r="C26" s="8">
        <v>44228</v>
      </c>
      <c r="D26" s="17">
        <v>400000</v>
      </c>
      <c r="E26">
        <v>1</v>
      </c>
      <c r="J26">
        <v>1</v>
      </c>
      <c r="K26" s="51">
        <f>SUM(D26:D31)-SUM(G26:G31)</f>
        <v>157400</v>
      </c>
    </row>
    <row r="27" spans="1:11">
      <c r="C27" s="8"/>
      <c r="D27" s="17"/>
      <c r="F27" s="8">
        <v>44228</v>
      </c>
      <c r="G27" s="17">
        <v>123600</v>
      </c>
      <c r="H27">
        <v>2</v>
      </c>
      <c r="J27">
        <v>2</v>
      </c>
      <c r="K27" s="51">
        <f>SUM(D34)-SUM(G34)</f>
        <v>3600</v>
      </c>
    </row>
    <row r="28" spans="1:11">
      <c r="F28" s="8">
        <v>44231</v>
      </c>
      <c r="G28" s="17">
        <v>14000</v>
      </c>
      <c r="H28">
        <v>4</v>
      </c>
      <c r="J28">
        <v>3</v>
      </c>
      <c r="K28" s="51">
        <f>SUM(D37)-SUM(G37)</f>
        <v>120000</v>
      </c>
    </row>
    <row r="29" spans="1:11">
      <c r="C29" s="8">
        <v>44241</v>
      </c>
      <c r="D29" s="17">
        <v>95000</v>
      </c>
      <c r="E29">
        <v>5</v>
      </c>
      <c r="J29">
        <v>4</v>
      </c>
      <c r="K29" s="51">
        <f>SUM(D40)-SUM(G40)</f>
        <v>130000</v>
      </c>
    </row>
    <row r="30" spans="1:11">
      <c r="F30" s="8">
        <v>44245</v>
      </c>
      <c r="G30" s="17">
        <v>20000</v>
      </c>
      <c r="H30">
        <v>6</v>
      </c>
      <c r="J30">
        <v>5</v>
      </c>
      <c r="K30" s="51">
        <f>SUM(D43)-SUM(G43)</f>
        <v>-160000</v>
      </c>
    </row>
    <row r="31" spans="1:11">
      <c r="F31" s="8">
        <v>44255</v>
      </c>
      <c r="G31" s="17">
        <v>180000</v>
      </c>
      <c r="H31">
        <v>8</v>
      </c>
      <c r="J31">
        <v>6</v>
      </c>
      <c r="K31" s="51">
        <f>SUM(D46)-SUM(G46)</f>
        <v>-400000</v>
      </c>
    </row>
    <row r="32" spans="1:11">
      <c r="J32">
        <v>7</v>
      </c>
      <c r="K32" s="51">
        <f>SUM(D49:D50)-SUM(G49:G50)</f>
        <v>-225000</v>
      </c>
    </row>
    <row r="33" spans="1:11">
      <c r="A33">
        <v>2</v>
      </c>
      <c r="B33">
        <v>1</v>
      </c>
      <c r="C33" s="6" t="s">
        <v>118</v>
      </c>
      <c r="J33">
        <v>8</v>
      </c>
      <c r="K33" s="51">
        <f>SUM(D53)-SUM(G53)</f>
        <v>160000</v>
      </c>
    </row>
    <row r="34" spans="1:11">
      <c r="C34" s="8">
        <v>44228</v>
      </c>
      <c r="D34" s="17">
        <v>3600</v>
      </c>
      <c r="E34">
        <v>2</v>
      </c>
      <c r="J34">
        <v>9</v>
      </c>
      <c r="K34" s="51">
        <f>SUM(D56)-SUM(G56)</f>
        <v>14000</v>
      </c>
    </row>
    <row r="35" spans="1:11">
      <c r="J35">
        <v>10</v>
      </c>
      <c r="K35" s="51">
        <f>SUM(D59)-SUM(G59)</f>
        <v>20000</v>
      </c>
    </row>
    <row r="36" spans="1:11">
      <c r="A36">
        <v>3</v>
      </c>
      <c r="B36">
        <v>1</v>
      </c>
      <c r="C36" s="6" t="s">
        <v>119</v>
      </c>
      <c r="J36">
        <v>11</v>
      </c>
      <c r="K36" s="51">
        <f>SUM(D62)-SUM(G62)</f>
        <v>180000</v>
      </c>
    </row>
    <row r="37" spans="1:11">
      <c r="C37" s="8">
        <v>44228</v>
      </c>
      <c r="D37" s="17">
        <v>120000</v>
      </c>
      <c r="E37">
        <v>2</v>
      </c>
      <c r="J37" t="s">
        <v>107</v>
      </c>
      <c r="K37" s="51">
        <f>SUM(K26:K36)</f>
        <v>0</v>
      </c>
    </row>
    <row r="39" spans="1:11">
      <c r="A39">
        <v>4</v>
      </c>
      <c r="B39">
        <v>1</v>
      </c>
      <c r="C39" s="6" t="s">
        <v>99</v>
      </c>
    </row>
    <row r="40" spans="1:11">
      <c r="C40" s="8">
        <v>44250</v>
      </c>
      <c r="D40" s="17">
        <v>130000</v>
      </c>
      <c r="E40">
        <v>7</v>
      </c>
    </row>
    <row r="42" spans="1:11">
      <c r="A42">
        <v>5</v>
      </c>
      <c r="B42">
        <v>2</v>
      </c>
      <c r="C42" s="49" t="s">
        <v>120</v>
      </c>
    </row>
    <row r="43" spans="1:11">
      <c r="F43" s="8">
        <v>44229</v>
      </c>
      <c r="G43" s="17">
        <v>160000</v>
      </c>
      <c r="H43">
        <v>3</v>
      </c>
    </row>
    <row r="45" spans="1:11">
      <c r="A45">
        <v>6</v>
      </c>
      <c r="B45">
        <v>3</v>
      </c>
      <c r="C45" s="52" t="s">
        <v>38</v>
      </c>
    </row>
    <row r="46" spans="1:11">
      <c r="F46" s="8">
        <v>44228</v>
      </c>
      <c r="G46" s="17">
        <v>400000</v>
      </c>
      <c r="H46">
        <v>1</v>
      </c>
    </row>
    <row r="48" spans="1:11">
      <c r="A48">
        <v>7</v>
      </c>
      <c r="B48">
        <v>4</v>
      </c>
      <c r="C48" s="56" t="s">
        <v>122</v>
      </c>
    </row>
    <row r="49" spans="1:8">
      <c r="F49" s="8">
        <v>44241</v>
      </c>
      <c r="G49" s="17">
        <v>95000</v>
      </c>
      <c r="H49">
        <v>5</v>
      </c>
    </row>
    <row r="50" spans="1:8">
      <c r="F50" s="8">
        <v>44250</v>
      </c>
      <c r="G50" s="17">
        <v>130000</v>
      </c>
      <c r="H50">
        <v>7</v>
      </c>
    </row>
    <row r="52" spans="1:8">
      <c r="A52">
        <v>8</v>
      </c>
      <c r="B52">
        <v>5</v>
      </c>
      <c r="C52" s="54" t="s">
        <v>97</v>
      </c>
    </row>
    <row r="53" spans="1:8">
      <c r="C53" s="8">
        <v>44229</v>
      </c>
      <c r="D53" s="17">
        <v>160000</v>
      </c>
      <c r="E53">
        <v>3</v>
      </c>
    </row>
    <row r="55" spans="1:8">
      <c r="A55">
        <v>9</v>
      </c>
      <c r="B55">
        <v>5</v>
      </c>
      <c r="C55" s="54" t="s">
        <v>121</v>
      </c>
    </row>
    <row r="56" spans="1:8">
      <c r="C56" s="8">
        <v>44231</v>
      </c>
      <c r="D56" s="17">
        <v>14000</v>
      </c>
      <c r="E56">
        <v>4</v>
      </c>
    </row>
    <row r="58" spans="1:8">
      <c r="A58">
        <v>10</v>
      </c>
      <c r="B58">
        <v>5</v>
      </c>
      <c r="C58" s="54" t="s">
        <v>101</v>
      </c>
    </row>
    <row r="59" spans="1:8">
      <c r="C59" s="8">
        <v>44245</v>
      </c>
      <c r="D59" s="17">
        <v>20000</v>
      </c>
      <c r="E59">
        <v>6</v>
      </c>
    </row>
    <row r="61" spans="1:8">
      <c r="A61">
        <v>11</v>
      </c>
      <c r="B61">
        <v>5</v>
      </c>
      <c r="C61" s="54" t="s">
        <v>86</v>
      </c>
    </row>
    <row r="62" spans="1:8">
      <c r="C62" s="8">
        <v>44255</v>
      </c>
      <c r="D62" s="17">
        <v>180000</v>
      </c>
      <c r="E62">
        <v>8</v>
      </c>
    </row>
    <row r="64" spans="1:8">
      <c r="A64" t="s">
        <v>108</v>
      </c>
    </row>
    <row r="66" spans="1:13">
      <c r="D66" t="s">
        <v>123</v>
      </c>
    </row>
    <row r="67" spans="1:13">
      <c r="D67" t="s">
        <v>108</v>
      </c>
    </row>
    <row r="68" spans="1:13">
      <c r="A68" t="s">
        <v>20</v>
      </c>
      <c r="B68" t="s">
        <v>95</v>
      </c>
      <c r="C68" t="s">
        <v>96</v>
      </c>
      <c r="D68" t="s">
        <v>17</v>
      </c>
      <c r="E68" t="s">
        <v>19</v>
      </c>
    </row>
    <row r="69" spans="1:13">
      <c r="C69" s="6" t="s">
        <v>29</v>
      </c>
      <c r="D69" s="43">
        <v>157400</v>
      </c>
      <c r="E69" s="43"/>
    </row>
    <row r="70" spans="1:13">
      <c r="C70" s="6" t="s">
        <v>118</v>
      </c>
      <c r="D70" s="43">
        <v>3600</v>
      </c>
      <c r="E70" s="43"/>
    </row>
    <row r="71" spans="1:13">
      <c r="C71" s="6" t="s">
        <v>119</v>
      </c>
      <c r="D71" s="43">
        <v>120000</v>
      </c>
      <c r="E71" s="43"/>
    </row>
    <row r="72" spans="1:13">
      <c r="C72" s="6" t="s">
        <v>99</v>
      </c>
      <c r="D72" s="43">
        <v>130000</v>
      </c>
      <c r="E72" s="43"/>
    </row>
    <row r="73" spans="1:13">
      <c r="C73" s="49" t="s">
        <v>120</v>
      </c>
      <c r="D73" s="43"/>
      <c r="E73" s="43">
        <v>160000</v>
      </c>
      <c r="M73" s="17"/>
    </row>
    <row r="74" spans="1:13">
      <c r="C74" s="52" t="s">
        <v>38</v>
      </c>
      <c r="D74" s="43"/>
      <c r="E74" s="43">
        <v>400000</v>
      </c>
    </row>
    <row r="75" spans="1:13">
      <c r="C75" s="56" t="s">
        <v>122</v>
      </c>
      <c r="D75" s="43"/>
      <c r="E75" s="43">
        <v>225000</v>
      </c>
    </row>
    <row r="76" spans="1:13">
      <c r="C76" s="54" t="s">
        <v>97</v>
      </c>
      <c r="D76" s="43">
        <v>160000</v>
      </c>
      <c r="E76" s="43"/>
    </row>
    <row r="77" spans="1:13">
      <c r="C77" s="54" t="s">
        <v>121</v>
      </c>
      <c r="D77" s="43">
        <v>14000</v>
      </c>
      <c r="E77" s="43"/>
    </row>
    <row r="78" spans="1:13">
      <c r="C78" s="54" t="s">
        <v>101</v>
      </c>
      <c r="D78" s="43">
        <v>20000</v>
      </c>
      <c r="E78" s="43"/>
    </row>
    <row r="79" spans="1:13">
      <c r="C79" s="54" t="s">
        <v>86</v>
      </c>
      <c r="D79" s="43">
        <v>180000</v>
      </c>
      <c r="E79" s="43"/>
    </row>
    <row r="80" spans="1:13">
      <c r="C80" t="s">
        <v>107</v>
      </c>
      <c r="D80" s="43">
        <f>SUM(D69:D79)</f>
        <v>785000</v>
      </c>
      <c r="E80" s="43">
        <f>SUM(E69:E79)</f>
        <v>785000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16E7-4189-4169-AE63-10A06CD8CD58}">
  <dimension ref="A1:M88"/>
  <sheetViews>
    <sheetView topLeftCell="A71" workbookViewId="0">
      <selection activeCell="F79" sqref="A1:XFD1048576"/>
    </sheetView>
  </sheetViews>
  <sheetFormatPr defaultRowHeight="16.5"/>
  <cols>
    <col min="3" max="3" width="16.25" bestFit="1" customWidth="1"/>
    <col min="4" max="4" width="11.75" bestFit="1" customWidth="1"/>
    <col min="5" max="5" width="16.25" bestFit="1" customWidth="1"/>
    <col min="6" max="6" width="10.625" bestFit="1" customWidth="1"/>
  </cols>
  <sheetData>
    <row r="1" spans="1:7">
      <c r="A1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44105</v>
      </c>
      <c r="D4" s="6" t="s">
        <v>29</v>
      </c>
      <c r="F4" s="17">
        <v>200000</v>
      </c>
    </row>
    <row r="5" spans="1:7">
      <c r="A5">
        <v>1</v>
      </c>
      <c r="E5" s="57" t="s">
        <v>38</v>
      </c>
      <c r="G5" s="17">
        <v>200000</v>
      </c>
    </row>
    <row r="6" spans="1:7">
      <c r="A6">
        <v>2</v>
      </c>
      <c r="B6">
        <v>1</v>
      </c>
      <c r="C6" s="8">
        <v>44106</v>
      </c>
      <c r="D6" s="6" t="s">
        <v>52</v>
      </c>
      <c r="F6" s="17">
        <v>400000</v>
      </c>
    </row>
    <row r="7" spans="1:7">
      <c r="A7">
        <v>2</v>
      </c>
      <c r="E7" s="49" t="s">
        <v>29</v>
      </c>
      <c r="G7" s="17">
        <v>80000</v>
      </c>
    </row>
    <row r="8" spans="1:7">
      <c r="A8">
        <v>2</v>
      </c>
      <c r="E8" s="49" t="s">
        <v>103</v>
      </c>
      <c r="F8" s="17"/>
      <c r="G8" s="17">
        <v>320000</v>
      </c>
    </row>
    <row r="9" spans="1:7">
      <c r="A9">
        <v>3</v>
      </c>
      <c r="B9">
        <v>1</v>
      </c>
      <c r="C9" s="8">
        <v>44106</v>
      </c>
      <c r="D9" s="6" t="s">
        <v>118</v>
      </c>
      <c r="F9" s="17">
        <v>18000</v>
      </c>
    </row>
    <row r="10" spans="1:7">
      <c r="A10">
        <v>3</v>
      </c>
      <c r="E10" s="49" t="s">
        <v>29</v>
      </c>
      <c r="F10" s="17"/>
      <c r="G10" s="17">
        <v>18000</v>
      </c>
    </row>
    <row r="11" spans="1:7">
      <c r="A11">
        <v>4</v>
      </c>
      <c r="B11">
        <v>5</v>
      </c>
      <c r="C11" s="8">
        <v>44112</v>
      </c>
      <c r="D11" s="54" t="s">
        <v>124</v>
      </c>
      <c r="F11" s="17">
        <v>3000</v>
      </c>
    </row>
    <row r="12" spans="1:7">
      <c r="A12">
        <v>4</v>
      </c>
      <c r="E12" s="49" t="s">
        <v>125</v>
      </c>
      <c r="G12" s="17">
        <v>3000</v>
      </c>
    </row>
    <row r="13" spans="1:7">
      <c r="A13">
        <v>5</v>
      </c>
      <c r="B13">
        <v>1</v>
      </c>
      <c r="C13" s="8">
        <v>44119</v>
      </c>
      <c r="D13" s="6" t="s">
        <v>29</v>
      </c>
      <c r="F13" s="17">
        <v>50000</v>
      </c>
    </row>
    <row r="14" spans="1:7">
      <c r="A14">
        <v>5</v>
      </c>
      <c r="E14" s="56" t="s">
        <v>126</v>
      </c>
      <c r="G14" s="17">
        <v>50000</v>
      </c>
    </row>
    <row r="15" spans="1:7">
      <c r="A15">
        <v>6</v>
      </c>
      <c r="B15">
        <v>1</v>
      </c>
      <c r="C15" s="8">
        <v>44121</v>
      </c>
      <c r="D15" s="6" t="s">
        <v>127</v>
      </c>
      <c r="F15" s="17">
        <v>100000</v>
      </c>
    </row>
    <row r="16" spans="1:7">
      <c r="A16">
        <v>6</v>
      </c>
      <c r="E16" s="56" t="s">
        <v>126</v>
      </c>
      <c r="F16" s="17"/>
      <c r="G16" s="17">
        <v>100000</v>
      </c>
    </row>
    <row r="17" spans="1:11">
      <c r="A17">
        <v>7</v>
      </c>
      <c r="B17">
        <v>5</v>
      </c>
      <c r="C17" s="8">
        <v>44125</v>
      </c>
      <c r="D17" s="54" t="s">
        <v>33</v>
      </c>
      <c r="F17" s="17">
        <v>4000</v>
      </c>
    </row>
    <row r="18" spans="1:11">
      <c r="A18">
        <v>7</v>
      </c>
      <c r="E18" s="49" t="s">
        <v>29</v>
      </c>
      <c r="G18" s="17">
        <v>4000</v>
      </c>
    </row>
    <row r="19" spans="1:11">
      <c r="A19">
        <v>8</v>
      </c>
      <c r="B19">
        <v>5</v>
      </c>
      <c r="C19" s="8">
        <v>44134</v>
      </c>
      <c r="D19" s="54" t="s">
        <v>101</v>
      </c>
      <c r="F19" s="17">
        <v>6000</v>
      </c>
    </row>
    <row r="20" spans="1:11">
      <c r="A20">
        <v>8</v>
      </c>
      <c r="E20" s="49" t="s">
        <v>29</v>
      </c>
      <c r="G20" s="17">
        <v>6000</v>
      </c>
    </row>
    <row r="21" spans="1:11">
      <c r="A21">
        <v>9</v>
      </c>
      <c r="B21">
        <v>5</v>
      </c>
      <c r="C21" s="8">
        <v>44135</v>
      </c>
      <c r="D21" s="54" t="s">
        <v>86</v>
      </c>
      <c r="F21" s="17">
        <v>70000</v>
      </c>
    </row>
    <row r="22" spans="1:11">
      <c r="A22">
        <v>9</v>
      </c>
      <c r="E22" s="49" t="s">
        <v>29</v>
      </c>
      <c r="G22" s="17">
        <v>70000</v>
      </c>
    </row>
    <row r="24" spans="1:11">
      <c r="A24" t="s">
        <v>105</v>
      </c>
    </row>
    <row r="26" spans="1:11">
      <c r="A26" t="s">
        <v>20</v>
      </c>
      <c r="B26" t="s">
        <v>95</v>
      </c>
      <c r="J26" t="s">
        <v>20</v>
      </c>
      <c r="K26" t="s">
        <v>106</v>
      </c>
    </row>
    <row r="27" spans="1:11">
      <c r="A27">
        <v>1</v>
      </c>
      <c r="B27">
        <v>1</v>
      </c>
      <c r="C27" s="6" t="s">
        <v>29</v>
      </c>
      <c r="J27">
        <v>1</v>
      </c>
      <c r="K27" s="51">
        <f>SUM(D28:D34)-SUM(G28:G34)</f>
        <v>72000</v>
      </c>
    </row>
    <row r="28" spans="1:11">
      <c r="C28" s="8">
        <v>44105</v>
      </c>
      <c r="D28" s="17">
        <v>200000</v>
      </c>
      <c r="E28">
        <v>1</v>
      </c>
      <c r="J28">
        <v>2</v>
      </c>
      <c r="K28" s="51">
        <f>SUM(D37)-SUM(G37)</f>
        <v>400000</v>
      </c>
    </row>
    <row r="29" spans="1:11">
      <c r="F29" s="8">
        <v>44106</v>
      </c>
      <c r="G29" s="17">
        <v>80000</v>
      </c>
      <c r="H29">
        <v>2</v>
      </c>
      <c r="J29">
        <v>3</v>
      </c>
      <c r="K29" s="51">
        <f>SUM(D40)-SUM(G40)</f>
        <v>18000</v>
      </c>
    </row>
    <row r="30" spans="1:11">
      <c r="F30" s="8">
        <v>44106</v>
      </c>
      <c r="G30" s="17">
        <v>18000</v>
      </c>
      <c r="H30">
        <v>3</v>
      </c>
      <c r="J30">
        <v>4</v>
      </c>
      <c r="K30" s="51">
        <f>SUM(D43)-SUM(G43)</f>
        <v>100000</v>
      </c>
    </row>
    <row r="31" spans="1:11">
      <c r="C31" s="8">
        <v>44119</v>
      </c>
      <c r="D31" s="17">
        <v>50000</v>
      </c>
      <c r="E31">
        <v>5</v>
      </c>
      <c r="J31">
        <v>5</v>
      </c>
      <c r="K31" s="51">
        <f>SUM(D46)-SUM(G46)</f>
        <v>-320000</v>
      </c>
    </row>
    <row r="32" spans="1:11">
      <c r="F32" s="8">
        <v>44125</v>
      </c>
      <c r="G32" s="17">
        <v>4000</v>
      </c>
      <c r="H32">
        <v>7</v>
      </c>
      <c r="J32">
        <v>6</v>
      </c>
      <c r="K32" s="51">
        <f>SUM(D49)-SUM(G49)</f>
        <v>-3000</v>
      </c>
    </row>
    <row r="33" spans="1:13">
      <c r="F33" s="8">
        <v>44134</v>
      </c>
      <c r="G33" s="17">
        <v>6000</v>
      </c>
      <c r="H33">
        <v>8</v>
      </c>
      <c r="J33">
        <v>7</v>
      </c>
      <c r="K33" s="51">
        <f>SUM(D52)-SUM(G52)</f>
        <v>-200000</v>
      </c>
      <c r="M33" s="51"/>
    </row>
    <row r="34" spans="1:13">
      <c r="F34" s="8">
        <v>44135</v>
      </c>
      <c r="G34" s="17">
        <v>70000</v>
      </c>
      <c r="H34">
        <v>9</v>
      </c>
      <c r="J34">
        <v>8</v>
      </c>
      <c r="K34" s="51">
        <f>SUM(D55:D56)-SUM(G55:G56)</f>
        <v>-150000</v>
      </c>
    </row>
    <row r="35" spans="1:13">
      <c r="F35" s="8"/>
      <c r="G35" s="17"/>
      <c r="J35">
        <v>9</v>
      </c>
      <c r="K35" s="51">
        <f>SUM(D59)-SUM(G59)</f>
        <v>3000</v>
      </c>
    </row>
    <row r="36" spans="1:13">
      <c r="A36">
        <v>2</v>
      </c>
      <c r="B36">
        <v>1</v>
      </c>
      <c r="C36" s="6" t="s">
        <v>52</v>
      </c>
      <c r="F36" s="8"/>
      <c r="G36" s="17"/>
      <c r="J36">
        <v>10</v>
      </c>
      <c r="K36" s="51">
        <f>SUM(D62)-SUM(G62)</f>
        <v>4000</v>
      </c>
    </row>
    <row r="37" spans="1:13">
      <c r="C37" s="8">
        <v>44106</v>
      </c>
      <c r="D37" s="17">
        <v>400000</v>
      </c>
      <c r="E37">
        <v>2</v>
      </c>
      <c r="F37" s="8"/>
      <c r="G37" s="17"/>
      <c r="J37">
        <v>11</v>
      </c>
      <c r="K37" s="51">
        <f>SUM(D65)-SUM(G65)</f>
        <v>6000</v>
      </c>
    </row>
    <row r="38" spans="1:13">
      <c r="J38">
        <v>12</v>
      </c>
      <c r="K38" s="51">
        <f>SUM(D68)-SUM(G68)</f>
        <v>70000</v>
      </c>
    </row>
    <row r="39" spans="1:13">
      <c r="A39">
        <v>3</v>
      </c>
      <c r="B39">
        <v>1</v>
      </c>
      <c r="C39" s="6" t="s">
        <v>118</v>
      </c>
      <c r="J39" t="s">
        <v>107</v>
      </c>
      <c r="K39" s="51">
        <f>SUM(K27:K38)</f>
        <v>0</v>
      </c>
    </row>
    <row r="40" spans="1:13">
      <c r="C40" s="8">
        <v>44106</v>
      </c>
      <c r="D40" s="17">
        <v>18000</v>
      </c>
      <c r="E40">
        <v>3</v>
      </c>
    </row>
    <row r="42" spans="1:13">
      <c r="A42">
        <v>4</v>
      </c>
      <c r="B42">
        <v>1</v>
      </c>
      <c r="C42" s="6" t="s">
        <v>127</v>
      </c>
    </row>
    <row r="43" spans="1:13">
      <c r="C43" s="8">
        <v>44121</v>
      </c>
      <c r="D43" s="17">
        <v>100000</v>
      </c>
      <c r="E43">
        <v>6</v>
      </c>
    </row>
    <row r="45" spans="1:13">
      <c r="A45">
        <v>5</v>
      </c>
      <c r="B45">
        <v>2</v>
      </c>
      <c r="C45" s="49" t="s">
        <v>103</v>
      </c>
    </row>
    <row r="46" spans="1:13">
      <c r="F46" s="8">
        <v>44106</v>
      </c>
      <c r="G46" s="17">
        <v>320000</v>
      </c>
      <c r="H46">
        <v>2</v>
      </c>
    </row>
    <row r="48" spans="1:13">
      <c r="A48">
        <v>6</v>
      </c>
      <c r="B48">
        <v>2</v>
      </c>
      <c r="C48" s="49" t="s">
        <v>125</v>
      </c>
    </row>
    <row r="49" spans="1:8">
      <c r="F49" s="8">
        <v>44112</v>
      </c>
      <c r="G49" s="17">
        <v>3000</v>
      </c>
      <c r="H49">
        <v>4</v>
      </c>
    </row>
    <row r="51" spans="1:8">
      <c r="A51">
        <v>7</v>
      </c>
      <c r="B51">
        <v>3</v>
      </c>
      <c r="C51" s="57" t="s">
        <v>38</v>
      </c>
    </row>
    <row r="52" spans="1:8">
      <c r="F52" s="8">
        <v>44105</v>
      </c>
      <c r="G52" s="17">
        <v>200000</v>
      </c>
      <c r="H52">
        <v>1</v>
      </c>
    </row>
    <row r="54" spans="1:8">
      <c r="A54">
        <v>8</v>
      </c>
      <c r="B54">
        <v>4</v>
      </c>
      <c r="C54" s="56" t="s">
        <v>126</v>
      </c>
    </row>
    <row r="55" spans="1:8">
      <c r="F55" s="8">
        <v>44119</v>
      </c>
      <c r="G55" s="17">
        <v>50000</v>
      </c>
      <c r="H55">
        <v>5</v>
      </c>
    </row>
    <row r="56" spans="1:8">
      <c r="F56" s="8">
        <v>44121</v>
      </c>
      <c r="G56" s="17">
        <v>100000</v>
      </c>
      <c r="H56">
        <v>6</v>
      </c>
    </row>
    <row r="58" spans="1:8">
      <c r="A58">
        <v>9</v>
      </c>
      <c r="B58">
        <v>5</v>
      </c>
      <c r="C58" s="54" t="s">
        <v>124</v>
      </c>
    </row>
    <row r="59" spans="1:8">
      <c r="C59" s="8">
        <v>44112</v>
      </c>
      <c r="D59" s="17">
        <v>3000</v>
      </c>
      <c r="E59">
        <v>4</v>
      </c>
    </row>
    <row r="61" spans="1:8">
      <c r="A61">
        <v>10</v>
      </c>
      <c r="B61">
        <v>5</v>
      </c>
      <c r="C61" s="54" t="s">
        <v>33</v>
      </c>
    </row>
    <row r="62" spans="1:8">
      <c r="C62" s="8">
        <v>44125</v>
      </c>
      <c r="D62" s="17">
        <v>4000</v>
      </c>
      <c r="E62">
        <v>11</v>
      </c>
    </row>
    <row r="64" spans="1:8">
      <c r="A64">
        <v>11</v>
      </c>
      <c r="B64">
        <v>5</v>
      </c>
      <c r="C64" s="54" t="s">
        <v>101</v>
      </c>
    </row>
    <row r="65" spans="1:5">
      <c r="C65" s="8">
        <v>44134</v>
      </c>
      <c r="D65" s="17">
        <v>6000</v>
      </c>
      <c r="E65">
        <v>8</v>
      </c>
    </row>
    <row r="67" spans="1:5">
      <c r="A67">
        <v>12</v>
      </c>
      <c r="B67">
        <v>5</v>
      </c>
      <c r="C67" s="54" t="s">
        <v>86</v>
      </c>
    </row>
    <row r="68" spans="1:5">
      <c r="C68" s="8">
        <v>44135</v>
      </c>
      <c r="D68" s="17">
        <v>70000</v>
      </c>
      <c r="E68">
        <v>9</v>
      </c>
    </row>
    <row r="70" spans="1:5">
      <c r="A70" t="s">
        <v>108</v>
      </c>
    </row>
    <row r="72" spans="1:5">
      <c r="C72" t="s">
        <v>128</v>
      </c>
    </row>
    <row r="73" spans="1:5">
      <c r="C73" t="s">
        <v>108</v>
      </c>
    </row>
    <row r="74" spans="1:5">
      <c r="C74" s="8">
        <v>44135</v>
      </c>
    </row>
    <row r="75" spans="1:5">
      <c r="A75" t="s">
        <v>20</v>
      </c>
      <c r="B75" t="s">
        <v>95</v>
      </c>
      <c r="C75" t="s">
        <v>96</v>
      </c>
      <c r="D75" t="s">
        <v>17</v>
      </c>
      <c r="E75" t="s">
        <v>19</v>
      </c>
    </row>
    <row r="76" spans="1:5">
      <c r="A76">
        <v>1</v>
      </c>
      <c r="B76">
        <v>1</v>
      </c>
      <c r="C76" s="6" t="s">
        <v>29</v>
      </c>
      <c r="D76" s="51">
        <v>72000</v>
      </c>
      <c r="E76" s="51"/>
    </row>
    <row r="77" spans="1:5">
      <c r="A77">
        <v>2</v>
      </c>
      <c r="B77">
        <v>1</v>
      </c>
      <c r="C77" s="6" t="s">
        <v>52</v>
      </c>
      <c r="D77" s="51">
        <v>400000</v>
      </c>
      <c r="E77" s="51"/>
    </row>
    <row r="78" spans="1:5">
      <c r="A78">
        <v>3</v>
      </c>
      <c r="B78">
        <v>1</v>
      </c>
      <c r="C78" s="6" t="s">
        <v>118</v>
      </c>
      <c r="D78" s="51">
        <v>18000</v>
      </c>
      <c r="E78" s="51"/>
    </row>
    <row r="79" spans="1:5">
      <c r="A79">
        <v>4</v>
      </c>
      <c r="B79">
        <v>1</v>
      </c>
      <c r="C79" s="6" t="s">
        <v>127</v>
      </c>
      <c r="D79" s="51">
        <v>100000</v>
      </c>
      <c r="E79" s="51"/>
    </row>
    <row r="80" spans="1:5">
      <c r="A80">
        <v>5</v>
      </c>
      <c r="B80">
        <v>2</v>
      </c>
      <c r="C80" s="49" t="s">
        <v>103</v>
      </c>
      <c r="D80" s="51"/>
      <c r="E80" s="51">
        <v>320000</v>
      </c>
    </row>
    <row r="81" spans="1:5">
      <c r="A81">
        <v>6</v>
      </c>
      <c r="B81">
        <v>2</v>
      </c>
      <c r="C81" s="49" t="s">
        <v>125</v>
      </c>
      <c r="D81" s="51"/>
      <c r="E81" s="51">
        <v>3000</v>
      </c>
    </row>
    <row r="82" spans="1:5">
      <c r="A82">
        <v>7</v>
      </c>
      <c r="B82">
        <v>3</v>
      </c>
      <c r="C82" s="57" t="s">
        <v>38</v>
      </c>
      <c r="D82" s="51"/>
      <c r="E82" s="51">
        <v>200000</v>
      </c>
    </row>
    <row r="83" spans="1:5">
      <c r="A83">
        <v>8</v>
      </c>
      <c r="B83">
        <v>4</v>
      </c>
      <c r="C83" s="56" t="s">
        <v>126</v>
      </c>
      <c r="D83" s="51"/>
      <c r="E83" s="51">
        <v>150000</v>
      </c>
    </row>
    <row r="84" spans="1:5">
      <c r="A84">
        <v>9</v>
      </c>
      <c r="B84">
        <v>5</v>
      </c>
      <c r="C84" s="54" t="s">
        <v>124</v>
      </c>
      <c r="D84" s="51">
        <v>3000</v>
      </c>
      <c r="E84" s="51"/>
    </row>
    <row r="85" spans="1:5">
      <c r="A85">
        <v>10</v>
      </c>
      <c r="B85">
        <v>5</v>
      </c>
      <c r="C85" s="54" t="s">
        <v>33</v>
      </c>
      <c r="D85" s="51">
        <v>4000</v>
      </c>
      <c r="E85" s="51"/>
    </row>
    <row r="86" spans="1:5">
      <c r="A86">
        <v>11</v>
      </c>
      <c r="B86">
        <v>5</v>
      </c>
      <c r="C86" s="54" t="s">
        <v>101</v>
      </c>
      <c r="D86" s="51">
        <v>6000</v>
      </c>
      <c r="E86" s="51"/>
    </row>
    <row r="87" spans="1:5">
      <c r="A87">
        <v>12</v>
      </c>
      <c r="B87">
        <v>5</v>
      </c>
      <c r="C87" s="54" t="s">
        <v>86</v>
      </c>
      <c r="D87" s="51">
        <v>70000</v>
      </c>
      <c r="E87" s="51"/>
    </row>
    <row r="88" spans="1:5">
      <c r="C88" t="s">
        <v>107</v>
      </c>
      <c r="D88" s="51">
        <f>SUM(D76:D87)</f>
        <v>673000</v>
      </c>
      <c r="E88" s="51">
        <f>SUM(E76:E87)</f>
        <v>673000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AB41-CD6F-4776-BB6D-7E72DDA12EAB}">
  <dimension ref="A1:Z92"/>
  <sheetViews>
    <sheetView topLeftCell="A9" workbookViewId="0">
      <selection activeCell="P31" sqref="P31"/>
    </sheetView>
  </sheetViews>
  <sheetFormatPr defaultRowHeight="16.5"/>
  <cols>
    <col min="3" max="3" width="10.125" bestFit="1" customWidth="1"/>
    <col min="4" max="5" width="11.75" bestFit="1" customWidth="1"/>
    <col min="6" max="6" width="10.625" bestFit="1" customWidth="1"/>
    <col min="13" max="14" width="11.75" bestFit="1" customWidth="1"/>
    <col min="19" max="19" width="11.75" bestFit="1" customWidth="1"/>
  </cols>
  <sheetData>
    <row r="1" spans="1:26">
      <c r="A1" t="s">
        <v>94</v>
      </c>
      <c r="I1" t="s">
        <v>129</v>
      </c>
    </row>
    <row r="5" spans="1:26">
      <c r="K5" t="s">
        <v>129</v>
      </c>
      <c r="Q5" t="s">
        <v>130</v>
      </c>
      <c r="S5" s="15" t="s">
        <v>29</v>
      </c>
      <c r="T5" s="3"/>
      <c r="U5" s="3"/>
      <c r="V5" s="3"/>
      <c r="W5" s="3"/>
      <c r="X5" s="3"/>
      <c r="Y5" s="3"/>
      <c r="Z5" s="4" t="s">
        <v>130</v>
      </c>
    </row>
    <row r="6" spans="1:26">
      <c r="K6" t="s">
        <v>131</v>
      </c>
      <c r="S6" s="15" t="s">
        <v>131</v>
      </c>
      <c r="T6" s="4"/>
      <c r="U6" s="4"/>
      <c r="V6" s="4"/>
      <c r="W6" s="3"/>
      <c r="X6" s="4"/>
      <c r="Y6" s="4"/>
      <c r="Z6" s="4"/>
    </row>
    <row r="7" spans="1:26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I7" t="s">
        <v>20</v>
      </c>
      <c r="J7" t="s">
        <v>95</v>
      </c>
      <c r="K7" t="s">
        <v>132</v>
      </c>
      <c r="L7" t="s">
        <v>133</v>
      </c>
      <c r="M7" t="s">
        <v>96</v>
      </c>
      <c r="N7" t="s">
        <v>96</v>
      </c>
      <c r="O7" t="s">
        <v>134</v>
      </c>
      <c r="P7" t="s">
        <v>135</v>
      </c>
      <c r="Q7" t="s">
        <v>136</v>
      </c>
      <c r="S7" s="45" t="s">
        <v>132</v>
      </c>
      <c r="T7" s="4" t="s">
        <v>133</v>
      </c>
      <c r="U7" s="5" t="s">
        <v>137</v>
      </c>
      <c r="V7" s="5" t="s">
        <v>138</v>
      </c>
      <c r="W7" t="s">
        <v>135</v>
      </c>
      <c r="X7" s="5" t="s">
        <v>136</v>
      </c>
      <c r="Y7" s="5" t="s">
        <v>139</v>
      </c>
      <c r="Z7" s="5" t="s">
        <v>140</v>
      </c>
    </row>
    <row r="8" spans="1:26">
      <c r="A8">
        <v>1</v>
      </c>
      <c r="B8">
        <v>1</v>
      </c>
      <c r="C8" s="8">
        <v>44105</v>
      </c>
      <c r="D8" s="6" t="s">
        <v>29</v>
      </c>
      <c r="F8" s="17">
        <v>200000</v>
      </c>
      <c r="K8">
        <v>10</v>
      </c>
      <c r="L8">
        <v>1</v>
      </c>
      <c r="M8" s="6" t="s">
        <v>29</v>
      </c>
      <c r="O8">
        <v>1</v>
      </c>
      <c r="P8" s="17">
        <v>200000</v>
      </c>
      <c r="S8" s="45">
        <v>10</v>
      </c>
      <c r="T8" s="4">
        <v>1</v>
      </c>
      <c r="U8" s="4"/>
      <c r="V8" s="4">
        <v>1</v>
      </c>
      <c r="W8" s="25">
        <v>200000</v>
      </c>
      <c r="X8" s="4"/>
      <c r="Y8" s="4" t="s">
        <v>141</v>
      </c>
      <c r="Z8" s="27">
        <v>200000</v>
      </c>
    </row>
    <row r="9" spans="1:26">
      <c r="A9">
        <v>1</v>
      </c>
      <c r="E9" s="52" t="s">
        <v>38</v>
      </c>
      <c r="G9" s="17">
        <v>200000</v>
      </c>
      <c r="N9" s="52" t="s">
        <v>38</v>
      </c>
      <c r="O9">
        <v>37</v>
      </c>
      <c r="Q9" s="17">
        <v>200000</v>
      </c>
      <c r="S9" s="46"/>
      <c r="T9" s="5" t="s">
        <v>142</v>
      </c>
      <c r="U9" s="5"/>
      <c r="V9" s="5" t="s">
        <v>142</v>
      </c>
      <c r="X9" s="28">
        <v>30000</v>
      </c>
      <c r="Y9" s="5" t="s">
        <v>142</v>
      </c>
      <c r="Z9" s="28">
        <v>170000</v>
      </c>
    </row>
    <row r="10" spans="1:26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L10" t="s">
        <v>142</v>
      </c>
      <c r="M10" s="6" t="s">
        <v>119</v>
      </c>
      <c r="O10">
        <v>21</v>
      </c>
      <c r="P10" s="17">
        <v>30000</v>
      </c>
      <c r="S10" s="46"/>
      <c r="T10" s="5">
        <v>5</v>
      </c>
      <c r="U10" s="5"/>
      <c r="V10" s="5" t="s">
        <v>142</v>
      </c>
      <c r="X10" s="28">
        <v>90000</v>
      </c>
      <c r="Y10" s="5" t="s">
        <v>142</v>
      </c>
      <c r="Z10" s="28">
        <v>80000</v>
      </c>
    </row>
    <row r="11" spans="1:26">
      <c r="A11">
        <v>2</v>
      </c>
      <c r="E11" s="49" t="s">
        <v>29</v>
      </c>
      <c r="G11" s="17">
        <v>30000</v>
      </c>
      <c r="N11" s="49" t="s">
        <v>29</v>
      </c>
      <c r="O11">
        <v>1</v>
      </c>
      <c r="Q11" s="17">
        <v>30000</v>
      </c>
      <c r="S11" s="46"/>
      <c r="T11" s="5" t="s">
        <v>142</v>
      </c>
      <c r="U11" s="5"/>
      <c r="V11" s="5" t="s">
        <v>142</v>
      </c>
      <c r="X11" s="28">
        <v>3000</v>
      </c>
      <c r="Y11" s="5" t="s">
        <v>142</v>
      </c>
      <c r="Z11" s="28">
        <v>77000</v>
      </c>
    </row>
    <row r="12" spans="1:26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L12">
        <v>5</v>
      </c>
      <c r="M12" s="54" t="s">
        <v>143</v>
      </c>
      <c r="O12">
        <v>27</v>
      </c>
      <c r="P12" s="17">
        <v>90000</v>
      </c>
      <c r="S12" s="46"/>
      <c r="T12" s="5">
        <v>15</v>
      </c>
      <c r="U12" s="5"/>
      <c r="V12" s="5" t="s">
        <v>142</v>
      </c>
      <c r="W12" s="17">
        <v>20000</v>
      </c>
      <c r="X12" s="5"/>
      <c r="Y12" s="5" t="s">
        <v>142</v>
      </c>
      <c r="Z12" s="28">
        <v>97000</v>
      </c>
    </row>
    <row r="13" spans="1:26">
      <c r="A13">
        <v>3</v>
      </c>
      <c r="E13" s="49" t="s">
        <v>29</v>
      </c>
      <c r="G13" s="17">
        <v>90000</v>
      </c>
      <c r="N13" s="49" t="s">
        <v>29</v>
      </c>
      <c r="O13">
        <v>1</v>
      </c>
      <c r="Q13" s="17">
        <v>90000</v>
      </c>
      <c r="S13" s="46"/>
      <c r="T13" s="5">
        <v>16</v>
      </c>
      <c r="U13" s="5"/>
      <c r="V13" s="5" t="s">
        <v>142</v>
      </c>
      <c r="W13" s="17">
        <v>8000</v>
      </c>
      <c r="X13" s="5"/>
      <c r="Y13" s="5" t="s">
        <v>142</v>
      </c>
      <c r="Z13" s="28">
        <v>105000</v>
      </c>
    </row>
    <row r="14" spans="1:26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L14" t="s">
        <v>142</v>
      </c>
      <c r="M14" s="54" t="s">
        <v>144</v>
      </c>
      <c r="O14">
        <v>25</v>
      </c>
      <c r="P14" s="17">
        <v>3000</v>
      </c>
      <c r="S14" s="46"/>
      <c r="T14" s="5">
        <v>18</v>
      </c>
      <c r="U14" s="5"/>
      <c r="V14" s="5" t="s">
        <v>142</v>
      </c>
      <c r="X14" s="28">
        <v>17000</v>
      </c>
      <c r="Y14" s="5" t="s">
        <v>142</v>
      </c>
      <c r="Z14" s="28">
        <v>88000</v>
      </c>
    </row>
    <row r="15" spans="1:26">
      <c r="A15">
        <v>4</v>
      </c>
      <c r="E15" s="49" t="s">
        <v>145</v>
      </c>
      <c r="G15" s="17">
        <v>3000</v>
      </c>
      <c r="N15" s="49" t="s">
        <v>145</v>
      </c>
      <c r="O15">
        <v>31</v>
      </c>
      <c r="Q15" s="17">
        <v>3000</v>
      </c>
      <c r="S15" s="46"/>
      <c r="T15" s="5">
        <v>21</v>
      </c>
      <c r="U15" s="5"/>
      <c r="V15" s="5" t="s">
        <v>142</v>
      </c>
      <c r="X15" s="28">
        <v>400</v>
      </c>
      <c r="Y15" s="5" t="s">
        <v>142</v>
      </c>
      <c r="Z15" s="28">
        <v>87600</v>
      </c>
    </row>
    <row r="16" spans="1:26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L16">
        <v>11</v>
      </c>
      <c r="M16" s="49" t="s">
        <v>145</v>
      </c>
      <c r="O16">
        <v>31</v>
      </c>
      <c r="P16" s="17">
        <v>3000</v>
      </c>
      <c r="S16" s="59"/>
      <c r="T16" s="48">
        <v>31</v>
      </c>
      <c r="U16" s="48"/>
      <c r="V16" s="48" t="s">
        <v>142</v>
      </c>
      <c r="W16" s="30">
        <v>28000</v>
      </c>
      <c r="X16" s="48"/>
      <c r="Y16" s="48" t="s">
        <v>142</v>
      </c>
      <c r="Z16" s="31">
        <v>115600</v>
      </c>
    </row>
    <row r="17" spans="1:26">
      <c r="A17">
        <v>5</v>
      </c>
      <c r="E17" s="49" t="s">
        <v>29</v>
      </c>
      <c r="G17" s="17">
        <v>3000</v>
      </c>
      <c r="N17" s="49" t="s">
        <v>29</v>
      </c>
      <c r="O17">
        <v>1</v>
      </c>
      <c r="Q17" s="17">
        <v>3000</v>
      </c>
    </row>
    <row r="18" spans="1:26">
      <c r="A18">
        <v>6</v>
      </c>
      <c r="B18">
        <v>1</v>
      </c>
      <c r="C18" s="8">
        <v>44119</v>
      </c>
      <c r="D18" s="6" t="s">
        <v>29</v>
      </c>
      <c r="F18" s="17">
        <v>20000</v>
      </c>
      <c r="L18">
        <v>15</v>
      </c>
      <c r="M18" s="6" t="s">
        <v>29</v>
      </c>
      <c r="O18">
        <v>1</v>
      </c>
      <c r="P18" s="17">
        <v>20000</v>
      </c>
      <c r="S18" s="15" t="s">
        <v>119</v>
      </c>
      <c r="T18" s="3"/>
      <c r="U18" s="3"/>
      <c r="V18" s="3"/>
      <c r="W18" s="3"/>
      <c r="X18" s="3"/>
      <c r="Y18" s="3"/>
      <c r="Z18" s="4" t="s">
        <v>146</v>
      </c>
    </row>
    <row r="19" spans="1:26">
      <c r="A19">
        <v>6</v>
      </c>
      <c r="D19" s="6" t="s">
        <v>147</v>
      </c>
      <c r="F19" s="17">
        <v>10000</v>
      </c>
      <c r="M19" s="6" t="s">
        <v>147</v>
      </c>
      <c r="O19">
        <v>11</v>
      </c>
      <c r="P19" s="17">
        <v>10000</v>
      </c>
      <c r="S19" s="15" t="s">
        <v>131</v>
      </c>
      <c r="T19" s="4"/>
      <c r="U19" s="4"/>
      <c r="V19" s="4"/>
      <c r="W19" s="3"/>
      <c r="X19" s="4"/>
      <c r="Y19" s="4"/>
      <c r="Z19" s="4"/>
    </row>
    <row r="20" spans="1:26">
      <c r="A20">
        <v>6</v>
      </c>
      <c r="E20" s="53" t="s">
        <v>148</v>
      </c>
      <c r="G20" s="17">
        <v>30000</v>
      </c>
      <c r="N20" s="53" t="s">
        <v>148</v>
      </c>
      <c r="O20">
        <v>41</v>
      </c>
      <c r="Q20" s="17">
        <v>30000</v>
      </c>
      <c r="S20" s="45" t="s">
        <v>132</v>
      </c>
      <c r="T20" s="4" t="s">
        <v>133</v>
      </c>
      <c r="U20" s="5" t="s">
        <v>137</v>
      </c>
      <c r="V20" s="5" t="s">
        <v>138</v>
      </c>
      <c r="W20" s="11" t="s">
        <v>135</v>
      </c>
      <c r="X20" s="5" t="s">
        <v>136</v>
      </c>
      <c r="Y20" s="5" t="s">
        <v>139</v>
      </c>
      <c r="Z20" s="48" t="s">
        <v>140</v>
      </c>
    </row>
    <row r="21" spans="1:26">
      <c r="A21">
        <v>7</v>
      </c>
      <c r="B21">
        <v>1</v>
      </c>
      <c r="C21" s="8">
        <v>44120</v>
      </c>
      <c r="D21" s="6" t="s">
        <v>29</v>
      </c>
      <c r="F21" s="17">
        <v>8000</v>
      </c>
      <c r="L21">
        <v>16</v>
      </c>
      <c r="M21" s="6" t="s">
        <v>29</v>
      </c>
      <c r="O21">
        <v>1</v>
      </c>
      <c r="P21" s="17">
        <v>8000</v>
      </c>
      <c r="S21" s="60">
        <v>10</v>
      </c>
      <c r="T21" s="61">
        <v>1</v>
      </c>
      <c r="U21" s="61"/>
      <c r="V21" s="61">
        <v>1</v>
      </c>
      <c r="W21" s="30">
        <v>30000</v>
      </c>
      <c r="X21" s="61"/>
      <c r="Y21" s="61" t="s">
        <v>141</v>
      </c>
      <c r="Z21" s="31">
        <v>30000</v>
      </c>
    </row>
    <row r="22" spans="1:26">
      <c r="A22">
        <v>7</v>
      </c>
      <c r="E22" s="49" t="s">
        <v>147</v>
      </c>
      <c r="G22" s="17">
        <v>8000</v>
      </c>
      <c r="N22" s="49" t="s">
        <v>147</v>
      </c>
      <c r="O22">
        <v>11</v>
      </c>
      <c r="Q22" s="17">
        <v>8000</v>
      </c>
    </row>
    <row r="23" spans="1:26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L23">
        <v>18</v>
      </c>
      <c r="M23" s="54" t="s">
        <v>86</v>
      </c>
      <c r="O23">
        <v>51</v>
      </c>
      <c r="P23" s="17">
        <v>17000</v>
      </c>
      <c r="S23" s="15" t="s">
        <v>147</v>
      </c>
      <c r="T23" s="3"/>
      <c r="U23" s="3"/>
      <c r="V23" s="3"/>
      <c r="W23" s="3"/>
      <c r="X23" s="3"/>
      <c r="Y23" s="3"/>
      <c r="Z23" s="4" t="s">
        <v>130</v>
      </c>
    </row>
    <row r="24" spans="1:26">
      <c r="A24">
        <v>8</v>
      </c>
      <c r="E24" s="49" t="s">
        <v>29</v>
      </c>
      <c r="G24" s="17">
        <v>17000</v>
      </c>
      <c r="N24" s="49" t="s">
        <v>29</v>
      </c>
      <c r="O24">
        <v>1</v>
      </c>
      <c r="Q24" s="17">
        <v>17000</v>
      </c>
      <c r="S24" s="15" t="s">
        <v>131</v>
      </c>
      <c r="T24" s="4"/>
      <c r="U24" s="4"/>
      <c r="V24" s="4"/>
      <c r="W24" s="3"/>
      <c r="X24" s="4"/>
      <c r="Y24" s="4"/>
      <c r="Z24" s="4"/>
    </row>
    <row r="25" spans="1:26">
      <c r="A25">
        <v>9</v>
      </c>
      <c r="B25">
        <v>5</v>
      </c>
      <c r="C25" s="8">
        <v>44125</v>
      </c>
      <c r="D25" s="54" t="s">
        <v>101</v>
      </c>
      <c r="F25" s="17">
        <v>400</v>
      </c>
      <c r="L25">
        <v>21</v>
      </c>
      <c r="M25" s="54" t="s">
        <v>101</v>
      </c>
      <c r="O25">
        <v>53</v>
      </c>
      <c r="P25" s="17">
        <v>400</v>
      </c>
      <c r="S25" s="45" t="s">
        <v>132</v>
      </c>
      <c r="T25" s="4" t="s">
        <v>133</v>
      </c>
      <c r="U25" s="5" t="s">
        <v>137</v>
      </c>
      <c r="V25" s="5" t="s">
        <v>138</v>
      </c>
      <c r="W25" s="11" t="s">
        <v>135</v>
      </c>
      <c r="X25" s="48" t="s">
        <v>136</v>
      </c>
      <c r="Y25" s="5" t="s">
        <v>139</v>
      </c>
      <c r="Z25" s="5" t="s">
        <v>140</v>
      </c>
    </row>
    <row r="26" spans="1:26">
      <c r="A26">
        <v>9</v>
      </c>
      <c r="E26" s="49" t="s">
        <v>29</v>
      </c>
      <c r="G26" s="17">
        <v>400</v>
      </c>
      <c r="N26" s="49" t="s">
        <v>29</v>
      </c>
      <c r="O26">
        <v>1</v>
      </c>
      <c r="Q26" s="17">
        <v>400</v>
      </c>
      <c r="S26" s="45">
        <v>10</v>
      </c>
      <c r="T26" s="4">
        <v>15</v>
      </c>
      <c r="U26" s="4"/>
      <c r="V26" s="4">
        <v>1</v>
      </c>
      <c r="W26" s="17">
        <v>10000</v>
      </c>
      <c r="X26" s="5"/>
      <c r="Y26" s="4" t="s">
        <v>141</v>
      </c>
      <c r="Z26" s="27">
        <v>10000</v>
      </c>
    </row>
    <row r="27" spans="1:26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L27">
        <v>31</v>
      </c>
      <c r="M27" s="6" t="s">
        <v>29</v>
      </c>
      <c r="O27">
        <v>1</v>
      </c>
      <c r="P27" s="17">
        <v>28000</v>
      </c>
      <c r="R27" s="5"/>
      <c r="S27" s="5"/>
      <c r="T27" s="5"/>
      <c r="U27" s="5"/>
      <c r="V27" s="5" t="s">
        <v>142</v>
      </c>
      <c r="X27" s="28">
        <v>8000</v>
      </c>
      <c r="Y27" s="5" t="s">
        <v>142</v>
      </c>
      <c r="Z27" s="28">
        <v>2000</v>
      </c>
    </row>
    <row r="28" spans="1:26">
      <c r="A28">
        <v>10</v>
      </c>
      <c r="D28" s="6" t="s">
        <v>147</v>
      </c>
      <c r="F28" s="17">
        <v>12000</v>
      </c>
      <c r="M28" s="6" t="s">
        <v>147</v>
      </c>
      <c r="O28">
        <v>11</v>
      </c>
      <c r="P28" s="17">
        <v>12000</v>
      </c>
      <c r="S28" s="59"/>
      <c r="T28" s="48">
        <v>31</v>
      </c>
      <c r="U28" s="48"/>
      <c r="V28" s="48" t="s">
        <v>142</v>
      </c>
      <c r="W28" s="30">
        <v>12000</v>
      </c>
      <c r="X28" s="31"/>
      <c r="Y28" s="48" t="s">
        <v>142</v>
      </c>
      <c r="Z28" s="31">
        <v>14000</v>
      </c>
    </row>
    <row r="29" spans="1:26">
      <c r="A29">
        <v>10</v>
      </c>
      <c r="E29" s="53" t="s">
        <v>148</v>
      </c>
      <c r="G29" s="17">
        <v>40000</v>
      </c>
      <c r="N29" s="53" t="s">
        <v>148</v>
      </c>
      <c r="O29">
        <v>41</v>
      </c>
      <c r="Q29" s="17">
        <v>40000</v>
      </c>
    </row>
    <row r="30" spans="1:26">
      <c r="S30" s="15" t="s">
        <v>145</v>
      </c>
      <c r="T30" s="3"/>
      <c r="U30" s="3"/>
      <c r="V30" s="3"/>
      <c r="W30" s="3"/>
      <c r="X30" s="3"/>
      <c r="Y30" s="3"/>
      <c r="Z30" s="4" t="s">
        <v>149</v>
      </c>
    </row>
    <row r="31" spans="1:26">
      <c r="S31" s="15" t="s">
        <v>131</v>
      </c>
      <c r="T31" s="4"/>
      <c r="U31" s="4"/>
      <c r="V31" s="4"/>
      <c r="W31" s="3"/>
      <c r="X31" s="4"/>
      <c r="Y31" s="4"/>
      <c r="Z31" s="4"/>
    </row>
    <row r="32" spans="1:26">
      <c r="A32" t="s">
        <v>105</v>
      </c>
      <c r="S32" s="45" t="s">
        <v>132</v>
      </c>
      <c r="T32" s="4" t="s">
        <v>133</v>
      </c>
      <c r="U32" s="5" t="s">
        <v>137</v>
      </c>
      <c r="V32" s="5" t="s">
        <v>138</v>
      </c>
      <c r="W32" s="11" t="s">
        <v>135</v>
      </c>
      <c r="X32" s="48" t="s">
        <v>136</v>
      </c>
      <c r="Y32" s="5" t="s">
        <v>139</v>
      </c>
      <c r="Z32" s="5" t="s">
        <v>140</v>
      </c>
    </row>
    <row r="33" spans="1:26">
      <c r="S33" s="45">
        <v>10</v>
      </c>
      <c r="T33" s="4">
        <v>5</v>
      </c>
      <c r="U33" s="4"/>
      <c r="V33" s="4">
        <v>1</v>
      </c>
      <c r="W33" s="17"/>
      <c r="X33" s="28">
        <v>3000</v>
      </c>
      <c r="Y33" s="4" t="s">
        <v>150</v>
      </c>
      <c r="Z33" s="27">
        <v>3000</v>
      </c>
    </row>
    <row r="34" spans="1:26">
      <c r="A34" t="s">
        <v>20</v>
      </c>
      <c r="B34" t="s">
        <v>95</v>
      </c>
      <c r="J34" t="s">
        <v>20</v>
      </c>
      <c r="K34" t="s">
        <v>106</v>
      </c>
      <c r="S34" s="59"/>
      <c r="T34" s="48">
        <v>11</v>
      </c>
      <c r="U34" s="48"/>
      <c r="V34" s="48" t="s">
        <v>142</v>
      </c>
      <c r="W34" s="30">
        <v>3000</v>
      </c>
      <c r="X34" s="31"/>
      <c r="Y34" s="48" t="s">
        <v>151</v>
      </c>
      <c r="Z34" s="31">
        <v>0</v>
      </c>
    </row>
    <row r="35" spans="1:26">
      <c r="A35">
        <v>1</v>
      </c>
      <c r="B35">
        <v>1</v>
      </c>
      <c r="C35" s="6" t="s">
        <v>29</v>
      </c>
      <c r="J35">
        <v>1</v>
      </c>
      <c r="K35" s="51">
        <f>SUM(D36:D44)-SUM(G36:G44)</f>
        <v>115600</v>
      </c>
    </row>
    <row r="36" spans="1:26">
      <c r="C36" s="8">
        <v>44105</v>
      </c>
      <c r="D36" s="17">
        <v>200000</v>
      </c>
      <c r="E36">
        <v>1</v>
      </c>
      <c r="J36">
        <v>2</v>
      </c>
      <c r="K36" s="51">
        <f>SUM(D47)-SUM(G47)</f>
        <v>30000</v>
      </c>
      <c r="S36" s="15" t="s">
        <v>38</v>
      </c>
      <c r="T36" s="3"/>
      <c r="U36" s="3"/>
      <c r="V36" s="3"/>
      <c r="W36" s="3"/>
      <c r="X36" s="3"/>
      <c r="Y36" s="3"/>
      <c r="Z36" s="4" t="s">
        <v>152</v>
      </c>
    </row>
    <row r="37" spans="1:26">
      <c r="F37" s="8">
        <v>44105</v>
      </c>
      <c r="G37" s="17">
        <v>30000</v>
      </c>
      <c r="H37">
        <v>2</v>
      </c>
      <c r="J37">
        <v>3</v>
      </c>
      <c r="K37" s="51">
        <f>SUM(D50:D51)-SUM(G50:G51)</f>
        <v>14000</v>
      </c>
      <c r="S37" s="15" t="s">
        <v>131</v>
      </c>
      <c r="T37" s="4"/>
      <c r="U37" s="4"/>
      <c r="V37" s="4"/>
      <c r="W37" s="3"/>
      <c r="X37" s="4"/>
      <c r="Y37" s="4"/>
      <c r="Z37" s="4"/>
    </row>
    <row r="38" spans="1:26">
      <c r="F38" s="8">
        <v>44109</v>
      </c>
      <c r="G38" s="17">
        <v>90000</v>
      </c>
      <c r="H38">
        <v>3</v>
      </c>
      <c r="J38">
        <v>4</v>
      </c>
      <c r="K38" s="51">
        <f>SUM(D54:D55)-SUM(G54:G55)</f>
        <v>0</v>
      </c>
      <c r="S38" s="45" t="s">
        <v>132</v>
      </c>
      <c r="T38" s="4" t="s">
        <v>133</v>
      </c>
      <c r="U38" s="5" t="s">
        <v>137</v>
      </c>
      <c r="V38" s="5" t="s">
        <v>138</v>
      </c>
      <c r="W38" s="11" t="s">
        <v>135</v>
      </c>
      <c r="X38" s="48" t="s">
        <v>136</v>
      </c>
      <c r="Y38" s="5" t="s">
        <v>139</v>
      </c>
      <c r="Z38" s="5" t="s">
        <v>140</v>
      </c>
    </row>
    <row r="39" spans="1:26">
      <c r="F39" s="8">
        <v>44115</v>
      </c>
      <c r="G39" s="17">
        <v>3000</v>
      </c>
      <c r="H39">
        <v>5</v>
      </c>
      <c r="J39">
        <v>5</v>
      </c>
      <c r="K39" s="51">
        <f>SUM(D58)-SUM(G58)</f>
        <v>-200000</v>
      </c>
      <c r="S39" s="60">
        <v>10</v>
      </c>
      <c r="T39" s="61">
        <v>1</v>
      </c>
      <c r="U39" s="61"/>
      <c r="V39" s="61">
        <v>1</v>
      </c>
      <c r="W39" s="30"/>
      <c r="X39" s="31">
        <v>200000</v>
      </c>
      <c r="Y39" s="61" t="s">
        <v>150</v>
      </c>
      <c r="Z39" s="33">
        <v>200000</v>
      </c>
    </row>
    <row r="40" spans="1:26">
      <c r="C40" s="8">
        <v>44119</v>
      </c>
      <c r="D40" s="17">
        <v>20000</v>
      </c>
      <c r="E40">
        <v>6</v>
      </c>
      <c r="J40">
        <v>6</v>
      </c>
      <c r="K40" s="51">
        <f>SUM(D61:D62)-SUM(G61:G62)</f>
        <v>-70000</v>
      </c>
    </row>
    <row r="41" spans="1:26">
      <c r="C41" s="8">
        <v>44120</v>
      </c>
      <c r="D41" s="17">
        <v>8000</v>
      </c>
      <c r="E41">
        <v>7</v>
      </c>
      <c r="J41">
        <v>7</v>
      </c>
      <c r="K41" s="51">
        <f>SUM(D65)-SUM(G65)</f>
        <v>90000</v>
      </c>
      <c r="S41" s="15" t="s">
        <v>148</v>
      </c>
      <c r="T41" s="3"/>
      <c r="U41" s="3"/>
      <c r="V41" s="3"/>
      <c r="W41" s="3"/>
      <c r="X41" s="3"/>
      <c r="Y41" s="3"/>
      <c r="Z41" s="4" t="s">
        <v>153</v>
      </c>
    </row>
    <row r="42" spans="1:26">
      <c r="F42" s="8">
        <v>44122</v>
      </c>
      <c r="G42" s="17">
        <v>17000</v>
      </c>
      <c r="H42">
        <v>8</v>
      </c>
      <c r="J42">
        <v>8</v>
      </c>
      <c r="K42" s="51">
        <f>SUM(D68)-SUM(G68)</f>
        <v>3000</v>
      </c>
      <c r="S42" s="15" t="s">
        <v>131</v>
      </c>
      <c r="T42" s="4"/>
      <c r="U42" s="4"/>
      <c r="V42" s="4"/>
      <c r="W42" s="3"/>
      <c r="X42" s="4"/>
      <c r="Y42" s="4"/>
      <c r="Z42" s="4"/>
    </row>
    <row r="43" spans="1:26">
      <c r="F43" s="8">
        <v>44125</v>
      </c>
      <c r="G43" s="17">
        <v>400</v>
      </c>
      <c r="H43">
        <v>9</v>
      </c>
      <c r="J43">
        <v>9</v>
      </c>
      <c r="K43" s="51">
        <f>SUM(D71)-SUM(G71)</f>
        <v>17000</v>
      </c>
      <c r="S43" s="45" t="s">
        <v>132</v>
      </c>
      <c r="T43" s="4" t="s">
        <v>133</v>
      </c>
      <c r="U43" s="5" t="s">
        <v>137</v>
      </c>
      <c r="V43" s="5" t="s">
        <v>138</v>
      </c>
      <c r="W43" s="11" t="s">
        <v>135</v>
      </c>
      <c r="X43" s="48" t="s">
        <v>136</v>
      </c>
      <c r="Y43" s="5" t="s">
        <v>139</v>
      </c>
      <c r="Z43" s="5" t="s">
        <v>140</v>
      </c>
    </row>
    <row r="44" spans="1:26">
      <c r="C44" s="8">
        <v>44135</v>
      </c>
      <c r="D44" s="17">
        <v>28000</v>
      </c>
      <c r="E44">
        <v>10</v>
      </c>
      <c r="J44">
        <v>10</v>
      </c>
      <c r="K44" s="51">
        <f>SUM(D74)-SUM(G74)</f>
        <v>400</v>
      </c>
      <c r="S44" s="45">
        <v>10</v>
      </c>
      <c r="T44" s="4">
        <v>15</v>
      </c>
      <c r="U44" s="4"/>
      <c r="V44" s="4">
        <v>1</v>
      </c>
      <c r="W44" s="17"/>
      <c r="X44" s="17">
        <v>30000</v>
      </c>
      <c r="Y44" s="45" t="s">
        <v>150</v>
      </c>
      <c r="Z44" s="27">
        <v>30000</v>
      </c>
    </row>
    <row r="45" spans="1:26">
      <c r="J45" t="s">
        <v>107</v>
      </c>
      <c r="K45" s="17">
        <f>SUM(K35:K44)</f>
        <v>0</v>
      </c>
      <c r="S45" s="29"/>
      <c r="T45" s="29">
        <v>31</v>
      </c>
      <c r="U45" s="29"/>
      <c r="V45" s="29" t="s">
        <v>142</v>
      </c>
      <c r="W45" s="29"/>
      <c r="X45" s="30">
        <v>40000</v>
      </c>
      <c r="Y45" s="29" t="s">
        <v>142</v>
      </c>
      <c r="Z45" s="47">
        <v>70000</v>
      </c>
    </row>
    <row r="46" spans="1:26">
      <c r="A46">
        <v>2</v>
      </c>
      <c r="B46">
        <v>1</v>
      </c>
      <c r="C46" s="6" t="s">
        <v>119</v>
      </c>
    </row>
    <row r="47" spans="1:26">
      <c r="C47" s="8">
        <v>44105</v>
      </c>
      <c r="D47" s="17">
        <v>30000</v>
      </c>
      <c r="E47">
        <v>2</v>
      </c>
      <c r="S47" s="15" t="s">
        <v>143</v>
      </c>
      <c r="T47" s="3"/>
      <c r="U47" s="3"/>
      <c r="V47" s="3"/>
      <c r="W47" s="3"/>
      <c r="X47" s="3"/>
      <c r="Y47" s="3"/>
      <c r="Z47" s="4" t="s">
        <v>152</v>
      </c>
    </row>
    <row r="48" spans="1:26">
      <c r="S48" s="15" t="s">
        <v>131</v>
      </c>
      <c r="T48" s="4"/>
      <c r="U48" s="4"/>
      <c r="V48" s="4"/>
      <c r="W48" s="3"/>
      <c r="X48" s="4"/>
      <c r="Y48" s="4"/>
      <c r="Z48" s="4"/>
    </row>
    <row r="49" spans="1:26">
      <c r="A49">
        <v>3</v>
      </c>
      <c r="B49">
        <v>1</v>
      </c>
      <c r="C49" s="6" t="s">
        <v>147</v>
      </c>
      <c r="S49" s="45" t="s">
        <v>132</v>
      </c>
      <c r="T49" s="4" t="s">
        <v>133</v>
      </c>
      <c r="U49" s="5" t="s">
        <v>137</v>
      </c>
      <c r="V49" s="5" t="s">
        <v>138</v>
      </c>
      <c r="W49" s="11" t="s">
        <v>135</v>
      </c>
      <c r="X49" s="48" t="s">
        <v>136</v>
      </c>
      <c r="Y49" s="5" t="s">
        <v>139</v>
      </c>
      <c r="Z49" s="5" t="s">
        <v>140</v>
      </c>
    </row>
    <row r="50" spans="1:26">
      <c r="C50" s="8">
        <v>44119</v>
      </c>
      <c r="D50" s="17">
        <v>10000</v>
      </c>
      <c r="E50">
        <v>6</v>
      </c>
      <c r="F50" s="8">
        <v>44120</v>
      </c>
      <c r="G50" s="17">
        <v>8000</v>
      </c>
      <c r="H50">
        <v>7</v>
      </c>
      <c r="S50" s="60">
        <v>10</v>
      </c>
      <c r="T50" s="61">
        <v>5</v>
      </c>
      <c r="U50" s="61"/>
      <c r="V50" s="61">
        <v>1</v>
      </c>
      <c r="W50" s="30">
        <v>90000</v>
      </c>
      <c r="X50" s="31"/>
      <c r="Y50" s="61" t="s">
        <v>141</v>
      </c>
      <c r="Z50" s="30">
        <v>90000</v>
      </c>
    </row>
    <row r="51" spans="1:26">
      <c r="C51" s="8">
        <v>44135</v>
      </c>
      <c r="D51" s="17">
        <v>12000</v>
      </c>
      <c r="E51">
        <v>10</v>
      </c>
    </row>
    <row r="52" spans="1:26">
      <c r="S52" s="15" t="s">
        <v>144</v>
      </c>
      <c r="T52" s="3"/>
      <c r="U52" s="3"/>
      <c r="V52" s="3"/>
      <c r="W52" s="3"/>
      <c r="X52" s="3"/>
      <c r="Y52" s="3"/>
      <c r="Z52" s="4" t="s">
        <v>154</v>
      </c>
    </row>
    <row r="53" spans="1:26">
      <c r="A53">
        <v>4</v>
      </c>
      <c r="B53">
        <v>2</v>
      </c>
      <c r="C53" s="49" t="s">
        <v>145</v>
      </c>
      <c r="S53" s="15" t="s">
        <v>131</v>
      </c>
      <c r="T53" s="4"/>
      <c r="U53" s="4"/>
      <c r="V53" s="4"/>
      <c r="W53" s="3"/>
      <c r="X53" s="4"/>
      <c r="Y53" s="4"/>
      <c r="Z53" s="4"/>
    </row>
    <row r="54" spans="1:26">
      <c r="F54" s="8">
        <v>44111</v>
      </c>
      <c r="G54" s="17">
        <v>3000</v>
      </c>
      <c r="H54">
        <v>4</v>
      </c>
      <c r="S54" s="45" t="s">
        <v>132</v>
      </c>
      <c r="T54" s="4" t="s">
        <v>133</v>
      </c>
      <c r="U54" s="5" t="s">
        <v>137</v>
      </c>
      <c r="V54" s="5" t="s">
        <v>138</v>
      </c>
      <c r="W54" s="11" t="s">
        <v>135</v>
      </c>
      <c r="X54" s="48" t="s">
        <v>136</v>
      </c>
      <c r="Y54" s="5" t="s">
        <v>139</v>
      </c>
      <c r="Z54" s="5" t="s">
        <v>140</v>
      </c>
    </row>
    <row r="55" spans="1:26">
      <c r="C55" s="8">
        <v>44115</v>
      </c>
      <c r="D55" s="17">
        <v>3000</v>
      </c>
      <c r="E55">
        <v>5</v>
      </c>
      <c r="S55" s="60">
        <v>10</v>
      </c>
      <c r="T55" s="61">
        <v>7</v>
      </c>
      <c r="U55" s="61"/>
      <c r="V55" s="61">
        <v>1</v>
      </c>
      <c r="W55" s="30">
        <v>3000</v>
      </c>
      <c r="X55" s="31"/>
      <c r="Y55" s="61" t="s">
        <v>141</v>
      </c>
      <c r="Z55" s="30">
        <v>3000</v>
      </c>
    </row>
    <row r="57" spans="1:26">
      <c r="A57">
        <v>5</v>
      </c>
      <c r="B57">
        <v>3</v>
      </c>
      <c r="C57" s="52" t="s">
        <v>38</v>
      </c>
      <c r="S57" s="15" t="s">
        <v>86</v>
      </c>
      <c r="T57" s="3"/>
      <c r="U57" s="3"/>
      <c r="V57" s="3"/>
      <c r="W57" s="3"/>
      <c r="X57" s="3"/>
      <c r="Y57" s="3"/>
      <c r="Z57" s="4" t="s">
        <v>155</v>
      </c>
    </row>
    <row r="58" spans="1:26">
      <c r="F58" s="8">
        <v>44105</v>
      </c>
      <c r="G58" s="17">
        <v>200000</v>
      </c>
      <c r="H58">
        <v>1</v>
      </c>
      <c r="S58" s="15" t="s">
        <v>131</v>
      </c>
      <c r="T58" s="4"/>
      <c r="U58" s="4"/>
      <c r="V58" s="4"/>
      <c r="W58" s="3"/>
      <c r="X58" s="4"/>
      <c r="Y58" s="4"/>
      <c r="Z58" s="4"/>
    </row>
    <row r="59" spans="1:26">
      <c r="S59" s="45" t="s">
        <v>132</v>
      </c>
      <c r="T59" s="4" t="s">
        <v>133</v>
      </c>
      <c r="U59" s="5" t="s">
        <v>137</v>
      </c>
      <c r="V59" s="5" t="s">
        <v>138</v>
      </c>
      <c r="W59" s="11" t="s">
        <v>135</v>
      </c>
      <c r="X59" s="48" t="s">
        <v>136</v>
      </c>
      <c r="Y59" s="5" t="s">
        <v>139</v>
      </c>
      <c r="Z59" s="5" t="s">
        <v>140</v>
      </c>
    </row>
    <row r="60" spans="1:26">
      <c r="A60">
        <v>6</v>
      </c>
      <c r="B60">
        <v>4</v>
      </c>
      <c r="C60" s="53" t="s">
        <v>148</v>
      </c>
      <c r="S60" s="60">
        <v>10</v>
      </c>
      <c r="T60" s="61">
        <v>18</v>
      </c>
      <c r="U60" s="61"/>
      <c r="V60" s="61">
        <v>1</v>
      </c>
      <c r="W60" s="30">
        <v>17000</v>
      </c>
      <c r="X60" s="31"/>
      <c r="Y60" s="61" t="s">
        <v>141</v>
      </c>
      <c r="Z60" s="30">
        <v>17000</v>
      </c>
    </row>
    <row r="61" spans="1:26">
      <c r="F61" s="8">
        <v>44119</v>
      </c>
      <c r="G61" s="17">
        <v>30000</v>
      </c>
      <c r="H61">
        <v>6</v>
      </c>
    </row>
    <row r="62" spans="1:26">
      <c r="F62" s="8">
        <v>44135</v>
      </c>
      <c r="G62" s="17">
        <v>40000</v>
      </c>
      <c r="H62">
        <v>10</v>
      </c>
      <c r="S62" s="15" t="s">
        <v>101</v>
      </c>
      <c r="T62" s="3"/>
      <c r="U62" s="3"/>
      <c r="V62" s="3"/>
      <c r="W62" s="3"/>
      <c r="X62" s="3"/>
      <c r="Y62" s="3"/>
      <c r="Z62" s="4" t="s">
        <v>156</v>
      </c>
    </row>
    <row r="63" spans="1:26">
      <c r="S63" s="15" t="s">
        <v>131</v>
      </c>
      <c r="T63" s="4"/>
      <c r="U63" s="4"/>
      <c r="V63" s="4"/>
      <c r="W63" s="3"/>
      <c r="X63" s="4"/>
      <c r="Y63" s="4"/>
      <c r="Z63" s="4"/>
    </row>
    <row r="64" spans="1:26">
      <c r="A64">
        <v>7</v>
      </c>
      <c r="B64">
        <v>5</v>
      </c>
      <c r="C64" s="54" t="s">
        <v>143</v>
      </c>
      <c r="S64" s="45" t="s">
        <v>132</v>
      </c>
      <c r="T64" s="4" t="s">
        <v>133</v>
      </c>
      <c r="U64" s="5" t="s">
        <v>137</v>
      </c>
      <c r="V64" s="5" t="s">
        <v>138</v>
      </c>
      <c r="W64" s="11" t="s">
        <v>135</v>
      </c>
      <c r="X64" s="48" t="s">
        <v>136</v>
      </c>
      <c r="Y64" s="5" t="s">
        <v>139</v>
      </c>
      <c r="Z64" s="5" t="s">
        <v>140</v>
      </c>
    </row>
    <row r="65" spans="1:26">
      <c r="C65" s="8">
        <v>44109</v>
      </c>
      <c r="D65" s="17">
        <v>90000</v>
      </c>
      <c r="E65">
        <v>3</v>
      </c>
      <c r="S65" s="60">
        <v>10</v>
      </c>
      <c r="T65" s="61">
        <v>21</v>
      </c>
      <c r="U65" s="61"/>
      <c r="V65" s="61">
        <v>1</v>
      </c>
      <c r="W65" s="30">
        <v>400</v>
      </c>
      <c r="X65" s="31"/>
      <c r="Y65" s="61" t="s">
        <v>141</v>
      </c>
      <c r="Z65" s="30">
        <v>400</v>
      </c>
    </row>
    <row r="67" spans="1:26">
      <c r="A67">
        <v>8</v>
      </c>
      <c r="B67">
        <v>5</v>
      </c>
      <c r="C67" s="54" t="s">
        <v>144</v>
      </c>
    </row>
    <row r="68" spans="1:26">
      <c r="C68" s="8">
        <v>44111</v>
      </c>
      <c r="D68" s="17">
        <v>3000</v>
      </c>
      <c r="E68">
        <v>4</v>
      </c>
    </row>
    <row r="70" spans="1:26">
      <c r="A70">
        <v>9</v>
      </c>
      <c r="B70">
        <v>5</v>
      </c>
      <c r="C70" s="54" t="s">
        <v>86</v>
      </c>
    </row>
    <row r="71" spans="1:26">
      <c r="C71" s="8">
        <v>44122</v>
      </c>
      <c r="D71" s="17">
        <v>17000</v>
      </c>
      <c r="E71">
        <v>8</v>
      </c>
    </row>
    <row r="73" spans="1:26">
      <c r="A73">
        <v>10</v>
      </c>
      <c r="B73">
        <v>5</v>
      </c>
      <c r="C73" s="54" t="s">
        <v>101</v>
      </c>
    </row>
    <row r="74" spans="1:26">
      <c r="C74" s="8">
        <v>44125</v>
      </c>
      <c r="D74" s="17">
        <v>400</v>
      </c>
      <c r="E74">
        <v>9</v>
      </c>
    </row>
    <row r="76" spans="1:26">
      <c r="A76" t="s">
        <v>108</v>
      </c>
    </row>
    <row r="78" spans="1:26">
      <c r="C78" t="s">
        <v>157</v>
      </c>
    </row>
    <row r="79" spans="1:26">
      <c r="C79" t="s">
        <v>108</v>
      </c>
    </row>
    <row r="80" spans="1:26">
      <c r="C80" t="s">
        <v>158</v>
      </c>
    </row>
    <row r="81" spans="1:5">
      <c r="A81" t="s">
        <v>20</v>
      </c>
      <c r="B81" t="s">
        <v>95</v>
      </c>
      <c r="C81" t="s">
        <v>96</v>
      </c>
      <c r="D81" t="s">
        <v>17</v>
      </c>
      <c r="E81" t="s">
        <v>19</v>
      </c>
    </row>
    <row r="82" spans="1:5">
      <c r="A82">
        <v>1</v>
      </c>
      <c r="B82">
        <v>1</v>
      </c>
      <c r="C82" s="6" t="s">
        <v>29</v>
      </c>
      <c r="D82" s="51">
        <v>115600</v>
      </c>
    </row>
    <row r="83" spans="1:5">
      <c r="A83">
        <v>2</v>
      </c>
      <c r="B83">
        <v>1</v>
      </c>
      <c r="C83" s="6" t="s">
        <v>119</v>
      </c>
      <c r="D83" s="51">
        <v>30000</v>
      </c>
    </row>
    <row r="84" spans="1:5">
      <c r="A84">
        <v>3</v>
      </c>
      <c r="B84">
        <v>1</v>
      </c>
      <c r="C84" s="6" t="s">
        <v>147</v>
      </c>
      <c r="D84" s="51">
        <v>14000</v>
      </c>
    </row>
    <row r="85" spans="1:5">
      <c r="A85">
        <v>4</v>
      </c>
      <c r="B85">
        <v>2</v>
      </c>
      <c r="C85" s="49" t="s">
        <v>145</v>
      </c>
      <c r="D85" s="51">
        <v>0</v>
      </c>
    </row>
    <row r="86" spans="1:5">
      <c r="A86">
        <v>5</v>
      </c>
      <c r="B86">
        <v>3</v>
      </c>
      <c r="C86" s="52" t="s">
        <v>38</v>
      </c>
      <c r="E86" s="51">
        <v>200000</v>
      </c>
    </row>
    <row r="87" spans="1:5">
      <c r="A87">
        <v>6</v>
      </c>
      <c r="B87">
        <v>4</v>
      </c>
      <c r="C87" s="53" t="s">
        <v>148</v>
      </c>
      <c r="E87" s="51">
        <v>70000</v>
      </c>
    </row>
    <row r="88" spans="1:5">
      <c r="A88">
        <v>7</v>
      </c>
      <c r="B88">
        <v>5</v>
      </c>
      <c r="C88" s="54" t="s">
        <v>143</v>
      </c>
      <c r="D88" s="51">
        <v>90000</v>
      </c>
    </row>
    <row r="89" spans="1:5">
      <c r="A89">
        <v>8</v>
      </c>
      <c r="B89">
        <v>5</v>
      </c>
      <c r="C89" s="54" t="s">
        <v>144</v>
      </c>
      <c r="D89" s="51">
        <v>3000</v>
      </c>
    </row>
    <row r="90" spans="1:5">
      <c r="A90">
        <v>9</v>
      </c>
      <c r="B90">
        <v>5</v>
      </c>
      <c r="C90" s="54" t="s">
        <v>86</v>
      </c>
      <c r="D90" s="51">
        <v>17000</v>
      </c>
    </row>
    <row r="91" spans="1:5">
      <c r="A91">
        <v>10</v>
      </c>
      <c r="B91">
        <v>5</v>
      </c>
      <c r="C91" s="54" t="s">
        <v>101</v>
      </c>
      <c r="D91" s="51">
        <v>400</v>
      </c>
    </row>
    <row r="92" spans="1:5">
      <c r="C92" t="s">
        <v>107</v>
      </c>
      <c r="D92" s="51">
        <f>SUM(D82:D91)</f>
        <v>270000</v>
      </c>
      <c r="E92" s="51">
        <f>SUM(E82:E91)</f>
        <v>270000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110F2-23D8-4D35-98FD-A390081E9572}">
  <dimension ref="A1:G15"/>
  <sheetViews>
    <sheetView workbookViewId="0">
      <selection activeCell="K12" sqref="K12"/>
    </sheetView>
  </sheetViews>
  <sheetFormatPr defaultRowHeight="16.5"/>
  <cols>
    <col min="1" max="1" width="11.75" bestFit="1" customWidth="1"/>
    <col min="2" max="2" width="10.125" bestFit="1" customWidth="1"/>
    <col min="5" max="5" width="16.25" bestFit="1" customWidth="1"/>
    <col min="6" max="6" width="10.125" bestFit="1" customWidth="1"/>
    <col min="7" max="7" width="13.25" bestFit="1" customWidth="1"/>
    <col min="10" max="10" width="10.125" bestFit="1" customWidth="1"/>
  </cols>
  <sheetData>
    <row r="1" spans="1:7">
      <c r="A1" t="s">
        <v>1</v>
      </c>
      <c r="E1" t="s">
        <v>5</v>
      </c>
    </row>
    <row r="2" spans="1:7">
      <c r="A2" t="s">
        <v>159</v>
      </c>
      <c r="E2" t="s">
        <v>160</v>
      </c>
    </row>
    <row r="3" spans="1:7">
      <c r="B3" t="s">
        <v>161</v>
      </c>
      <c r="F3" t="s">
        <v>161</v>
      </c>
    </row>
    <row r="4" spans="1:7">
      <c r="B4" t="s">
        <v>108</v>
      </c>
      <c r="F4" t="s">
        <v>108</v>
      </c>
    </row>
    <row r="5" spans="1:7">
      <c r="B5" s="8">
        <v>44165</v>
      </c>
      <c r="F5" s="8">
        <v>44165</v>
      </c>
    </row>
    <row r="6" spans="1:7">
      <c r="A6" t="s">
        <v>162</v>
      </c>
      <c r="B6" t="s">
        <v>163</v>
      </c>
      <c r="C6" t="s">
        <v>164</v>
      </c>
      <c r="E6" t="s">
        <v>162</v>
      </c>
      <c r="F6" t="s">
        <v>163</v>
      </c>
      <c r="G6" t="s">
        <v>164</v>
      </c>
    </row>
    <row r="7" spans="1:7">
      <c r="A7" t="s">
        <v>29</v>
      </c>
      <c r="B7" s="17">
        <v>51400</v>
      </c>
      <c r="C7" s="17"/>
      <c r="E7" t="s">
        <v>29</v>
      </c>
      <c r="F7" s="17">
        <f>51400-7600</f>
        <v>43800</v>
      </c>
      <c r="G7" s="17"/>
    </row>
    <row r="8" spans="1:7">
      <c r="A8" t="s">
        <v>30</v>
      </c>
      <c r="B8" s="17">
        <v>104800</v>
      </c>
      <c r="C8" s="17"/>
      <c r="E8" t="s">
        <v>30</v>
      </c>
      <c r="F8" s="17">
        <f>104800+2*1000</f>
        <v>106800</v>
      </c>
      <c r="G8" s="17"/>
    </row>
    <row r="9" spans="1:7">
      <c r="A9" t="s">
        <v>67</v>
      </c>
      <c r="B9" s="17">
        <v>3000</v>
      </c>
      <c r="C9" s="17"/>
      <c r="E9" t="s">
        <v>67</v>
      </c>
      <c r="F9" s="17">
        <v>2700</v>
      </c>
      <c r="G9" s="17"/>
    </row>
    <row r="10" spans="1:7">
      <c r="A10" t="s">
        <v>37</v>
      </c>
      <c r="B10" s="17"/>
      <c r="C10" s="17">
        <v>10000</v>
      </c>
      <c r="E10" t="s">
        <v>37</v>
      </c>
      <c r="F10" s="17"/>
      <c r="G10" s="17">
        <v>13300</v>
      </c>
    </row>
    <row r="11" spans="1:7">
      <c r="A11" t="s">
        <v>38</v>
      </c>
      <c r="B11" s="17"/>
      <c r="C11" s="17">
        <v>100000</v>
      </c>
      <c r="E11" t="s">
        <v>38</v>
      </c>
      <c r="F11" s="17"/>
      <c r="G11" s="17">
        <v>100000</v>
      </c>
    </row>
    <row r="12" spans="1:7">
      <c r="A12" t="s">
        <v>36</v>
      </c>
      <c r="B12" s="17"/>
      <c r="C12" s="17">
        <v>150000</v>
      </c>
      <c r="E12" t="s">
        <v>36</v>
      </c>
      <c r="F12" s="17"/>
      <c r="G12" s="17">
        <f>150000+20000</f>
        <v>170000</v>
      </c>
    </row>
    <row r="13" spans="1:7">
      <c r="A13" t="s">
        <v>86</v>
      </c>
      <c r="B13" s="17">
        <v>120000</v>
      </c>
      <c r="C13" s="17"/>
      <c r="E13" t="s">
        <v>86</v>
      </c>
      <c r="F13" s="17">
        <v>120000</v>
      </c>
      <c r="G13" s="17"/>
    </row>
    <row r="14" spans="1:7">
      <c r="A14" t="s">
        <v>34</v>
      </c>
      <c r="B14" s="17">
        <v>10000</v>
      </c>
      <c r="C14" s="17"/>
      <c r="E14" t="s">
        <v>34</v>
      </c>
      <c r="F14" s="17">
        <v>10000</v>
      </c>
      <c r="G14" s="17"/>
    </row>
    <row r="15" spans="1:7">
      <c r="A15" t="s">
        <v>107</v>
      </c>
      <c r="B15" s="17">
        <v>289200</v>
      </c>
      <c r="C15" s="17">
        <v>260000</v>
      </c>
      <c r="E15" t="s">
        <v>107</v>
      </c>
      <c r="F15" s="17">
        <f>SUM(F7:F14)</f>
        <v>283300</v>
      </c>
      <c r="G15" s="17">
        <f>SUM(G7:G14)</f>
        <v>283300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0AA00-C74A-4641-885C-09B3A908D6E9}">
  <dimension ref="A1:D10"/>
  <sheetViews>
    <sheetView workbookViewId="0">
      <selection activeCell="A11" sqref="A11"/>
    </sheetView>
  </sheetViews>
  <sheetFormatPr defaultRowHeight="16.5"/>
  <sheetData>
    <row r="1" spans="1:4">
      <c r="A1" t="s">
        <v>165</v>
      </c>
    </row>
    <row r="2" spans="1:4">
      <c r="C2" t="s">
        <v>17</v>
      </c>
      <c r="D2" t="s">
        <v>19</v>
      </c>
    </row>
    <row r="3" spans="1:4">
      <c r="A3" t="s">
        <v>166</v>
      </c>
      <c r="C3" s="1">
        <v>5000</v>
      </c>
      <c r="D3" s="1"/>
    </row>
    <row r="4" spans="1:4">
      <c r="A4" t="s">
        <v>85</v>
      </c>
      <c r="C4" s="1">
        <v>5000</v>
      </c>
    </row>
    <row r="5" spans="1:4">
      <c r="B5" t="s">
        <v>29</v>
      </c>
      <c r="D5" s="1">
        <v>10000</v>
      </c>
    </row>
    <row r="6" spans="1:4">
      <c r="D6" s="1"/>
    </row>
    <row r="7" spans="1:4">
      <c r="A7" t="s">
        <v>167</v>
      </c>
    </row>
    <row r="8" spans="1:4">
      <c r="C8" t="s">
        <v>17</v>
      </c>
      <c r="D8" t="s">
        <v>19</v>
      </c>
    </row>
    <row r="9" spans="1:4">
      <c r="A9" t="s">
        <v>85</v>
      </c>
      <c r="C9" s="1">
        <v>6000</v>
      </c>
      <c r="D9" s="1"/>
    </row>
    <row r="10" spans="1:4">
      <c r="B10" t="s">
        <v>126</v>
      </c>
      <c r="C10" s="1"/>
      <c r="D10" s="1">
        <v>6000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D3580-53B4-4475-845E-941FFF514011}">
  <dimension ref="A1"/>
  <sheetViews>
    <sheetView workbookViewId="0">
      <selection activeCell="A8" sqref="A8"/>
    </sheetView>
  </sheetViews>
  <sheetFormatPr defaultRowHeight="16.5"/>
  <sheetData>
    <row r="1" spans="1:1">
      <c r="A1" t="s">
        <v>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1FD40-DAC0-4FFC-9F85-D7D2F045248A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D4A9C-AFF2-44D8-85CC-AF863055DBA3}">
  <dimension ref="A1:D23"/>
  <sheetViews>
    <sheetView topLeftCell="A4" workbookViewId="0">
      <selection activeCell="A26" sqref="A26"/>
    </sheetView>
  </sheetViews>
  <sheetFormatPr defaultRowHeight="16.5"/>
  <sheetData>
    <row r="1" spans="1:4">
      <c r="A1" t="s">
        <v>1</v>
      </c>
    </row>
    <row r="2" spans="1:4">
      <c r="C2" t="s">
        <v>17</v>
      </c>
      <c r="D2" t="s">
        <v>19</v>
      </c>
    </row>
    <row r="3" spans="1:4">
      <c r="A3" t="s">
        <v>29</v>
      </c>
      <c r="C3" s="1">
        <v>40000</v>
      </c>
      <c r="D3" s="1"/>
    </row>
    <row r="4" spans="1:4">
      <c r="A4" t="s">
        <v>30</v>
      </c>
      <c r="C4" s="1">
        <v>200000</v>
      </c>
      <c r="D4" s="1"/>
    </row>
    <row r="5" spans="1:4">
      <c r="A5" t="s">
        <v>103</v>
      </c>
      <c r="C5" s="1"/>
      <c r="D5" s="1">
        <v>120000</v>
      </c>
    </row>
    <row r="6" spans="1:4">
      <c r="A6" t="s">
        <v>36</v>
      </c>
      <c r="C6" s="1"/>
      <c r="D6" s="1">
        <v>400000</v>
      </c>
    </row>
    <row r="7" spans="1:4">
      <c r="A7" t="s">
        <v>86</v>
      </c>
      <c r="C7" s="1">
        <v>280000</v>
      </c>
      <c r="D7" s="1"/>
    </row>
    <row r="9" spans="1:4">
      <c r="A9" t="s">
        <v>5</v>
      </c>
    </row>
    <row r="10" spans="1:4">
      <c r="A10" t="s">
        <v>94</v>
      </c>
    </row>
    <row r="11" spans="1:4">
      <c r="A11" s="3"/>
      <c r="B11" s="3"/>
      <c r="C11" s="3" t="s">
        <v>17</v>
      </c>
      <c r="D11" s="3" t="s">
        <v>19</v>
      </c>
    </row>
    <row r="12" spans="1:4">
      <c r="A12" t="s">
        <v>86</v>
      </c>
      <c r="C12" s="1">
        <v>120000</v>
      </c>
    </row>
    <row r="13" spans="1:4">
      <c r="B13" t="s">
        <v>103</v>
      </c>
      <c r="D13" s="1">
        <v>120000</v>
      </c>
    </row>
    <row r="14" spans="1:4">
      <c r="A14" s="3"/>
      <c r="B14" s="3"/>
      <c r="C14" s="3" t="s">
        <v>17</v>
      </c>
      <c r="D14" s="3" t="s">
        <v>19</v>
      </c>
    </row>
    <row r="15" spans="1:4">
      <c r="A15" t="s">
        <v>86</v>
      </c>
      <c r="C15" s="10">
        <v>280000</v>
      </c>
    </row>
    <row r="16" spans="1:4">
      <c r="A16" s="11"/>
      <c r="B16" s="11" t="s">
        <v>29</v>
      </c>
      <c r="C16" s="11"/>
      <c r="D16" s="12">
        <v>280000</v>
      </c>
    </row>
    <row r="18" spans="1:4">
      <c r="A18" s="3"/>
      <c r="B18" s="3"/>
      <c r="C18" s="3" t="s">
        <v>17</v>
      </c>
      <c r="D18" s="3" t="s">
        <v>19</v>
      </c>
    </row>
    <row r="19" spans="1:4">
      <c r="A19" t="s">
        <v>36</v>
      </c>
      <c r="C19" s="10"/>
      <c r="D19" s="1">
        <v>200000</v>
      </c>
    </row>
    <row r="20" spans="1:4">
      <c r="B20" t="s">
        <v>30</v>
      </c>
      <c r="C20" s="1">
        <v>200000</v>
      </c>
      <c r="D20" s="10"/>
    </row>
    <row r="21" spans="1:4">
      <c r="A21" s="3"/>
      <c r="B21" s="3"/>
      <c r="C21" s="3" t="s">
        <v>17</v>
      </c>
      <c r="D21" s="3" t="s">
        <v>19</v>
      </c>
    </row>
    <row r="22" spans="1:4">
      <c r="A22" t="s">
        <v>36</v>
      </c>
      <c r="C22" s="10"/>
      <c r="D22" s="1">
        <v>400000</v>
      </c>
    </row>
    <row r="23" spans="1:4">
      <c r="A23" s="11"/>
      <c r="B23" s="11" t="s">
        <v>29</v>
      </c>
      <c r="C23" s="13">
        <v>400000</v>
      </c>
      <c r="D23" s="1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7CB3F-1D04-4383-B494-1461432D2105}">
  <dimension ref="A1:M111"/>
  <sheetViews>
    <sheetView workbookViewId="0">
      <selection activeCell="C23" sqref="C23"/>
    </sheetView>
  </sheetViews>
  <sheetFormatPr defaultRowHeight="16.5"/>
  <cols>
    <col min="1" max="2" width="15.375" bestFit="1" customWidth="1"/>
    <col min="3" max="3" width="16.25" bestFit="1" customWidth="1"/>
    <col min="4" max="4" width="18.5" bestFit="1" customWidth="1"/>
    <col min="5" max="5" width="13.5" bestFit="1" customWidth="1"/>
    <col min="6" max="6" width="14.375" bestFit="1" customWidth="1"/>
  </cols>
  <sheetData>
    <row r="1" spans="1:5">
      <c r="A1" s="10" t="s">
        <v>169</v>
      </c>
      <c r="B1" s="10"/>
      <c r="C1" s="10"/>
      <c r="D1" s="10"/>
    </row>
    <row r="2" spans="1:5">
      <c r="A2" s="10"/>
      <c r="B2" s="10"/>
      <c r="C2" s="10"/>
      <c r="D2" s="10"/>
    </row>
    <row r="3" spans="1:5">
      <c r="A3" t="s">
        <v>170</v>
      </c>
      <c r="B3" s="10"/>
      <c r="C3" s="10"/>
      <c r="D3" s="10"/>
    </row>
    <row r="4" spans="1:5">
      <c r="A4" s="8"/>
      <c r="B4" t="s">
        <v>96</v>
      </c>
      <c r="C4" s="10" t="s">
        <v>96</v>
      </c>
      <c r="D4" s="10" t="s">
        <v>17</v>
      </c>
      <c r="E4" t="s">
        <v>19</v>
      </c>
    </row>
    <row r="5" spans="1:5">
      <c r="A5" s="8">
        <v>44166</v>
      </c>
      <c r="B5" s="10" t="s">
        <v>29</v>
      </c>
      <c r="C5" s="10"/>
      <c r="D5" s="17">
        <v>1000000</v>
      </c>
      <c r="E5" s="17"/>
    </row>
    <row r="6" spans="1:5">
      <c r="A6" s="8"/>
      <c r="B6" s="10"/>
      <c r="C6" s="10" t="s">
        <v>38</v>
      </c>
      <c r="D6" s="17"/>
      <c r="E6" s="17">
        <v>1000000</v>
      </c>
    </row>
    <row r="7" spans="1:5">
      <c r="A7" s="8">
        <v>44168</v>
      </c>
      <c r="B7" s="10" t="s">
        <v>171</v>
      </c>
      <c r="C7" s="10"/>
      <c r="D7" s="17">
        <v>2000000</v>
      </c>
      <c r="E7" s="17"/>
    </row>
    <row r="8" spans="1:5">
      <c r="A8" s="8"/>
      <c r="B8" s="10"/>
      <c r="C8" s="10" t="s">
        <v>29</v>
      </c>
      <c r="D8" s="17"/>
      <c r="E8" s="17">
        <v>400000</v>
      </c>
    </row>
    <row r="9" spans="1:5">
      <c r="A9" s="8"/>
      <c r="B9" s="10"/>
      <c r="C9" t="s">
        <v>172</v>
      </c>
      <c r="D9" s="17"/>
      <c r="E9" s="17">
        <v>1600000</v>
      </c>
    </row>
    <row r="10" spans="1:5">
      <c r="A10" s="8">
        <v>44170</v>
      </c>
      <c r="B10" s="10" t="s">
        <v>101</v>
      </c>
      <c r="C10" s="10"/>
      <c r="D10" s="17">
        <v>5000</v>
      </c>
      <c r="E10" s="17"/>
    </row>
    <row r="11" spans="1:5">
      <c r="A11" s="8"/>
      <c r="B11" s="10"/>
      <c r="C11" s="10" t="s">
        <v>173</v>
      </c>
      <c r="D11" s="17"/>
      <c r="E11" s="17">
        <v>5000</v>
      </c>
    </row>
    <row r="12" spans="1:5">
      <c r="A12" s="8">
        <v>44172</v>
      </c>
      <c r="B12" s="10" t="s">
        <v>173</v>
      </c>
      <c r="C12" s="10"/>
      <c r="D12" s="17">
        <v>4500</v>
      </c>
      <c r="E12" s="17"/>
    </row>
    <row r="13" spans="1:5">
      <c r="A13" s="8"/>
      <c r="B13" s="10"/>
      <c r="C13" s="10" t="s">
        <v>101</v>
      </c>
      <c r="D13" s="17"/>
      <c r="E13" s="17">
        <v>4500</v>
      </c>
    </row>
    <row r="14" spans="1:5">
      <c r="A14" s="8">
        <v>44174</v>
      </c>
      <c r="B14" s="10" t="s">
        <v>86</v>
      </c>
      <c r="C14" s="10"/>
      <c r="D14" s="17">
        <v>30000</v>
      </c>
      <c r="E14" s="17"/>
    </row>
    <row r="15" spans="1:5">
      <c r="A15" s="8"/>
      <c r="B15" s="10"/>
      <c r="C15" s="10" t="s">
        <v>29</v>
      </c>
      <c r="D15" s="17"/>
      <c r="E15" s="17">
        <v>30000</v>
      </c>
    </row>
    <row r="16" spans="1:5">
      <c r="A16" s="8">
        <v>44176</v>
      </c>
      <c r="B16" s="10" t="s">
        <v>29</v>
      </c>
      <c r="C16" s="10"/>
      <c r="D16" s="17">
        <v>48000</v>
      </c>
      <c r="E16" s="17"/>
    </row>
    <row r="17" spans="1:5">
      <c r="A17" s="8"/>
      <c r="B17" s="10"/>
      <c r="C17" s="10" t="s">
        <v>174</v>
      </c>
      <c r="D17" s="17"/>
      <c r="E17" s="17">
        <v>48000</v>
      </c>
    </row>
    <row r="18" spans="1:5">
      <c r="A18" s="8">
        <v>44178</v>
      </c>
      <c r="B18" s="10" t="s">
        <v>175</v>
      </c>
      <c r="C18" s="10"/>
      <c r="D18" s="17">
        <v>50000</v>
      </c>
      <c r="E18" s="17"/>
    </row>
    <row r="19" spans="1:5">
      <c r="A19" s="8"/>
      <c r="B19" s="10"/>
      <c r="C19" s="10" t="s">
        <v>174</v>
      </c>
      <c r="D19" s="17"/>
      <c r="E19" s="17">
        <v>50000</v>
      </c>
    </row>
    <row r="20" spans="1:5">
      <c r="A20" s="8">
        <v>44180</v>
      </c>
      <c r="B20" s="10" t="s">
        <v>29</v>
      </c>
      <c r="C20" s="10"/>
      <c r="D20" s="17">
        <v>40000</v>
      </c>
      <c r="E20" s="17"/>
    </row>
    <row r="21" spans="1:5">
      <c r="A21" s="8"/>
      <c r="B21" s="10"/>
      <c r="C21" s="10" t="s">
        <v>175</v>
      </c>
      <c r="D21" s="17"/>
      <c r="E21" s="17">
        <v>40000</v>
      </c>
    </row>
    <row r="22" spans="1:5">
      <c r="A22" s="8">
        <v>44182</v>
      </c>
      <c r="B22" t="s">
        <v>172</v>
      </c>
      <c r="C22" s="10"/>
      <c r="D22" s="17">
        <v>36000</v>
      </c>
      <c r="E22" s="17"/>
    </row>
    <row r="23" spans="1:5">
      <c r="A23" s="10"/>
      <c r="B23" s="10"/>
      <c r="C23" s="10" t="s">
        <v>29</v>
      </c>
      <c r="D23" s="17"/>
      <c r="E23" s="17">
        <v>36000</v>
      </c>
    </row>
    <row r="24" spans="1:5">
      <c r="A24" s="8">
        <v>44184</v>
      </c>
      <c r="B24" s="10" t="s">
        <v>29</v>
      </c>
      <c r="C24" s="10"/>
      <c r="D24" s="17">
        <v>50000</v>
      </c>
      <c r="E24" s="17"/>
    </row>
    <row r="25" spans="1:5">
      <c r="A25" s="10"/>
      <c r="B25" s="10"/>
      <c r="C25" s="10" t="s">
        <v>38</v>
      </c>
      <c r="D25" s="17"/>
      <c r="E25" s="17">
        <v>50000</v>
      </c>
    </row>
    <row r="26" spans="1:5">
      <c r="A26" s="8">
        <v>44186</v>
      </c>
      <c r="B26" s="10" t="s">
        <v>100</v>
      </c>
      <c r="C26" s="10"/>
      <c r="D26" s="17">
        <v>60000</v>
      </c>
      <c r="E26" s="17"/>
    </row>
    <row r="27" spans="1:5">
      <c r="A27" s="10"/>
      <c r="B27" s="10" t="s">
        <v>101</v>
      </c>
      <c r="C27" s="10"/>
      <c r="D27" s="17">
        <v>20000</v>
      </c>
      <c r="E27" s="17"/>
    </row>
    <row r="28" spans="1:5">
      <c r="A28" s="10"/>
      <c r="B28" s="10"/>
      <c r="C28" s="10" t="s">
        <v>38</v>
      </c>
      <c r="D28" s="17"/>
      <c r="E28" s="17">
        <v>80000</v>
      </c>
    </row>
    <row r="29" spans="1:5">
      <c r="A29" s="8">
        <v>44188</v>
      </c>
      <c r="B29" s="10" t="s">
        <v>43</v>
      </c>
      <c r="C29" s="10"/>
      <c r="D29" s="17">
        <v>54000</v>
      </c>
      <c r="E29" s="17"/>
    </row>
    <row r="30" spans="1:5">
      <c r="A30" s="10"/>
      <c r="B30" s="10"/>
      <c r="C30" s="10" t="s">
        <v>100</v>
      </c>
      <c r="D30" s="17"/>
      <c r="E30" s="17">
        <v>54000</v>
      </c>
    </row>
    <row r="31" spans="1:5">
      <c r="A31" s="8">
        <v>44190</v>
      </c>
      <c r="B31" s="10" t="s">
        <v>43</v>
      </c>
      <c r="C31" s="10"/>
      <c r="D31" s="17">
        <v>10000</v>
      </c>
      <c r="E31" s="17"/>
    </row>
    <row r="32" spans="1:5">
      <c r="A32" s="10"/>
      <c r="B32" s="10"/>
      <c r="C32" s="10" t="s">
        <v>103</v>
      </c>
      <c r="D32" s="17"/>
      <c r="E32" s="17">
        <v>10000</v>
      </c>
    </row>
    <row r="33" spans="1:8">
      <c r="B33" s="10"/>
      <c r="C33" s="10"/>
      <c r="D33" s="10"/>
      <c r="E33" s="10"/>
    </row>
    <row r="34" spans="1:8">
      <c r="B34" s="10"/>
      <c r="C34" s="10"/>
      <c r="D34" s="10"/>
      <c r="E34" s="10"/>
    </row>
    <row r="35" spans="1:8">
      <c r="A35" s="10" t="s">
        <v>105</v>
      </c>
      <c r="C35" s="10"/>
      <c r="D35" s="10"/>
      <c r="E35" s="10"/>
    </row>
    <row r="36" spans="1:8">
      <c r="A36" s="10" t="s">
        <v>29</v>
      </c>
      <c r="C36" s="10"/>
      <c r="D36" s="10"/>
      <c r="E36" s="10"/>
    </row>
    <row r="37" spans="1:8">
      <c r="A37" s="7">
        <v>44166</v>
      </c>
      <c r="B37" s="34">
        <v>1000000</v>
      </c>
      <c r="C37" s="34">
        <v>1</v>
      </c>
      <c r="D37" s="15"/>
      <c r="E37" s="34"/>
      <c r="F37" s="34"/>
      <c r="H37">
        <v>788000</v>
      </c>
    </row>
    <row r="38" spans="1:8">
      <c r="B38" s="10"/>
      <c r="C38" s="36"/>
      <c r="D38" s="8">
        <v>44188</v>
      </c>
      <c r="E38" s="10">
        <v>400000</v>
      </c>
      <c r="F38" s="10">
        <v>2</v>
      </c>
    </row>
    <row r="39" spans="1:8">
      <c r="B39" s="10"/>
      <c r="C39" s="36"/>
      <c r="D39" s="8">
        <v>44190</v>
      </c>
      <c r="E39" s="10">
        <v>30000</v>
      </c>
      <c r="F39" s="10">
        <v>5</v>
      </c>
    </row>
    <row r="40" spans="1:8">
      <c r="A40" s="8">
        <v>44176</v>
      </c>
      <c r="B40" s="10">
        <v>48000</v>
      </c>
      <c r="C40" s="36">
        <v>6</v>
      </c>
      <c r="E40" s="10"/>
      <c r="F40" s="10"/>
    </row>
    <row r="41" spans="1:8">
      <c r="A41" s="8">
        <v>44180</v>
      </c>
      <c r="B41" s="10">
        <v>40000</v>
      </c>
      <c r="C41" s="36">
        <v>8</v>
      </c>
      <c r="E41" s="10"/>
      <c r="F41" s="10"/>
    </row>
    <row r="42" spans="1:8">
      <c r="B42" s="10"/>
      <c r="C42" s="36"/>
      <c r="D42" s="8">
        <v>44192</v>
      </c>
      <c r="E42" s="10">
        <v>360000</v>
      </c>
      <c r="F42" s="10">
        <v>9</v>
      </c>
    </row>
    <row r="43" spans="1:8">
      <c r="A43" s="8">
        <v>44184</v>
      </c>
      <c r="B43" s="10">
        <v>500000</v>
      </c>
      <c r="C43" s="36">
        <v>10</v>
      </c>
      <c r="E43" s="10"/>
      <c r="F43" s="10"/>
    </row>
    <row r="44" spans="1:8">
      <c r="B44" s="10"/>
      <c r="C44" s="36"/>
      <c r="D44" s="8">
        <v>44196</v>
      </c>
      <c r="E44" s="10">
        <v>10000</v>
      </c>
      <c r="F44" s="10">
        <v>15</v>
      </c>
    </row>
    <row r="46" spans="1:8">
      <c r="A46" s="10" t="s">
        <v>176</v>
      </c>
      <c r="C46" s="10"/>
      <c r="D46" s="10"/>
      <c r="E46" s="10"/>
    </row>
    <row r="47" spans="1:8">
      <c r="A47" s="7">
        <v>44178</v>
      </c>
      <c r="B47" s="34">
        <v>50000</v>
      </c>
      <c r="C47" s="35">
        <v>7</v>
      </c>
      <c r="D47" s="34"/>
      <c r="E47" s="34"/>
      <c r="F47" s="3"/>
      <c r="H47">
        <v>10000</v>
      </c>
    </row>
    <row r="48" spans="1:8">
      <c r="B48" s="10"/>
      <c r="C48" s="36"/>
      <c r="D48" s="8">
        <v>44180</v>
      </c>
      <c r="E48" s="10">
        <v>40000</v>
      </c>
      <c r="F48">
        <v>8</v>
      </c>
    </row>
    <row r="50" spans="1:9">
      <c r="A50" t="s">
        <v>177</v>
      </c>
      <c r="B50" s="10"/>
      <c r="C50" s="10"/>
      <c r="D50" s="10"/>
      <c r="E50" s="10"/>
    </row>
    <row r="51" spans="1:9">
      <c r="A51" s="3"/>
      <c r="B51" s="34"/>
      <c r="C51" s="35"/>
      <c r="D51" s="7">
        <v>44168</v>
      </c>
      <c r="E51" s="34">
        <v>1600000</v>
      </c>
      <c r="F51" s="3">
        <v>2</v>
      </c>
      <c r="I51">
        <v>1240000</v>
      </c>
    </row>
    <row r="52" spans="1:9">
      <c r="A52" s="8">
        <v>44182</v>
      </c>
      <c r="B52" s="10">
        <v>360000</v>
      </c>
      <c r="C52" s="36">
        <v>9</v>
      </c>
      <c r="D52" s="10"/>
      <c r="E52" s="10"/>
    </row>
    <row r="53" spans="1:9">
      <c r="B53" s="10"/>
      <c r="C53" s="10"/>
      <c r="D53" s="10"/>
      <c r="E53" s="10"/>
    </row>
    <row r="54" spans="1:9">
      <c r="A54" s="10" t="s">
        <v>178</v>
      </c>
      <c r="B54" s="10"/>
      <c r="C54" s="10"/>
      <c r="D54" s="10"/>
      <c r="E54" s="10"/>
    </row>
    <row r="55" spans="1:9">
      <c r="A55" s="3"/>
      <c r="B55" s="34"/>
      <c r="C55" s="35"/>
      <c r="D55" s="7">
        <v>44190</v>
      </c>
      <c r="E55" s="34">
        <v>10000</v>
      </c>
      <c r="F55" s="3">
        <v>13</v>
      </c>
      <c r="I55">
        <v>10000</v>
      </c>
    </row>
    <row r="57" spans="1:9">
      <c r="A57" s="10" t="s">
        <v>179</v>
      </c>
      <c r="C57" s="10"/>
      <c r="D57" s="10"/>
      <c r="E57" s="10"/>
    </row>
    <row r="58" spans="1:9">
      <c r="A58" s="3"/>
      <c r="B58" s="34"/>
      <c r="C58" s="35"/>
      <c r="D58" s="7">
        <v>44170</v>
      </c>
      <c r="E58" s="34">
        <v>5000</v>
      </c>
      <c r="F58" s="3">
        <v>3</v>
      </c>
      <c r="I58">
        <v>500</v>
      </c>
    </row>
    <row r="59" spans="1:9">
      <c r="A59" s="8">
        <v>44172</v>
      </c>
      <c r="B59" s="10">
        <v>4500</v>
      </c>
      <c r="C59" s="36">
        <v>4</v>
      </c>
      <c r="D59" s="10"/>
      <c r="E59" s="10"/>
    </row>
    <row r="60" spans="1:9">
      <c r="B60" s="10"/>
      <c r="C60" s="10"/>
      <c r="D60" s="10"/>
      <c r="E60" s="10"/>
    </row>
    <row r="61" spans="1:9">
      <c r="A61" s="10" t="s">
        <v>38</v>
      </c>
      <c r="B61" s="10"/>
      <c r="C61" s="10"/>
      <c r="D61" s="10"/>
      <c r="E61" s="10"/>
    </row>
    <row r="62" spans="1:9">
      <c r="A62" s="3"/>
      <c r="B62" s="34"/>
      <c r="C62" s="35"/>
      <c r="D62" s="7">
        <v>44166</v>
      </c>
      <c r="E62" s="34">
        <v>1000000</v>
      </c>
      <c r="F62" s="3">
        <v>1</v>
      </c>
      <c r="I62">
        <v>1526000</v>
      </c>
    </row>
    <row r="63" spans="1:9">
      <c r="B63" s="10"/>
      <c r="C63" s="36"/>
      <c r="D63" s="8">
        <v>44184</v>
      </c>
      <c r="E63" s="10">
        <v>500000</v>
      </c>
      <c r="F63">
        <v>10</v>
      </c>
    </row>
    <row r="64" spans="1:9">
      <c r="A64" s="8">
        <v>44188</v>
      </c>
      <c r="B64" s="10">
        <v>54000</v>
      </c>
      <c r="C64" s="36">
        <v>12</v>
      </c>
      <c r="D64" s="8">
        <v>44186</v>
      </c>
      <c r="E64" s="10">
        <v>60000</v>
      </c>
      <c r="F64">
        <v>11</v>
      </c>
    </row>
    <row r="65" spans="1:9">
      <c r="B65" s="10"/>
      <c r="C65" s="36"/>
      <c r="D65" s="8">
        <v>44186</v>
      </c>
      <c r="E65" s="10">
        <v>20000</v>
      </c>
      <c r="F65">
        <v>11</v>
      </c>
    </row>
    <row r="66" spans="1:9">
      <c r="B66" s="10"/>
      <c r="C66" s="10"/>
      <c r="D66" s="10"/>
      <c r="E66" s="10"/>
    </row>
    <row r="67" spans="1:9">
      <c r="A67" s="10" t="s">
        <v>43</v>
      </c>
      <c r="C67" s="10"/>
      <c r="D67" s="10"/>
      <c r="E67" s="10"/>
    </row>
    <row r="68" spans="1:9">
      <c r="A68" s="7">
        <v>44190</v>
      </c>
      <c r="B68" s="34">
        <v>10000</v>
      </c>
      <c r="C68" s="35">
        <v>13</v>
      </c>
      <c r="D68" s="34"/>
      <c r="E68" s="34"/>
      <c r="F68" s="3"/>
      <c r="H68">
        <v>100000</v>
      </c>
    </row>
    <row r="69" spans="1:9">
      <c r="A69" s="8">
        <v>44192</v>
      </c>
      <c r="B69" s="10">
        <v>80000</v>
      </c>
      <c r="C69" s="36">
        <v>14</v>
      </c>
      <c r="D69" s="10"/>
      <c r="E69" s="10"/>
    </row>
    <row r="70" spans="1:9">
      <c r="A70" s="8">
        <v>44194</v>
      </c>
      <c r="B70" s="10">
        <v>10000</v>
      </c>
      <c r="C70" s="36">
        <v>15</v>
      </c>
      <c r="D70" s="10"/>
      <c r="E70" s="10"/>
    </row>
    <row r="72" spans="1:9">
      <c r="A72" s="10" t="s">
        <v>174</v>
      </c>
      <c r="C72" s="10"/>
      <c r="D72" s="10"/>
      <c r="E72" s="10"/>
    </row>
    <row r="73" spans="1:9">
      <c r="A73" s="3"/>
      <c r="B73" s="34"/>
      <c r="C73" s="35"/>
      <c r="D73" s="7">
        <v>44176</v>
      </c>
      <c r="E73" s="34">
        <v>48000</v>
      </c>
      <c r="F73" s="3">
        <v>6</v>
      </c>
      <c r="I73">
        <v>178000</v>
      </c>
    </row>
    <row r="74" spans="1:9">
      <c r="B74" s="10"/>
      <c r="C74" s="36"/>
      <c r="D74" s="8">
        <v>44178</v>
      </c>
      <c r="E74" s="10">
        <v>50000</v>
      </c>
      <c r="F74">
        <v>7</v>
      </c>
    </row>
    <row r="75" spans="1:9">
      <c r="B75" s="10"/>
      <c r="C75" s="36"/>
      <c r="D75" s="8">
        <v>44192</v>
      </c>
      <c r="E75" s="10">
        <v>80000</v>
      </c>
      <c r="F75">
        <v>14</v>
      </c>
    </row>
    <row r="77" spans="1:9">
      <c r="A77" t="s">
        <v>86</v>
      </c>
      <c r="B77" s="10"/>
      <c r="C77" s="10"/>
      <c r="D77" s="10"/>
      <c r="E77" s="10"/>
    </row>
    <row r="78" spans="1:9">
      <c r="A78" s="7">
        <v>44174</v>
      </c>
      <c r="B78" s="34">
        <v>30000</v>
      </c>
      <c r="C78" s="35">
        <v>5</v>
      </c>
      <c r="D78" s="34"/>
      <c r="E78" s="34"/>
      <c r="F78" s="3"/>
      <c r="H78">
        <v>30000</v>
      </c>
    </row>
    <row r="79" spans="1:9">
      <c r="B79" s="10"/>
      <c r="C79" s="10"/>
      <c r="D79" s="10"/>
      <c r="E79" s="10"/>
    </row>
    <row r="80" spans="1:9">
      <c r="A80" t="s">
        <v>100</v>
      </c>
      <c r="B80" s="10"/>
      <c r="C80" s="10"/>
      <c r="D80" s="10"/>
      <c r="E80" s="10"/>
    </row>
    <row r="81" spans="1:13">
      <c r="A81" s="7">
        <v>44186</v>
      </c>
      <c r="B81" s="34">
        <v>60000</v>
      </c>
      <c r="C81" s="35">
        <v>11</v>
      </c>
      <c r="D81" s="7">
        <v>44188</v>
      </c>
      <c r="E81" s="34">
        <v>54000</v>
      </c>
      <c r="F81" s="34">
        <v>12</v>
      </c>
      <c r="H81">
        <v>6000</v>
      </c>
      <c r="M81" s="17"/>
    </row>
    <row r="83" spans="1:13">
      <c r="A83" t="s">
        <v>180</v>
      </c>
      <c r="B83" s="10"/>
      <c r="C83" s="10"/>
      <c r="D83" s="10"/>
      <c r="E83" s="10"/>
    </row>
    <row r="84" spans="1:13">
      <c r="A84" s="7">
        <v>44168</v>
      </c>
      <c r="B84" s="34">
        <v>2000000</v>
      </c>
      <c r="C84" s="35">
        <v>2</v>
      </c>
      <c r="D84" s="34"/>
      <c r="E84" s="34"/>
      <c r="F84" s="3"/>
      <c r="H84">
        <v>2000000</v>
      </c>
    </row>
    <row r="86" spans="1:13">
      <c r="A86" t="s">
        <v>101</v>
      </c>
      <c r="B86" s="10"/>
      <c r="C86" s="10"/>
      <c r="D86" s="10"/>
      <c r="E86" s="10"/>
    </row>
    <row r="87" spans="1:13">
      <c r="A87" s="7">
        <v>44170</v>
      </c>
      <c r="B87" s="34">
        <v>5000</v>
      </c>
      <c r="C87" s="35">
        <v>3</v>
      </c>
      <c r="D87" s="7">
        <v>44172</v>
      </c>
      <c r="E87" s="34">
        <v>4500</v>
      </c>
      <c r="F87" s="3">
        <v>4</v>
      </c>
      <c r="H87">
        <v>20500</v>
      </c>
    </row>
    <row r="88" spans="1:13">
      <c r="A88" s="8">
        <v>44186</v>
      </c>
      <c r="B88" s="17">
        <v>20000</v>
      </c>
      <c r="C88" s="5">
        <v>11</v>
      </c>
    </row>
    <row r="90" spans="1:13">
      <c r="A90" s="10" t="s">
        <v>181</v>
      </c>
      <c r="B90" s="10"/>
      <c r="C90" s="10"/>
    </row>
    <row r="91" spans="1:13">
      <c r="A91" s="10" t="s">
        <v>105</v>
      </c>
      <c r="B91" s="10"/>
      <c r="C91" s="10"/>
    </row>
    <row r="92" spans="1:13">
      <c r="A92" s="10" t="s">
        <v>182</v>
      </c>
      <c r="B92" s="10"/>
      <c r="C92" s="10"/>
    </row>
    <row r="93" spans="1:13">
      <c r="A93" s="10"/>
      <c r="B93" s="10"/>
      <c r="C93" s="10"/>
    </row>
    <row r="94" spans="1:13">
      <c r="A94" s="10" t="s">
        <v>108</v>
      </c>
      <c r="B94" s="10"/>
      <c r="C94" s="10"/>
    </row>
    <row r="95" spans="1:13">
      <c r="A95" s="37"/>
      <c r="B95" s="34" t="s">
        <v>183</v>
      </c>
      <c r="C95" s="35"/>
    </row>
    <row r="96" spans="1:13">
      <c r="A96" s="38"/>
      <c r="B96" s="10" t="s">
        <v>108</v>
      </c>
      <c r="C96" s="36"/>
    </row>
    <row r="97" spans="1:3">
      <c r="A97" s="38"/>
      <c r="B97" s="8">
        <v>44105</v>
      </c>
      <c r="C97" s="36"/>
    </row>
    <row r="98" spans="1:3">
      <c r="A98" s="39" t="s">
        <v>78</v>
      </c>
      <c r="B98" s="40" t="s">
        <v>163</v>
      </c>
      <c r="C98" s="41" t="s">
        <v>164</v>
      </c>
    </row>
    <row r="99" spans="1:3">
      <c r="A99" s="38" t="s">
        <v>29</v>
      </c>
      <c r="B99" s="10">
        <v>788000</v>
      </c>
      <c r="C99" s="36"/>
    </row>
    <row r="100" spans="1:3">
      <c r="A100" s="10" t="s">
        <v>176</v>
      </c>
      <c r="B100" s="10">
        <v>10000</v>
      </c>
      <c r="C100" s="36"/>
    </row>
    <row r="101" spans="1:3">
      <c r="A101" s="10" t="s">
        <v>177</v>
      </c>
      <c r="B101" s="10"/>
      <c r="C101" s="36">
        <v>1240000</v>
      </c>
    </row>
    <row r="102" spans="1:3">
      <c r="A102" s="10" t="s">
        <v>178</v>
      </c>
      <c r="B102" s="10"/>
      <c r="C102" s="36">
        <v>10000</v>
      </c>
    </row>
    <row r="103" spans="1:3">
      <c r="A103" s="38" t="s">
        <v>179</v>
      </c>
      <c r="B103" s="10"/>
      <c r="C103" s="36">
        <v>500</v>
      </c>
    </row>
    <row r="104" spans="1:3">
      <c r="A104" s="38" t="s">
        <v>38</v>
      </c>
      <c r="B104" s="10"/>
      <c r="C104" s="36">
        <v>1526000</v>
      </c>
    </row>
    <row r="105" spans="1:3">
      <c r="A105" s="38" t="s">
        <v>43</v>
      </c>
      <c r="B105" s="10">
        <f>SUM(B68:B70)</f>
        <v>100000</v>
      </c>
      <c r="C105" s="36"/>
    </row>
    <row r="106" spans="1:3">
      <c r="A106" s="38" t="s">
        <v>174</v>
      </c>
      <c r="B106" s="10"/>
      <c r="C106" s="36">
        <v>178000</v>
      </c>
    </row>
    <row r="107" spans="1:3">
      <c r="A107" s="38" t="s">
        <v>86</v>
      </c>
      <c r="B107" s="10">
        <f>SUM(B78)</f>
        <v>30000</v>
      </c>
      <c r="C107" s="36"/>
    </row>
    <row r="108" spans="1:3">
      <c r="A108" s="38" t="s">
        <v>100</v>
      </c>
      <c r="B108" s="10">
        <f>SUM(B81)-SUM(E81)</f>
        <v>6000</v>
      </c>
      <c r="C108" s="36"/>
    </row>
    <row r="109" spans="1:3">
      <c r="A109" s="38" t="s">
        <v>180</v>
      </c>
      <c r="B109" s="10">
        <f>SUM(B84)</f>
        <v>2000000</v>
      </c>
      <c r="C109" s="36"/>
    </row>
    <row r="110" spans="1:3">
      <c r="A110" s="38" t="s">
        <v>101</v>
      </c>
      <c r="B110" s="10">
        <v>20500</v>
      </c>
      <c r="C110" s="36"/>
    </row>
    <row r="111" spans="1:3">
      <c r="A111" s="39" t="s">
        <v>107</v>
      </c>
      <c r="B111" s="40">
        <f>SUM(B99:B110)</f>
        <v>2954500</v>
      </c>
      <c r="C111" s="41">
        <f>SUM(C99:C110)</f>
        <v>2954500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3D3C-B187-4FD1-9A21-44810B6865C0}">
  <dimension ref="A9:I107"/>
  <sheetViews>
    <sheetView topLeftCell="A14" workbookViewId="0">
      <selection activeCell="A34" sqref="A34"/>
    </sheetView>
  </sheetViews>
  <sheetFormatPr defaultRowHeight="16.5"/>
  <cols>
    <col min="1" max="1" width="16.25" bestFit="1" customWidth="1"/>
    <col min="2" max="2" width="14" bestFit="1" customWidth="1"/>
    <col min="3" max="3" width="11.75" bestFit="1" customWidth="1"/>
    <col min="4" max="4" width="9.25" bestFit="1" customWidth="1"/>
    <col min="5" max="5" width="15.125" bestFit="1" customWidth="1"/>
    <col min="8" max="8" width="16.125" bestFit="1" customWidth="1"/>
    <col min="9" max="9" width="14.375" bestFit="1" customWidth="1"/>
  </cols>
  <sheetData>
    <row r="9" spans="1:5">
      <c r="A9" t="s">
        <v>184</v>
      </c>
    </row>
    <row r="10" spans="1:5">
      <c r="A10" t="s">
        <v>94</v>
      </c>
    </row>
    <row r="11" spans="1:5">
      <c r="A11" t="s">
        <v>22</v>
      </c>
      <c r="B11" t="s">
        <v>96</v>
      </c>
      <c r="C11" t="s">
        <v>96</v>
      </c>
      <c r="D11" t="s">
        <v>17</v>
      </c>
      <c r="E11" t="s">
        <v>19</v>
      </c>
    </row>
    <row r="12" spans="1:5">
      <c r="A12" s="8">
        <v>43922</v>
      </c>
      <c r="B12" t="s">
        <v>29</v>
      </c>
      <c r="D12" s="17">
        <v>400000</v>
      </c>
      <c r="E12" s="17"/>
    </row>
    <row r="13" spans="1:5">
      <c r="C13" t="s">
        <v>38</v>
      </c>
      <c r="D13" s="17"/>
      <c r="E13" s="17">
        <v>400000</v>
      </c>
    </row>
    <row r="14" spans="1:5">
      <c r="A14" s="8">
        <v>43922</v>
      </c>
      <c r="B14" t="s">
        <v>119</v>
      </c>
      <c r="D14" s="17">
        <v>180000</v>
      </c>
      <c r="E14" s="17"/>
    </row>
    <row r="15" spans="1:5">
      <c r="C15" t="s">
        <v>29</v>
      </c>
      <c r="D15" s="17"/>
      <c r="E15" s="17">
        <v>180000</v>
      </c>
    </row>
    <row r="16" spans="1:5">
      <c r="A16" s="8">
        <v>43925</v>
      </c>
      <c r="B16" t="s">
        <v>29</v>
      </c>
      <c r="D16" s="17">
        <v>60000</v>
      </c>
      <c r="E16" s="17"/>
    </row>
    <row r="17" spans="1:5">
      <c r="C17" t="s">
        <v>185</v>
      </c>
      <c r="D17" s="17"/>
      <c r="E17" s="17">
        <v>60000</v>
      </c>
    </row>
    <row r="18" spans="1:5">
      <c r="A18" s="8">
        <v>43926</v>
      </c>
      <c r="B18" t="s">
        <v>31</v>
      </c>
      <c r="D18" s="17">
        <v>120000</v>
      </c>
      <c r="E18" s="17"/>
    </row>
    <row r="19" spans="1:5">
      <c r="C19" t="s">
        <v>29</v>
      </c>
      <c r="D19" s="17"/>
      <c r="E19" s="17">
        <v>120000</v>
      </c>
    </row>
    <row r="20" spans="1:5">
      <c r="A20" s="8">
        <v>43928</v>
      </c>
      <c r="B20" t="s">
        <v>121</v>
      </c>
      <c r="D20" s="17">
        <v>8000</v>
      </c>
      <c r="E20" s="17"/>
    </row>
    <row r="21" spans="1:5">
      <c r="C21" t="s">
        <v>29</v>
      </c>
      <c r="D21" s="17"/>
      <c r="E21" s="17">
        <v>8000</v>
      </c>
    </row>
    <row r="22" spans="1:5">
      <c r="A22" s="8">
        <v>43933</v>
      </c>
      <c r="B22" t="s">
        <v>186</v>
      </c>
      <c r="D22" s="17">
        <v>140000</v>
      </c>
      <c r="E22" s="17"/>
    </row>
    <row r="23" spans="1:5">
      <c r="C23" t="s">
        <v>185</v>
      </c>
      <c r="D23" s="17"/>
      <c r="E23" s="17">
        <v>140000</v>
      </c>
    </row>
    <row r="24" spans="1:5">
      <c r="A24" s="8">
        <v>43936</v>
      </c>
      <c r="B24" t="s">
        <v>33</v>
      </c>
      <c r="D24" s="17">
        <v>8000</v>
      </c>
      <c r="E24" s="17"/>
    </row>
    <row r="25" spans="1:5">
      <c r="C25" t="s">
        <v>29</v>
      </c>
      <c r="D25" s="17"/>
      <c r="E25" s="17">
        <v>8000</v>
      </c>
    </row>
    <row r="26" spans="1:5">
      <c r="A26" s="8">
        <v>43941</v>
      </c>
      <c r="B26" t="s">
        <v>86</v>
      </c>
      <c r="D26" s="17">
        <v>30000</v>
      </c>
      <c r="E26" s="17"/>
    </row>
    <row r="27" spans="1:5">
      <c r="C27" t="s">
        <v>29</v>
      </c>
      <c r="D27" s="17"/>
      <c r="E27" s="17">
        <v>30000</v>
      </c>
    </row>
    <row r="28" spans="1:5">
      <c r="A28" s="8">
        <v>43942</v>
      </c>
      <c r="B28" t="s">
        <v>29</v>
      </c>
      <c r="D28" s="17">
        <v>70000</v>
      </c>
      <c r="E28" s="17"/>
    </row>
    <row r="29" spans="1:5">
      <c r="C29" t="s">
        <v>185</v>
      </c>
      <c r="D29" s="17"/>
      <c r="E29" s="17">
        <v>70000</v>
      </c>
    </row>
    <row r="30" spans="1:5">
      <c r="A30" s="8">
        <v>43943</v>
      </c>
      <c r="B30" t="s">
        <v>186</v>
      </c>
      <c r="D30" s="17">
        <v>150000</v>
      </c>
      <c r="E30" s="17"/>
    </row>
    <row r="31" spans="1:5">
      <c r="C31" t="s">
        <v>185</v>
      </c>
      <c r="D31" s="17"/>
      <c r="E31" s="17">
        <v>150000</v>
      </c>
    </row>
    <row r="32" spans="1:5">
      <c r="A32" s="8">
        <v>43946</v>
      </c>
      <c r="B32" t="s">
        <v>187</v>
      </c>
      <c r="D32" s="17">
        <v>10000</v>
      </c>
      <c r="E32" s="17"/>
    </row>
    <row r="33" spans="1:9">
      <c r="C33" t="s">
        <v>29</v>
      </c>
      <c r="D33" s="17"/>
      <c r="E33" s="17">
        <v>10000</v>
      </c>
    </row>
    <row r="34" spans="1:9">
      <c r="A34" s="8">
        <v>43948</v>
      </c>
      <c r="B34" t="s">
        <v>29</v>
      </c>
      <c r="D34" s="17">
        <v>30000</v>
      </c>
      <c r="E34" s="17"/>
    </row>
    <row r="35" spans="1:9">
      <c r="C35" t="s">
        <v>186</v>
      </c>
      <c r="D35" s="17"/>
      <c r="E35" s="17">
        <v>30000</v>
      </c>
    </row>
    <row r="36" spans="1:9">
      <c r="A36" s="8">
        <v>43951</v>
      </c>
      <c r="B36" t="s">
        <v>101</v>
      </c>
      <c r="D36" s="17">
        <v>6000</v>
      </c>
      <c r="E36" s="17"/>
    </row>
    <row r="37" spans="1:9">
      <c r="C37" t="s">
        <v>29</v>
      </c>
      <c r="D37" s="17"/>
      <c r="E37" s="17">
        <v>6000</v>
      </c>
    </row>
    <row r="38" spans="1:9">
      <c r="C38" s="17"/>
      <c r="D38" s="17"/>
    </row>
    <row r="39" spans="1:9">
      <c r="A39" t="s">
        <v>105</v>
      </c>
    </row>
    <row r="41" spans="1:9">
      <c r="A41" t="s">
        <v>29</v>
      </c>
    </row>
    <row r="42" spans="1:9">
      <c r="A42" s="7">
        <v>43922</v>
      </c>
      <c r="B42" s="25">
        <v>400000</v>
      </c>
      <c r="C42" s="4">
        <v>1</v>
      </c>
      <c r="D42" s="7">
        <v>43922</v>
      </c>
      <c r="E42" s="25">
        <v>180000</v>
      </c>
      <c r="F42" s="3">
        <v>2</v>
      </c>
      <c r="H42" s="17">
        <f>SUM(B42,B43,B48,B49)-SUM(E42,E44,E45,E46,E47,E48,E49)</f>
        <v>198000</v>
      </c>
      <c r="I42" s="17"/>
    </row>
    <row r="43" spans="1:9">
      <c r="A43" s="8">
        <v>43925</v>
      </c>
      <c r="B43" s="17">
        <v>60000</v>
      </c>
      <c r="C43" s="5">
        <v>3</v>
      </c>
      <c r="D43" s="8"/>
      <c r="E43" s="1"/>
      <c r="F43" s="17"/>
      <c r="H43" s="17"/>
      <c r="I43" s="17"/>
    </row>
    <row r="44" spans="1:9">
      <c r="B44" s="17"/>
      <c r="C44" s="5"/>
      <c r="D44" s="8">
        <v>43926</v>
      </c>
      <c r="E44" s="17">
        <v>120000</v>
      </c>
      <c r="F44">
        <v>4</v>
      </c>
      <c r="H44" s="17"/>
      <c r="I44" s="17"/>
    </row>
    <row r="45" spans="1:9">
      <c r="B45" s="17"/>
      <c r="C45" s="5"/>
      <c r="D45" s="8">
        <v>43928</v>
      </c>
      <c r="E45" s="17">
        <v>8000</v>
      </c>
      <c r="F45">
        <v>5</v>
      </c>
      <c r="H45" s="17"/>
      <c r="I45" s="17"/>
    </row>
    <row r="46" spans="1:9">
      <c r="A46" s="8"/>
      <c r="B46" s="17"/>
      <c r="C46" s="5"/>
      <c r="D46" s="8">
        <v>43936</v>
      </c>
      <c r="E46" s="17">
        <v>8000</v>
      </c>
      <c r="F46">
        <v>7</v>
      </c>
      <c r="H46" s="17"/>
      <c r="I46" s="17"/>
    </row>
    <row r="47" spans="1:9">
      <c r="B47" s="17"/>
      <c r="C47" s="5"/>
      <c r="D47" s="8">
        <v>43941</v>
      </c>
      <c r="E47" s="17">
        <v>30000</v>
      </c>
      <c r="F47">
        <v>8</v>
      </c>
      <c r="H47" s="17"/>
      <c r="I47" s="17"/>
    </row>
    <row r="48" spans="1:9">
      <c r="A48" s="8">
        <v>43942</v>
      </c>
      <c r="B48" s="17">
        <v>70000</v>
      </c>
      <c r="C48" s="5">
        <v>9</v>
      </c>
      <c r="D48" s="8">
        <v>43946</v>
      </c>
      <c r="E48" s="17">
        <v>10000</v>
      </c>
      <c r="F48">
        <v>11</v>
      </c>
      <c r="H48" s="17"/>
      <c r="I48" s="17"/>
    </row>
    <row r="49" spans="1:9">
      <c r="A49" s="8">
        <v>43948</v>
      </c>
      <c r="B49" s="17">
        <v>30000</v>
      </c>
      <c r="C49" s="5">
        <v>12</v>
      </c>
      <c r="D49" s="8">
        <v>43951</v>
      </c>
      <c r="E49" s="17">
        <v>6000</v>
      </c>
      <c r="F49">
        <v>13</v>
      </c>
      <c r="H49" s="17"/>
      <c r="I49" s="17"/>
    </row>
    <row r="50" spans="1:9">
      <c r="D50" s="8"/>
      <c r="E50" s="17"/>
      <c r="H50" s="17"/>
      <c r="I50" s="17"/>
    </row>
    <row r="51" spans="1:9">
      <c r="A51" t="s">
        <v>188</v>
      </c>
      <c r="H51" s="17"/>
      <c r="I51" s="17"/>
    </row>
    <row r="52" spans="1:9">
      <c r="A52" s="7"/>
      <c r="B52" s="2"/>
      <c r="C52" s="4"/>
      <c r="D52" s="7">
        <v>43925</v>
      </c>
      <c r="E52" s="2">
        <v>60000</v>
      </c>
      <c r="F52" s="3">
        <v>3</v>
      </c>
      <c r="H52" s="17"/>
      <c r="I52" s="17">
        <f>SUM(E52:E55)</f>
        <v>420000</v>
      </c>
    </row>
    <row r="53" spans="1:9">
      <c r="A53" s="8"/>
      <c r="B53" s="17"/>
      <c r="C53" s="5"/>
      <c r="D53" s="8">
        <v>43933</v>
      </c>
      <c r="E53" s="17">
        <v>140000</v>
      </c>
      <c r="F53">
        <v>6</v>
      </c>
      <c r="H53" s="17"/>
      <c r="I53" s="17"/>
    </row>
    <row r="54" spans="1:9">
      <c r="C54" s="5"/>
      <c r="D54" s="8">
        <v>43942</v>
      </c>
      <c r="E54" s="17">
        <v>70000</v>
      </c>
      <c r="F54">
        <v>9</v>
      </c>
      <c r="H54" s="17"/>
      <c r="I54" s="17"/>
    </row>
    <row r="55" spans="1:9">
      <c r="C55" s="5"/>
      <c r="D55" s="8">
        <v>43943</v>
      </c>
      <c r="E55" s="17">
        <v>150000</v>
      </c>
      <c r="F55">
        <v>10</v>
      </c>
      <c r="H55" s="17"/>
      <c r="I55" s="17"/>
    </row>
    <row r="56" spans="1:9">
      <c r="H56" s="17"/>
      <c r="I56" s="17"/>
    </row>
    <row r="57" spans="1:9">
      <c r="A57" t="s">
        <v>189</v>
      </c>
      <c r="H57" s="17"/>
      <c r="I57" s="17"/>
    </row>
    <row r="58" spans="1:9">
      <c r="A58" s="7">
        <v>43933</v>
      </c>
      <c r="B58" s="2">
        <v>140000</v>
      </c>
      <c r="C58" s="4">
        <v>6</v>
      </c>
      <c r="D58" s="7"/>
      <c r="E58" s="2"/>
      <c r="F58" s="3"/>
      <c r="H58" s="17"/>
      <c r="I58" s="17"/>
    </row>
    <row r="59" spans="1:9">
      <c r="A59" s="8">
        <v>43943</v>
      </c>
      <c r="B59" s="17">
        <v>150000</v>
      </c>
      <c r="C59" s="5">
        <v>10</v>
      </c>
      <c r="D59" s="8">
        <v>43948</v>
      </c>
      <c r="E59" s="17">
        <v>30000</v>
      </c>
      <c r="F59">
        <v>12</v>
      </c>
      <c r="H59" s="17">
        <f>SUM(B59,B58)-SUM(E59)</f>
        <v>260000</v>
      </c>
      <c r="I59" s="17"/>
    </row>
    <row r="60" spans="1:9">
      <c r="H60" s="17"/>
      <c r="I60" s="17"/>
    </row>
    <row r="61" spans="1:9">
      <c r="A61" t="s">
        <v>190</v>
      </c>
      <c r="H61" s="17"/>
      <c r="I61" s="17"/>
    </row>
    <row r="62" spans="1:9">
      <c r="A62" s="7">
        <v>43922</v>
      </c>
      <c r="B62" s="2">
        <v>180000</v>
      </c>
      <c r="C62" s="3">
        <v>2</v>
      </c>
      <c r="D62" s="7"/>
      <c r="E62" s="2"/>
      <c r="F62" s="3"/>
      <c r="H62" s="17">
        <v>180000</v>
      </c>
    </row>
    <row r="63" spans="1:9">
      <c r="H63" s="17"/>
      <c r="I63" s="17"/>
    </row>
    <row r="64" spans="1:9">
      <c r="A64" t="s">
        <v>38</v>
      </c>
      <c r="H64" s="17"/>
      <c r="I64" s="17"/>
    </row>
    <row r="65" spans="1:9">
      <c r="A65" s="3"/>
      <c r="B65" s="3"/>
      <c r="C65" s="4"/>
      <c r="D65" s="7">
        <v>43922</v>
      </c>
      <c r="E65" s="2">
        <v>400000</v>
      </c>
      <c r="F65" s="3">
        <v>1</v>
      </c>
      <c r="H65" s="17"/>
      <c r="I65" s="17">
        <v>400000</v>
      </c>
    </row>
    <row r="66" spans="1:9">
      <c r="H66" s="17"/>
      <c r="I66" s="17"/>
    </row>
    <row r="67" spans="1:9">
      <c r="A67" t="s">
        <v>34</v>
      </c>
      <c r="H67" s="17"/>
      <c r="I67" s="17"/>
    </row>
    <row r="68" spans="1:9">
      <c r="A68" s="7">
        <v>43922</v>
      </c>
      <c r="B68" s="2">
        <v>180000</v>
      </c>
      <c r="C68" s="4">
        <v>2</v>
      </c>
      <c r="D68" s="7"/>
      <c r="E68" s="2"/>
      <c r="F68" s="3"/>
      <c r="H68" s="17">
        <v>180000</v>
      </c>
      <c r="I68" s="17"/>
    </row>
    <row r="69" spans="1:9">
      <c r="H69" s="17"/>
      <c r="I69" s="17"/>
    </row>
    <row r="70" spans="1:9">
      <c r="A70" t="s">
        <v>97</v>
      </c>
      <c r="H70" s="17"/>
      <c r="I70" s="17"/>
    </row>
    <row r="71" spans="1:9">
      <c r="A71" s="7">
        <v>43926</v>
      </c>
      <c r="B71" s="2">
        <v>120000</v>
      </c>
      <c r="C71" s="4">
        <v>4</v>
      </c>
      <c r="D71" s="7"/>
      <c r="E71" s="2"/>
      <c r="F71" s="3"/>
      <c r="H71" s="17">
        <v>120000</v>
      </c>
      <c r="I71" s="17"/>
    </row>
    <row r="72" spans="1:9">
      <c r="H72" s="17"/>
      <c r="I72" s="17"/>
    </row>
    <row r="73" spans="1:9">
      <c r="A73" t="s">
        <v>121</v>
      </c>
      <c r="H73" s="17"/>
      <c r="I73" s="17"/>
    </row>
    <row r="74" spans="1:9">
      <c r="A74" s="7">
        <v>43928</v>
      </c>
      <c r="B74" s="2">
        <v>8000</v>
      </c>
      <c r="C74" s="4">
        <v>5</v>
      </c>
      <c r="D74" s="7"/>
      <c r="E74" s="2"/>
      <c r="F74" s="3"/>
      <c r="H74" s="17">
        <v>8000</v>
      </c>
      <c r="I74" s="17"/>
    </row>
    <row r="75" spans="1:9">
      <c r="H75" s="17"/>
      <c r="I75" s="17"/>
    </row>
    <row r="76" spans="1:9">
      <c r="A76" t="s">
        <v>33</v>
      </c>
      <c r="H76" s="17"/>
      <c r="I76" s="17"/>
    </row>
    <row r="77" spans="1:9">
      <c r="A77" s="7">
        <v>43936</v>
      </c>
      <c r="B77" s="2">
        <v>8000</v>
      </c>
      <c r="C77" s="4">
        <v>7</v>
      </c>
      <c r="D77" s="7"/>
      <c r="E77" s="2"/>
      <c r="F77" s="3"/>
      <c r="H77" s="17">
        <v>8000</v>
      </c>
      <c r="I77" s="17"/>
    </row>
    <row r="78" spans="1:9">
      <c r="H78" s="17"/>
      <c r="I78" s="17"/>
    </row>
    <row r="79" spans="1:9">
      <c r="A79" t="s">
        <v>86</v>
      </c>
      <c r="H79" s="17"/>
      <c r="I79" s="17"/>
    </row>
    <row r="80" spans="1:9">
      <c r="A80" s="7">
        <v>43941</v>
      </c>
      <c r="B80" s="2">
        <v>30000</v>
      </c>
      <c r="C80" s="4">
        <v>8</v>
      </c>
      <c r="D80" s="7"/>
      <c r="E80" s="2"/>
      <c r="F80" s="3"/>
      <c r="H80" s="17">
        <v>30000</v>
      </c>
      <c r="I80" s="17"/>
    </row>
    <row r="81" spans="1:9">
      <c r="H81" s="17"/>
      <c r="I81" s="17"/>
    </row>
    <row r="82" spans="1:9">
      <c r="A82" t="s">
        <v>187</v>
      </c>
      <c r="H82" s="17"/>
      <c r="I82" s="17"/>
    </row>
    <row r="83" spans="1:9">
      <c r="A83" s="7">
        <v>43946</v>
      </c>
      <c r="B83" s="2">
        <v>10000</v>
      </c>
      <c r="C83" s="4">
        <v>11</v>
      </c>
      <c r="D83" s="7"/>
      <c r="E83" s="2"/>
      <c r="F83" s="3"/>
      <c r="H83" s="17">
        <v>10000</v>
      </c>
      <c r="I83" s="17"/>
    </row>
    <row r="84" spans="1:9">
      <c r="H84" s="17"/>
      <c r="I84" s="17"/>
    </row>
    <row r="85" spans="1:9">
      <c r="A85" t="s">
        <v>101</v>
      </c>
      <c r="H85" s="17"/>
      <c r="I85" s="17"/>
    </row>
    <row r="86" spans="1:9">
      <c r="A86" s="7">
        <v>43951</v>
      </c>
      <c r="B86" s="2">
        <v>6000</v>
      </c>
      <c r="C86" s="4">
        <v>13</v>
      </c>
      <c r="D86" s="7"/>
      <c r="E86" s="2"/>
      <c r="F86" s="3"/>
      <c r="H86" s="17">
        <v>6000</v>
      </c>
      <c r="I86" s="17"/>
    </row>
    <row r="90" spans="1:9">
      <c r="A90" t="s">
        <v>108</v>
      </c>
    </row>
    <row r="92" spans="1:9">
      <c r="A92" s="15"/>
      <c r="B92" s="3" t="s">
        <v>191</v>
      </c>
      <c r="C92" s="4"/>
    </row>
    <row r="93" spans="1:9">
      <c r="A93" s="14"/>
      <c r="B93" t="s">
        <v>108</v>
      </c>
      <c r="C93" s="5"/>
    </row>
    <row r="94" spans="1:9">
      <c r="A94" s="26"/>
      <c r="B94" s="8">
        <v>43922</v>
      </c>
      <c r="C94" s="5"/>
    </row>
    <row r="95" spans="1:9">
      <c r="A95" s="15" t="s">
        <v>162</v>
      </c>
      <c r="B95" s="3" t="s">
        <v>163</v>
      </c>
      <c r="C95" s="4" t="s">
        <v>164</v>
      </c>
    </row>
    <row r="96" spans="1:9">
      <c r="A96" s="15" t="s">
        <v>29</v>
      </c>
      <c r="B96" s="25">
        <v>198000</v>
      </c>
      <c r="C96" s="27"/>
    </row>
    <row r="97" spans="1:3">
      <c r="A97" s="14" t="s">
        <v>188</v>
      </c>
      <c r="B97" s="17"/>
      <c r="C97" s="28">
        <v>420000</v>
      </c>
    </row>
    <row r="98" spans="1:3">
      <c r="A98" s="14" t="s">
        <v>189</v>
      </c>
      <c r="B98" s="17">
        <v>260000</v>
      </c>
      <c r="C98" s="28"/>
    </row>
    <row r="99" spans="1:3">
      <c r="A99" s="14" t="s">
        <v>190</v>
      </c>
      <c r="B99" s="17">
        <v>180000</v>
      </c>
      <c r="C99" s="28"/>
    </row>
    <row r="100" spans="1:3">
      <c r="A100" s="14" t="s">
        <v>38</v>
      </c>
      <c r="B100" s="17"/>
      <c r="C100" s="28">
        <v>400000</v>
      </c>
    </row>
    <row r="101" spans="1:3">
      <c r="A101" s="14" t="s">
        <v>97</v>
      </c>
      <c r="B101" s="17">
        <v>120000</v>
      </c>
      <c r="C101" s="28"/>
    </row>
    <row r="102" spans="1:3">
      <c r="A102" s="14" t="s">
        <v>121</v>
      </c>
      <c r="B102" s="17">
        <v>8000</v>
      </c>
      <c r="C102" s="28"/>
    </row>
    <row r="103" spans="1:3">
      <c r="A103" s="14" t="s">
        <v>33</v>
      </c>
      <c r="B103" s="17">
        <v>8000</v>
      </c>
      <c r="C103" s="28"/>
    </row>
    <row r="104" spans="1:3">
      <c r="A104" s="14" t="s">
        <v>86</v>
      </c>
      <c r="B104" s="17">
        <v>30000</v>
      </c>
      <c r="C104" s="28"/>
    </row>
    <row r="105" spans="1:3">
      <c r="A105" s="14" t="s">
        <v>187</v>
      </c>
      <c r="B105" s="17">
        <v>10000</v>
      </c>
      <c r="C105" s="28"/>
    </row>
    <row r="106" spans="1:3">
      <c r="A106" s="29" t="s">
        <v>101</v>
      </c>
      <c r="B106" s="13">
        <v>6000</v>
      </c>
      <c r="C106" s="48"/>
    </row>
    <row r="107" spans="1:3">
      <c r="A107" s="11" t="s">
        <v>107</v>
      </c>
      <c r="B107" s="30">
        <f>SUM(B96:B106)</f>
        <v>820000</v>
      </c>
      <c r="C107" s="31">
        <f>SUM(C96:C106)</f>
        <v>820000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F7C99-F8EE-4AD1-804F-9DAF67BFF6F4}">
  <dimension ref="A1:K90"/>
  <sheetViews>
    <sheetView topLeftCell="A61" workbookViewId="0">
      <selection activeCell="D67" sqref="D67"/>
    </sheetView>
  </sheetViews>
  <sheetFormatPr defaultRowHeight="16.5"/>
  <cols>
    <col min="1" max="1" width="10.125" bestFit="1" customWidth="1"/>
    <col min="2" max="2" width="11.75" bestFit="1" customWidth="1"/>
    <col min="3" max="3" width="10.125" bestFit="1" customWidth="1"/>
    <col min="4" max="5" width="11.25" bestFit="1" customWidth="1"/>
    <col min="6" max="6" width="10.125" bestFit="1" customWidth="1"/>
    <col min="11" max="11" width="12.625" bestFit="1" customWidth="1"/>
  </cols>
  <sheetData>
    <row r="1" spans="1:6">
      <c r="A1" t="s">
        <v>192</v>
      </c>
    </row>
    <row r="2" spans="1:6">
      <c r="A2" t="s">
        <v>94</v>
      </c>
    </row>
    <row r="3" spans="1:6">
      <c r="A3" t="s">
        <v>20</v>
      </c>
      <c r="B3" t="s">
        <v>22</v>
      </c>
      <c r="C3" t="s">
        <v>96</v>
      </c>
      <c r="D3" t="s">
        <v>96</v>
      </c>
      <c r="E3" t="s">
        <v>17</v>
      </c>
      <c r="F3" t="s">
        <v>19</v>
      </c>
    </row>
    <row r="4" spans="1:6">
      <c r="A4">
        <v>1</v>
      </c>
      <c r="B4" s="8">
        <v>44136</v>
      </c>
      <c r="C4" s="6" t="s">
        <v>29</v>
      </c>
      <c r="E4" s="17">
        <v>200000</v>
      </c>
      <c r="F4" s="17"/>
    </row>
    <row r="5" spans="1:6">
      <c r="A5">
        <v>1</v>
      </c>
      <c r="D5" t="s">
        <v>193</v>
      </c>
      <c r="E5" s="17"/>
      <c r="F5" s="17">
        <v>200000</v>
      </c>
    </row>
    <row r="6" spans="1:6">
      <c r="A6">
        <v>2</v>
      </c>
      <c r="B6" s="8">
        <v>44136</v>
      </c>
      <c r="C6" t="s">
        <v>52</v>
      </c>
      <c r="E6" s="17">
        <v>600000</v>
      </c>
      <c r="F6" s="17"/>
    </row>
    <row r="7" spans="1:6">
      <c r="A7">
        <v>2</v>
      </c>
      <c r="D7" t="s">
        <v>103</v>
      </c>
      <c r="E7" s="17"/>
      <c r="F7" s="17">
        <v>600000</v>
      </c>
    </row>
    <row r="8" spans="1:6">
      <c r="A8">
        <v>3</v>
      </c>
      <c r="B8" s="8">
        <v>44136</v>
      </c>
      <c r="C8" t="s">
        <v>194</v>
      </c>
      <c r="E8" s="17">
        <v>12000</v>
      </c>
      <c r="F8" s="17"/>
    </row>
    <row r="9" spans="1:6">
      <c r="A9">
        <v>3</v>
      </c>
      <c r="D9" s="49" t="s">
        <v>29</v>
      </c>
      <c r="E9" s="17"/>
      <c r="F9" s="17">
        <v>12000</v>
      </c>
    </row>
    <row r="10" spans="1:6">
      <c r="A10">
        <v>4</v>
      </c>
      <c r="B10" s="8">
        <v>44139</v>
      </c>
      <c r="C10" t="s">
        <v>195</v>
      </c>
      <c r="E10" s="17">
        <v>4000</v>
      </c>
      <c r="F10" s="17"/>
    </row>
    <row r="11" spans="1:6">
      <c r="A11">
        <v>4</v>
      </c>
      <c r="D11" s="49" t="s">
        <v>29</v>
      </c>
      <c r="E11" s="17"/>
      <c r="F11" s="17">
        <v>4000</v>
      </c>
    </row>
    <row r="12" spans="1:6">
      <c r="A12">
        <v>5</v>
      </c>
      <c r="B12" s="8">
        <v>44141</v>
      </c>
      <c r="C12" t="s">
        <v>196</v>
      </c>
      <c r="E12" s="17">
        <v>80000</v>
      </c>
      <c r="F12" s="17"/>
    </row>
    <row r="13" spans="1:6">
      <c r="A13">
        <v>5</v>
      </c>
      <c r="D13" t="s">
        <v>126</v>
      </c>
      <c r="E13" s="17"/>
      <c r="F13" s="17">
        <v>80000</v>
      </c>
    </row>
    <row r="14" spans="1:6">
      <c r="A14">
        <v>6</v>
      </c>
      <c r="B14" s="8">
        <v>44143</v>
      </c>
      <c r="C14" t="s">
        <v>33</v>
      </c>
      <c r="E14" s="17">
        <v>20000</v>
      </c>
      <c r="F14" s="17"/>
    </row>
    <row r="15" spans="1:6">
      <c r="A15">
        <v>6</v>
      </c>
      <c r="D15" s="49" t="s">
        <v>29</v>
      </c>
      <c r="E15" s="17"/>
      <c r="F15" s="17">
        <v>20000</v>
      </c>
    </row>
    <row r="16" spans="1:6">
      <c r="A16">
        <v>7</v>
      </c>
      <c r="B16" s="8">
        <v>44145</v>
      </c>
      <c r="C16" s="6" t="s">
        <v>29</v>
      </c>
      <c r="E16" s="17">
        <v>40000</v>
      </c>
      <c r="F16" s="17"/>
    </row>
    <row r="17" spans="1:11">
      <c r="A17">
        <v>7</v>
      </c>
      <c r="D17" t="s">
        <v>196</v>
      </c>
      <c r="E17" s="17"/>
      <c r="F17" s="17">
        <v>40000</v>
      </c>
    </row>
    <row r="18" spans="1:11">
      <c r="A18">
        <v>8</v>
      </c>
      <c r="B18" s="8">
        <v>44151</v>
      </c>
      <c r="C18" t="s">
        <v>33</v>
      </c>
      <c r="E18" s="17">
        <v>10000</v>
      </c>
      <c r="F18" s="17"/>
    </row>
    <row r="19" spans="1:11">
      <c r="A19">
        <v>8</v>
      </c>
      <c r="D19" s="49" t="s">
        <v>29</v>
      </c>
      <c r="E19" s="17"/>
      <c r="F19" s="17">
        <v>10000</v>
      </c>
    </row>
    <row r="20" spans="1:11">
      <c r="A20">
        <v>9</v>
      </c>
      <c r="B20" s="8">
        <v>44157</v>
      </c>
      <c r="C20" s="6" t="s">
        <v>29</v>
      </c>
      <c r="E20" s="17">
        <v>100000</v>
      </c>
      <c r="F20" s="17"/>
    </row>
    <row r="21" spans="1:11">
      <c r="A21">
        <v>9</v>
      </c>
      <c r="D21" t="s">
        <v>126</v>
      </c>
      <c r="E21" s="17"/>
      <c r="F21" s="17">
        <v>100000</v>
      </c>
    </row>
    <row r="22" spans="1:11">
      <c r="A22">
        <v>10</v>
      </c>
      <c r="B22" s="8">
        <v>44162</v>
      </c>
      <c r="C22" t="s">
        <v>101</v>
      </c>
      <c r="E22" s="17">
        <v>7000</v>
      </c>
      <c r="F22" s="17"/>
    </row>
    <row r="23" spans="1:11">
      <c r="A23">
        <v>10</v>
      </c>
      <c r="D23" s="50" t="s">
        <v>29</v>
      </c>
      <c r="E23" s="17"/>
      <c r="F23" s="17">
        <v>7000</v>
      </c>
    </row>
    <row r="24" spans="1:11">
      <c r="A24">
        <v>11</v>
      </c>
      <c r="B24" s="8">
        <v>44165</v>
      </c>
      <c r="C24" s="6" t="s">
        <v>29</v>
      </c>
      <c r="E24" s="17">
        <v>30000</v>
      </c>
      <c r="F24" s="17"/>
    </row>
    <row r="25" spans="1:11">
      <c r="A25">
        <v>11</v>
      </c>
      <c r="C25" t="s">
        <v>196</v>
      </c>
      <c r="E25" s="17">
        <v>20000</v>
      </c>
      <c r="F25" s="17"/>
    </row>
    <row r="26" spans="1:11">
      <c r="A26">
        <v>11</v>
      </c>
      <c r="D26" t="s">
        <v>126</v>
      </c>
      <c r="E26" s="17"/>
      <c r="F26" s="17">
        <v>50000</v>
      </c>
    </row>
    <row r="27" spans="1:11">
      <c r="D27" s="17"/>
      <c r="E27" s="17"/>
    </row>
    <row r="28" spans="1:11">
      <c r="A28" t="s">
        <v>105</v>
      </c>
      <c r="D28" s="17"/>
      <c r="E28" s="17"/>
    </row>
    <row r="29" spans="1:11">
      <c r="D29" s="17"/>
      <c r="E29" s="17"/>
    </row>
    <row r="30" spans="1:11">
      <c r="A30" t="s">
        <v>20</v>
      </c>
      <c r="B30" t="s">
        <v>95</v>
      </c>
      <c r="D30" s="17"/>
      <c r="E30" s="17"/>
      <c r="J30" t="s">
        <v>20</v>
      </c>
      <c r="K30" t="s">
        <v>106</v>
      </c>
    </row>
    <row r="31" spans="1:11">
      <c r="A31">
        <v>1</v>
      </c>
      <c r="B31">
        <v>1</v>
      </c>
      <c r="C31" t="s">
        <v>29</v>
      </c>
      <c r="F31" s="17"/>
      <c r="G31" s="17"/>
      <c r="J31">
        <v>1</v>
      </c>
      <c r="K31" s="24">
        <f>SUM(D32:D40)-SUM(G32:G40)</f>
        <v>317000</v>
      </c>
    </row>
    <row r="32" spans="1:11">
      <c r="C32" s="8">
        <v>44136</v>
      </c>
      <c r="D32" s="17">
        <v>200000</v>
      </c>
      <c r="E32">
        <v>1</v>
      </c>
      <c r="F32" s="17"/>
      <c r="G32" s="17"/>
      <c r="J32">
        <v>2</v>
      </c>
      <c r="K32" s="24">
        <f>SUM(D43)-SUM(G43)</f>
        <v>12000</v>
      </c>
    </row>
    <row r="33" spans="1:11">
      <c r="F33" s="8">
        <v>44136</v>
      </c>
      <c r="G33" s="17">
        <v>12000</v>
      </c>
      <c r="H33">
        <v>3</v>
      </c>
      <c r="J33">
        <v>3</v>
      </c>
      <c r="K33" s="24">
        <f>SUM(D46:D47)-SUM(G46:G47)</f>
        <v>60000</v>
      </c>
    </row>
    <row r="34" spans="1:11">
      <c r="F34" s="8">
        <v>44139</v>
      </c>
      <c r="G34" s="17">
        <v>4000</v>
      </c>
      <c r="H34">
        <v>4</v>
      </c>
      <c r="J34">
        <v>4</v>
      </c>
      <c r="K34" s="24">
        <f>SUM(D50)-SUM(G50)</f>
        <v>-600000</v>
      </c>
    </row>
    <row r="35" spans="1:11">
      <c r="F35" s="8">
        <v>44143</v>
      </c>
      <c r="G35" s="17">
        <v>20000</v>
      </c>
      <c r="H35">
        <v>6</v>
      </c>
      <c r="J35">
        <v>5</v>
      </c>
      <c r="K35" s="24">
        <f>SUM(D53)-SUM(G53)</f>
        <v>-200000</v>
      </c>
    </row>
    <row r="36" spans="1:11">
      <c r="C36" s="8">
        <v>44145</v>
      </c>
      <c r="D36" s="17">
        <v>40000</v>
      </c>
      <c r="E36">
        <v>7</v>
      </c>
      <c r="J36">
        <v>6</v>
      </c>
      <c r="K36" s="24">
        <f>SUM(D56:D58)-SUM(G56:G58)</f>
        <v>-230000</v>
      </c>
    </row>
    <row r="37" spans="1:11">
      <c r="D37" s="17"/>
      <c r="F37" s="8">
        <v>44151</v>
      </c>
      <c r="G37" s="17">
        <v>10000</v>
      </c>
      <c r="H37">
        <v>8</v>
      </c>
      <c r="J37">
        <v>7</v>
      </c>
      <c r="K37" s="24">
        <f>SUM(D61)-SUM(G61)</f>
        <v>4000</v>
      </c>
    </row>
    <row r="38" spans="1:11">
      <c r="C38" s="8">
        <v>44157</v>
      </c>
      <c r="D38" s="17">
        <v>100000</v>
      </c>
      <c r="E38">
        <v>9</v>
      </c>
      <c r="J38">
        <v>8</v>
      </c>
      <c r="K38" s="24">
        <f>SUM(D64:D65)-SUM(G64:G65)</f>
        <v>30000</v>
      </c>
    </row>
    <row r="39" spans="1:11">
      <c r="F39" s="8">
        <v>44162</v>
      </c>
      <c r="G39" s="17">
        <v>7000</v>
      </c>
      <c r="H39">
        <v>10</v>
      </c>
      <c r="J39">
        <v>9</v>
      </c>
      <c r="K39" s="24">
        <f>SUM(D68)-SUM(G68)</f>
        <v>7000</v>
      </c>
    </row>
    <row r="40" spans="1:11">
      <c r="C40" s="8">
        <v>44165</v>
      </c>
      <c r="D40" s="17">
        <v>30000</v>
      </c>
      <c r="E40">
        <v>11</v>
      </c>
      <c r="J40">
        <v>10</v>
      </c>
      <c r="K40" s="24">
        <f>SUM(D71)-SUM(G71)</f>
        <v>600000</v>
      </c>
    </row>
    <row r="41" spans="1:11">
      <c r="F41" s="17"/>
      <c r="G41" s="17"/>
      <c r="J41" t="s">
        <v>107</v>
      </c>
      <c r="K41" s="24">
        <f>SUM(K31:K40)</f>
        <v>0</v>
      </c>
    </row>
    <row r="42" spans="1:11">
      <c r="A42">
        <v>2</v>
      </c>
      <c r="B42">
        <v>1</v>
      </c>
      <c r="C42" t="s">
        <v>194</v>
      </c>
      <c r="F42" s="17"/>
      <c r="G42" s="17"/>
    </row>
    <row r="43" spans="1:11">
      <c r="C43" s="8">
        <v>44136</v>
      </c>
      <c r="D43" s="17">
        <v>12000</v>
      </c>
      <c r="E43">
        <v>3</v>
      </c>
      <c r="F43" s="17"/>
      <c r="G43" s="17"/>
    </row>
    <row r="44" spans="1:11">
      <c r="F44" s="17"/>
      <c r="G44" s="17"/>
    </row>
    <row r="45" spans="1:11">
      <c r="A45">
        <v>3</v>
      </c>
      <c r="B45">
        <v>1</v>
      </c>
      <c r="C45" t="s">
        <v>196</v>
      </c>
      <c r="F45" s="17"/>
      <c r="G45" s="17"/>
    </row>
    <row r="46" spans="1:11">
      <c r="C46" s="8">
        <v>44141</v>
      </c>
      <c r="D46" s="17">
        <v>80000</v>
      </c>
      <c r="E46">
        <v>5</v>
      </c>
      <c r="F46" s="8">
        <v>44145</v>
      </c>
      <c r="G46" s="17">
        <v>40000</v>
      </c>
      <c r="H46">
        <v>7</v>
      </c>
    </row>
    <row r="47" spans="1:11">
      <c r="C47" s="8">
        <v>44165</v>
      </c>
      <c r="D47" s="17">
        <v>20000</v>
      </c>
      <c r="E47">
        <v>11</v>
      </c>
      <c r="F47" s="17"/>
      <c r="G47" s="17"/>
    </row>
    <row r="48" spans="1:11">
      <c r="F48" s="17"/>
      <c r="G48" s="17"/>
    </row>
    <row r="49" spans="1:8">
      <c r="A49">
        <v>4</v>
      </c>
      <c r="B49">
        <v>2</v>
      </c>
      <c r="C49" t="s">
        <v>103</v>
      </c>
      <c r="F49" s="17"/>
      <c r="G49" s="17"/>
    </row>
    <row r="50" spans="1:8">
      <c r="F50" s="8">
        <v>44136</v>
      </c>
      <c r="G50" s="17">
        <v>600000</v>
      </c>
      <c r="H50">
        <v>2</v>
      </c>
    </row>
    <row r="51" spans="1:8">
      <c r="F51" s="17"/>
      <c r="G51" s="17"/>
    </row>
    <row r="52" spans="1:8">
      <c r="A52">
        <v>5</v>
      </c>
      <c r="B52">
        <v>3</v>
      </c>
      <c r="C52" t="s">
        <v>193</v>
      </c>
      <c r="F52" s="17"/>
      <c r="G52" s="17"/>
    </row>
    <row r="53" spans="1:8">
      <c r="F53" s="8">
        <v>44136</v>
      </c>
      <c r="G53" s="17">
        <v>200000</v>
      </c>
      <c r="H53">
        <v>1</v>
      </c>
    </row>
    <row r="54" spans="1:8">
      <c r="F54" s="17"/>
      <c r="G54" s="17"/>
    </row>
    <row r="55" spans="1:8">
      <c r="A55">
        <v>6</v>
      </c>
      <c r="B55">
        <v>4</v>
      </c>
      <c r="C55" t="s">
        <v>126</v>
      </c>
      <c r="F55" s="17"/>
      <c r="G55" s="17"/>
    </row>
    <row r="56" spans="1:8">
      <c r="F56" s="8">
        <v>44141</v>
      </c>
      <c r="G56" s="17">
        <v>80000</v>
      </c>
      <c r="H56">
        <v>5</v>
      </c>
    </row>
    <row r="57" spans="1:8">
      <c r="F57" s="8">
        <v>44157</v>
      </c>
      <c r="G57" s="17">
        <v>100000</v>
      </c>
      <c r="H57">
        <v>9</v>
      </c>
    </row>
    <row r="58" spans="1:8">
      <c r="F58" s="8">
        <v>44165</v>
      </c>
      <c r="G58" s="17">
        <v>50000</v>
      </c>
      <c r="H58">
        <v>12</v>
      </c>
    </row>
    <row r="59" spans="1:8">
      <c r="F59" s="8"/>
      <c r="G59" s="17"/>
    </row>
    <row r="60" spans="1:8">
      <c r="A60">
        <v>7</v>
      </c>
      <c r="B60">
        <v>5</v>
      </c>
      <c r="C60" t="s">
        <v>195</v>
      </c>
    </row>
    <row r="61" spans="1:8">
      <c r="C61" s="8">
        <v>44139</v>
      </c>
      <c r="D61" s="17">
        <v>4000</v>
      </c>
      <c r="E61">
        <v>4</v>
      </c>
    </row>
    <row r="63" spans="1:8">
      <c r="A63">
        <v>8</v>
      </c>
      <c r="B63">
        <v>5</v>
      </c>
      <c r="C63" t="s">
        <v>33</v>
      </c>
    </row>
    <row r="64" spans="1:8">
      <c r="C64" s="8">
        <v>44143</v>
      </c>
      <c r="D64" s="17">
        <v>20000</v>
      </c>
      <c r="E64">
        <v>6</v>
      </c>
    </row>
    <row r="65" spans="1:5">
      <c r="C65" s="8">
        <v>44151</v>
      </c>
      <c r="D65" s="17">
        <v>10000</v>
      </c>
      <c r="E65">
        <v>8</v>
      </c>
    </row>
    <row r="67" spans="1:5">
      <c r="A67">
        <v>9</v>
      </c>
      <c r="B67">
        <v>5</v>
      </c>
      <c r="C67" t="s">
        <v>101</v>
      </c>
    </row>
    <row r="68" spans="1:5">
      <c r="C68" s="8">
        <v>44162</v>
      </c>
      <c r="D68" s="17">
        <v>7000</v>
      </c>
      <c r="E68">
        <v>10</v>
      </c>
    </row>
    <row r="69" spans="1:5">
      <c r="C69" s="8"/>
      <c r="D69" s="17"/>
    </row>
    <row r="70" spans="1:5">
      <c r="A70">
        <v>10</v>
      </c>
      <c r="B70">
        <v>5</v>
      </c>
      <c r="C70" t="s">
        <v>52</v>
      </c>
      <c r="D70" s="17"/>
    </row>
    <row r="71" spans="1:5">
      <c r="C71" s="8">
        <v>44136</v>
      </c>
      <c r="D71" s="17">
        <v>600000</v>
      </c>
      <c r="E71">
        <v>2</v>
      </c>
    </row>
    <row r="72" spans="1:5">
      <c r="C72" s="8"/>
      <c r="D72" s="17"/>
    </row>
    <row r="74" spans="1:5">
      <c r="A74" t="s">
        <v>108</v>
      </c>
    </row>
    <row r="76" spans="1:5">
      <c r="D76" t="s">
        <v>197</v>
      </c>
    </row>
    <row r="77" spans="1:5">
      <c r="D77" t="s">
        <v>108</v>
      </c>
    </row>
    <row r="78" spans="1:5">
      <c r="D78" s="8">
        <v>44165</v>
      </c>
    </row>
    <row r="79" spans="1:5">
      <c r="A79" t="s">
        <v>20</v>
      </c>
      <c r="B79" t="s">
        <v>95</v>
      </c>
      <c r="C79" t="s">
        <v>96</v>
      </c>
      <c r="D79" t="s">
        <v>17</v>
      </c>
      <c r="E79" t="s">
        <v>19</v>
      </c>
    </row>
    <row r="80" spans="1:5">
      <c r="A80">
        <v>1</v>
      </c>
      <c r="B80">
        <v>1</v>
      </c>
      <c r="C80" t="s">
        <v>29</v>
      </c>
      <c r="D80" s="17">
        <v>317000</v>
      </c>
      <c r="E80" s="17"/>
    </row>
    <row r="81" spans="1:5">
      <c r="A81">
        <v>2</v>
      </c>
      <c r="B81">
        <v>1</v>
      </c>
      <c r="C81" t="s">
        <v>194</v>
      </c>
      <c r="D81" s="17">
        <v>12000</v>
      </c>
      <c r="E81" s="17"/>
    </row>
    <row r="82" spans="1:5">
      <c r="A82">
        <v>3</v>
      </c>
      <c r="B82">
        <v>1</v>
      </c>
      <c r="C82" t="s">
        <v>196</v>
      </c>
      <c r="D82" s="17">
        <v>60000</v>
      </c>
      <c r="E82" s="17"/>
    </row>
    <row r="83" spans="1:5">
      <c r="A83">
        <v>4</v>
      </c>
      <c r="B83">
        <v>2</v>
      </c>
      <c r="C83" t="s">
        <v>103</v>
      </c>
      <c r="D83" s="17"/>
      <c r="E83" s="17">
        <v>600000</v>
      </c>
    </row>
    <row r="84" spans="1:5">
      <c r="A84">
        <v>5</v>
      </c>
      <c r="B84">
        <v>3</v>
      </c>
      <c r="C84" t="s">
        <v>193</v>
      </c>
      <c r="D84" s="17"/>
      <c r="E84" s="17">
        <v>200000</v>
      </c>
    </row>
    <row r="85" spans="1:5">
      <c r="A85">
        <v>6</v>
      </c>
      <c r="B85">
        <v>4</v>
      </c>
      <c r="C85" t="s">
        <v>126</v>
      </c>
      <c r="D85" s="17"/>
      <c r="E85" s="17">
        <v>230000</v>
      </c>
    </row>
    <row r="86" spans="1:5">
      <c r="A86">
        <v>7</v>
      </c>
      <c r="B86">
        <v>5</v>
      </c>
      <c r="C86" t="s">
        <v>195</v>
      </c>
      <c r="D86" s="17">
        <v>4000</v>
      </c>
      <c r="E86" s="17"/>
    </row>
    <row r="87" spans="1:5">
      <c r="A87">
        <v>8</v>
      </c>
      <c r="B87">
        <v>5</v>
      </c>
      <c r="C87" t="s">
        <v>33</v>
      </c>
      <c r="D87" s="17">
        <v>30000</v>
      </c>
      <c r="E87" s="17"/>
    </row>
    <row r="88" spans="1:5">
      <c r="A88">
        <v>9</v>
      </c>
      <c r="B88">
        <v>5</v>
      </c>
      <c r="C88" t="s">
        <v>101</v>
      </c>
      <c r="D88" s="17">
        <v>7000</v>
      </c>
      <c r="E88" s="17"/>
    </row>
    <row r="89" spans="1:5">
      <c r="A89">
        <v>10</v>
      </c>
      <c r="B89">
        <v>5</v>
      </c>
      <c r="C89" t="s">
        <v>52</v>
      </c>
      <c r="D89" s="17">
        <v>600000</v>
      </c>
      <c r="E89" s="17"/>
    </row>
    <row r="90" spans="1:5">
      <c r="C90" t="s">
        <v>107</v>
      </c>
      <c r="D90" s="17">
        <f>SUM(D80:D89)</f>
        <v>1030000</v>
      </c>
      <c r="E90" s="17">
        <f>SUM(E80:E89)</f>
        <v>1030000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6C97A-5C7F-4440-B2AD-C6E1C33C3BEC}">
  <dimension ref="A2:K87"/>
  <sheetViews>
    <sheetView topLeftCell="A66" workbookViewId="0">
      <selection activeCell="E78" sqref="E78"/>
    </sheetView>
  </sheetViews>
  <sheetFormatPr defaultRowHeight="16.5"/>
  <cols>
    <col min="3" max="3" width="15.375" bestFit="1" customWidth="1"/>
    <col min="4" max="4" width="11.75" bestFit="1" customWidth="1"/>
    <col min="6" max="6" width="10.125" bestFit="1" customWidth="1"/>
  </cols>
  <sheetData>
    <row r="2" spans="1:7">
      <c r="A2" t="s">
        <v>94</v>
      </c>
    </row>
    <row r="4" spans="1:7">
      <c r="A4" t="s">
        <v>20</v>
      </c>
      <c r="B4" t="s">
        <v>95</v>
      </c>
      <c r="C4" t="s">
        <v>22</v>
      </c>
      <c r="D4" t="s">
        <v>96</v>
      </c>
      <c r="E4" t="s">
        <v>96</v>
      </c>
      <c r="F4" t="s">
        <v>17</v>
      </c>
      <c r="G4" t="s">
        <v>19</v>
      </c>
    </row>
    <row r="5" spans="1:7">
      <c r="A5">
        <v>1</v>
      </c>
      <c r="B5">
        <v>1</v>
      </c>
      <c r="C5" s="8">
        <v>44105</v>
      </c>
      <c r="D5" s="6" t="s">
        <v>29</v>
      </c>
      <c r="F5" s="51">
        <v>200000</v>
      </c>
    </row>
    <row r="6" spans="1:7">
      <c r="A6">
        <v>1</v>
      </c>
      <c r="E6" s="52" t="s">
        <v>38</v>
      </c>
      <c r="G6" s="51">
        <v>200000</v>
      </c>
    </row>
    <row r="7" spans="1:7">
      <c r="A7">
        <v>2</v>
      </c>
      <c r="B7">
        <v>2</v>
      </c>
      <c r="C7" s="8">
        <v>44105</v>
      </c>
      <c r="D7" s="6" t="s">
        <v>119</v>
      </c>
      <c r="F7" s="51">
        <v>120000</v>
      </c>
    </row>
    <row r="8" spans="1:7">
      <c r="A8">
        <v>2</v>
      </c>
      <c r="E8" s="49" t="s">
        <v>29</v>
      </c>
      <c r="G8" s="51">
        <v>120000</v>
      </c>
    </row>
    <row r="9" spans="1:7">
      <c r="A9">
        <v>3</v>
      </c>
      <c r="B9">
        <v>5</v>
      </c>
      <c r="C9" s="8">
        <v>44105</v>
      </c>
      <c r="D9" s="6" t="s">
        <v>29</v>
      </c>
      <c r="F9" s="51">
        <v>30000</v>
      </c>
    </row>
    <row r="10" spans="1:7">
      <c r="A10">
        <v>3</v>
      </c>
      <c r="E10" s="49" t="s">
        <v>198</v>
      </c>
      <c r="G10" s="51">
        <v>30000</v>
      </c>
    </row>
    <row r="11" spans="1:7">
      <c r="A11">
        <v>4</v>
      </c>
      <c r="B11">
        <v>5</v>
      </c>
      <c r="C11" s="8">
        <v>44109</v>
      </c>
      <c r="D11" s="54" t="s">
        <v>101</v>
      </c>
      <c r="F11" s="51">
        <v>5000</v>
      </c>
    </row>
    <row r="12" spans="1:7">
      <c r="A12">
        <v>4</v>
      </c>
      <c r="E12" s="49" t="s">
        <v>29</v>
      </c>
      <c r="G12" s="51">
        <v>5000</v>
      </c>
    </row>
    <row r="13" spans="1:7">
      <c r="A13">
        <v>5</v>
      </c>
      <c r="B13">
        <v>5</v>
      </c>
      <c r="C13" s="8">
        <v>44111</v>
      </c>
      <c r="D13" s="54" t="s">
        <v>199</v>
      </c>
      <c r="F13" s="51">
        <v>80000</v>
      </c>
    </row>
    <row r="14" spans="1:7">
      <c r="A14">
        <v>5</v>
      </c>
      <c r="E14" s="49" t="s">
        <v>29</v>
      </c>
      <c r="G14" s="51">
        <v>80000</v>
      </c>
    </row>
    <row r="15" spans="1:7">
      <c r="A15">
        <v>6</v>
      </c>
      <c r="B15">
        <v>1</v>
      </c>
      <c r="C15" s="8">
        <v>44113</v>
      </c>
      <c r="D15" s="6" t="s">
        <v>29</v>
      </c>
      <c r="F15" s="51">
        <v>70000</v>
      </c>
    </row>
    <row r="16" spans="1:7">
      <c r="A16">
        <v>6</v>
      </c>
      <c r="E16" s="53" t="s">
        <v>36</v>
      </c>
      <c r="G16" s="51">
        <v>70000</v>
      </c>
    </row>
    <row r="17" spans="1:11">
      <c r="A17">
        <v>7</v>
      </c>
      <c r="B17">
        <v>1</v>
      </c>
      <c r="C17" s="8">
        <v>44115</v>
      </c>
      <c r="D17" s="6" t="s">
        <v>92</v>
      </c>
      <c r="F17" s="51">
        <v>120000</v>
      </c>
    </row>
    <row r="18" spans="1:11">
      <c r="A18">
        <v>7</v>
      </c>
      <c r="E18" s="53" t="s">
        <v>36</v>
      </c>
      <c r="G18" s="51">
        <v>120000</v>
      </c>
    </row>
    <row r="19" spans="1:11">
      <c r="A19">
        <v>8</v>
      </c>
      <c r="B19">
        <v>5</v>
      </c>
      <c r="C19" s="8">
        <v>44122</v>
      </c>
      <c r="D19" s="54" t="s">
        <v>33</v>
      </c>
      <c r="F19" s="51">
        <v>3000</v>
      </c>
    </row>
    <row r="20" spans="1:11">
      <c r="A20">
        <v>8</v>
      </c>
      <c r="E20" s="49" t="s">
        <v>29</v>
      </c>
      <c r="G20" s="51">
        <v>3000</v>
      </c>
    </row>
    <row r="21" spans="1:11">
      <c r="A21">
        <v>9</v>
      </c>
      <c r="B21">
        <v>5</v>
      </c>
      <c r="C21" s="8">
        <v>44124</v>
      </c>
      <c r="D21" s="54" t="s">
        <v>100</v>
      </c>
      <c r="F21" s="51">
        <v>8000</v>
      </c>
    </row>
    <row r="22" spans="1:11">
      <c r="A22">
        <v>9</v>
      </c>
      <c r="E22" s="49" t="s">
        <v>29</v>
      </c>
      <c r="G22" s="51">
        <v>8000</v>
      </c>
    </row>
    <row r="23" spans="1:11">
      <c r="A23">
        <v>10</v>
      </c>
      <c r="B23">
        <v>5</v>
      </c>
      <c r="C23" s="8">
        <v>44135</v>
      </c>
      <c r="D23" s="54" t="s">
        <v>86</v>
      </c>
      <c r="F23" s="51">
        <v>50000</v>
      </c>
    </row>
    <row r="24" spans="1:11">
      <c r="A24">
        <v>10</v>
      </c>
      <c r="E24" s="49" t="s">
        <v>29</v>
      </c>
      <c r="G24" s="51">
        <v>50000</v>
      </c>
    </row>
    <row r="26" spans="1:11">
      <c r="A26" t="s">
        <v>105</v>
      </c>
    </row>
    <row r="28" spans="1:11">
      <c r="A28" t="s">
        <v>20</v>
      </c>
      <c r="B28" t="s">
        <v>95</v>
      </c>
    </row>
    <row r="29" spans="1:11">
      <c r="A29">
        <v>1</v>
      </c>
      <c r="B29">
        <v>1</v>
      </c>
      <c r="C29" s="6" t="s">
        <v>29</v>
      </c>
      <c r="J29" t="s">
        <v>20</v>
      </c>
      <c r="K29" t="s">
        <v>140</v>
      </c>
    </row>
    <row r="30" spans="1:11">
      <c r="C30" s="8">
        <v>44105</v>
      </c>
      <c r="D30" s="51">
        <v>200000</v>
      </c>
      <c r="E30">
        <v>1</v>
      </c>
      <c r="J30">
        <v>1</v>
      </c>
      <c r="K30" s="51">
        <f>SUM(D30:D38)-SUM(G30:G38)</f>
        <v>34000</v>
      </c>
    </row>
    <row r="31" spans="1:11">
      <c r="C31" s="8"/>
      <c r="D31" s="51"/>
      <c r="F31" s="8">
        <v>44105</v>
      </c>
      <c r="G31" s="51">
        <v>120000</v>
      </c>
      <c r="H31">
        <v>2</v>
      </c>
      <c r="J31">
        <v>2</v>
      </c>
      <c r="K31" s="51">
        <f>SUM(D41)-SUM(G41)</f>
        <v>120000</v>
      </c>
    </row>
    <row r="32" spans="1:11">
      <c r="C32" s="8">
        <v>44105</v>
      </c>
      <c r="D32" s="51">
        <v>30000</v>
      </c>
      <c r="E32">
        <v>3</v>
      </c>
      <c r="J32">
        <v>3</v>
      </c>
      <c r="K32" s="51">
        <f>SUM(D44)-SUM(G44)</f>
        <v>120000</v>
      </c>
    </row>
    <row r="33" spans="1:11">
      <c r="F33" s="8">
        <v>44109</v>
      </c>
      <c r="G33" s="51">
        <v>5000</v>
      </c>
      <c r="H33">
        <v>4</v>
      </c>
      <c r="J33">
        <v>4</v>
      </c>
      <c r="K33" s="51">
        <f>SUM(D47)-SUM(G47)</f>
        <v>-30000</v>
      </c>
    </row>
    <row r="34" spans="1:11">
      <c r="F34" s="8">
        <v>44111</v>
      </c>
      <c r="G34" s="51">
        <v>80000</v>
      </c>
      <c r="H34">
        <v>5</v>
      </c>
      <c r="J34">
        <v>5</v>
      </c>
      <c r="K34" s="51">
        <f>SUM(D50)-SUM(G50)</f>
        <v>-200000</v>
      </c>
    </row>
    <row r="35" spans="1:11">
      <c r="C35" s="8">
        <v>44113</v>
      </c>
      <c r="D35" s="51">
        <v>70000</v>
      </c>
      <c r="E35">
        <v>6</v>
      </c>
      <c r="J35">
        <v>6</v>
      </c>
      <c r="K35" s="51">
        <f>SUM(D53:D54)-SUM(G53:G54)</f>
        <v>-190000</v>
      </c>
    </row>
    <row r="36" spans="1:11">
      <c r="F36" s="8">
        <v>44122</v>
      </c>
      <c r="G36" s="51">
        <v>3000</v>
      </c>
      <c r="H36">
        <v>8</v>
      </c>
      <c r="J36">
        <v>7</v>
      </c>
      <c r="K36" s="51">
        <f>SUM(D57)-SUM(G57)</f>
        <v>5000</v>
      </c>
    </row>
    <row r="37" spans="1:11">
      <c r="F37" s="8">
        <v>44124</v>
      </c>
      <c r="G37" s="51">
        <v>8000</v>
      </c>
      <c r="H37">
        <v>9</v>
      </c>
      <c r="J37">
        <v>8</v>
      </c>
      <c r="K37" s="51">
        <f>SUM(D60)-SUM(G60)</f>
        <v>80000</v>
      </c>
    </row>
    <row r="38" spans="1:11">
      <c r="F38" s="8">
        <v>44135</v>
      </c>
      <c r="G38" s="51">
        <v>50000</v>
      </c>
      <c r="H38">
        <v>10</v>
      </c>
      <c r="J38">
        <v>9</v>
      </c>
      <c r="K38" s="51">
        <f>SUM(D63)-SUM(G63)</f>
        <v>3000</v>
      </c>
    </row>
    <row r="39" spans="1:11">
      <c r="J39">
        <v>10</v>
      </c>
      <c r="K39" s="51">
        <f>SUM(D66)-SUM(G66)</f>
        <v>8000</v>
      </c>
    </row>
    <row r="40" spans="1:11">
      <c r="A40">
        <v>2</v>
      </c>
      <c r="B40">
        <v>1</v>
      </c>
      <c r="C40" s="6" t="s">
        <v>92</v>
      </c>
      <c r="J40">
        <v>11</v>
      </c>
      <c r="K40" s="51">
        <f>SUM(D69)-SUM(G69)</f>
        <v>50000</v>
      </c>
    </row>
    <row r="41" spans="1:11">
      <c r="C41" s="8">
        <v>44115</v>
      </c>
      <c r="D41" s="51">
        <v>120000</v>
      </c>
      <c r="E41">
        <v>7</v>
      </c>
      <c r="J41" t="s">
        <v>107</v>
      </c>
      <c r="K41" s="51">
        <f>SUM(K30:K40)</f>
        <v>0</v>
      </c>
    </row>
    <row r="43" spans="1:11">
      <c r="A43">
        <v>3</v>
      </c>
      <c r="B43">
        <v>1</v>
      </c>
      <c r="C43" s="6" t="s">
        <v>119</v>
      </c>
    </row>
    <row r="44" spans="1:11">
      <c r="C44" s="8">
        <v>44105</v>
      </c>
      <c r="D44" s="51">
        <v>120000</v>
      </c>
      <c r="E44">
        <v>2</v>
      </c>
    </row>
    <row r="46" spans="1:11">
      <c r="A46">
        <v>4</v>
      </c>
      <c r="B46">
        <v>2</v>
      </c>
      <c r="C46" s="49" t="s">
        <v>198</v>
      </c>
    </row>
    <row r="47" spans="1:11">
      <c r="F47" s="8">
        <v>44105</v>
      </c>
      <c r="G47" s="51">
        <v>30000</v>
      </c>
      <c r="H47">
        <v>3</v>
      </c>
    </row>
    <row r="49" spans="1:8">
      <c r="A49">
        <v>5</v>
      </c>
      <c r="B49">
        <v>3</v>
      </c>
      <c r="C49" s="52" t="s">
        <v>38</v>
      </c>
    </row>
    <row r="50" spans="1:8">
      <c r="F50" s="8">
        <v>44105</v>
      </c>
      <c r="G50" s="51">
        <v>200000</v>
      </c>
      <c r="H50">
        <v>1</v>
      </c>
    </row>
    <row r="52" spans="1:8">
      <c r="A52">
        <v>6</v>
      </c>
      <c r="B52">
        <v>4</v>
      </c>
      <c r="C52" s="53" t="s">
        <v>36</v>
      </c>
    </row>
    <row r="53" spans="1:8">
      <c r="F53" s="8">
        <v>44113</v>
      </c>
      <c r="G53" s="51">
        <v>70000</v>
      </c>
      <c r="H53">
        <v>6</v>
      </c>
    </row>
    <row r="54" spans="1:8">
      <c r="F54" s="8">
        <v>44115</v>
      </c>
      <c r="G54" s="51">
        <v>120000</v>
      </c>
      <c r="H54">
        <v>7</v>
      </c>
    </row>
    <row r="56" spans="1:8">
      <c r="A56">
        <v>7</v>
      </c>
      <c r="B56">
        <v>5</v>
      </c>
      <c r="C56" s="54" t="s">
        <v>101</v>
      </c>
    </row>
    <row r="57" spans="1:8">
      <c r="C57" s="8">
        <v>44109</v>
      </c>
      <c r="D57" s="51">
        <v>5000</v>
      </c>
      <c r="E57">
        <v>4</v>
      </c>
    </row>
    <row r="59" spans="1:8">
      <c r="A59">
        <v>8</v>
      </c>
      <c r="B59">
        <v>5</v>
      </c>
      <c r="C59" s="54" t="s">
        <v>199</v>
      </c>
    </row>
    <row r="60" spans="1:8">
      <c r="C60" s="8">
        <v>44111</v>
      </c>
      <c r="D60" s="51">
        <v>80000</v>
      </c>
      <c r="E60">
        <v>5</v>
      </c>
    </row>
    <row r="62" spans="1:8">
      <c r="A62">
        <v>9</v>
      </c>
      <c r="B62">
        <v>5</v>
      </c>
      <c r="C62" s="54" t="s">
        <v>33</v>
      </c>
    </row>
    <row r="63" spans="1:8">
      <c r="C63" s="8">
        <v>44122</v>
      </c>
      <c r="D63" s="51">
        <v>3000</v>
      </c>
      <c r="E63">
        <v>8</v>
      </c>
    </row>
    <row r="65" spans="1:5">
      <c r="A65">
        <v>10</v>
      </c>
      <c r="B65">
        <v>5</v>
      </c>
      <c r="C65" s="54" t="s">
        <v>100</v>
      </c>
    </row>
    <row r="66" spans="1:5">
      <c r="C66" s="8">
        <v>44124</v>
      </c>
      <c r="D66" s="51">
        <v>8000</v>
      </c>
      <c r="E66">
        <v>9</v>
      </c>
    </row>
    <row r="68" spans="1:5">
      <c r="A68">
        <v>11</v>
      </c>
      <c r="B68">
        <v>5</v>
      </c>
      <c r="C68" s="54" t="s">
        <v>86</v>
      </c>
    </row>
    <row r="69" spans="1:5">
      <c r="C69" s="8">
        <v>44135</v>
      </c>
      <c r="D69" s="51">
        <v>50000</v>
      </c>
      <c r="E69">
        <v>10</v>
      </c>
    </row>
    <row r="71" spans="1:5">
      <c r="A71" t="s">
        <v>108</v>
      </c>
    </row>
    <row r="73" spans="1:5">
      <c r="C73" t="s">
        <v>200</v>
      </c>
    </row>
    <row r="74" spans="1:5">
      <c r="C74" t="s">
        <v>108</v>
      </c>
    </row>
    <row r="75" spans="1:5">
      <c r="A75" t="s">
        <v>20</v>
      </c>
      <c r="B75" t="s">
        <v>95</v>
      </c>
      <c r="C75" t="s">
        <v>96</v>
      </c>
      <c r="D75" t="s">
        <v>17</v>
      </c>
      <c r="E75" t="s">
        <v>19</v>
      </c>
    </row>
    <row r="76" spans="1:5">
      <c r="A76">
        <v>1</v>
      </c>
      <c r="B76">
        <v>1</v>
      </c>
      <c r="C76" s="6" t="s">
        <v>29</v>
      </c>
      <c r="D76">
        <v>34000</v>
      </c>
    </row>
    <row r="77" spans="1:5">
      <c r="A77">
        <v>2</v>
      </c>
      <c r="B77">
        <v>1</v>
      </c>
      <c r="C77" s="6" t="s">
        <v>92</v>
      </c>
      <c r="D77">
        <v>120000</v>
      </c>
    </row>
    <row r="78" spans="1:5">
      <c r="A78">
        <v>3</v>
      </c>
      <c r="B78">
        <v>1</v>
      </c>
      <c r="C78" s="6" t="s">
        <v>119</v>
      </c>
      <c r="D78">
        <v>120000</v>
      </c>
    </row>
    <row r="79" spans="1:5">
      <c r="A79">
        <v>4</v>
      </c>
      <c r="B79">
        <v>2</v>
      </c>
      <c r="C79" s="49" t="s">
        <v>198</v>
      </c>
      <c r="E79">
        <v>30000</v>
      </c>
    </row>
    <row r="80" spans="1:5">
      <c r="A80">
        <v>5</v>
      </c>
      <c r="B80">
        <v>3</v>
      </c>
      <c r="C80" s="52" t="s">
        <v>38</v>
      </c>
      <c r="E80">
        <v>200000</v>
      </c>
    </row>
    <row r="81" spans="1:5">
      <c r="A81">
        <v>6</v>
      </c>
      <c r="B81">
        <v>4</v>
      </c>
      <c r="C81" s="53" t="s">
        <v>36</v>
      </c>
      <c r="E81">
        <v>190000</v>
      </c>
    </row>
    <row r="82" spans="1:5">
      <c r="A82">
        <v>7</v>
      </c>
      <c r="B82">
        <v>5</v>
      </c>
      <c r="C82" s="54" t="s">
        <v>101</v>
      </c>
      <c r="D82">
        <v>5000</v>
      </c>
    </row>
    <row r="83" spans="1:5">
      <c r="A83">
        <v>8</v>
      </c>
      <c r="B83">
        <v>5</v>
      </c>
      <c r="C83" s="54" t="s">
        <v>199</v>
      </c>
      <c r="D83">
        <v>80000</v>
      </c>
    </row>
    <row r="84" spans="1:5">
      <c r="A84">
        <v>9</v>
      </c>
      <c r="B84">
        <v>5</v>
      </c>
      <c r="C84" s="54" t="s">
        <v>33</v>
      </c>
      <c r="D84">
        <v>3000</v>
      </c>
    </row>
    <row r="85" spans="1:5">
      <c r="A85">
        <v>10</v>
      </c>
      <c r="B85">
        <v>5</v>
      </c>
      <c r="C85" s="54" t="s">
        <v>100</v>
      </c>
      <c r="D85">
        <v>8000</v>
      </c>
    </row>
    <row r="86" spans="1:5">
      <c r="A86">
        <v>11</v>
      </c>
      <c r="B86">
        <v>5</v>
      </c>
      <c r="C86" s="54" t="s">
        <v>86</v>
      </c>
      <c r="D86">
        <v>50000</v>
      </c>
    </row>
    <row r="87" spans="1:5">
      <c r="C87" t="s">
        <v>107</v>
      </c>
      <c r="D87">
        <f>SUM(D76:D86)</f>
        <v>420000</v>
      </c>
      <c r="E87">
        <f>SUM(E76:E86)</f>
        <v>420000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30E7-C1D5-4FBC-91E1-1F9ECB102290}">
  <dimension ref="A1:H8"/>
  <sheetViews>
    <sheetView topLeftCell="A3" workbookViewId="0">
      <selection activeCell="A20" sqref="A20"/>
    </sheetView>
  </sheetViews>
  <sheetFormatPr defaultRowHeight="16.5"/>
  <cols>
    <col min="8" max="8" width="38.375" bestFit="1" customWidth="1"/>
  </cols>
  <sheetData>
    <row r="1" spans="1:8">
      <c r="A1" t="s">
        <v>5</v>
      </c>
    </row>
    <row r="2" spans="1:8">
      <c r="A2" t="s">
        <v>105</v>
      </c>
      <c r="G2" t="s">
        <v>201</v>
      </c>
      <c r="H2" t="s">
        <v>202</v>
      </c>
    </row>
    <row r="4" spans="1:8">
      <c r="A4" t="s">
        <v>29</v>
      </c>
    </row>
    <row r="5" spans="1:8">
      <c r="A5" s="7"/>
      <c r="B5" s="3"/>
      <c r="C5" s="4"/>
      <c r="D5" s="7">
        <v>43831</v>
      </c>
      <c r="E5" s="3">
        <v>50000</v>
      </c>
      <c r="F5" s="3">
        <v>1</v>
      </c>
    </row>
    <row r="7" spans="1:8">
      <c r="A7" t="s">
        <v>86</v>
      </c>
    </row>
    <row r="8" spans="1:8">
      <c r="A8" s="7">
        <v>43831</v>
      </c>
      <c r="B8" s="3">
        <v>50000</v>
      </c>
      <c r="C8" s="4">
        <v>1</v>
      </c>
      <c r="D8" s="3"/>
      <c r="E8" s="3"/>
      <c r="F8" s="3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C5C1-0EE4-40C5-84CA-B0BCD470285B}">
  <dimension ref="A1:G17"/>
  <sheetViews>
    <sheetView topLeftCell="A2" workbookViewId="0">
      <selection activeCell="F17" sqref="F17"/>
    </sheetView>
  </sheetViews>
  <sheetFormatPr defaultRowHeight="16.5"/>
  <cols>
    <col min="1" max="1" width="11.75" bestFit="1" customWidth="1"/>
    <col min="2" max="2" width="12.375" bestFit="1" customWidth="1"/>
    <col min="5" max="5" width="16.25" bestFit="1" customWidth="1"/>
    <col min="6" max="6" width="11.875" bestFit="1" customWidth="1"/>
    <col min="7" max="7" width="13.25" bestFit="1" customWidth="1"/>
    <col min="10" max="10" width="10.125" bestFit="1" customWidth="1"/>
  </cols>
  <sheetData>
    <row r="1" spans="1:7">
      <c r="A1" t="s">
        <v>1</v>
      </c>
      <c r="E1" t="s">
        <v>5</v>
      </c>
    </row>
    <row r="2" spans="1:7">
      <c r="A2" t="s">
        <v>159</v>
      </c>
      <c r="E2" t="s">
        <v>160</v>
      </c>
    </row>
    <row r="3" spans="1:7">
      <c r="B3" t="s">
        <v>203</v>
      </c>
      <c r="F3" t="s">
        <v>203</v>
      </c>
    </row>
    <row r="4" spans="1:7">
      <c r="B4" t="s">
        <v>108</v>
      </c>
      <c r="F4" t="s">
        <v>108</v>
      </c>
    </row>
    <row r="5" spans="1:7">
      <c r="B5" s="8">
        <v>44104</v>
      </c>
      <c r="F5" s="8">
        <v>44104</v>
      </c>
    </row>
    <row r="6" spans="1:7">
      <c r="A6" t="s">
        <v>162</v>
      </c>
      <c r="B6" t="s">
        <v>163</v>
      </c>
      <c r="C6" t="s">
        <v>164</v>
      </c>
      <c r="E6" t="s">
        <v>162</v>
      </c>
      <c r="F6" t="s">
        <v>163</v>
      </c>
      <c r="G6" t="s">
        <v>164</v>
      </c>
    </row>
    <row r="7" spans="1:7">
      <c r="A7" t="s">
        <v>29</v>
      </c>
      <c r="B7" s="17">
        <v>6200</v>
      </c>
      <c r="C7" s="17"/>
      <c r="E7" t="s">
        <v>29</v>
      </c>
      <c r="F7" s="17">
        <f>6200+2*200</f>
        <v>6600</v>
      </c>
      <c r="G7" s="17"/>
    </row>
    <row r="8" spans="1:7">
      <c r="A8" t="s">
        <v>30</v>
      </c>
      <c r="B8" s="17">
        <v>3000</v>
      </c>
      <c r="C8" s="17"/>
      <c r="E8" t="s">
        <v>30</v>
      </c>
      <c r="F8" s="17">
        <v>3000</v>
      </c>
      <c r="G8" s="17"/>
    </row>
    <row r="9" spans="1:7">
      <c r="A9" t="s">
        <v>31</v>
      </c>
      <c r="B9" s="17">
        <v>100000</v>
      </c>
      <c r="C9" s="17"/>
      <c r="E9" t="s">
        <v>31</v>
      </c>
      <c r="F9" s="17">
        <v>100000</v>
      </c>
      <c r="G9" s="17"/>
    </row>
    <row r="10" spans="1:7">
      <c r="A10" t="s">
        <v>93</v>
      </c>
      <c r="B10" s="17"/>
      <c r="C10" s="17">
        <v>30000</v>
      </c>
      <c r="E10" t="s">
        <v>93</v>
      </c>
      <c r="F10" s="17"/>
      <c r="G10" s="17">
        <v>30000</v>
      </c>
    </row>
    <row r="11" spans="1:7">
      <c r="A11" t="s">
        <v>38</v>
      </c>
      <c r="B11" s="17"/>
      <c r="C11" s="17">
        <v>60000</v>
      </c>
      <c r="E11" t="s">
        <v>38</v>
      </c>
      <c r="F11" s="17"/>
      <c r="G11" s="17">
        <v>60000</v>
      </c>
    </row>
    <row r="12" spans="1:7">
      <c r="A12" t="s">
        <v>36</v>
      </c>
      <c r="B12" s="17"/>
      <c r="C12" s="17">
        <v>50000</v>
      </c>
      <c r="E12" t="s">
        <v>36</v>
      </c>
      <c r="F12" s="17"/>
      <c r="G12" s="17">
        <f>50000+2*4000</f>
        <v>58000</v>
      </c>
    </row>
    <row r="13" spans="1:7">
      <c r="A13" t="s">
        <v>86</v>
      </c>
      <c r="B13" s="17">
        <v>28000</v>
      </c>
      <c r="C13" s="17"/>
      <c r="E13" t="s">
        <v>86</v>
      </c>
      <c r="F13" s="17">
        <v>28000</v>
      </c>
      <c r="G13" s="17"/>
    </row>
    <row r="14" spans="1:7">
      <c r="A14" t="s">
        <v>34</v>
      </c>
      <c r="B14" s="17">
        <v>4200</v>
      </c>
      <c r="C14" s="17"/>
      <c r="E14" t="s">
        <v>34</v>
      </c>
      <c r="F14" s="17">
        <v>2400</v>
      </c>
      <c r="G14" s="17"/>
    </row>
    <row r="15" spans="1:7">
      <c r="A15" t="s">
        <v>100</v>
      </c>
      <c r="B15" s="17">
        <v>5000</v>
      </c>
      <c r="C15" s="17"/>
      <c r="E15" t="s">
        <v>100</v>
      </c>
      <c r="F15" s="17">
        <v>5000</v>
      </c>
      <c r="G15" s="17"/>
    </row>
    <row r="16" spans="1:7">
      <c r="A16" t="s">
        <v>101</v>
      </c>
      <c r="B16" s="17">
        <v>3000</v>
      </c>
      <c r="E16" t="s">
        <v>101</v>
      </c>
      <c r="F16" s="17">
        <v>3000</v>
      </c>
      <c r="G16" s="17"/>
    </row>
    <row r="17" spans="1:7">
      <c r="A17" t="s">
        <v>107</v>
      </c>
      <c r="B17" s="17">
        <f>SUM(B7,B8,B9,B13,B14,B15,B16)</f>
        <v>149400</v>
      </c>
      <c r="C17" s="17">
        <f>SUM(C10,C11,C12)</f>
        <v>140000</v>
      </c>
      <c r="E17" t="s">
        <v>107</v>
      </c>
      <c r="F17" s="17">
        <f>SUM(F7,F8,F9,F13,F14,F15,F16)</f>
        <v>148000</v>
      </c>
      <c r="G17" s="17">
        <f>SUM(G10,G11,G12)</f>
        <v>148000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5DE6F-1A58-45D8-957D-49FD2F62A327}">
  <dimension ref="A1:N43"/>
  <sheetViews>
    <sheetView topLeftCell="A22" workbookViewId="0">
      <selection activeCell="D43" sqref="D43"/>
    </sheetView>
  </sheetViews>
  <sheetFormatPr defaultRowHeight="16.5"/>
  <cols>
    <col min="1" max="3" width="14.375" bestFit="1" customWidth="1"/>
    <col min="6" max="6" width="13.5" bestFit="1" customWidth="1"/>
    <col min="9" max="9" width="7.625" bestFit="1" customWidth="1"/>
    <col min="11" max="11" width="49.5" bestFit="1" customWidth="1"/>
    <col min="13" max="13" width="5.625" bestFit="1" customWidth="1"/>
    <col min="14" max="14" width="62.875" bestFit="1" customWidth="1"/>
  </cols>
  <sheetData>
    <row r="1" spans="1:14">
      <c r="A1" t="s">
        <v>5</v>
      </c>
    </row>
    <row r="2" spans="1:14">
      <c r="A2" t="s">
        <v>105</v>
      </c>
      <c r="J2" t="s">
        <v>204</v>
      </c>
      <c r="M2" t="s">
        <v>201</v>
      </c>
      <c r="N2" t="s">
        <v>205</v>
      </c>
    </row>
    <row r="3" spans="1:14">
      <c r="J3" t="s">
        <v>20</v>
      </c>
      <c r="K3" t="s">
        <v>206</v>
      </c>
    </row>
    <row r="4" spans="1:14">
      <c r="A4" t="s">
        <v>29</v>
      </c>
      <c r="F4" t="s">
        <v>207</v>
      </c>
      <c r="J4">
        <v>1</v>
      </c>
      <c r="K4" t="s">
        <v>208</v>
      </c>
    </row>
    <row r="5" spans="1:14">
      <c r="A5" s="25">
        <v>100000</v>
      </c>
      <c r="B5" s="4">
        <v>1</v>
      </c>
      <c r="C5" s="3"/>
      <c r="D5" s="3"/>
      <c r="F5" s="25">
        <v>2000</v>
      </c>
      <c r="G5" s="4">
        <v>2</v>
      </c>
      <c r="H5" s="3"/>
      <c r="I5" s="3"/>
      <c r="J5">
        <v>2</v>
      </c>
      <c r="K5" t="s">
        <v>209</v>
      </c>
    </row>
    <row r="6" spans="1:14">
      <c r="A6" s="17"/>
      <c r="B6" s="5"/>
      <c r="C6" s="17">
        <v>2000</v>
      </c>
      <c r="D6">
        <v>2</v>
      </c>
      <c r="J6">
        <v>3</v>
      </c>
      <c r="K6" t="s">
        <v>210</v>
      </c>
    </row>
    <row r="7" spans="1:14">
      <c r="A7" s="17"/>
      <c r="B7" s="5"/>
      <c r="C7" s="17">
        <v>3000</v>
      </c>
      <c r="D7">
        <v>3</v>
      </c>
      <c r="F7" t="s">
        <v>211</v>
      </c>
      <c r="J7">
        <v>4</v>
      </c>
      <c r="K7" t="s">
        <v>212</v>
      </c>
    </row>
    <row r="8" spans="1:14">
      <c r="A8" s="17"/>
      <c r="B8" s="5"/>
      <c r="C8" s="17">
        <v>10000</v>
      </c>
      <c r="D8">
        <v>4</v>
      </c>
      <c r="F8" s="25">
        <v>5000</v>
      </c>
      <c r="G8" s="4">
        <v>3</v>
      </c>
      <c r="H8" s="3"/>
      <c r="I8" s="3"/>
      <c r="J8">
        <v>5</v>
      </c>
      <c r="K8" t="s">
        <v>213</v>
      </c>
    </row>
    <row r="9" spans="1:14">
      <c r="A9" s="17">
        <v>80000</v>
      </c>
      <c r="B9" s="5">
        <v>5</v>
      </c>
      <c r="C9" s="17"/>
      <c r="J9">
        <v>6</v>
      </c>
      <c r="K9" t="s">
        <v>214</v>
      </c>
    </row>
    <row r="10" spans="1:14">
      <c r="A10" s="17"/>
      <c r="B10" s="5"/>
      <c r="C10" s="17">
        <v>5000</v>
      </c>
      <c r="D10">
        <v>6</v>
      </c>
      <c r="F10" t="s">
        <v>215</v>
      </c>
      <c r="J10">
        <v>7</v>
      </c>
      <c r="K10" t="s">
        <v>216</v>
      </c>
    </row>
    <row r="11" spans="1:14">
      <c r="A11" s="17"/>
      <c r="B11" s="5"/>
      <c r="C11" s="17">
        <v>20000</v>
      </c>
      <c r="D11">
        <v>7</v>
      </c>
      <c r="F11" s="25">
        <v>10000</v>
      </c>
      <c r="G11" s="4">
        <v>4</v>
      </c>
      <c r="H11" s="3"/>
      <c r="I11" s="3"/>
      <c r="J11">
        <v>8</v>
      </c>
      <c r="K11" t="s">
        <v>217</v>
      </c>
    </row>
    <row r="12" spans="1:14">
      <c r="A12" s="17"/>
      <c r="B12" s="5"/>
      <c r="C12" s="17">
        <v>3000</v>
      </c>
      <c r="D12">
        <v>8</v>
      </c>
      <c r="J12">
        <v>9</v>
      </c>
      <c r="K12" t="s">
        <v>218</v>
      </c>
    </row>
    <row r="13" spans="1:14">
      <c r="A13" s="17"/>
      <c r="B13" s="5"/>
      <c r="C13" s="17">
        <v>7000</v>
      </c>
      <c r="D13">
        <v>9</v>
      </c>
      <c r="F13" t="s">
        <v>101</v>
      </c>
      <c r="J13">
        <v>10</v>
      </c>
      <c r="K13" t="s">
        <v>219</v>
      </c>
    </row>
    <row r="14" spans="1:14">
      <c r="A14" s="17"/>
      <c r="B14" s="5"/>
      <c r="C14" s="17">
        <v>30000</v>
      </c>
      <c r="D14">
        <v>10</v>
      </c>
      <c r="F14" s="25">
        <v>5000</v>
      </c>
      <c r="G14" s="4">
        <v>6</v>
      </c>
      <c r="H14" s="3"/>
      <c r="I14" s="3"/>
    </row>
    <row r="15" spans="1:14">
      <c r="A15" s="17"/>
    </row>
    <row r="16" spans="1:14">
      <c r="F16" t="s">
        <v>220</v>
      </c>
    </row>
    <row r="17" spans="1:9">
      <c r="F17" s="25">
        <v>3000</v>
      </c>
      <c r="G17" s="4">
        <v>8</v>
      </c>
      <c r="H17" s="3"/>
      <c r="I17" s="3"/>
    </row>
    <row r="18" spans="1:9">
      <c r="A18" t="s">
        <v>38</v>
      </c>
    </row>
    <row r="19" spans="1:9">
      <c r="A19" s="3"/>
      <c r="B19" s="4"/>
      <c r="C19" s="25">
        <v>100000</v>
      </c>
      <c r="D19" s="3">
        <v>1</v>
      </c>
      <c r="F19" t="s">
        <v>221</v>
      </c>
    </row>
    <row r="20" spans="1:9">
      <c r="B20" s="5"/>
      <c r="C20" s="17">
        <v>80000</v>
      </c>
      <c r="D20">
        <v>5</v>
      </c>
      <c r="F20" s="25">
        <v>7000</v>
      </c>
      <c r="G20" s="4">
        <v>9</v>
      </c>
      <c r="H20" s="3"/>
      <c r="I20" s="3"/>
    </row>
    <row r="22" spans="1:9">
      <c r="A22" t="s">
        <v>43</v>
      </c>
      <c r="F22" t="s">
        <v>86</v>
      </c>
    </row>
    <row r="23" spans="1:9">
      <c r="A23" s="25">
        <v>20000</v>
      </c>
      <c r="B23" s="4">
        <v>7</v>
      </c>
      <c r="C23" s="3"/>
      <c r="D23" s="3"/>
      <c r="F23" s="25">
        <v>30000</v>
      </c>
      <c r="G23" s="4">
        <v>10</v>
      </c>
      <c r="H23" s="3"/>
      <c r="I23" s="3"/>
    </row>
    <row r="28" spans="1:9">
      <c r="A28" t="s">
        <v>108</v>
      </c>
    </row>
    <row r="29" spans="1:9">
      <c r="A29" s="15"/>
      <c r="B29" s="3" t="s">
        <v>222</v>
      </c>
      <c r="C29" s="4"/>
    </row>
    <row r="30" spans="1:9">
      <c r="A30" s="14"/>
      <c r="B30" t="s">
        <v>108</v>
      </c>
      <c r="C30" s="5"/>
    </row>
    <row r="31" spans="1:9">
      <c r="A31" s="14"/>
      <c r="B31" s="8">
        <v>44105</v>
      </c>
      <c r="C31" s="5"/>
    </row>
    <row r="32" spans="1:9">
      <c r="A32" s="15" t="s">
        <v>78</v>
      </c>
      <c r="B32" s="3" t="s">
        <v>163</v>
      </c>
      <c r="C32" s="4" t="s">
        <v>164</v>
      </c>
    </row>
    <row r="33" spans="1:3">
      <c r="A33" s="15" t="s">
        <v>29</v>
      </c>
      <c r="B33" s="25">
        <f>SUM(A5,A9)-SUM(C8,C6,C7,C10,C11,C12,C13,C14)</f>
        <v>100000</v>
      </c>
      <c r="C33" s="27"/>
    </row>
    <row r="34" spans="1:3">
      <c r="A34" t="s">
        <v>38</v>
      </c>
      <c r="B34" s="17"/>
      <c r="C34" s="28">
        <f>SUM(C20,C19)</f>
        <v>180000</v>
      </c>
    </row>
    <row r="35" spans="1:3">
      <c r="A35" s="14" t="s">
        <v>43</v>
      </c>
      <c r="B35" s="17">
        <v>20000</v>
      </c>
      <c r="C35" s="28"/>
    </row>
    <row r="36" spans="1:3">
      <c r="A36" t="s">
        <v>207</v>
      </c>
      <c r="B36" s="17">
        <v>2000</v>
      </c>
      <c r="C36" s="28"/>
    </row>
    <row r="37" spans="1:3">
      <c r="A37" s="14" t="s">
        <v>211</v>
      </c>
      <c r="B37" s="17">
        <v>5000</v>
      </c>
      <c r="C37" s="28"/>
    </row>
    <row r="38" spans="1:3">
      <c r="A38" s="14" t="s">
        <v>215</v>
      </c>
      <c r="B38" s="17">
        <v>10000</v>
      </c>
      <c r="C38" s="28"/>
    </row>
    <row r="39" spans="1:3">
      <c r="A39" s="14" t="s">
        <v>101</v>
      </c>
      <c r="B39" s="17">
        <v>3000</v>
      </c>
      <c r="C39" s="28"/>
    </row>
    <row r="40" spans="1:3">
      <c r="A40" t="s">
        <v>220</v>
      </c>
      <c r="B40" s="17">
        <v>3000</v>
      </c>
      <c r="C40" s="28"/>
    </row>
    <row r="41" spans="1:3">
      <c r="A41" s="14" t="s">
        <v>221</v>
      </c>
      <c r="B41" s="17">
        <v>7000</v>
      </c>
      <c r="C41" s="28"/>
    </row>
    <row r="42" spans="1:3">
      <c r="A42" s="14" t="s">
        <v>86</v>
      </c>
      <c r="B42" s="17">
        <v>30000</v>
      </c>
      <c r="C42" s="28"/>
    </row>
    <row r="43" spans="1:3">
      <c r="A43" s="16" t="s">
        <v>107</v>
      </c>
      <c r="B43" s="32">
        <f>SUM(B33,B35,B36,B37,B38,B39,B40,B41,B42)</f>
        <v>180000</v>
      </c>
      <c r="C43" s="33">
        <f>SUM(C34)</f>
        <v>180000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FA88D-4C7C-4324-946D-0EC2582679B5}">
  <dimension ref="A1"/>
  <sheetViews>
    <sheetView workbookViewId="0">
      <selection activeCell="L23" sqref="L23"/>
    </sheetView>
  </sheetViews>
  <sheetFormatPr defaultRowHeight="16.5"/>
  <sheetData>
    <row r="1" spans="1:1">
      <c r="A1" t="s">
        <v>168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07729-49A8-434D-B2D2-C748A6C4CDB5}">
  <dimension ref="A2:R18"/>
  <sheetViews>
    <sheetView workbookViewId="0">
      <selection activeCell="E10" sqref="E10"/>
    </sheetView>
  </sheetViews>
  <sheetFormatPr defaultRowHeight="16.5"/>
  <cols>
    <col min="2" max="2" width="11.75" bestFit="1" customWidth="1"/>
    <col min="3" max="4" width="10.625" bestFit="1" customWidth="1"/>
    <col min="8" max="8" width="10.75" bestFit="1" customWidth="1"/>
    <col min="9" max="9" width="14.375" bestFit="1" customWidth="1"/>
    <col min="11" max="11" width="14.375" bestFit="1" customWidth="1"/>
    <col min="12" max="12" width="10.75" bestFit="1" customWidth="1"/>
    <col min="14" max="14" width="10.75" bestFit="1" customWidth="1"/>
    <col min="15" max="15" width="14.375" bestFit="1" customWidth="1"/>
    <col min="17" max="17" width="14.375" bestFit="1" customWidth="1"/>
    <col min="18" max="18" width="10.75" bestFit="1" customWidth="1"/>
  </cols>
  <sheetData>
    <row r="2" spans="1:18">
      <c r="A2" t="s">
        <v>223</v>
      </c>
      <c r="H2" t="s">
        <v>224</v>
      </c>
      <c r="N2" t="s">
        <v>225</v>
      </c>
    </row>
    <row r="3" spans="1:18">
      <c r="A3" t="s">
        <v>226</v>
      </c>
      <c r="H3" t="s">
        <v>226</v>
      </c>
    </row>
    <row r="4" spans="1:18">
      <c r="A4">
        <v>1</v>
      </c>
      <c r="H4">
        <v>1</v>
      </c>
    </row>
    <row r="5" spans="1:18">
      <c r="A5" t="s">
        <v>227</v>
      </c>
      <c r="C5" s="55">
        <v>800</v>
      </c>
      <c r="D5" s="55"/>
      <c r="H5" s="17" t="s">
        <v>29</v>
      </c>
      <c r="I5" s="17"/>
      <c r="J5" s="17"/>
      <c r="K5" s="17" t="s">
        <v>227</v>
      </c>
      <c r="L5" s="17"/>
      <c r="M5" s="17"/>
      <c r="N5" s="17" t="s">
        <v>29</v>
      </c>
      <c r="O5" s="17"/>
      <c r="P5" s="17"/>
      <c r="Q5" s="17" t="s">
        <v>30</v>
      </c>
      <c r="R5" s="17"/>
    </row>
    <row r="6" spans="1:18">
      <c r="B6" t="s">
        <v>228</v>
      </c>
      <c r="C6" s="55"/>
      <c r="D6" s="55">
        <v>800</v>
      </c>
      <c r="H6" s="27">
        <v>800</v>
      </c>
      <c r="I6" s="25"/>
      <c r="J6" s="17"/>
      <c r="K6" s="27"/>
      <c r="L6" s="25">
        <v>800</v>
      </c>
      <c r="M6" s="17"/>
      <c r="N6" s="27">
        <v>800</v>
      </c>
      <c r="O6" s="25"/>
      <c r="P6" s="17"/>
      <c r="Q6" s="27"/>
      <c r="R6" s="25">
        <v>800</v>
      </c>
    </row>
    <row r="7" spans="1:18">
      <c r="C7" s="55"/>
      <c r="D7" s="55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</row>
    <row r="8" spans="1:18">
      <c r="A8">
        <v>2</v>
      </c>
      <c r="C8" s="55"/>
      <c r="D8" s="55"/>
      <c r="H8" s="17">
        <v>2</v>
      </c>
      <c r="I8" s="17"/>
      <c r="J8" s="17"/>
      <c r="K8" s="17"/>
      <c r="L8" s="17"/>
      <c r="M8" s="17"/>
      <c r="N8" s="17"/>
      <c r="O8" s="17"/>
      <c r="P8" s="17"/>
      <c r="Q8" s="17"/>
      <c r="R8" s="17"/>
    </row>
    <row r="9" spans="1:18">
      <c r="A9" t="s">
        <v>229</v>
      </c>
      <c r="C9" s="55">
        <v>1500</v>
      </c>
      <c r="D9" s="55"/>
      <c r="H9" s="17" t="s">
        <v>29</v>
      </c>
      <c r="I9" s="17"/>
      <c r="J9" s="17"/>
      <c r="K9" s="17" t="s">
        <v>31</v>
      </c>
      <c r="L9" s="17"/>
      <c r="M9" s="17"/>
      <c r="N9" s="17" t="s">
        <v>29</v>
      </c>
      <c r="O9" s="17"/>
      <c r="P9" s="17"/>
      <c r="Q9" s="17" t="s">
        <v>121</v>
      </c>
      <c r="R9" s="17"/>
    </row>
    <row r="10" spans="1:18">
      <c r="B10" t="s">
        <v>230</v>
      </c>
      <c r="C10" s="55"/>
      <c r="D10" s="55">
        <v>1500</v>
      </c>
      <c r="H10" s="27"/>
      <c r="I10" s="25">
        <v>1500</v>
      </c>
      <c r="J10" s="17"/>
      <c r="K10" s="27">
        <v>1500</v>
      </c>
      <c r="L10" s="25"/>
      <c r="M10" s="17"/>
      <c r="N10" s="27"/>
      <c r="O10" s="25">
        <v>1500</v>
      </c>
      <c r="P10" s="17"/>
      <c r="Q10" s="27">
        <v>1500</v>
      </c>
      <c r="R10" s="25"/>
    </row>
    <row r="11" spans="1:18">
      <c r="C11" s="55"/>
      <c r="D11" s="55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</row>
    <row r="12" spans="1:18">
      <c r="A12">
        <v>3</v>
      </c>
      <c r="C12" s="55"/>
      <c r="D12" s="55"/>
      <c r="H12" s="17">
        <v>3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</row>
    <row r="13" spans="1:18">
      <c r="A13" t="s">
        <v>231</v>
      </c>
      <c r="C13" s="55">
        <v>20000</v>
      </c>
      <c r="D13" s="55"/>
      <c r="H13" s="17" t="s">
        <v>29</v>
      </c>
      <c r="I13" s="17"/>
      <c r="J13" s="17"/>
      <c r="K13" s="17" t="s">
        <v>86</v>
      </c>
      <c r="L13" s="17"/>
      <c r="M13" s="17"/>
      <c r="N13" s="17" t="s">
        <v>29</v>
      </c>
      <c r="O13" s="17"/>
      <c r="P13" s="17"/>
      <c r="Q13" s="17" t="s">
        <v>231</v>
      </c>
      <c r="R13" s="17"/>
    </row>
    <row r="14" spans="1:18">
      <c r="B14" t="s">
        <v>86</v>
      </c>
      <c r="C14" s="55"/>
      <c r="D14" s="55">
        <v>20000</v>
      </c>
      <c r="H14" s="27"/>
      <c r="I14" s="25">
        <v>20000</v>
      </c>
      <c r="J14" s="17"/>
      <c r="K14" s="27">
        <v>20000</v>
      </c>
      <c r="L14" s="25"/>
      <c r="M14" s="17"/>
      <c r="N14" s="27"/>
      <c r="O14" s="25">
        <v>20000</v>
      </c>
      <c r="P14" s="17"/>
      <c r="Q14" s="27">
        <v>20000</v>
      </c>
      <c r="R14" s="25"/>
    </row>
    <row r="15" spans="1:18">
      <c r="C15" s="55"/>
      <c r="D15" s="55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</row>
    <row r="16" spans="1:18">
      <c r="A16">
        <v>4</v>
      </c>
      <c r="C16" s="55"/>
      <c r="D16" s="55"/>
      <c r="H16" s="17">
        <v>4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</row>
    <row r="17" spans="1:18">
      <c r="A17" t="s">
        <v>232</v>
      </c>
      <c r="C17" s="55">
        <v>300000</v>
      </c>
      <c r="D17" s="55"/>
      <c r="H17" s="17" t="s">
        <v>29</v>
      </c>
      <c r="I17" s="17"/>
      <c r="J17" s="17"/>
      <c r="K17" s="17" t="s">
        <v>52</v>
      </c>
      <c r="L17" s="17"/>
      <c r="M17" s="17"/>
      <c r="N17" s="17" t="s">
        <v>29</v>
      </c>
      <c r="O17" s="17"/>
      <c r="P17" s="17"/>
      <c r="Q17" s="17" t="s">
        <v>43</v>
      </c>
      <c r="R17" s="17"/>
    </row>
    <row r="18" spans="1:18">
      <c r="B18" t="s">
        <v>52</v>
      </c>
      <c r="C18" s="55"/>
      <c r="D18" s="55">
        <v>300000</v>
      </c>
      <c r="H18" s="27"/>
      <c r="I18" s="25">
        <v>300000</v>
      </c>
      <c r="J18" s="17"/>
      <c r="K18" s="27">
        <v>300000</v>
      </c>
      <c r="L18" s="25"/>
      <c r="M18" s="17"/>
      <c r="N18" s="27"/>
      <c r="O18" s="25">
        <v>300000</v>
      </c>
      <c r="P18" s="17"/>
      <c r="Q18" s="27">
        <v>300000</v>
      </c>
      <c r="R18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E995-4F8E-4A3C-81FB-E0C495570554}">
  <dimension ref="A1:X22"/>
  <sheetViews>
    <sheetView workbookViewId="0">
      <selection activeCell="W2" sqref="W2"/>
    </sheetView>
  </sheetViews>
  <sheetFormatPr defaultRowHeight="16.5"/>
  <cols>
    <col min="3" max="3" width="9.25" bestFit="1" customWidth="1"/>
    <col min="5" max="5" width="15.125" bestFit="1" customWidth="1"/>
    <col min="7" max="7" width="14" bestFit="1" customWidth="1"/>
    <col min="9" max="9" width="15.125" bestFit="1" customWidth="1"/>
    <col min="11" max="11" width="14" bestFit="1" customWidth="1"/>
    <col min="13" max="13" width="14" bestFit="1" customWidth="1"/>
    <col min="15" max="15" width="14" bestFit="1" customWidth="1"/>
    <col min="17" max="17" width="14" bestFit="1" customWidth="1"/>
    <col min="18" max="18" width="11.75" bestFit="1" customWidth="1"/>
    <col min="19" max="20" width="11.75" customWidth="1"/>
    <col min="21" max="21" width="11.75" bestFit="1" customWidth="1"/>
    <col min="22" max="22" width="14" bestFit="1" customWidth="1"/>
    <col min="24" max="24" width="15.125" bestFit="1" customWidth="1"/>
  </cols>
  <sheetData>
    <row r="1" spans="1:24">
      <c r="B1" s="5"/>
      <c r="Q1" t="s">
        <v>17</v>
      </c>
      <c r="R1" t="s">
        <v>18</v>
      </c>
      <c r="S1" t="s">
        <v>19</v>
      </c>
    </row>
    <row r="2" spans="1:24">
      <c r="A2" t="s">
        <v>20</v>
      </c>
      <c r="B2" s="5" t="s">
        <v>21</v>
      </c>
      <c r="C2" s="3" t="s">
        <v>22</v>
      </c>
      <c r="D2" s="3"/>
      <c r="E2" s="3"/>
      <c r="F2" s="3"/>
      <c r="G2" s="3" t="s">
        <v>23</v>
      </c>
      <c r="H2" s="3"/>
      <c r="I2" s="3"/>
      <c r="J2" s="3" t="s">
        <v>24</v>
      </c>
      <c r="K2" s="3"/>
      <c r="L2" s="3"/>
      <c r="M2" s="3" t="s">
        <v>25</v>
      </c>
      <c r="N2" s="3"/>
      <c r="O2" s="3"/>
      <c r="P2" s="3"/>
      <c r="Q2" s="3"/>
      <c r="R2" s="3" t="s">
        <v>18</v>
      </c>
      <c r="S2" s="3" t="s">
        <v>24</v>
      </c>
      <c r="T2" s="3" t="s">
        <v>26</v>
      </c>
      <c r="U2" s="3"/>
      <c r="V2" s="3" t="s">
        <v>27</v>
      </c>
      <c r="W2" s="3" t="s">
        <v>24</v>
      </c>
      <c r="X2" s="3" t="s">
        <v>28</v>
      </c>
    </row>
    <row r="3" spans="1:24">
      <c r="A3" s="3">
        <v>1</v>
      </c>
      <c r="B3" s="4"/>
      <c r="C3" s="3"/>
      <c r="D3" s="3" t="s">
        <v>24</v>
      </c>
      <c r="E3" s="3" t="s">
        <v>29</v>
      </c>
      <c r="F3" s="3" t="s">
        <v>24</v>
      </c>
      <c r="G3" s="3" t="s">
        <v>30</v>
      </c>
      <c r="H3" s="3" t="s">
        <v>24</v>
      </c>
      <c r="I3" s="3" t="s">
        <v>31</v>
      </c>
      <c r="J3" s="3" t="s">
        <v>24</v>
      </c>
      <c r="K3" s="3" t="s">
        <v>32</v>
      </c>
      <c r="L3" s="3" t="s">
        <v>24</v>
      </c>
      <c r="M3" s="3" t="s">
        <v>33</v>
      </c>
      <c r="N3" s="3" t="s">
        <v>24</v>
      </c>
      <c r="O3" s="3" t="s">
        <v>34</v>
      </c>
      <c r="P3" s="3" t="s">
        <v>24</v>
      </c>
      <c r="Q3" s="3" t="s">
        <v>35</v>
      </c>
      <c r="R3" s="3" t="s">
        <v>18</v>
      </c>
      <c r="S3" s="3" t="s">
        <v>24</v>
      </c>
      <c r="T3" s="3" t="s">
        <v>36</v>
      </c>
      <c r="U3" s="3" t="s">
        <v>24</v>
      </c>
      <c r="V3" s="3" t="s">
        <v>37</v>
      </c>
      <c r="W3" s="3" t="s">
        <v>24</v>
      </c>
      <c r="X3" s="3" t="s">
        <v>38</v>
      </c>
    </row>
    <row r="4" spans="1:24">
      <c r="A4">
        <v>2</v>
      </c>
      <c r="B4" s="5"/>
      <c r="C4" s="8">
        <v>45200</v>
      </c>
      <c r="D4" s="17" t="s">
        <v>24</v>
      </c>
      <c r="E4" s="17">
        <v>100000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 t="s">
        <v>18</v>
      </c>
      <c r="S4" s="17"/>
      <c r="T4" s="17"/>
      <c r="U4" s="17"/>
      <c r="V4" s="17"/>
      <c r="W4" s="17" t="s">
        <v>24</v>
      </c>
      <c r="X4" s="17">
        <v>100000</v>
      </c>
    </row>
    <row r="5" spans="1:24">
      <c r="A5">
        <v>3</v>
      </c>
      <c r="B5" s="5"/>
      <c r="C5" s="8"/>
      <c r="D5" s="17" t="s">
        <v>39</v>
      </c>
      <c r="E5" s="17">
        <v>50000</v>
      </c>
      <c r="F5" s="17"/>
      <c r="G5" s="17"/>
      <c r="H5" s="17" t="s">
        <v>24</v>
      </c>
      <c r="I5" s="17">
        <v>300000</v>
      </c>
      <c r="J5" s="17"/>
      <c r="K5" s="17"/>
      <c r="L5" s="17"/>
      <c r="M5" s="17"/>
      <c r="N5" s="17"/>
      <c r="O5" s="17"/>
      <c r="P5" s="17"/>
      <c r="Q5" s="17"/>
      <c r="R5" s="17" t="s">
        <v>18</v>
      </c>
      <c r="S5" s="17"/>
      <c r="T5" s="17"/>
      <c r="U5" s="17" t="s">
        <v>24</v>
      </c>
      <c r="V5" s="17">
        <v>20000</v>
      </c>
      <c r="W5" s="17"/>
      <c r="X5" s="17"/>
    </row>
    <row r="6" spans="1:24">
      <c r="A6">
        <v>4</v>
      </c>
      <c r="B6" s="5"/>
      <c r="C6" s="8"/>
      <c r="D6" s="17" t="s">
        <v>39</v>
      </c>
      <c r="E6" s="17">
        <v>40000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 t="s">
        <v>18</v>
      </c>
      <c r="S6" s="17"/>
      <c r="T6" s="17"/>
      <c r="U6" s="17" t="s">
        <v>39</v>
      </c>
      <c r="V6" s="17">
        <f>$E$6</f>
        <v>40000</v>
      </c>
      <c r="W6" s="17"/>
      <c r="X6" s="17"/>
    </row>
    <row r="7" spans="1:24">
      <c r="A7">
        <v>5</v>
      </c>
      <c r="B7" s="5"/>
      <c r="D7" s="17" t="s">
        <v>24</v>
      </c>
      <c r="E7" s="17">
        <v>150000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 t="s">
        <v>18</v>
      </c>
      <c r="S7" s="17"/>
      <c r="T7" s="17"/>
      <c r="U7" s="17"/>
      <c r="V7" s="17"/>
      <c r="W7" s="17" t="s">
        <v>24</v>
      </c>
      <c r="X7" s="17">
        <f>$E$7</f>
        <v>150000</v>
      </c>
    </row>
    <row r="8" spans="1:24">
      <c r="A8">
        <v>6</v>
      </c>
      <c r="B8" s="5">
        <v>1</v>
      </c>
      <c r="D8" s="17" t="s">
        <v>24</v>
      </c>
      <c r="E8" s="17">
        <v>80000</v>
      </c>
      <c r="F8" s="17" t="s">
        <v>24</v>
      </c>
      <c r="G8" s="17">
        <f>$T$8-$E$8</f>
        <v>60000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 t="s">
        <v>18</v>
      </c>
      <c r="S8" s="17" t="s">
        <v>24</v>
      </c>
      <c r="T8" s="17">
        <v>140000</v>
      </c>
      <c r="U8" s="17"/>
      <c r="V8" s="17"/>
      <c r="W8" s="17"/>
      <c r="X8" s="17"/>
    </row>
    <row r="9" spans="1:24">
      <c r="A9">
        <v>6</v>
      </c>
      <c r="B9" s="5">
        <v>2</v>
      </c>
      <c r="D9" s="17" t="s">
        <v>39</v>
      </c>
      <c r="E9" s="17">
        <v>50000</v>
      </c>
      <c r="F9" s="17"/>
      <c r="G9" s="17"/>
      <c r="H9" s="17"/>
      <c r="I9" s="17"/>
      <c r="J9" s="17" t="s">
        <v>24</v>
      </c>
      <c r="K9" s="17">
        <v>50000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spans="1:24">
      <c r="A10">
        <v>6</v>
      </c>
      <c r="B10" s="5">
        <v>3</v>
      </c>
      <c r="D10" s="17" t="s">
        <v>39</v>
      </c>
      <c r="E10" s="17">
        <v>30000</v>
      </c>
      <c r="F10" s="17"/>
      <c r="G10" s="17"/>
      <c r="H10" s="17"/>
      <c r="I10" s="17"/>
      <c r="J10" s="17"/>
      <c r="K10" s="17"/>
      <c r="L10" s="17" t="s">
        <v>24</v>
      </c>
      <c r="M10" s="17">
        <v>30000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spans="1:24">
      <c r="A11">
        <v>6</v>
      </c>
      <c r="B11" s="5">
        <v>4</v>
      </c>
      <c r="D11" s="17" t="s">
        <v>39</v>
      </c>
      <c r="E11" s="17">
        <v>20000</v>
      </c>
      <c r="F11" s="17"/>
      <c r="G11" s="17"/>
      <c r="H11" s="17"/>
      <c r="I11" s="17"/>
      <c r="J11" s="17"/>
      <c r="K11" s="17"/>
      <c r="L11" s="17"/>
      <c r="M11" s="17"/>
      <c r="N11" s="17" t="s">
        <v>24</v>
      </c>
      <c r="O11" s="17">
        <v>20000</v>
      </c>
      <c r="P11" s="17"/>
      <c r="Q11" s="17"/>
      <c r="R11" s="17"/>
      <c r="S11" s="17"/>
      <c r="T11" s="17"/>
      <c r="U11" s="17"/>
      <c r="V11" s="17"/>
      <c r="W11" s="17"/>
      <c r="X11" s="17"/>
    </row>
    <row r="12" spans="1:24">
      <c r="A12">
        <v>6</v>
      </c>
      <c r="B12" s="5">
        <v>5</v>
      </c>
      <c r="D12" s="17" t="s">
        <v>39</v>
      </c>
      <c r="E12" s="17">
        <v>10000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 t="s">
        <v>24</v>
      </c>
      <c r="Q12" s="17">
        <v>10000</v>
      </c>
      <c r="R12" s="17"/>
      <c r="S12" s="17"/>
      <c r="T12" s="17"/>
      <c r="U12" s="17"/>
      <c r="V12" s="17"/>
      <c r="W12" s="17"/>
      <c r="X12" s="17"/>
    </row>
    <row r="13" spans="1:24">
      <c r="A13">
        <v>7</v>
      </c>
      <c r="B13" s="5"/>
      <c r="D13" s="17" t="s">
        <v>39</v>
      </c>
      <c r="E13" s="17">
        <v>80000</v>
      </c>
      <c r="F13" s="17"/>
      <c r="G13" s="17"/>
      <c r="H13" s="17" t="s">
        <v>24</v>
      </c>
      <c r="I13" s="17">
        <v>80000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spans="1:24">
      <c r="A14">
        <v>8</v>
      </c>
      <c r="B14" s="18"/>
      <c r="D14" s="17" t="s">
        <v>39</v>
      </c>
      <c r="E14" s="17">
        <v>10000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 t="s">
        <v>39</v>
      </c>
      <c r="X14" s="17">
        <v>10000</v>
      </c>
    </row>
    <row r="15" spans="1:24"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</row>
    <row r="16" spans="1:24"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</row>
    <row r="17" spans="4:22"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</row>
    <row r="18" spans="4:22"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</row>
    <row r="19" spans="4:22"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</row>
    <row r="20" spans="4:22"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4:22"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 spans="4:22">
      <c r="O22" s="17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AE391-BD9F-46B1-B70A-778937C14955}">
  <dimension ref="A1:I2"/>
  <sheetViews>
    <sheetView workbookViewId="0">
      <selection activeCell="H2" sqref="H2"/>
    </sheetView>
  </sheetViews>
  <sheetFormatPr defaultRowHeight="16.5"/>
  <cols>
    <col min="1" max="1" width="11.75" bestFit="1" customWidth="1"/>
  </cols>
  <sheetData>
    <row r="1" spans="1:9">
      <c r="A1" t="s">
        <v>118</v>
      </c>
      <c r="F1" t="s">
        <v>118</v>
      </c>
    </row>
    <row r="2" spans="1:9">
      <c r="A2" s="3" t="s">
        <v>233</v>
      </c>
      <c r="B2" s="9">
        <v>2000</v>
      </c>
      <c r="C2" s="3"/>
      <c r="D2" s="3"/>
      <c r="F2" s="3" t="s">
        <v>233</v>
      </c>
      <c r="G2" s="9">
        <v>2000</v>
      </c>
      <c r="H2" s="3"/>
      <c r="I2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08C39-327B-46C9-BCEE-7EA1F3151546}">
  <dimension ref="A1:I2"/>
  <sheetViews>
    <sheetView workbookViewId="0">
      <selection activeCell="A2" sqref="A2"/>
    </sheetView>
  </sheetViews>
  <sheetFormatPr defaultRowHeight="16.5"/>
  <cols>
    <col min="1" max="1" width="11.75" bestFit="1" customWidth="1"/>
  </cols>
  <sheetData>
    <row r="1" spans="1:9">
      <c r="A1" t="s">
        <v>234</v>
      </c>
      <c r="F1" t="s">
        <v>118</v>
      </c>
    </row>
    <row r="2" spans="1:9">
      <c r="A2" s="3"/>
      <c r="B2" s="9">
        <v>2000</v>
      </c>
      <c r="C2" s="3"/>
      <c r="D2" s="3"/>
      <c r="F2" s="3" t="s">
        <v>233</v>
      </c>
      <c r="G2" s="9">
        <v>2000</v>
      </c>
      <c r="H2" s="3"/>
      <c r="I2" s="3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7E4ED-11D9-4677-AB87-137BECC04479}">
  <dimension ref="A2:M121"/>
  <sheetViews>
    <sheetView topLeftCell="A103" workbookViewId="0">
      <selection activeCell="E114" sqref="E114"/>
    </sheetView>
  </sheetViews>
  <sheetFormatPr defaultRowHeight="16.5"/>
  <cols>
    <col min="3" max="3" width="24.875" bestFit="1" customWidth="1"/>
    <col min="4" max="4" width="14" bestFit="1" customWidth="1"/>
    <col min="5" max="5" width="24.875" bestFit="1" customWidth="1"/>
    <col min="6" max="6" width="9.62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44228</v>
      </c>
      <c r="D4" s="6" t="s">
        <v>29</v>
      </c>
      <c r="F4" s="17">
        <v>400000</v>
      </c>
    </row>
    <row r="5" spans="1:7">
      <c r="A5">
        <v>1</v>
      </c>
      <c r="E5" s="52" t="s">
        <v>38</v>
      </c>
      <c r="G5" s="17">
        <v>400000</v>
      </c>
    </row>
    <row r="6" spans="1:7">
      <c r="A6">
        <v>2</v>
      </c>
      <c r="B6">
        <v>1</v>
      </c>
      <c r="C6" s="8">
        <v>44228</v>
      </c>
      <c r="D6" s="6" t="s">
        <v>118</v>
      </c>
      <c r="F6" s="17">
        <v>3600</v>
      </c>
    </row>
    <row r="7" spans="1:7">
      <c r="A7">
        <v>2</v>
      </c>
      <c r="D7" s="6" t="s">
        <v>119</v>
      </c>
      <c r="F7" s="17">
        <v>120000</v>
      </c>
    </row>
    <row r="8" spans="1:7">
      <c r="A8">
        <v>2</v>
      </c>
      <c r="C8" s="8"/>
      <c r="E8" s="49" t="s">
        <v>29</v>
      </c>
      <c r="G8" s="17">
        <v>123600</v>
      </c>
    </row>
    <row r="9" spans="1:7">
      <c r="A9">
        <v>3</v>
      </c>
      <c r="B9">
        <v>5</v>
      </c>
      <c r="C9" s="8">
        <v>44229</v>
      </c>
      <c r="D9" s="54" t="s">
        <v>97</v>
      </c>
      <c r="F9" s="17">
        <v>160000</v>
      </c>
    </row>
    <row r="10" spans="1:7">
      <c r="A10">
        <v>3</v>
      </c>
      <c r="E10" s="49" t="s">
        <v>120</v>
      </c>
      <c r="G10" s="17">
        <v>160000</v>
      </c>
    </row>
    <row r="11" spans="1:7">
      <c r="A11">
        <v>4</v>
      </c>
      <c r="B11">
        <v>5</v>
      </c>
      <c r="C11" s="8">
        <v>44231</v>
      </c>
      <c r="D11" s="54" t="s">
        <v>121</v>
      </c>
      <c r="F11" s="17">
        <v>14000</v>
      </c>
    </row>
    <row r="12" spans="1:7">
      <c r="A12">
        <v>4</v>
      </c>
      <c r="E12" s="49" t="s">
        <v>29</v>
      </c>
      <c r="G12" s="17">
        <v>14000</v>
      </c>
    </row>
    <row r="13" spans="1:7">
      <c r="A13">
        <v>5</v>
      </c>
      <c r="B13">
        <v>1</v>
      </c>
      <c r="C13" s="8">
        <v>44241</v>
      </c>
      <c r="D13" s="6" t="s">
        <v>29</v>
      </c>
      <c r="F13" s="17">
        <v>95000</v>
      </c>
    </row>
    <row r="14" spans="1:7">
      <c r="A14">
        <v>5</v>
      </c>
      <c r="E14" s="56" t="s">
        <v>122</v>
      </c>
      <c r="F14" s="17"/>
      <c r="G14" s="17">
        <v>95000</v>
      </c>
    </row>
    <row r="15" spans="1:7">
      <c r="A15">
        <v>6</v>
      </c>
      <c r="B15">
        <v>5</v>
      </c>
      <c r="C15" s="8">
        <v>44245</v>
      </c>
      <c r="D15" s="54" t="s">
        <v>101</v>
      </c>
      <c r="F15" s="17">
        <v>20000</v>
      </c>
    </row>
    <row r="16" spans="1:7">
      <c r="A16">
        <v>6</v>
      </c>
      <c r="E16" s="49" t="s">
        <v>29</v>
      </c>
      <c r="G16" s="17">
        <v>20000</v>
      </c>
    </row>
    <row r="17" spans="1:7">
      <c r="A17">
        <v>7</v>
      </c>
      <c r="B17">
        <v>1</v>
      </c>
      <c r="C17" s="8">
        <v>44250</v>
      </c>
      <c r="D17" s="6" t="s">
        <v>99</v>
      </c>
      <c r="F17" s="17">
        <v>130000</v>
      </c>
    </row>
    <row r="18" spans="1:7">
      <c r="A18">
        <v>7</v>
      </c>
      <c r="E18" s="56" t="s">
        <v>122</v>
      </c>
      <c r="G18" s="17">
        <v>130000</v>
      </c>
    </row>
    <row r="19" spans="1:7">
      <c r="A19">
        <v>8</v>
      </c>
      <c r="B19">
        <v>5</v>
      </c>
      <c r="C19" s="8">
        <v>44255</v>
      </c>
      <c r="D19" s="54" t="s">
        <v>86</v>
      </c>
      <c r="F19" s="17">
        <v>180000</v>
      </c>
    </row>
    <row r="20" spans="1:7">
      <c r="A20">
        <v>8</v>
      </c>
      <c r="E20" s="49" t="s">
        <v>29</v>
      </c>
      <c r="G20" s="17">
        <v>180000</v>
      </c>
    </row>
    <row r="21" spans="1:7">
      <c r="A21" s="3">
        <v>9</v>
      </c>
      <c r="B21" s="3">
        <v>5</v>
      </c>
      <c r="C21" s="7">
        <v>44255</v>
      </c>
      <c r="D21" s="58" t="s">
        <v>235</v>
      </c>
      <c r="E21" s="3"/>
      <c r="F21" s="25">
        <v>300</v>
      </c>
      <c r="G21" s="25"/>
    </row>
    <row r="22" spans="1:7">
      <c r="A22">
        <v>9</v>
      </c>
      <c r="E22" s="6" t="s">
        <v>118</v>
      </c>
      <c r="G22" s="17">
        <v>300</v>
      </c>
    </row>
    <row r="23" spans="1:7">
      <c r="A23">
        <v>10</v>
      </c>
      <c r="B23">
        <v>1</v>
      </c>
      <c r="C23" s="8">
        <v>44255</v>
      </c>
      <c r="D23" s="54" t="s">
        <v>104</v>
      </c>
      <c r="F23" s="17">
        <v>40000</v>
      </c>
      <c r="G23" s="17"/>
    </row>
    <row r="24" spans="1:7">
      <c r="A24">
        <v>10</v>
      </c>
      <c r="E24" s="6" t="s">
        <v>119</v>
      </c>
      <c r="G24" s="17">
        <v>40000</v>
      </c>
    </row>
    <row r="25" spans="1:7">
      <c r="A25">
        <v>11</v>
      </c>
      <c r="B25">
        <v>5</v>
      </c>
      <c r="C25" s="8">
        <v>44255</v>
      </c>
      <c r="D25" s="54" t="s">
        <v>236</v>
      </c>
      <c r="F25" s="17">
        <v>1000</v>
      </c>
      <c r="G25" s="17"/>
    </row>
    <row r="26" spans="1:7">
      <c r="A26">
        <v>11</v>
      </c>
      <c r="E26" s="54" t="s">
        <v>237</v>
      </c>
      <c r="F26" s="17"/>
      <c r="G26" s="17">
        <v>1000</v>
      </c>
    </row>
    <row r="27" spans="1:7">
      <c r="A27">
        <v>12</v>
      </c>
      <c r="B27">
        <v>4</v>
      </c>
      <c r="C27" s="8">
        <v>44255</v>
      </c>
      <c r="D27" s="56" t="s">
        <v>238</v>
      </c>
      <c r="F27" s="17">
        <v>2200</v>
      </c>
      <c r="G27" s="17"/>
    </row>
    <row r="28" spans="1:7">
      <c r="A28">
        <v>12</v>
      </c>
      <c r="E28" s="54" t="s">
        <v>121</v>
      </c>
      <c r="G28" s="17">
        <v>2200</v>
      </c>
    </row>
    <row r="29" spans="1:7">
      <c r="A29">
        <v>13</v>
      </c>
      <c r="B29">
        <v>5</v>
      </c>
      <c r="C29" s="8">
        <v>44255</v>
      </c>
      <c r="D29" s="54" t="s">
        <v>101</v>
      </c>
      <c r="F29" s="17">
        <v>3000</v>
      </c>
      <c r="G29" s="17"/>
    </row>
    <row r="30" spans="1:7">
      <c r="A30">
        <v>13</v>
      </c>
      <c r="E30" s="49" t="s">
        <v>179</v>
      </c>
      <c r="G30" s="17">
        <v>3000</v>
      </c>
    </row>
    <row r="31" spans="1:7">
      <c r="G31" s="17"/>
    </row>
    <row r="33" spans="1:11">
      <c r="A33" t="s">
        <v>105</v>
      </c>
    </row>
    <row r="35" spans="1:11">
      <c r="A35" t="s">
        <v>20</v>
      </c>
      <c r="B35" t="s">
        <v>95</v>
      </c>
    </row>
    <row r="36" spans="1:11">
      <c r="A36">
        <v>1</v>
      </c>
      <c r="B36">
        <v>1</v>
      </c>
      <c r="C36" s="6" t="s">
        <v>29</v>
      </c>
      <c r="J36" t="s">
        <v>20</v>
      </c>
      <c r="K36" t="s">
        <v>106</v>
      </c>
    </row>
    <row r="37" spans="1:11">
      <c r="C37" s="8">
        <v>44228</v>
      </c>
      <c r="D37" s="17">
        <v>400000</v>
      </c>
      <c r="E37">
        <v>1</v>
      </c>
      <c r="J37">
        <v>1</v>
      </c>
      <c r="K37" s="51">
        <f>SUM(D37:D42)-SUM(G37:G42)</f>
        <v>157400</v>
      </c>
    </row>
    <row r="38" spans="1:11">
      <c r="C38" s="8"/>
      <c r="D38" s="17"/>
      <c r="F38" s="8">
        <v>44228</v>
      </c>
      <c r="G38" s="17">
        <v>123600</v>
      </c>
      <c r="H38">
        <v>2</v>
      </c>
      <c r="J38">
        <v>2</v>
      </c>
      <c r="K38" s="51">
        <f>SUM(D45)-SUM(G45)</f>
        <v>3300</v>
      </c>
    </row>
    <row r="39" spans="1:11">
      <c r="F39" s="8">
        <v>44231</v>
      </c>
      <c r="G39" s="17">
        <v>14000</v>
      </c>
      <c r="H39">
        <v>4</v>
      </c>
      <c r="J39">
        <v>3</v>
      </c>
      <c r="K39" s="51">
        <f>SUM(D48)-SUM(G48)</f>
        <v>80000</v>
      </c>
    </row>
    <row r="40" spans="1:11">
      <c r="C40" s="8">
        <v>44241</v>
      </c>
      <c r="D40" s="17">
        <v>95000</v>
      </c>
      <c r="E40">
        <v>5</v>
      </c>
      <c r="J40">
        <v>4</v>
      </c>
      <c r="K40" s="51">
        <f>SUM(D52)-SUM(G52)</f>
        <v>130000</v>
      </c>
    </row>
    <row r="41" spans="1:11">
      <c r="F41" s="8">
        <v>44245</v>
      </c>
      <c r="G41" s="17">
        <v>20000</v>
      </c>
      <c r="H41">
        <v>6</v>
      </c>
      <c r="J41">
        <v>5</v>
      </c>
      <c r="K41" s="51">
        <f>SUM(D55)-SUM(G55)</f>
        <v>-160000</v>
      </c>
    </row>
    <row r="42" spans="1:11">
      <c r="F42" s="8">
        <v>44255</v>
      </c>
      <c r="G42" s="17">
        <v>180000</v>
      </c>
      <c r="H42">
        <v>8</v>
      </c>
      <c r="J42">
        <v>6</v>
      </c>
      <c r="K42" s="51">
        <f>SUM(D58)-SUM(G58)</f>
        <v>-3000</v>
      </c>
    </row>
    <row r="43" spans="1:11">
      <c r="J43">
        <v>7</v>
      </c>
      <c r="K43" s="51">
        <f>SUM(D61)-SUM(G61)</f>
        <v>-400000</v>
      </c>
    </row>
    <row r="44" spans="1:11">
      <c r="A44">
        <v>2</v>
      </c>
      <c r="B44">
        <v>1</v>
      </c>
      <c r="C44" s="6" t="s">
        <v>118</v>
      </c>
      <c r="J44">
        <v>8</v>
      </c>
      <c r="K44" s="51">
        <f>SUM(D64:D65)-SUM(G64:G65)</f>
        <v>-225000</v>
      </c>
    </row>
    <row r="45" spans="1:11">
      <c r="C45" s="8">
        <v>44228</v>
      </c>
      <c r="D45" s="17">
        <v>3600</v>
      </c>
      <c r="E45">
        <v>2</v>
      </c>
      <c r="F45" s="8">
        <v>44255</v>
      </c>
      <c r="G45" s="17">
        <v>300</v>
      </c>
      <c r="H45">
        <v>9</v>
      </c>
      <c r="J45">
        <v>9</v>
      </c>
      <c r="K45" s="51">
        <f>SUM(D68)-SUM(G68)</f>
        <v>2200</v>
      </c>
    </row>
    <row r="46" spans="1:11">
      <c r="J46">
        <v>10</v>
      </c>
      <c r="K46" s="51">
        <f>SUM(D71)-SUM(G71)</f>
        <v>160000</v>
      </c>
    </row>
    <row r="47" spans="1:11">
      <c r="A47">
        <v>3</v>
      </c>
      <c r="B47">
        <v>1</v>
      </c>
      <c r="C47" s="6" t="s">
        <v>119</v>
      </c>
      <c r="J47">
        <v>11</v>
      </c>
      <c r="K47" s="51">
        <f>SUM(D74)-SUM(G74)</f>
        <v>11800</v>
      </c>
    </row>
    <row r="48" spans="1:11">
      <c r="C48" s="8">
        <v>44228</v>
      </c>
      <c r="D48" s="17">
        <v>120000</v>
      </c>
      <c r="E48">
        <v>2</v>
      </c>
      <c r="F48" s="8">
        <v>44255</v>
      </c>
      <c r="G48" s="17">
        <v>40000</v>
      </c>
      <c r="H48">
        <v>10</v>
      </c>
      <c r="J48">
        <v>12</v>
      </c>
      <c r="K48" s="51">
        <f>SUM(D77:D78)-SUM(G77:G78)</f>
        <v>23000</v>
      </c>
    </row>
    <row r="49" spans="1:11">
      <c r="J49">
        <v>13</v>
      </c>
      <c r="K49" s="51">
        <f>SUM(D81)-SUM(G81)</f>
        <v>180000</v>
      </c>
    </row>
    <row r="50" spans="1:11">
      <c r="C50" s="8"/>
      <c r="D50" s="17"/>
      <c r="J50">
        <v>14</v>
      </c>
      <c r="K50" s="51">
        <f>SUM(D84)-SUM(G84)</f>
        <v>300</v>
      </c>
    </row>
    <row r="51" spans="1:11">
      <c r="A51">
        <v>4</v>
      </c>
      <c r="B51">
        <v>1</v>
      </c>
      <c r="C51" s="6" t="s">
        <v>99</v>
      </c>
      <c r="J51">
        <v>15</v>
      </c>
      <c r="K51" s="51">
        <f>SUM(D87)-SUM(G87)</f>
        <v>40000</v>
      </c>
    </row>
    <row r="52" spans="1:11">
      <c r="C52" s="8">
        <v>44250</v>
      </c>
      <c r="D52" s="17">
        <v>130000</v>
      </c>
      <c r="E52">
        <v>7</v>
      </c>
      <c r="J52">
        <v>16</v>
      </c>
      <c r="K52" s="51">
        <f>SUM(D90)-SUM(G90)</f>
        <v>1000</v>
      </c>
    </row>
    <row r="53" spans="1:11">
      <c r="J53">
        <v>17</v>
      </c>
      <c r="K53" s="51">
        <f>SUM(D93)-SUM(G93)</f>
        <v>-1000</v>
      </c>
    </row>
    <row r="54" spans="1:11">
      <c r="A54">
        <v>5</v>
      </c>
      <c r="B54">
        <v>2</v>
      </c>
      <c r="C54" s="49" t="s">
        <v>120</v>
      </c>
      <c r="J54" t="s">
        <v>107</v>
      </c>
      <c r="K54" s="51">
        <f>SUM(K37:K53)</f>
        <v>0</v>
      </c>
    </row>
    <row r="55" spans="1:11">
      <c r="F55" s="8">
        <v>44229</v>
      </c>
      <c r="G55" s="17">
        <v>160000</v>
      </c>
      <c r="H55">
        <v>3</v>
      </c>
    </row>
    <row r="56" spans="1:11">
      <c r="F56" s="8"/>
      <c r="G56" s="17"/>
    </row>
    <row r="57" spans="1:11">
      <c r="A57">
        <v>6</v>
      </c>
      <c r="B57">
        <v>2</v>
      </c>
      <c r="C57" s="49" t="s">
        <v>179</v>
      </c>
      <c r="F57" s="8"/>
      <c r="G57" s="17"/>
    </row>
    <row r="58" spans="1:11">
      <c r="F58" s="8">
        <v>44255</v>
      </c>
      <c r="G58" s="17">
        <v>3000</v>
      </c>
      <c r="H58">
        <v>14</v>
      </c>
    </row>
    <row r="60" spans="1:11">
      <c r="A60">
        <v>7</v>
      </c>
      <c r="B60">
        <v>3</v>
      </c>
      <c r="C60" s="52" t="s">
        <v>38</v>
      </c>
    </row>
    <row r="61" spans="1:11">
      <c r="F61" s="8">
        <v>44228</v>
      </c>
      <c r="G61" s="17">
        <v>400000</v>
      </c>
      <c r="H61">
        <v>1</v>
      </c>
    </row>
    <row r="63" spans="1:11">
      <c r="A63">
        <v>8</v>
      </c>
      <c r="B63">
        <v>4</v>
      </c>
      <c r="C63" s="56" t="s">
        <v>122</v>
      </c>
    </row>
    <row r="64" spans="1:11">
      <c r="F64" s="8">
        <v>44241</v>
      </c>
      <c r="G64" s="17">
        <v>95000</v>
      </c>
      <c r="H64">
        <v>5</v>
      </c>
    </row>
    <row r="65" spans="1:8">
      <c r="F65" s="8">
        <v>44250</v>
      </c>
      <c r="G65" s="17">
        <v>130000</v>
      </c>
      <c r="H65">
        <v>7</v>
      </c>
    </row>
    <row r="66" spans="1:8">
      <c r="F66" s="8"/>
      <c r="G66" s="17"/>
    </row>
    <row r="67" spans="1:8">
      <c r="A67">
        <v>9</v>
      </c>
      <c r="B67">
        <v>4</v>
      </c>
      <c r="C67" s="56" t="s">
        <v>238</v>
      </c>
      <c r="F67" s="8"/>
      <c r="G67" s="17"/>
    </row>
    <row r="68" spans="1:8">
      <c r="C68" s="8">
        <v>44255</v>
      </c>
      <c r="D68" s="17">
        <v>2200</v>
      </c>
      <c r="E68">
        <v>13</v>
      </c>
      <c r="F68" s="8"/>
      <c r="G68" s="17"/>
    </row>
    <row r="70" spans="1:8">
      <c r="A70">
        <v>10</v>
      </c>
      <c r="B70">
        <v>5</v>
      </c>
      <c r="C70" s="54" t="s">
        <v>97</v>
      </c>
    </row>
    <row r="71" spans="1:8">
      <c r="C71" s="8">
        <v>44229</v>
      </c>
      <c r="D71" s="17">
        <v>160000</v>
      </c>
      <c r="E71">
        <v>3</v>
      </c>
    </row>
    <row r="73" spans="1:8">
      <c r="A73">
        <v>11</v>
      </c>
      <c r="B73">
        <v>5</v>
      </c>
      <c r="C73" s="54" t="s">
        <v>121</v>
      </c>
    </row>
    <row r="74" spans="1:8">
      <c r="C74" s="8">
        <v>44231</v>
      </c>
      <c r="D74" s="17">
        <v>14000</v>
      </c>
      <c r="E74">
        <v>4</v>
      </c>
      <c r="F74" s="8">
        <v>44255</v>
      </c>
      <c r="G74" s="17">
        <v>2200</v>
      </c>
      <c r="H74">
        <v>13</v>
      </c>
    </row>
    <row r="76" spans="1:8">
      <c r="A76">
        <v>12</v>
      </c>
      <c r="B76">
        <v>5</v>
      </c>
      <c r="C76" s="54" t="s">
        <v>101</v>
      </c>
    </row>
    <row r="77" spans="1:8">
      <c r="C77" s="8">
        <v>44245</v>
      </c>
      <c r="D77" s="17">
        <v>20000</v>
      </c>
      <c r="E77">
        <v>6</v>
      </c>
    </row>
    <row r="78" spans="1:8">
      <c r="C78" s="8">
        <v>44255</v>
      </c>
      <c r="D78" s="17">
        <v>3000</v>
      </c>
      <c r="E78">
        <v>14</v>
      </c>
    </row>
    <row r="79" spans="1:8">
      <c r="C79" s="8"/>
      <c r="D79" s="17"/>
    </row>
    <row r="80" spans="1:8">
      <c r="A80">
        <v>13</v>
      </c>
      <c r="B80">
        <v>5</v>
      </c>
      <c r="C80" s="54" t="s">
        <v>86</v>
      </c>
    </row>
    <row r="81" spans="1:8">
      <c r="C81" s="8">
        <v>44255</v>
      </c>
      <c r="D81" s="17">
        <v>180000</v>
      </c>
      <c r="E81">
        <v>8</v>
      </c>
    </row>
    <row r="82" spans="1:8">
      <c r="C82" s="8"/>
      <c r="D82" s="17"/>
    </row>
    <row r="83" spans="1:8">
      <c r="A83">
        <v>14</v>
      </c>
      <c r="B83">
        <v>5</v>
      </c>
      <c r="C83" s="58" t="s">
        <v>235</v>
      </c>
      <c r="D83" s="17"/>
    </row>
    <row r="84" spans="1:8">
      <c r="C84" s="7">
        <v>44255</v>
      </c>
      <c r="D84" s="17">
        <v>300</v>
      </c>
      <c r="E84">
        <v>9</v>
      </c>
    </row>
    <row r="85" spans="1:8">
      <c r="C85" s="8"/>
      <c r="D85" s="17"/>
    </row>
    <row r="86" spans="1:8">
      <c r="A86">
        <v>15</v>
      </c>
      <c r="B86">
        <v>5</v>
      </c>
      <c r="C86" s="54" t="s">
        <v>104</v>
      </c>
      <c r="D86" s="17"/>
    </row>
    <row r="87" spans="1:8">
      <c r="C87" s="8">
        <v>44255</v>
      </c>
      <c r="D87" s="17">
        <v>40000</v>
      </c>
      <c r="E87">
        <v>11</v>
      </c>
    </row>
    <row r="88" spans="1:8">
      <c r="C88" s="8"/>
      <c r="D88" s="17"/>
    </row>
    <row r="89" spans="1:8">
      <c r="A89">
        <v>16</v>
      </c>
      <c r="B89">
        <v>5</v>
      </c>
      <c r="C89" s="54" t="s">
        <v>236</v>
      </c>
      <c r="D89" s="17"/>
    </row>
    <row r="90" spans="1:8">
      <c r="C90" s="8">
        <v>44255</v>
      </c>
      <c r="D90" s="17">
        <v>1000</v>
      </c>
      <c r="E90">
        <v>12</v>
      </c>
    </row>
    <row r="91" spans="1:8">
      <c r="C91" s="8"/>
      <c r="D91" s="17"/>
    </row>
    <row r="92" spans="1:8">
      <c r="A92">
        <v>17</v>
      </c>
      <c r="B92">
        <v>5</v>
      </c>
      <c r="C92" s="54" t="s">
        <v>237</v>
      </c>
      <c r="D92" s="17"/>
    </row>
    <row r="93" spans="1:8">
      <c r="C93" s="8"/>
      <c r="D93" s="17"/>
      <c r="F93" s="8">
        <v>44255</v>
      </c>
      <c r="G93" s="17">
        <v>1000</v>
      </c>
      <c r="H93">
        <v>12</v>
      </c>
    </row>
    <row r="94" spans="1:8">
      <c r="C94" s="8"/>
      <c r="D94" s="17"/>
    </row>
    <row r="95" spans="1:8">
      <c r="C95" s="8"/>
      <c r="D95" s="17"/>
    </row>
    <row r="96" spans="1:8">
      <c r="C96" s="8"/>
      <c r="D96" s="17"/>
    </row>
    <row r="97" spans="1:13">
      <c r="C97" s="8"/>
      <c r="D97" s="17"/>
    </row>
    <row r="99" spans="1:13">
      <c r="A99" t="s">
        <v>108</v>
      </c>
    </row>
    <row r="101" spans="1:13">
      <c r="D101" t="s">
        <v>123</v>
      </c>
    </row>
    <row r="102" spans="1:13">
      <c r="D102" t="s">
        <v>108</v>
      </c>
    </row>
    <row r="103" spans="1:13">
      <c r="A103" t="s">
        <v>20</v>
      </c>
      <c r="B103" t="s">
        <v>95</v>
      </c>
      <c r="C103" t="s">
        <v>96</v>
      </c>
      <c r="D103" t="s">
        <v>17</v>
      </c>
      <c r="E103" t="s">
        <v>19</v>
      </c>
    </row>
    <row r="104" spans="1:13">
      <c r="A104">
        <v>1</v>
      </c>
      <c r="B104">
        <v>1</v>
      </c>
      <c r="C104" s="6" t="s">
        <v>29</v>
      </c>
      <c r="D104" s="55">
        <v>157400</v>
      </c>
      <c r="E104" s="55"/>
    </row>
    <row r="105" spans="1:13">
      <c r="A105">
        <v>2</v>
      </c>
      <c r="B105">
        <v>1</v>
      </c>
      <c r="C105" s="6" t="s">
        <v>118</v>
      </c>
      <c r="D105" s="55">
        <v>3300</v>
      </c>
      <c r="E105" s="55"/>
    </row>
    <row r="106" spans="1:13">
      <c r="A106">
        <v>3</v>
      </c>
      <c r="B106">
        <v>1</v>
      </c>
      <c r="C106" s="6" t="s">
        <v>119</v>
      </c>
      <c r="D106" s="55">
        <v>80000</v>
      </c>
      <c r="E106" s="55"/>
    </row>
    <row r="107" spans="1:13">
      <c r="A107">
        <v>4</v>
      </c>
      <c r="B107">
        <v>1</v>
      </c>
      <c r="C107" s="6" t="s">
        <v>99</v>
      </c>
      <c r="D107" s="55">
        <v>130000</v>
      </c>
      <c r="E107" s="55"/>
    </row>
    <row r="108" spans="1:13">
      <c r="A108">
        <v>5</v>
      </c>
      <c r="B108">
        <v>2</v>
      </c>
      <c r="C108" s="49" t="s">
        <v>120</v>
      </c>
      <c r="D108" s="55"/>
      <c r="E108" s="55">
        <v>160000</v>
      </c>
      <c r="M108" s="17"/>
    </row>
    <row r="109" spans="1:13">
      <c r="A109">
        <v>6</v>
      </c>
      <c r="B109">
        <v>2</v>
      </c>
      <c r="C109" s="49" t="s">
        <v>179</v>
      </c>
      <c r="D109" s="55"/>
      <c r="E109" s="55">
        <v>3000</v>
      </c>
      <c r="M109" s="17"/>
    </row>
    <row r="110" spans="1:13">
      <c r="A110">
        <v>7</v>
      </c>
      <c r="B110">
        <v>3</v>
      </c>
      <c r="C110" s="52" t="s">
        <v>38</v>
      </c>
      <c r="D110" s="55"/>
      <c r="E110" s="55">
        <v>400000</v>
      </c>
    </row>
    <row r="111" spans="1:13">
      <c r="A111">
        <v>8</v>
      </c>
      <c r="B111">
        <v>4</v>
      </c>
      <c r="C111" s="56" t="s">
        <v>122</v>
      </c>
      <c r="D111" s="55"/>
      <c r="E111" s="55">
        <v>225000</v>
      </c>
    </row>
    <row r="112" spans="1:13">
      <c r="A112">
        <v>9</v>
      </c>
      <c r="B112">
        <v>4</v>
      </c>
      <c r="C112" s="56" t="s">
        <v>238</v>
      </c>
      <c r="D112" s="55">
        <v>2200</v>
      </c>
      <c r="E112" s="55"/>
    </row>
    <row r="113" spans="1:5">
      <c r="A113">
        <v>10</v>
      </c>
      <c r="B113">
        <v>5</v>
      </c>
      <c r="C113" s="54" t="s">
        <v>97</v>
      </c>
      <c r="D113" s="55">
        <v>160000</v>
      </c>
      <c r="E113" s="55"/>
    </row>
    <row r="114" spans="1:5">
      <c r="A114">
        <v>11</v>
      </c>
      <c r="B114">
        <v>5</v>
      </c>
      <c r="C114" s="54" t="s">
        <v>121</v>
      </c>
      <c r="D114" s="55">
        <v>11800</v>
      </c>
      <c r="E114" s="55"/>
    </row>
    <row r="115" spans="1:5">
      <c r="A115">
        <v>12</v>
      </c>
      <c r="B115">
        <v>5</v>
      </c>
      <c r="C115" s="54" t="s">
        <v>101</v>
      </c>
      <c r="D115" s="55">
        <v>23000</v>
      </c>
      <c r="E115" s="55"/>
    </row>
    <row r="116" spans="1:5">
      <c r="A116">
        <v>13</v>
      </c>
      <c r="B116">
        <v>5</v>
      </c>
      <c r="C116" s="54" t="s">
        <v>86</v>
      </c>
      <c r="D116" s="55">
        <v>180000</v>
      </c>
      <c r="E116" s="55"/>
    </row>
    <row r="117" spans="1:5">
      <c r="A117">
        <v>14</v>
      </c>
      <c r="B117">
        <v>5</v>
      </c>
      <c r="C117" s="54" t="s">
        <v>235</v>
      </c>
      <c r="D117" s="55">
        <v>300</v>
      </c>
      <c r="E117" s="55"/>
    </row>
    <row r="118" spans="1:5">
      <c r="A118">
        <v>15</v>
      </c>
      <c r="B118">
        <v>5</v>
      </c>
      <c r="C118" s="54" t="s">
        <v>104</v>
      </c>
      <c r="D118" s="55">
        <v>40000</v>
      </c>
      <c r="E118" s="55"/>
    </row>
    <row r="119" spans="1:5">
      <c r="A119">
        <v>16</v>
      </c>
      <c r="B119">
        <v>5</v>
      </c>
      <c r="C119" s="54" t="s">
        <v>236</v>
      </c>
      <c r="D119" s="55">
        <v>1000</v>
      </c>
      <c r="E119" s="55"/>
    </row>
    <row r="120" spans="1:5">
      <c r="A120">
        <v>17</v>
      </c>
      <c r="B120">
        <v>5</v>
      </c>
      <c r="C120" s="54" t="s">
        <v>237</v>
      </c>
      <c r="D120" s="55"/>
      <c r="E120" s="55">
        <v>1000</v>
      </c>
    </row>
    <row r="121" spans="1:5">
      <c r="C121" t="s">
        <v>107</v>
      </c>
      <c r="D121" s="55">
        <f>SUM(D104:D120)</f>
        <v>789000</v>
      </c>
      <c r="E121" s="55">
        <f>SUM(E104:E120)</f>
        <v>789000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63C76-62F1-437A-B462-158C99480C2D}">
  <dimension ref="A1:N130"/>
  <sheetViews>
    <sheetView topLeftCell="A125" workbookViewId="0">
      <selection activeCell="D135" sqref="D135"/>
    </sheetView>
  </sheetViews>
  <sheetFormatPr defaultRowHeight="16.5"/>
  <cols>
    <col min="3" max="3" width="19.875" bestFit="1" customWidth="1"/>
    <col min="4" max="4" width="16.25" customWidth="1"/>
    <col min="5" max="5" width="19.875" bestFit="1" customWidth="1"/>
    <col min="6" max="6" width="16.25" bestFit="1" customWidth="1"/>
    <col min="7" max="7" width="10.625" bestFit="1" customWidth="1"/>
  </cols>
  <sheetData>
    <row r="1" spans="1:7">
      <c r="A1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44105</v>
      </c>
      <c r="D4" s="6" t="s">
        <v>29</v>
      </c>
      <c r="F4" s="17">
        <v>200000</v>
      </c>
    </row>
    <row r="5" spans="1:7">
      <c r="A5">
        <v>1</v>
      </c>
      <c r="E5" s="57" t="s">
        <v>38</v>
      </c>
      <c r="G5" s="17">
        <v>200000</v>
      </c>
    </row>
    <row r="6" spans="1:7">
      <c r="A6">
        <v>2</v>
      </c>
      <c r="B6">
        <v>1</v>
      </c>
      <c r="C6" s="8">
        <v>44106</v>
      </c>
      <c r="D6" s="6" t="s">
        <v>52</v>
      </c>
      <c r="F6" s="17">
        <v>400000</v>
      </c>
    </row>
    <row r="7" spans="1:7">
      <c r="A7">
        <v>2</v>
      </c>
      <c r="E7" s="49" t="s">
        <v>29</v>
      </c>
      <c r="G7" s="17">
        <v>80000</v>
      </c>
    </row>
    <row r="8" spans="1:7">
      <c r="A8">
        <v>2</v>
      </c>
      <c r="E8" s="49" t="s">
        <v>103</v>
      </c>
      <c r="F8" s="17"/>
      <c r="G8" s="17">
        <v>320000</v>
      </c>
    </row>
    <row r="9" spans="1:7">
      <c r="A9">
        <v>3</v>
      </c>
      <c r="B9">
        <v>1</v>
      </c>
      <c r="C9" s="8">
        <v>44106</v>
      </c>
      <c r="D9" s="6" t="s">
        <v>118</v>
      </c>
      <c r="F9" s="17">
        <v>18000</v>
      </c>
    </row>
    <row r="10" spans="1:7">
      <c r="A10">
        <v>3</v>
      </c>
      <c r="E10" s="49" t="s">
        <v>29</v>
      </c>
      <c r="F10" s="17"/>
      <c r="G10" s="17">
        <v>18000</v>
      </c>
    </row>
    <row r="11" spans="1:7">
      <c r="A11">
        <v>4</v>
      </c>
      <c r="B11">
        <v>5</v>
      </c>
      <c r="C11" s="8">
        <v>44112</v>
      </c>
      <c r="D11" s="54" t="s">
        <v>124</v>
      </c>
      <c r="F11" s="17">
        <v>3000</v>
      </c>
    </row>
    <row r="12" spans="1:7">
      <c r="A12">
        <v>4</v>
      </c>
      <c r="E12" s="49" t="s">
        <v>125</v>
      </c>
      <c r="G12" s="17">
        <v>3000</v>
      </c>
    </row>
    <row r="13" spans="1:7">
      <c r="A13">
        <v>5</v>
      </c>
      <c r="B13">
        <v>1</v>
      </c>
      <c r="C13" s="8">
        <v>44119</v>
      </c>
      <c r="D13" s="6" t="s">
        <v>29</v>
      </c>
      <c r="F13" s="17">
        <v>50000</v>
      </c>
    </row>
    <row r="14" spans="1:7">
      <c r="A14">
        <v>5</v>
      </c>
      <c r="E14" s="56" t="s">
        <v>126</v>
      </c>
      <c r="G14" s="17">
        <v>50000</v>
      </c>
    </row>
    <row r="15" spans="1:7">
      <c r="A15">
        <v>6</v>
      </c>
      <c r="B15">
        <v>1</v>
      </c>
      <c r="C15" s="8">
        <v>44121</v>
      </c>
      <c r="D15" s="6" t="s">
        <v>127</v>
      </c>
      <c r="F15" s="17">
        <v>100000</v>
      </c>
    </row>
    <row r="16" spans="1:7">
      <c r="A16">
        <v>6</v>
      </c>
      <c r="E16" s="56" t="s">
        <v>126</v>
      </c>
      <c r="F16" s="17"/>
      <c r="G16" s="17">
        <v>100000</v>
      </c>
    </row>
    <row r="17" spans="1:8">
      <c r="A17">
        <v>7</v>
      </c>
      <c r="B17">
        <v>5</v>
      </c>
      <c r="C17" s="8">
        <v>44125</v>
      </c>
      <c r="D17" s="54" t="s">
        <v>33</v>
      </c>
      <c r="F17" s="17">
        <v>4000</v>
      </c>
    </row>
    <row r="18" spans="1:8">
      <c r="A18">
        <v>7</v>
      </c>
      <c r="E18" s="49" t="s">
        <v>29</v>
      </c>
      <c r="G18" s="17">
        <v>4000</v>
      </c>
    </row>
    <row r="19" spans="1:8">
      <c r="A19">
        <v>8</v>
      </c>
      <c r="B19">
        <v>5</v>
      </c>
      <c r="C19" s="8">
        <v>44134</v>
      </c>
      <c r="D19" s="54" t="s">
        <v>101</v>
      </c>
      <c r="F19" s="17">
        <v>6000</v>
      </c>
    </row>
    <row r="20" spans="1:8">
      <c r="A20">
        <v>8</v>
      </c>
      <c r="E20" s="49" t="s">
        <v>29</v>
      </c>
      <c r="G20" s="17">
        <v>6000</v>
      </c>
    </row>
    <row r="21" spans="1:8">
      <c r="A21">
        <v>9</v>
      </c>
      <c r="B21">
        <v>5</v>
      </c>
      <c r="C21" s="8">
        <v>44135</v>
      </c>
      <c r="D21" s="54" t="s">
        <v>86</v>
      </c>
      <c r="F21" s="17">
        <v>70000</v>
      </c>
    </row>
    <row r="22" spans="1:8">
      <c r="A22">
        <v>9</v>
      </c>
      <c r="E22" s="49" t="s">
        <v>29</v>
      </c>
      <c r="F22" s="17"/>
      <c r="G22" s="17">
        <v>70000</v>
      </c>
    </row>
    <row r="23" spans="1:8">
      <c r="A23" s="3">
        <v>10</v>
      </c>
      <c r="B23" s="3">
        <v>5</v>
      </c>
      <c r="C23" s="7">
        <v>44135</v>
      </c>
      <c r="D23" s="58" t="s">
        <v>239</v>
      </c>
      <c r="E23" s="3"/>
      <c r="F23" s="25">
        <v>3200</v>
      </c>
      <c r="G23" s="3"/>
      <c r="H23" s="25"/>
    </row>
    <row r="24" spans="1:8">
      <c r="A24">
        <v>10</v>
      </c>
      <c r="E24" s="49" t="s">
        <v>240</v>
      </c>
      <c r="G24" s="17">
        <v>3200</v>
      </c>
      <c r="H24" s="17"/>
    </row>
    <row r="25" spans="1:8">
      <c r="A25">
        <v>11</v>
      </c>
      <c r="B25">
        <v>5</v>
      </c>
      <c r="C25" s="8">
        <v>44135</v>
      </c>
      <c r="D25" s="54" t="s">
        <v>236</v>
      </c>
      <c r="F25" s="17">
        <v>4000</v>
      </c>
      <c r="H25" s="17"/>
    </row>
    <row r="26" spans="1:8">
      <c r="A26">
        <v>11</v>
      </c>
      <c r="E26" s="54" t="s">
        <v>241</v>
      </c>
      <c r="G26" s="17">
        <v>4000</v>
      </c>
      <c r="H26" s="17"/>
    </row>
    <row r="27" spans="1:8">
      <c r="A27">
        <v>12</v>
      </c>
      <c r="B27">
        <v>5</v>
      </c>
      <c r="C27" s="8">
        <v>44135</v>
      </c>
      <c r="D27" s="54" t="s">
        <v>235</v>
      </c>
      <c r="F27" s="17">
        <v>1500</v>
      </c>
      <c r="H27" s="17"/>
    </row>
    <row r="28" spans="1:8">
      <c r="A28">
        <v>12</v>
      </c>
      <c r="E28" s="6" t="s">
        <v>118</v>
      </c>
      <c r="G28" s="17">
        <v>1500</v>
      </c>
      <c r="H28" s="17"/>
    </row>
    <row r="29" spans="1:8">
      <c r="A29">
        <v>13</v>
      </c>
      <c r="B29">
        <v>5</v>
      </c>
      <c r="C29" s="8">
        <v>44135</v>
      </c>
      <c r="D29" s="54" t="s">
        <v>84</v>
      </c>
      <c r="F29" s="17">
        <v>4000</v>
      </c>
      <c r="H29" s="17"/>
    </row>
    <row r="30" spans="1:8">
      <c r="A30">
        <v>13</v>
      </c>
      <c r="E30" s="49" t="s">
        <v>242</v>
      </c>
      <c r="G30" s="17">
        <v>4000</v>
      </c>
      <c r="H30" s="17"/>
    </row>
    <row r="31" spans="1:8">
      <c r="H31" s="17"/>
    </row>
    <row r="32" spans="1:8">
      <c r="H32" s="17"/>
    </row>
    <row r="33" spans="1:14">
      <c r="H33" s="17"/>
    </row>
    <row r="34" spans="1:14">
      <c r="H34" s="17"/>
    </row>
    <row r="35" spans="1:14">
      <c r="H35" s="17"/>
    </row>
    <row r="36" spans="1:14">
      <c r="H36" s="17"/>
    </row>
    <row r="38" spans="1:14">
      <c r="A38" t="s">
        <v>105</v>
      </c>
    </row>
    <row r="40" spans="1:14">
      <c r="A40" t="s">
        <v>20</v>
      </c>
      <c r="B40" t="s">
        <v>95</v>
      </c>
      <c r="K40" t="s">
        <v>20</v>
      </c>
      <c r="L40" t="s">
        <v>106</v>
      </c>
    </row>
    <row r="41" spans="1:14">
      <c r="A41">
        <v>1</v>
      </c>
      <c r="B41">
        <v>1</v>
      </c>
      <c r="C41" s="6" t="s">
        <v>29</v>
      </c>
      <c r="K41">
        <v>1</v>
      </c>
      <c r="L41" s="51">
        <f>SUM(D42:D48)-SUM(G42:G48)</f>
        <v>72000</v>
      </c>
    </row>
    <row r="42" spans="1:14">
      <c r="C42" s="8">
        <v>44105</v>
      </c>
      <c r="D42" s="17">
        <v>200000</v>
      </c>
      <c r="E42">
        <v>1</v>
      </c>
      <c r="K42">
        <v>2</v>
      </c>
      <c r="L42" s="51">
        <f>SUM(D51)-SUM(G51)</f>
        <v>400000</v>
      </c>
    </row>
    <row r="43" spans="1:14">
      <c r="F43" s="8">
        <v>44106</v>
      </c>
      <c r="G43" s="17">
        <v>80000</v>
      </c>
      <c r="H43">
        <v>2</v>
      </c>
      <c r="K43">
        <v>3</v>
      </c>
      <c r="L43" s="51">
        <f>SUM(D54)-SUM(G54)</f>
        <v>16500</v>
      </c>
    </row>
    <row r="44" spans="1:14">
      <c r="F44" s="8">
        <v>44106</v>
      </c>
      <c r="G44" s="17">
        <v>18000</v>
      </c>
      <c r="H44">
        <v>3</v>
      </c>
      <c r="K44">
        <v>4</v>
      </c>
      <c r="L44" s="51">
        <f>SUM(D57)-SUM(G57)</f>
        <v>100000</v>
      </c>
    </row>
    <row r="45" spans="1:14">
      <c r="C45" s="8">
        <v>44119</v>
      </c>
      <c r="D45" s="17">
        <v>50000</v>
      </c>
      <c r="E45">
        <v>5</v>
      </c>
      <c r="K45">
        <v>5</v>
      </c>
      <c r="L45" s="51">
        <f>SUM(D60)-SUM(G60)</f>
        <v>-320000</v>
      </c>
    </row>
    <row r="46" spans="1:14">
      <c r="F46" s="8">
        <v>44125</v>
      </c>
      <c r="G46" s="17">
        <v>4000</v>
      </c>
      <c r="H46">
        <v>7</v>
      </c>
      <c r="K46">
        <v>6</v>
      </c>
      <c r="L46" s="51">
        <f>SUM(D63)-SUM(G63)</f>
        <v>-3000</v>
      </c>
    </row>
    <row r="47" spans="1:14">
      <c r="F47" s="8">
        <v>44134</v>
      </c>
      <c r="G47" s="17">
        <v>6000</v>
      </c>
      <c r="H47">
        <v>8</v>
      </c>
      <c r="K47">
        <v>7</v>
      </c>
      <c r="L47" s="51">
        <f>SUM(D66)-SUM(G66)</f>
        <v>-3200</v>
      </c>
      <c r="N47" s="51"/>
    </row>
    <row r="48" spans="1:14">
      <c r="F48" s="8">
        <v>44135</v>
      </c>
      <c r="G48" s="17">
        <v>70000</v>
      </c>
      <c r="H48">
        <v>9</v>
      </c>
      <c r="K48">
        <v>8</v>
      </c>
      <c r="L48" s="51">
        <f>SUM(D69)-SUM(G69)</f>
        <v>-4000</v>
      </c>
    </row>
    <row r="49" spans="1:12">
      <c r="G49" s="8"/>
      <c r="H49" s="17"/>
      <c r="K49">
        <v>9</v>
      </c>
      <c r="L49" s="51">
        <f>SUM(D72)-SUM(G72)</f>
        <v>-200000</v>
      </c>
    </row>
    <row r="50" spans="1:12">
      <c r="A50">
        <v>2</v>
      </c>
      <c r="B50">
        <v>1</v>
      </c>
      <c r="C50" s="6" t="s">
        <v>52</v>
      </c>
      <c r="G50" s="8"/>
      <c r="H50" s="17"/>
      <c r="K50">
        <v>10</v>
      </c>
      <c r="L50" s="51">
        <f>SUM(D75:D76)-SUM(G75:G76)</f>
        <v>-150000</v>
      </c>
    </row>
    <row r="51" spans="1:12">
      <c r="C51" s="8">
        <v>44106</v>
      </c>
      <c r="D51" s="17">
        <v>400000</v>
      </c>
      <c r="E51">
        <v>2</v>
      </c>
      <c r="G51" s="8"/>
      <c r="H51" s="17"/>
      <c r="K51">
        <v>11</v>
      </c>
      <c r="L51" s="51">
        <f>SUM(D79)-SUM(G79)</f>
        <v>3000</v>
      </c>
    </row>
    <row r="52" spans="1:12">
      <c r="K52">
        <v>12</v>
      </c>
      <c r="L52" s="51">
        <f>SUM(D82)-SUM(G82)</f>
        <v>4000</v>
      </c>
    </row>
    <row r="53" spans="1:12">
      <c r="A53">
        <v>3</v>
      </c>
      <c r="B53">
        <v>1</v>
      </c>
      <c r="C53" s="6" t="s">
        <v>118</v>
      </c>
      <c r="K53">
        <v>13</v>
      </c>
      <c r="L53" s="51">
        <f>SUM(D85)-SUM(G85)</f>
        <v>6000</v>
      </c>
    </row>
    <row r="54" spans="1:12">
      <c r="C54" s="8">
        <v>44106</v>
      </c>
      <c r="D54" s="17">
        <v>18000</v>
      </c>
      <c r="E54">
        <v>3</v>
      </c>
      <c r="F54" s="8">
        <v>44135</v>
      </c>
      <c r="G54" s="17">
        <v>1500</v>
      </c>
      <c r="H54">
        <v>12</v>
      </c>
      <c r="K54">
        <v>14</v>
      </c>
      <c r="L54" s="51">
        <f>SUM(D88)-SUM(G88)</f>
        <v>70000</v>
      </c>
    </row>
    <row r="55" spans="1:12">
      <c r="K55">
        <v>15</v>
      </c>
      <c r="L55" s="51">
        <f>SUM(D91)-SUM(G91)</f>
        <v>3200</v>
      </c>
    </row>
    <row r="56" spans="1:12">
      <c r="A56">
        <v>4</v>
      </c>
      <c r="B56">
        <v>1</v>
      </c>
      <c r="C56" s="6" t="s">
        <v>127</v>
      </c>
      <c r="K56">
        <v>16</v>
      </c>
      <c r="L56" s="51">
        <f>SUM(D94)-SUM(G94)</f>
        <v>4000</v>
      </c>
    </row>
    <row r="57" spans="1:12">
      <c r="C57" s="8">
        <v>44121</v>
      </c>
      <c r="D57" s="17">
        <v>100000</v>
      </c>
      <c r="E57">
        <v>6</v>
      </c>
      <c r="K57">
        <v>17</v>
      </c>
      <c r="L57" s="51">
        <f>SUM(D97)-SUM(G97)</f>
        <v>-4000</v>
      </c>
    </row>
    <row r="58" spans="1:12">
      <c r="K58">
        <v>18</v>
      </c>
      <c r="L58" s="51">
        <f>SUM(D100)-SUM(G100)</f>
        <v>1500</v>
      </c>
    </row>
    <row r="59" spans="1:12">
      <c r="A59">
        <v>5</v>
      </c>
      <c r="B59">
        <v>2</v>
      </c>
      <c r="C59" s="49" t="s">
        <v>103</v>
      </c>
      <c r="K59">
        <v>19</v>
      </c>
      <c r="L59" s="51">
        <f>SUM(D103)-SUM(G103)</f>
        <v>4000</v>
      </c>
    </row>
    <row r="60" spans="1:12">
      <c r="F60" s="8">
        <v>44106</v>
      </c>
      <c r="G60" s="17">
        <v>320000</v>
      </c>
      <c r="H60">
        <v>2</v>
      </c>
      <c r="K60" t="s">
        <v>107</v>
      </c>
      <c r="L60" s="51">
        <f>SUM(L41:L59)</f>
        <v>0</v>
      </c>
    </row>
    <row r="62" spans="1:12">
      <c r="A62">
        <v>6</v>
      </c>
      <c r="B62">
        <v>2</v>
      </c>
      <c r="C62" s="49" t="s">
        <v>125</v>
      </c>
    </row>
    <row r="63" spans="1:12">
      <c r="F63" s="8">
        <v>44112</v>
      </c>
      <c r="G63" s="17">
        <v>3000</v>
      </c>
      <c r="H63">
        <v>4</v>
      </c>
    </row>
    <row r="64" spans="1:12">
      <c r="F64" s="8"/>
      <c r="G64" s="17"/>
    </row>
    <row r="65" spans="1:8">
      <c r="A65">
        <v>7</v>
      </c>
      <c r="B65">
        <v>2</v>
      </c>
      <c r="C65" s="49" t="s">
        <v>240</v>
      </c>
      <c r="F65" s="8"/>
      <c r="G65" s="17"/>
    </row>
    <row r="66" spans="1:8">
      <c r="F66" s="8">
        <v>44135</v>
      </c>
      <c r="G66" s="17">
        <v>3200</v>
      </c>
      <c r="H66">
        <v>10</v>
      </c>
    </row>
    <row r="67" spans="1:8">
      <c r="F67" s="8"/>
      <c r="G67" s="17"/>
    </row>
    <row r="68" spans="1:8">
      <c r="A68">
        <v>8</v>
      </c>
      <c r="B68">
        <v>2</v>
      </c>
      <c r="C68" s="49" t="s">
        <v>242</v>
      </c>
    </row>
    <row r="69" spans="1:8">
      <c r="F69" s="8">
        <v>44135</v>
      </c>
      <c r="G69" s="17">
        <v>4000</v>
      </c>
      <c r="H69">
        <v>13</v>
      </c>
    </row>
    <row r="71" spans="1:8">
      <c r="A71">
        <v>9</v>
      </c>
      <c r="B71">
        <v>3</v>
      </c>
      <c r="C71" s="57" t="s">
        <v>38</v>
      </c>
    </row>
    <row r="72" spans="1:8">
      <c r="F72" s="8">
        <v>44105</v>
      </c>
      <c r="G72" s="17">
        <v>200000</v>
      </c>
      <c r="H72">
        <v>1</v>
      </c>
    </row>
    <row r="74" spans="1:8">
      <c r="A74">
        <v>10</v>
      </c>
      <c r="B74">
        <v>4</v>
      </c>
      <c r="C74" s="56" t="s">
        <v>126</v>
      </c>
    </row>
    <row r="75" spans="1:8">
      <c r="F75" s="8">
        <v>44119</v>
      </c>
      <c r="G75" s="17">
        <v>50000</v>
      </c>
      <c r="H75">
        <v>5</v>
      </c>
    </row>
    <row r="76" spans="1:8">
      <c r="F76" s="8">
        <v>44121</v>
      </c>
      <c r="G76" s="17">
        <v>100000</v>
      </c>
      <c r="H76">
        <v>6</v>
      </c>
    </row>
    <row r="78" spans="1:8">
      <c r="A78">
        <v>11</v>
      </c>
      <c r="B78">
        <v>5</v>
      </c>
      <c r="C78" s="54" t="s">
        <v>124</v>
      </c>
    </row>
    <row r="79" spans="1:8">
      <c r="C79" s="8">
        <v>44112</v>
      </c>
      <c r="D79" s="17">
        <v>3000</v>
      </c>
      <c r="E79">
        <v>4</v>
      </c>
    </row>
    <row r="81" spans="1:5">
      <c r="A81">
        <v>12</v>
      </c>
      <c r="B81">
        <v>5</v>
      </c>
      <c r="C81" s="54" t="s">
        <v>33</v>
      </c>
    </row>
    <row r="82" spans="1:5">
      <c r="C82" s="8">
        <v>44125</v>
      </c>
      <c r="D82" s="17">
        <v>4000</v>
      </c>
      <c r="E82">
        <v>11</v>
      </c>
    </row>
    <row r="84" spans="1:5">
      <c r="A84">
        <v>13</v>
      </c>
      <c r="B84">
        <v>5</v>
      </c>
      <c r="C84" s="54" t="s">
        <v>101</v>
      </c>
    </row>
    <row r="85" spans="1:5">
      <c r="C85" s="8">
        <v>44134</v>
      </c>
      <c r="D85" s="17">
        <v>6000</v>
      </c>
      <c r="E85">
        <v>8</v>
      </c>
    </row>
    <row r="87" spans="1:5">
      <c r="A87">
        <v>14</v>
      </c>
      <c r="B87">
        <v>5</v>
      </c>
      <c r="C87" s="54" t="s">
        <v>86</v>
      </c>
    </row>
    <row r="88" spans="1:5">
      <c r="C88" s="8">
        <v>44135</v>
      </c>
      <c r="D88" s="17">
        <v>70000</v>
      </c>
      <c r="E88">
        <v>9</v>
      </c>
    </row>
    <row r="89" spans="1:5">
      <c r="C89" s="8"/>
      <c r="D89" s="8"/>
      <c r="E89" s="17"/>
    </row>
    <row r="90" spans="1:5">
      <c r="A90">
        <v>15</v>
      </c>
      <c r="B90">
        <v>5</v>
      </c>
      <c r="C90" s="54" t="s">
        <v>239</v>
      </c>
      <c r="D90" s="8"/>
      <c r="E90" s="17"/>
    </row>
    <row r="91" spans="1:5">
      <c r="C91" s="8">
        <v>44135</v>
      </c>
      <c r="D91" s="17">
        <v>3200</v>
      </c>
      <c r="E91" s="17">
        <v>10</v>
      </c>
    </row>
    <row r="92" spans="1:5">
      <c r="C92" s="8"/>
      <c r="D92" s="8"/>
      <c r="E92" s="17"/>
    </row>
    <row r="93" spans="1:5">
      <c r="A93">
        <v>16</v>
      </c>
      <c r="B93">
        <v>5</v>
      </c>
      <c r="C93" s="54" t="s">
        <v>236</v>
      </c>
      <c r="D93" s="8"/>
      <c r="E93" s="17"/>
    </row>
    <row r="94" spans="1:5">
      <c r="C94" s="8">
        <v>44135</v>
      </c>
      <c r="D94" s="17">
        <v>4000</v>
      </c>
      <c r="E94" s="17">
        <v>11</v>
      </c>
    </row>
    <row r="95" spans="1:5">
      <c r="C95" s="8"/>
      <c r="D95" s="8"/>
      <c r="E95" s="17"/>
    </row>
    <row r="96" spans="1:5">
      <c r="A96">
        <v>17</v>
      </c>
      <c r="B96">
        <v>5</v>
      </c>
      <c r="C96" s="54" t="s">
        <v>241</v>
      </c>
      <c r="D96" s="8"/>
      <c r="E96" s="17"/>
    </row>
    <row r="97" spans="1:8">
      <c r="C97" s="8"/>
      <c r="D97" s="8"/>
      <c r="E97" s="17"/>
      <c r="F97" s="8">
        <v>44135</v>
      </c>
      <c r="G97" s="17">
        <v>4000</v>
      </c>
      <c r="H97" s="17">
        <v>11</v>
      </c>
    </row>
    <row r="98" spans="1:8">
      <c r="C98" s="8"/>
      <c r="D98" s="8"/>
      <c r="E98" s="17"/>
    </row>
    <row r="99" spans="1:8">
      <c r="A99">
        <v>18</v>
      </c>
      <c r="B99">
        <v>5</v>
      </c>
      <c r="C99" s="54" t="s">
        <v>235</v>
      </c>
      <c r="D99" s="8"/>
      <c r="E99" s="17"/>
    </row>
    <row r="100" spans="1:8">
      <c r="C100" s="8">
        <v>44135</v>
      </c>
      <c r="D100" s="17">
        <v>1500</v>
      </c>
      <c r="E100" s="17">
        <v>12</v>
      </c>
    </row>
    <row r="101" spans="1:8">
      <c r="C101" s="8"/>
      <c r="D101" s="8"/>
      <c r="E101" s="17"/>
    </row>
    <row r="102" spans="1:8">
      <c r="A102">
        <v>19</v>
      </c>
      <c r="B102">
        <v>5</v>
      </c>
      <c r="C102" s="54" t="s">
        <v>84</v>
      </c>
      <c r="D102" s="8"/>
      <c r="E102" s="8"/>
    </row>
    <row r="103" spans="1:8">
      <c r="C103" s="8">
        <v>44135</v>
      </c>
      <c r="D103" s="17">
        <v>4000</v>
      </c>
      <c r="E103" s="17">
        <v>13</v>
      </c>
    </row>
    <row r="105" spans="1:8">
      <c r="A105" t="s">
        <v>108</v>
      </c>
    </row>
    <row r="107" spans="1:8">
      <c r="C107" t="s">
        <v>128</v>
      </c>
    </row>
    <row r="108" spans="1:8">
      <c r="C108" t="s">
        <v>108</v>
      </c>
    </row>
    <row r="109" spans="1:8">
      <c r="C109" s="8">
        <v>44135</v>
      </c>
      <c r="D109" s="8"/>
    </row>
    <row r="110" spans="1:8">
      <c r="A110" t="s">
        <v>20</v>
      </c>
      <c r="B110" t="s">
        <v>95</v>
      </c>
      <c r="C110" t="s">
        <v>96</v>
      </c>
      <c r="D110" t="s">
        <v>17</v>
      </c>
      <c r="E110" t="s">
        <v>19</v>
      </c>
    </row>
    <row r="111" spans="1:8">
      <c r="A111">
        <v>1</v>
      </c>
      <c r="B111">
        <v>1</v>
      </c>
      <c r="C111" s="6" t="s">
        <v>29</v>
      </c>
      <c r="D111" s="17">
        <v>72000</v>
      </c>
      <c r="E111" s="17"/>
    </row>
    <row r="112" spans="1:8">
      <c r="A112">
        <v>2</v>
      </c>
      <c r="B112">
        <v>1</v>
      </c>
      <c r="C112" s="6" t="s">
        <v>52</v>
      </c>
      <c r="D112" s="17">
        <v>400000</v>
      </c>
      <c r="E112" s="17"/>
    </row>
    <row r="113" spans="1:5">
      <c r="A113">
        <v>3</v>
      </c>
      <c r="B113">
        <v>1</v>
      </c>
      <c r="C113" s="6" t="s">
        <v>118</v>
      </c>
      <c r="D113" s="17">
        <v>16500</v>
      </c>
      <c r="E113" s="17"/>
    </row>
    <row r="114" spans="1:5">
      <c r="A114">
        <v>4</v>
      </c>
      <c r="B114">
        <v>1</v>
      </c>
      <c r="C114" s="6" t="s">
        <v>127</v>
      </c>
      <c r="D114" s="17">
        <v>100000</v>
      </c>
      <c r="E114" s="17"/>
    </row>
    <row r="115" spans="1:5">
      <c r="A115">
        <v>5</v>
      </c>
      <c r="B115">
        <v>2</v>
      </c>
      <c r="C115" s="49" t="s">
        <v>103</v>
      </c>
      <c r="D115" s="17"/>
      <c r="E115" s="17">
        <v>320000</v>
      </c>
    </row>
    <row r="116" spans="1:5">
      <c r="A116">
        <v>6</v>
      </c>
      <c r="B116">
        <v>2</v>
      </c>
      <c r="C116" s="49" t="s">
        <v>125</v>
      </c>
      <c r="D116" s="17"/>
      <c r="E116" s="17">
        <v>3000</v>
      </c>
    </row>
    <row r="117" spans="1:5">
      <c r="A117">
        <v>7</v>
      </c>
      <c r="B117">
        <v>2</v>
      </c>
      <c r="C117" s="49" t="s">
        <v>240</v>
      </c>
      <c r="D117" s="17"/>
      <c r="E117" s="17">
        <v>3200</v>
      </c>
    </row>
    <row r="118" spans="1:5">
      <c r="A118">
        <v>8</v>
      </c>
      <c r="B118">
        <v>2</v>
      </c>
      <c r="C118" s="49" t="s">
        <v>242</v>
      </c>
      <c r="D118" s="17"/>
      <c r="E118" s="17">
        <v>4000</v>
      </c>
    </row>
    <row r="119" spans="1:5">
      <c r="A119">
        <v>9</v>
      </c>
      <c r="B119">
        <v>3</v>
      </c>
      <c r="C119" s="57" t="s">
        <v>38</v>
      </c>
      <c r="D119" s="17"/>
      <c r="E119" s="17">
        <v>200000</v>
      </c>
    </row>
    <row r="120" spans="1:5">
      <c r="A120">
        <v>10</v>
      </c>
      <c r="B120">
        <v>4</v>
      </c>
      <c r="C120" s="56" t="s">
        <v>126</v>
      </c>
      <c r="D120" s="17"/>
      <c r="E120" s="17">
        <v>150000</v>
      </c>
    </row>
    <row r="121" spans="1:5">
      <c r="A121">
        <v>11</v>
      </c>
      <c r="B121">
        <v>5</v>
      </c>
      <c r="C121" s="54" t="s">
        <v>124</v>
      </c>
      <c r="D121" s="17">
        <v>3000</v>
      </c>
      <c r="E121" s="17"/>
    </row>
    <row r="122" spans="1:5">
      <c r="A122">
        <v>12</v>
      </c>
      <c r="B122">
        <v>5</v>
      </c>
      <c r="C122" s="54" t="s">
        <v>33</v>
      </c>
      <c r="D122" s="17">
        <v>4000</v>
      </c>
      <c r="E122" s="17"/>
    </row>
    <row r="123" spans="1:5">
      <c r="A123">
        <v>13</v>
      </c>
      <c r="B123">
        <v>5</v>
      </c>
      <c r="C123" s="54" t="s">
        <v>101</v>
      </c>
      <c r="D123" s="17">
        <v>6000</v>
      </c>
      <c r="E123" s="17"/>
    </row>
    <row r="124" spans="1:5">
      <c r="A124">
        <v>14</v>
      </c>
      <c r="B124">
        <v>5</v>
      </c>
      <c r="C124" s="54" t="s">
        <v>86</v>
      </c>
      <c r="D124" s="17">
        <v>70000</v>
      </c>
      <c r="E124" s="17"/>
    </row>
    <row r="125" spans="1:5">
      <c r="A125">
        <v>15</v>
      </c>
      <c r="B125">
        <v>5</v>
      </c>
      <c r="C125" s="54" t="s">
        <v>239</v>
      </c>
      <c r="D125" s="17">
        <v>3200</v>
      </c>
      <c r="E125" s="17"/>
    </row>
    <row r="126" spans="1:5">
      <c r="A126">
        <v>16</v>
      </c>
      <c r="B126">
        <v>5</v>
      </c>
      <c r="C126" s="54" t="s">
        <v>236</v>
      </c>
      <c r="D126" s="17">
        <v>4000</v>
      </c>
      <c r="E126" s="17"/>
    </row>
    <row r="127" spans="1:5">
      <c r="A127">
        <v>17</v>
      </c>
      <c r="B127">
        <v>5</v>
      </c>
      <c r="C127" s="54" t="s">
        <v>241</v>
      </c>
      <c r="D127" s="17"/>
      <c r="E127" s="17">
        <v>4000</v>
      </c>
    </row>
    <row r="128" spans="1:5">
      <c r="A128">
        <v>18</v>
      </c>
      <c r="B128">
        <v>5</v>
      </c>
      <c r="C128" s="54" t="s">
        <v>235</v>
      </c>
      <c r="D128" s="17">
        <v>1500</v>
      </c>
      <c r="E128" s="17"/>
    </row>
    <row r="129" spans="1:5">
      <c r="A129">
        <v>19</v>
      </c>
      <c r="B129">
        <v>5</v>
      </c>
      <c r="C129" s="54" t="s">
        <v>84</v>
      </c>
      <c r="D129" s="17">
        <v>4000</v>
      </c>
      <c r="E129" s="17"/>
    </row>
    <row r="130" spans="1:5">
      <c r="C130" t="s">
        <v>107</v>
      </c>
      <c r="D130" s="17">
        <f>SUM(D111:D129)</f>
        <v>684200</v>
      </c>
      <c r="E130" s="17">
        <f>SUM(E111:E129)</f>
        <v>684200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E1CE6-EAF2-44E1-89F6-6082C649E6F2}">
  <dimension ref="A1:Z137"/>
  <sheetViews>
    <sheetView topLeftCell="K85" workbookViewId="0">
      <selection activeCell="W101" sqref="W101"/>
    </sheetView>
  </sheetViews>
  <sheetFormatPr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13" max="13" width="11.75" bestFit="1" customWidth="1"/>
    <col min="14" max="14" width="19.875" bestFit="1" customWidth="1"/>
    <col min="19" max="19" width="19.875" bestFit="1" customWidth="1"/>
  </cols>
  <sheetData>
    <row r="1" spans="1:26">
      <c r="A1" t="s">
        <v>94</v>
      </c>
      <c r="I1" t="s">
        <v>129</v>
      </c>
    </row>
    <row r="5" spans="1:26">
      <c r="K5" t="s">
        <v>129</v>
      </c>
      <c r="Q5" t="s">
        <v>130</v>
      </c>
      <c r="S5" s="15" t="s">
        <v>29</v>
      </c>
      <c r="T5" s="3"/>
      <c r="U5" s="3"/>
      <c r="V5" s="3"/>
      <c r="W5" s="3"/>
      <c r="X5" s="3"/>
      <c r="Y5" s="3"/>
      <c r="Z5" s="4" t="s">
        <v>130</v>
      </c>
    </row>
    <row r="6" spans="1:26">
      <c r="K6" t="s">
        <v>131</v>
      </c>
      <c r="S6" s="15" t="s">
        <v>131</v>
      </c>
      <c r="T6" s="4"/>
      <c r="U6" s="4"/>
      <c r="V6" s="4"/>
      <c r="W6" s="3"/>
      <c r="X6" s="4"/>
      <c r="Y6" s="4"/>
      <c r="Z6" s="4"/>
    </row>
    <row r="7" spans="1:26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I7" t="s">
        <v>20</v>
      </c>
      <c r="J7" t="s">
        <v>95</v>
      </c>
      <c r="K7" t="s">
        <v>132</v>
      </c>
      <c r="L7" t="s">
        <v>133</v>
      </c>
      <c r="M7" t="s">
        <v>96</v>
      </c>
      <c r="N7" t="s">
        <v>96</v>
      </c>
      <c r="O7" t="s">
        <v>134</v>
      </c>
      <c r="P7" t="s">
        <v>135</v>
      </c>
      <c r="Q7" t="s">
        <v>136</v>
      </c>
      <c r="S7" s="45" t="s">
        <v>132</v>
      </c>
      <c r="T7" s="4" t="s">
        <v>133</v>
      </c>
      <c r="U7" s="5" t="s">
        <v>137</v>
      </c>
      <c r="V7" s="5" t="s">
        <v>138</v>
      </c>
      <c r="W7" t="s">
        <v>135</v>
      </c>
      <c r="X7" s="5" t="s">
        <v>136</v>
      </c>
      <c r="Y7" s="5" t="s">
        <v>139</v>
      </c>
      <c r="Z7" s="5" t="s">
        <v>140</v>
      </c>
    </row>
    <row r="8" spans="1:26">
      <c r="A8">
        <v>1</v>
      </c>
      <c r="B8">
        <v>1</v>
      </c>
      <c r="C8" s="8">
        <v>44105</v>
      </c>
      <c r="D8" s="6" t="s">
        <v>29</v>
      </c>
      <c r="F8" s="17">
        <v>200000</v>
      </c>
      <c r="K8">
        <v>10</v>
      </c>
      <c r="L8">
        <v>1</v>
      </c>
      <c r="M8" s="6" t="s">
        <v>29</v>
      </c>
      <c r="O8">
        <v>1</v>
      </c>
      <c r="P8" s="17">
        <v>200000</v>
      </c>
      <c r="S8" s="45">
        <v>10</v>
      </c>
      <c r="T8" s="4">
        <v>1</v>
      </c>
      <c r="U8" s="4"/>
      <c r="V8" s="4">
        <v>1</v>
      </c>
      <c r="W8" s="25">
        <v>200000</v>
      </c>
      <c r="X8" s="4"/>
      <c r="Y8" s="4" t="s">
        <v>141</v>
      </c>
      <c r="Z8" s="27">
        <v>200000</v>
      </c>
    </row>
    <row r="9" spans="1:26">
      <c r="A9">
        <v>1</v>
      </c>
      <c r="E9" s="52" t="s">
        <v>38</v>
      </c>
      <c r="G9" s="17">
        <v>200000</v>
      </c>
      <c r="N9" s="52" t="s">
        <v>38</v>
      </c>
      <c r="O9">
        <v>37</v>
      </c>
      <c r="Q9" s="17">
        <v>200000</v>
      </c>
      <c r="S9" s="46"/>
      <c r="T9" s="5" t="s">
        <v>142</v>
      </c>
      <c r="U9" s="5"/>
      <c r="V9" s="5" t="s">
        <v>142</v>
      </c>
      <c r="X9" s="28">
        <v>30000</v>
      </c>
      <c r="Y9" s="5" t="s">
        <v>142</v>
      </c>
      <c r="Z9" s="28">
        <v>170000</v>
      </c>
    </row>
    <row r="10" spans="1:26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L10" t="s">
        <v>142</v>
      </c>
      <c r="M10" s="6" t="s">
        <v>119</v>
      </c>
      <c r="O10">
        <v>21</v>
      </c>
      <c r="P10" s="17">
        <v>30000</v>
      </c>
      <c r="S10" s="46"/>
      <c r="T10" s="5">
        <v>5</v>
      </c>
      <c r="U10" s="5"/>
      <c r="V10" s="5" t="s">
        <v>142</v>
      </c>
      <c r="X10" s="28">
        <v>90000</v>
      </c>
      <c r="Y10" s="5" t="s">
        <v>142</v>
      </c>
      <c r="Z10" s="28">
        <v>80000</v>
      </c>
    </row>
    <row r="11" spans="1:26">
      <c r="A11">
        <v>2</v>
      </c>
      <c r="E11" s="49" t="s">
        <v>29</v>
      </c>
      <c r="G11" s="17">
        <v>30000</v>
      </c>
      <c r="N11" s="49" t="s">
        <v>29</v>
      </c>
      <c r="O11">
        <v>1</v>
      </c>
      <c r="Q11" s="17">
        <v>30000</v>
      </c>
      <c r="S11" s="46"/>
      <c r="T11" s="5" t="s">
        <v>142</v>
      </c>
      <c r="U11" s="5"/>
      <c r="V11" s="5" t="s">
        <v>142</v>
      </c>
      <c r="X11" s="28">
        <v>3000</v>
      </c>
      <c r="Y11" s="5" t="s">
        <v>142</v>
      </c>
      <c r="Z11" s="28">
        <v>77000</v>
      </c>
    </row>
    <row r="12" spans="1:26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L12">
        <v>5</v>
      </c>
      <c r="M12" s="54" t="s">
        <v>143</v>
      </c>
      <c r="O12">
        <v>27</v>
      </c>
      <c r="P12" s="17">
        <v>90000</v>
      </c>
      <c r="S12" s="46"/>
      <c r="T12" s="5">
        <v>15</v>
      </c>
      <c r="U12" s="5"/>
      <c r="V12" s="5" t="s">
        <v>142</v>
      </c>
      <c r="W12" s="17">
        <v>20000</v>
      </c>
      <c r="X12" s="5"/>
      <c r="Y12" s="5" t="s">
        <v>142</v>
      </c>
      <c r="Z12" s="28">
        <v>97000</v>
      </c>
    </row>
    <row r="13" spans="1:26">
      <c r="A13">
        <v>3</v>
      </c>
      <c r="E13" s="49" t="s">
        <v>29</v>
      </c>
      <c r="G13" s="17">
        <v>90000</v>
      </c>
      <c r="N13" s="49" t="s">
        <v>29</v>
      </c>
      <c r="O13">
        <v>1</v>
      </c>
      <c r="Q13" s="17">
        <v>90000</v>
      </c>
      <c r="S13" s="46"/>
      <c r="T13" s="5">
        <v>16</v>
      </c>
      <c r="U13" s="5"/>
      <c r="V13" s="5" t="s">
        <v>142</v>
      </c>
      <c r="W13" s="17">
        <v>8000</v>
      </c>
      <c r="X13" s="5"/>
      <c r="Y13" s="5" t="s">
        <v>142</v>
      </c>
      <c r="Z13" s="28">
        <v>105000</v>
      </c>
    </row>
    <row r="14" spans="1:26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L14" t="s">
        <v>142</v>
      </c>
      <c r="M14" s="54" t="s">
        <v>144</v>
      </c>
      <c r="O14">
        <v>25</v>
      </c>
      <c r="P14" s="17">
        <v>3000</v>
      </c>
      <c r="S14" s="46"/>
      <c r="T14" s="5">
        <v>18</v>
      </c>
      <c r="U14" s="5"/>
      <c r="V14" s="5" t="s">
        <v>142</v>
      </c>
      <c r="X14" s="28">
        <v>17000</v>
      </c>
      <c r="Y14" s="5" t="s">
        <v>142</v>
      </c>
      <c r="Z14" s="28">
        <v>88000</v>
      </c>
    </row>
    <row r="15" spans="1:26">
      <c r="A15">
        <v>4</v>
      </c>
      <c r="E15" s="49" t="s">
        <v>145</v>
      </c>
      <c r="G15" s="17">
        <v>3000</v>
      </c>
      <c r="N15" s="49" t="s">
        <v>145</v>
      </c>
      <c r="O15">
        <v>31</v>
      </c>
      <c r="Q15" s="17">
        <v>3000</v>
      </c>
      <c r="S15" s="46"/>
      <c r="T15" s="5">
        <v>21</v>
      </c>
      <c r="U15" s="5"/>
      <c r="V15" s="5" t="s">
        <v>142</v>
      </c>
      <c r="X15" s="28">
        <v>400</v>
      </c>
      <c r="Y15" s="5" t="s">
        <v>142</v>
      </c>
      <c r="Z15" s="28">
        <v>87600</v>
      </c>
    </row>
    <row r="16" spans="1:26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L16">
        <v>11</v>
      </c>
      <c r="M16" s="49" t="s">
        <v>145</v>
      </c>
      <c r="O16">
        <v>31</v>
      </c>
      <c r="P16" s="17">
        <v>3000</v>
      </c>
      <c r="S16" s="59"/>
      <c r="T16" s="48">
        <v>31</v>
      </c>
      <c r="U16" s="48"/>
      <c r="V16" s="48" t="s">
        <v>142</v>
      </c>
      <c r="W16" s="30">
        <v>28000</v>
      </c>
      <c r="X16" s="48"/>
      <c r="Y16" s="48" t="s">
        <v>142</v>
      </c>
      <c r="Z16" s="31">
        <v>115600</v>
      </c>
    </row>
    <row r="17" spans="1:26">
      <c r="A17">
        <v>5</v>
      </c>
      <c r="E17" s="49" t="s">
        <v>29</v>
      </c>
      <c r="G17" s="17">
        <v>3000</v>
      </c>
      <c r="N17" s="49" t="s">
        <v>29</v>
      </c>
      <c r="O17">
        <v>1</v>
      </c>
      <c r="Q17" s="17">
        <v>3000</v>
      </c>
    </row>
    <row r="18" spans="1:26">
      <c r="A18">
        <v>6</v>
      </c>
      <c r="B18">
        <v>1</v>
      </c>
      <c r="C18" s="8">
        <v>44119</v>
      </c>
      <c r="D18" s="6" t="s">
        <v>29</v>
      </c>
      <c r="F18" s="17">
        <v>20000</v>
      </c>
      <c r="L18">
        <v>15</v>
      </c>
      <c r="M18" s="6" t="s">
        <v>29</v>
      </c>
      <c r="O18">
        <v>1</v>
      </c>
      <c r="P18" s="17">
        <v>20000</v>
      </c>
      <c r="S18" s="15" t="s">
        <v>119</v>
      </c>
      <c r="T18" s="3"/>
      <c r="U18" s="3"/>
      <c r="V18" s="3"/>
      <c r="W18" s="3"/>
      <c r="X18" s="3"/>
      <c r="Y18" s="3"/>
      <c r="Z18" s="4" t="s">
        <v>146</v>
      </c>
    </row>
    <row r="19" spans="1:26">
      <c r="A19">
        <v>6</v>
      </c>
      <c r="D19" s="6" t="s">
        <v>147</v>
      </c>
      <c r="F19" s="17">
        <v>10000</v>
      </c>
      <c r="M19" s="6" t="s">
        <v>147</v>
      </c>
      <c r="O19">
        <v>11</v>
      </c>
      <c r="P19" s="17">
        <v>10000</v>
      </c>
      <c r="S19" s="15" t="s">
        <v>131</v>
      </c>
      <c r="T19" s="4"/>
      <c r="U19" s="4"/>
      <c r="V19" s="4"/>
      <c r="W19" s="3"/>
      <c r="X19" s="4"/>
      <c r="Y19" s="4"/>
      <c r="Z19" s="4"/>
    </row>
    <row r="20" spans="1:26">
      <c r="A20">
        <v>6</v>
      </c>
      <c r="E20" s="53" t="s">
        <v>148</v>
      </c>
      <c r="G20" s="17">
        <v>30000</v>
      </c>
      <c r="N20" s="53" t="s">
        <v>148</v>
      </c>
      <c r="O20">
        <v>41</v>
      </c>
      <c r="Q20" s="17">
        <v>30000</v>
      </c>
      <c r="S20" s="45" t="s">
        <v>132</v>
      </c>
      <c r="T20" s="4" t="s">
        <v>133</v>
      </c>
      <c r="U20" s="5" t="s">
        <v>137</v>
      </c>
      <c r="V20" s="5" t="s">
        <v>138</v>
      </c>
      <c r="W20" s="11" t="s">
        <v>135</v>
      </c>
      <c r="X20" s="5" t="s">
        <v>136</v>
      </c>
      <c r="Y20" s="5" t="s">
        <v>139</v>
      </c>
      <c r="Z20" s="48" t="s">
        <v>140</v>
      </c>
    </row>
    <row r="21" spans="1:26">
      <c r="A21">
        <v>7</v>
      </c>
      <c r="B21">
        <v>1</v>
      </c>
      <c r="C21" s="8">
        <v>44120</v>
      </c>
      <c r="D21" s="6" t="s">
        <v>29</v>
      </c>
      <c r="F21" s="17">
        <v>8000</v>
      </c>
      <c r="L21">
        <v>16</v>
      </c>
      <c r="M21" s="6" t="s">
        <v>29</v>
      </c>
      <c r="O21">
        <v>1</v>
      </c>
      <c r="P21" s="17">
        <v>8000</v>
      </c>
      <c r="S21" s="60">
        <v>10</v>
      </c>
      <c r="T21" s="61">
        <v>1</v>
      </c>
      <c r="U21" s="61"/>
      <c r="V21" s="61">
        <v>1</v>
      </c>
      <c r="W21" s="30">
        <v>30000</v>
      </c>
      <c r="X21" s="61"/>
      <c r="Y21" s="61" t="s">
        <v>141</v>
      </c>
      <c r="Z21" s="31">
        <v>30000</v>
      </c>
    </row>
    <row r="22" spans="1:26">
      <c r="A22">
        <v>7</v>
      </c>
      <c r="E22" s="49" t="s">
        <v>147</v>
      </c>
      <c r="G22" s="17">
        <v>8000</v>
      </c>
      <c r="N22" s="49" t="s">
        <v>147</v>
      </c>
      <c r="O22">
        <v>11</v>
      </c>
      <c r="Q22" s="17">
        <v>8000</v>
      </c>
    </row>
    <row r="23" spans="1:26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L23">
        <v>18</v>
      </c>
      <c r="M23" s="54" t="s">
        <v>86</v>
      </c>
      <c r="O23">
        <v>51</v>
      </c>
      <c r="P23" s="17">
        <v>17000</v>
      </c>
      <c r="S23" s="15" t="s">
        <v>147</v>
      </c>
      <c r="T23" s="3"/>
      <c r="U23" s="3"/>
      <c r="V23" s="3"/>
      <c r="W23" s="3"/>
      <c r="X23" s="3"/>
      <c r="Y23" s="3"/>
      <c r="Z23" s="4" t="s">
        <v>130</v>
      </c>
    </row>
    <row r="24" spans="1:26">
      <c r="A24">
        <v>8</v>
      </c>
      <c r="E24" s="49" t="s">
        <v>29</v>
      </c>
      <c r="G24" s="17">
        <v>17000</v>
      </c>
      <c r="N24" s="49" t="s">
        <v>29</v>
      </c>
      <c r="O24">
        <v>1</v>
      </c>
      <c r="Q24" s="17">
        <v>17000</v>
      </c>
      <c r="S24" s="15" t="s">
        <v>131</v>
      </c>
      <c r="T24" s="4"/>
      <c r="U24" s="4"/>
      <c r="V24" s="4"/>
      <c r="W24" s="3"/>
      <c r="X24" s="4"/>
      <c r="Y24" s="4"/>
      <c r="Z24" s="4"/>
    </row>
    <row r="25" spans="1:26">
      <c r="A25">
        <v>9</v>
      </c>
      <c r="B25">
        <v>5</v>
      </c>
      <c r="C25" s="8">
        <v>44125</v>
      </c>
      <c r="D25" s="54" t="s">
        <v>101</v>
      </c>
      <c r="F25" s="17">
        <v>400</v>
      </c>
      <c r="L25">
        <v>21</v>
      </c>
      <c r="M25" s="54" t="s">
        <v>101</v>
      </c>
      <c r="O25">
        <v>53</v>
      </c>
      <c r="P25" s="17">
        <v>400</v>
      </c>
      <c r="S25" s="45" t="s">
        <v>132</v>
      </c>
      <c r="T25" s="4" t="s">
        <v>133</v>
      </c>
      <c r="U25" s="5" t="s">
        <v>137</v>
      </c>
      <c r="V25" s="5" t="s">
        <v>138</v>
      </c>
      <c r="W25" s="11" t="s">
        <v>135</v>
      </c>
      <c r="X25" s="48" t="s">
        <v>136</v>
      </c>
      <c r="Y25" s="5" t="s">
        <v>139</v>
      </c>
      <c r="Z25" s="5" t="s">
        <v>140</v>
      </c>
    </row>
    <row r="26" spans="1:26">
      <c r="A26">
        <v>9</v>
      </c>
      <c r="E26" s="49" t="s">
        <v>29</v>
      </c>
      <c r="G26" s="17">
        <v>400</v>
      </c>
      <c r="N26" s="49" t="s">
        <v>29</v>
      </c>
      <c r="O26">
        <v>1</v>
      </c>
      <c r="Q26" s="17">
        <v>400</v>
      </c>
      <c r="S26" s="45">
        <v>10</v>
      </c>
      <c r="T26" s="4">
        <v>15</v>
      </c>
      <c r="U26" s="4"/>
      <c r="V26" s="4">
        <v>1</v>
      </c>
      <c r="W26" s="17">
        <v>10000</v>
      </c>
      <c r="X26" s="5"/>
      <c r="Y26" s="4" t="s">
        <v>141</v>
      </c>
      <c r="Z26" s="27">
        <v>10000</v>
      </c>
    </row>
    <row r="27" spans="1:26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L27">
        <v>31</v>
      </c>
      <c r="M27" s="6" t="s">
        <v>29</v>
      </c>
      <c r="O27">
        <v>1</v>
      </c>
      <c r="P27" s="17">
        <v>28000</v>
      </c>
      <c r="R27" s="5"/>
      <c r="S27" s="5"/>
      <c r="T27" s="5"/>
      <c r="U27" s="5"/>
      <c r="V27" s="5" t="s">
        <v>142</v>
      </c>
      <c r="X27" s="28">
        <v>8000</v>
      </c>
      <c r="Y27" s="5" t="s">
        <v>142</v>
      </c>
      <c r="Z27" s="28">
        <v>2000</v>
      </c>
    </row>
    <row r="28" spans="1:26">
      <c r="A28">
        <v>10</v>
      </c>
      <c r="D28" s="6" t="s">
        <v>147</v>
      </c>
      <c r="F28" s="17">
        <v>12000</v>
      </c>
      <c r="M28" s="6" t="s">
        <v>147</v>
      </c>
      <c r="O28">
        <v>11</v>
      </c>
      <c r="P28" s="17">
        <v>12000</v>
      </c>
      <c r="S28" s="59"/>
      <c r="T28" s="48">
        <v>31</v>
      </c>
      <c r="U28" s="48"/>
      <c r="V28" s="48" t="s">
        <v>142</v>
      </c>
      <c r="W28" s="30">
        <v>12000</v>
      </c>
      <c r="X28" s="31"/>
      <c r="Y28" s="48" t="s">
        <v>142</v>
      </c>
      <c r="Z28" s="31">
        <v>14000</v>
      </c>
    </row>
    <row r="29" spans="1:26">
      <c r="A29">
        <v>10</v>
      </c>
      <c r="E29" s="53" t="s">
        <v>148</v>
      </c>
      <c r="G29" s="17">
        <v>40000</v>
      </c>
      <c r="N29" s="53" t="s">
        <v>148</v>
      </c>
      <c r="O29">
        <v>41</v>
      </c>
      <c r="Q29" s="17">
        <v>40000</v>
      </c>
    </row>
    <row r="30" spans="1:26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L30" t="s">
        <v>142</v>
      </c>
      <c r="M30" s="54" t="s">
        <v>104</v>
      </c>
      <c r="O30">
        <v>55</v>
      </c>
      <c r="P30" s="17">
        <v>10000</v>
      </c>
      <c r="S30" s="15" t="s">
        <v>145</v>
      </c>
      <c r="T30" s="3"/>
      <c r="U30" s="3"/>
      <c r="V30" s="3"/>
      <c r="W30" s="3"/>
      <c r="X30" s="3"/>
      <c r="Y30" s="3"/>
      <c r="Z30" s="4" t="s">
        <v>149</v>
      </c>
    </row>
    <row r="31" spans="1:26">
      <c r="A31">
        <v>11</v>
      </c>
      <c r="E31" s="6" t="s">
        <v>119</v>
      </c>
      <c r="G31" s="17">
        <v>10000</v>
      </c>
      <c r="N31" s="6" t="s">
        <v>119</v>
      </c>
      <c r="O31">
        <v>21</v>
      </c>
      <c r="Q31" s="17">
        <v>10000</v>
      </c>
      <c r="S31" s="15" t="s">
        <v>131</v>
      </c>
      <c r="T31" s="4"/>
      <c r="U31" s="4"/>
      <c r="V31" s="4"/>
      <c r="W31" s="3"/>
      <c r="X31" s="4"/>
      <c r="Y31" s="4"/>
      <c r="Z31" s="4"/>
    </row>
    <row r="32" spans="1:26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L32" t="s">
        <v>142</v>
      </c>
      <c r="M32" s="54" t="s">
        <v>236</v>
      </c>
      <c r="O32">
        <v>57</v>
      </c>
      <c r="P32" s="17">
        <v>1000</v>
      </c>
      <c r="S32" s="45" t="s">
        <v>132</v>
      </c>
      <c r="T32" s="4" t="s">
        <v>133</v>
      </c>
      <c r="U32" s="5" t="s">
        <v>137</v>
      </c>
      <c r="V32" s="5" t="s">
        <v>138</v>
      </c>
      <c r="W32" s="11" t="s">
        <v>135</v>
      </c>
      <c r="X32" s="48" t="s">
        <v>136</v>
      </c>
      <c r="Y32" s="5" t="s">
        <v>139</v>
      </c>
      <c r="Z32" s="5" t="s">
        <v>140</v>
      </c>
    </row>
    <row r="33" spans="1:26">
      <c r="A33">
        <v>12</v>
      </c>
      <c r="E33" s="54" t="s">
        <v>243</v>
      </c>
      <c r="G33" s="17">
        <v>1000</v>
      </c>
      <c r="N33" s="54" t="s">
        <v>243</v>
      </c>
      <c r="O33">
        <v>59</v>
      </c>
      <c r="Q33" s="17">
        <v>1000</v>
      </c>
      <c r="S33" s="45">
        <v>10</v>
      </c>
      <c r="T33" s="4">
        <v>5</v>
      </c>
      <c r="U33" s="4"/>
      <c r="V33" s="4">
        <v>1</v>
      </c>
      <c r="W33" s="17"/>
      <c r="X33" s="28">
        <v>3000</v>
      </c>
      <c r="Y33" s="4" t="s">
        <v>150</v>
      </c>
      <c r="Z33" s="27">
        <v>3000</v>
      </c>
    </row>
    <row r="34" spans="1:26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L34" t="s">
        <v>142</v>
      </c>
      <c r="M34" s="54" t="s">
        <v>244</v>
      </c>
      <c r="O34">
        <v>61</v>
      </c>
      <c r="P34" s="17">
        <v>1800</v>
      </c>
      <c r="S34" s="59"/>
      <c r="T34" s="48">
        <v>11</v>
      </c>
      <c r="U34" s="48"/>
      <c r="V34" s="48" t="s">
        <v>142</v>
      </c>
      <c r="W34" s="30">
        <v>3000</v>
      </c>
      <c r="X34" s="31"/>
      <c r="Y34" s="48" t="s">
        <v>151</v>
      </c>
      <c r="Z34" s="31">
        <v>0</v>
      </c>
    </row>
    <row r="35" spans="1:26">
      <c r="A35">
        <v>13</v>
      </c>
      <c r="E35" s="54" t="s">
        <v>144</v>
      </c>
      <c r="G35" s="17">
        <v>1800</v>
      </c>
      <c r="N35" s="54" t="s">
        <v>144</v>
      </c>
      <c r="O35">
        <v>25</v>
      </c>
      <c r="Q35" s="17">
        <v>1800</v>
      </c>
    </row>
    <row r="36" spans="1:26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L36" t="s">
        <v>142</v>
      </c>
      <c r="M36" s="54" t="s">
        <v>86</v>
      </c>
      <c r="O36">
        <v>51</v>
      </c>
      <c r="P36" s="17">
        <v>8000</v>
      </c>
      <c r="S36" s="15" t="s">
        <v>231</v>
      </c>
      <c r="T36" s="3"/>
      <c r="U36" s="3"/>
      <c r="V36" s="3"/>
      <c r="W36" s="3"/>
      <c r="X36" s="3"/>
      <c r="Y36" s="3"/>
      <c r="Z36" s="4" t="s">
        <v>245</v>
      </c>
    </row>
    <row r="37" spans="1:26">
      <c r="A37">
        <v>14</v>
      </c>
      <c r="E37" s="49" t="s">
        <v>231</v>
      </c>
      <c r="G37" s="17">
        <v>8000</v>
      </c>
      <c r="N37" s="49" t="s">
        <v>231</v>
      </c>
      <c r="O37">
        <v>33</v>
      </c>
      <c r="Q37" s="17">
        <v>8000</v>
      </c>
      <c r="S37" s="15" t="s">
        <v>131</v>
      </c>
      <c r="T37" s="4"/>
      <c r="U37" s="4"/>
      <c r="V37" s="4"/>
      <c r="W37" s="3"/>
      <c r="X37" s="4"/>
      <c r="Y37" s="4"/>
      <c r="Z37" s="4"/>
    </row>
    <row r="38" spans="1:26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L38" t="s">
        <v>142</v>
      </c>
      <c r="M38" s="54" t="s">
        <v>84</v>
      </c>
      <c r="O38">
        <v>63</v>
      </c>
      <c r="P38" s="17">
        <v>1000</v>
      </c>
      <c r="S38" s="45" t="s">
        <v>132</v>
      </c>
      <c r="T38" s="4" t="s">
        <v>133</v>
      </c>
      <c r="U38" s="5" t="s">
        <v>137</v>
      </c>
      <c r="V38" s="5" t="s">
        <v>138</v>
      </c>
      <c r="W38" s="11" t="s">
        <v>135</v>
      </c>
      <c r="X38" s="48" t="s">
        <v>136</v>
      </c>
      <c r="Y38" s="5" t="s">
        <v>139</v>
      </c>
      <c r="Z38" s="5" t="s">
        <v>140</v>
      </c>
    </row>
    <row r="39" spans="1:26">
      <c r="A39">
        <v>15</v>
      </c>
      <c r="E39" s="49" t="s">
        <v>242</v>
      </c>
      <c r="G39" s="17">
        <v>1000</v>
      </c>
      <c r="N39" s="49" t="s">
        <v>242</v>
      </c>
      <c r="O39">
        <v>35</v>
      </c>
      <c r="Q39" s="17">
        <v>1000</v>
      </c>
      <c r="S39" s="60">
        <v>10</v>
      </c>
      <c r="T39" s="61">
        <v>31</v>
      </c>
      <c r="U39" s="61"/>
      <c r="V39" s="61">
        <v>1</v>
      </c>
      <c r="W39" s="30"/>
      <c r="X39" s="31">
        <v>8000</v>
      </c>
      <c r="Y39" s="61" t="s">
        <v>150</v>
      </c>
      <c r="Z39" s="28">
        <v>8000</v>
      </c>
    </row>
    <row r="41" spans="1:26">
      <c r="S41" s="15" t="s">
        <v>242</v>
      </c>
      <c r="T41" s="3"/>
      <c r="U41" s="3"/>
      <c r="V41" s="3"/>
      <c r="W41" s="3"/>
      <c r="X41" s="3"/>
      <c r="Y41" s="3"/>
      <c r="Z41" s="4" t="s">
        <v>246</v>
      </c>
    </row>
    <row r="42" spans="1:26">
      <c r="S42" s="15" t="s">
        <v>131</v>
      </c>
      <c r="T42" s="4"/>
      <c r="U42" s="4"/>
      <c r="V42" s="4"/>
      <c r="W42" s="3"/>
      <c r="X42" s="4"/>
      <c r="Y42" s="4"/>
      <c r="Z42" s="4"/>
    </row>
    <row r="43" spans="1:26">
      <c r="S43" s="45" t="s">
        <v>132</v>
      </c>
      <c r="T43" s="4" t="s">
        <v>133</v>
      </c>
      <c r="U43" s="5" t="s">
        <v>137</v>
      </c>
      <c r="V43" s="5" t="s">
        <v>138</v>
      </c>
      <c r="W43" s="11" t="s">
        <v>135</v>
      </c>
      <c r="X43" s="48" t="s">
        <v>136</v>
      </c>
      <c r="Y43" s="5" t="s">
        <v>139</v>
      </c>
      <c r="Z43" s="5" t="s">
        <v>140</v>
      </c>
    </row>
    <row r="44" spans="1:26">
      <c r="S44" s="60">
        <v>10</v>
      </c>
      <c r="T44" s="61">
        <v>31</v>
      </c>
      <c r="U44" s="61"/>
      <c r="V44" s="61">
        <v>1</v>
      </c>
      <c r="W44" s="30"/>
      <c r="X44" s="31">
        <v>1000</v>
      </c>
      <c r="Y44" s="61" t="s">
        <v>150</v>
      </c>
      <c r="Z44" s="28">
        <v>1000</v>
      </c>
    </row>
    <row r="45" spans="1:26">
      <c r="A45" t="s">
        <v>105</v>
      </c>
    </row>
    <row r="47" spans="1:26">
      <c r="A47" t="s">
        <v>20</v>
      </c>
      <c r="B47" t="s">
        <v>95</v>
      </c>
      <c r="J47" t="s">
        <v>20</v>
      </c>
      <c r="K47" t="s">
        <v>106</v>
      </c>
    </row>
    <row r="48" spans="1:26">
      <c r="A48">
        <v>1</v>
      </c>
      <c r="B48">
        <v>1</v>
      </c>
      <c r="C48" s="6" t="s">
        <v>29</v>
      </c>
      <c r="J48">
        <v>1</v>
      </c>
      <c r="K48" s="51">
        <f>SUM(D49:D57)-SUM(G49:G57)</f>
        <v>115600</v>
      </c>
      <c r="S48" s="15" t="s">
        <v>38</v>
      </c>
      <c r="T48" s="3"/>
      <c r="U48" s="3"/>
      <c r="V48" s="3"/>
      <c r="W48" s="3"/>
      <c r="X48" s="3"/>
      <c r="Y48" s="3"/>
      <c r="Z48" s="4" t="s">
        <v>152</v>
      </c>
    </row>
    <row r="49" spans="1:26">
      <c r="C49" s="8">
        <v>44105</v>
      </c>
      <c r="D49" s="17">
        <v>200000</v>
      </c>
      <c r="E49">
        <v>1</v>
      </c>
      <c r="J49">
        <v>2</v>
      </c>
      <c r="K49" s="51">
        <f>SUM(D60)-SUM(G60)</f>
        <v>20000</v>
      </c>
      <c r="S49" s="15" t="s">
        <v>131</v>
      </c>
      <c r="T49" s="4"/>
      <c r="U49" s="4"/>
      <c r="V49" s="4"/>
      <c r="W49" s="3"/>
      <c r="X49" s="4"/>
      <c r="Y49" s="4"/>
      <c r="Z49" s="4"/>
    </row>
    <row r="50" spans="1:26">
      <c r="F50" s="8">
        <v>44105</v>
      </c>
      <c r="G50" s="17">
        <v>30000</v>
      </c>
      <c r="H50">
        <v>2</v>
      </c>
      <c r="J50">
        <v>3</v>
      </c>
      <c r="K50" s="51">
        <f>SUM(D63:D64)-SUM(G63:G64)</f>
        <v>14000</v>
      </c>
      <c r="S50" s="45" t="s">
        <v>132</v>
      </c>
      <c r="T50" s="4" t="s">
        <v>133</v>
      </c>
      <c r="U50" s="5" t="s">
        <v>137</v>
      </c>
      <c r="V50" s="5" t="s">
        <v>138</v>
      </c>
      <c r="W50" s="11" t="s">
        <v>135</v>
      </c>
      <c r="X50" s="48" t="s">
        <v>136</v>
      </c>
      <c r="Y50" s="5" t="s">
        <v>139</v>
      </c>
      <c r="Z50" s="5" t="s">
        <v>140</v>
      </c>
    </row>
    <row r="51" spans="1:26">
      <c r="F51" s="8">
        <v>44109</v>
      </c>
      <c r="G51" s="17">
        <v>90000</v>
      </c>
      <c r="H51">
        <v>3</v>
      </c>
      <c r="J51">
        <v>4</v>
      </c>
      <c r="K51" s="51">
        <f>SUM(D67:D68)-SUM(G67:G68)</f>
        <v>0</v>
      </c>
      <c r="S51" s="60">
        <v>10</v>
      </c>
      <c r="T51" s="61">
        <v>1</v>
      </c>
      <c r="U51" s="61"/>
      <c r="V51" s="61">
        <v>1</v>
      </c>
      <c r="W51" s="30"/>
      <c r="X51" s="31">
        <v>200000</v>
      </c>
      <c r="Y51" s="61" t="s">
        <v>150</v>
      </c>
      <c r="Z51" s="33">
        <v>200000</v>
      </c>
    </row>
    <row r="52" spans="1:26">
      <c r="F52" s="8">
        <v>44115</v>
      </c>
      <c r="G52" s="17">
        <v>3000</v>
      </c>
      <c r="H52">
        <v>5</v>
      </c>
      <c r="J52">
        <v>5</v>
      </c>
      <c r="K52" s="51">
        <f>SUM(D71)-SUM(G71)</f>
        <v>-8000</v>
      </c>
    </row>
    <row r="53" spans="1:26">
      <c r="C53" s="8">
        <v>44119</v>
      </c>
      <c r="D53" s="17">
        <v>20000</v>
      </c>
      <c r="E53">
        <v>6</v>
      </c>
      <c r="J53">
        <v>6</v>
      </c>
      <c r="K53" s="51">
        <f>SUM(D74)-SUM(G74)</f>
        <v>-1000</v>
      </c>
      <c r="S53" s="15" t="s">
        <v>148</v>
      </c>
      <c r="T53" s="3"/>
      <c r="U53" s="3"/>
      <c r="V53" s="3"/>
      <c r="W53" s="3"/>
      <c r="X53" s="3"/>
      <c r="Y53" s="3"/>
      <c r="Z53" s="4" t="s">
        <v>153</v>
      </c>
    </row>
    <row r="54" spans="1:26">
      <c r="C54" s="8">
        <v>44120</v>
      </c>
      <c r="D54" s="17">
        <v>8000</v>
      </c>
      <c r="E54">
        <v>7</v>
      </c>
      <c r="J54">
        <v>7</v>
      </c>
      <c r="K54" s="51">
        <f>SUM(D77)-SUM(G77)</f>
        <v>-200000</v>
      </c>
      <c r="S54" s="15" t="s">
        <v>131</v>
      </c>
      <c r="T54" s="4"/>
      <c r="U54" s="4"/>
      <c r="V54" s="4"/>
      <c r="W54" s="3"/>
      <c r="X54" s="4"/>
      <c r="Y54" s="4"/>
      <c r="Z54" s="4"/>
    </row>
    <row r="55" spans="1:26">
      <c r="F55" s="8">
        <v>44122</v>
      </c>
      <c r="G55" s="17">
        <v>17000</v>
      </c>
      <c r="H55">
        <v>8</v>
      </c>
      <c r="J55">
        <v>8</v>
      </c>
      <c r="K55" s="51">
        <f>SUM(D80:D81)-SUM(G80:G81)</f>
        <v>-70000</v>
      </c>
      <c r="S55" s="45" t="s">
        <v>132</v>
      </c>
      <c r="T55" s="4" t="s">
        <v>133</v>
      </c>
      <c r="U55" s="5" t="s">
        <v>137</v>
      </c>
      <c r="V55" s="5" t="s">
        <v>138</v>
      </c>
      <c r="W55" s="11" t="s">
        <v>135</v>
      </c>
      <c r="X55" s="48" t="s">
        <v>136</v>
      </c>
      <c r="Y55" s="5" t="s">
        <v>139</v>
      </c>
      <c r="Z55" s="5" t="s">
        <v>140</v>
      </c>
    </row>
    <row r="56" spans="1:26">
      <c r="F56" s="8">
        <v>44125</v>
      </c>
      <c r="G56" s="17">
        <v>400</v>
      </c>
      <c r="H56">
        <v>9</v>
      </c>
      <c r="J56">
        <v>9</v>
      </c>
      <c r="K56" s="51">
        <f>SUM(D84)-SUM(G84)</f>
        <v>90000</v>
      </c>
      <c r="S56" s="45">
        <v>10</v>
      </c>
      <c r="T56" s="4">
        <v>15</v>
      </c>
      <c r="U56" s="4"/>
      <c r="V56" s="4">
        <v>1</v>
      </c>
      <c r="W56" s="17"/>
      <c r="X56" s="17">
        <v>30000</v>
      </c>
      <c r="Y56" s="45" t="s">
        <v>150</v>
      </c>
      <c r="Z56" s="27">
        <v>30000</v>
      </c>
    </row>
    <row r="57" spans="1:26">
      <c r="C57" s="8">
        <v>44135</v>
      </c>
      <c r="D57" s="17">
        <v>28000</v>
      </c>
      <c r="E57">
        <v>10</v>
      </c>
      <c r="J57">
        <v>10</v>
      </c>
      <c r="K57" s="51">
        <f>SUM(D87)-SUM(G87)</f>
        <v>1200</v>
      </c>
      <c r="S57" s="29"/>
      <c r="T57" s="29">
        <v>31</v>
      </c>
      <c r="U57" s="29"/>
      <c r="V57" s="29" t="s">
        <v>142</v>
      </c>
      <c r="W57" s="29"/>
      <c r="X57" s="30">
        <v>40000</v>
      </c>
      <c r="Y57" s="29" t="s">
        <v>142</v>
      </c>
      <c r="Z57" s="47">
        <v>70000</v>
      </c>
    </row>
    <row r="58" spans="1:26">
      <c r="J58">
        <v>11</v>
      </c>
      <c r="K58" s="51">
        <f>SUM(D90:D91)-SUM(G90:G91)</f>
        <v>25000</v>
      </c>
    </row>
    <row r="59" spans="1:26">
      <c r="A59">
        <v>2</v>
      </c>
      <c r="B59">
        <v>1</v>
      </c>
      <c r="C59" s="6" t="s">
        <v>119</v>
      </c>
      <c r="J59">
        <v>12</v>
      </c>
      <c r="K59" s="51">
        <f>SUM(D94)-SUM(G94)</f>
        <v>400</v>
      </c>
      <c r="S59" s="15" t="s">
        <v>143</v>
      </c>
      <c r="T59" s="3"/>
      <c r="U59" s="3"/>
      <c r="V59" s="3"/>
      <c r="W59" s="3"/>
      <c r="X59" s="3"/>
      <c r="Y59" s="3"/>
      <c r="Z59" s="4" t="s">
        <v>152</v>
      </c>
    </row>
    <row r="60" spans="1:26">
      <c r="C60" s="8">
        <v>44105</v>
      </c>
      <c r="D60" s="17">
        <v>30000</v>
      </c>
      <c r="E60">
        <v>2</v>
      </c>
      <c r="F60" s="8">
        <v>44135</v>
      </c>
      <c r="G60" s="17">
        <v>10000</v>
      </c>
      <c r="H60">
        <v>11</v>
      </c>
      <c r="J60">
        <v>13</v>
      </c>
      <c r="K60" s="51">
        <f t="shared" ref="K60" si="0">SUM(D97)-SUM(G97)</f>
        <v>10000</v>
      </c>
      <c r="S60" s="15" t="s">
        <v>131</v>
      </c>
      <c r="T60" s="4"/>
      <c r="U60" s="4"/>
      <c r="V60" s="4"/>
      <c r="W60" s="3"/>
      <c r="X60" s="4"/>
      <c r="Y60" s="4"/>
      <c r="Z60" s="4"/>
    </row>
    <row r="61" spans="1:26">
      <c r="J61">
        <v>14</v>
      </c>
      <c r="K61" s="51">
        <f>SUM(D100)-SUM(G100)</f>
        <v>1000</v>
      </c>
      <c r="S61" s="45" t="s">
        <v>132</v>
      </c>
      <c r="T61" s="4" t="s">
        <v>133</v>
      </c>
      <c r="U61" s="5" t="s">
        <v>137</v>
      </c>
      <c r="V61" s="5" t="s">
        <v>138</v>
      </c>
      <c r="W61" s="11" t="s">
        <v>135</v>
      </c>
      <c r="X61" s="48" t="s">
        <v>136</v>
      </c>
      <c r="Y61" s="5" t="s">
        <v>139</v>
      </c>
      <c r="Z61" s="5" t="s">
        <v>140</v>
      </c>
    </row>
    <row r="62" spans="1:26">
      <c r="A62">
        <v>3</v>
      </c>
      <c r="B62">
        <v>1</v>
      </c>
      <c r="C62" s="6" t="s">
        <v>147</v>
      </c>
      <c r="J62">
        <v>15</v>
      </c>
      <c r="K62" s="51">
        <f>SUM(D103)-SUM(G103)</f>
        <v>-1000</v>
      </c>
      <c r="S62" s="60">
        <v>10</v>
      </c>
      <c r="T62" s="61">
        <v>5</v>
      </c>
      <c r="U62" s="61"/>
      <c r="V62" s="61">
        <v>1</v>
      </c>
      <c r="W62" s="30">
        <v>90000</v>
      </c>
      <c r="X62" s="31"/>
      <c r="Y62" s="61" t="s">
        <v>141</v>
      </c>
      <c r="Z62" s="33">
        <v>90000</v>
      </c>
    </row>
    <row r="63" spans="1:26">
      <c r="C63" s="8">
        <v>44119</v>
      </c>
      <c r="D63" s="17">
        <v>10000</v>
      </c>
      <c r="E63">
        <v>6</v>
      </c>
      <c r="F63" s="8">
        <v>44120</v>
      </c>
      <c r="G63" s="17">
        <v>8000</v>
      </c>
      <c r="H63">
        <v>7</v>
      </c>
      <c r="J63">
        <v>16</v>
      </c>
      <c r="K63" s="51">
        <f>SUM(D106)-SUM(G106)</f>
        <v>1800</v>
      </c>
    </row>
    <row r="64" spans="1:26">
      <c r="C64" s="8">
        <v>44135</v>
      </c>
      <c r="D64" s="17">
        <v>12000</v>
      </c>
      <c r="E64">
        <v>10</v>
      </c>
      <c r="J64">
        <v>17</v>
      </c>
      <c r="K64" s="51">
        <f>SUM(D109)-SUM(G109)</f>
        <v>1000</v>
      </c>
      <c r="S64" s="15" t="s">
        <v>144</v>
      </c>
      <c r="T64" s="3"/>
      <c r="U64" s="3"/>
      <c r="V64" s="3"/>
      <c r="W64" s="3"/>
      <c r="X64" s="3"/>
      <c r="Y64" s="3"/>
      <c r="Z64" s="4" t="s">
        <v>154</v>
      </c>
    </row>
    <row r="65" spans="1:26">
      <c r="J65" t="s">
        <v>107</v>
      </c>
      <c r="K65" s="51">
        <f>SUM(K48:K64)</f>
        <v>0</v>
      </c>
      <c r="S65" s="15" t="s">
        <v>131</v>
      </c>
      <c r="T65" s="4"/>
      <c r="U65" s="4"/>
      <c r="V65" s="4"/>
      <c r="W65" s="3"/>
      <c r="X65" s="4"/>
      <c r="Y65" s="4"/>
      <c r="Z65" s="4"/>
    </row>
    <row r="66" spans="1:26">
      <c r="A66">
        <v>4</v>
      </c>
      <c r="B66">
        <v>2</v>
      </c>
      <c r="C66" s="49" t="s">
        <v>145</v>
      </c>
      <c r="S66" s="45" t="s">
        <v>132</v>
      </c>
      <c r="T66" s="4" t="s">
        <v>133</v>
      </c>
      <c r="U66" s="5" t="s">
        <v>137</v>
      </c>
      <c r="V66" s="5" t="s">
        <v>138</v>
      </c>
      <c r="W66" s="11" t="s">
        <v>135</v>
      </c>
      <c r="X66" s="48" t="s">
        <v>136</v>
      </c>
      <c r="Y66" s="5" t="s">
        <v>139</v>
      </c>
      <c r="Z66" s="5" t="s">
        <v>140</v>
      </c>
    </row>
    <row r="67" spans="1:26">
      <c r="F67" s="8">
        <v>44111</v>
      </c>
      <c r="G67" s="17">
        <v>3000</v>
      </c>
      <c r="H67">
        <v>4</v>
      </c>
      <c r="S67" s="45">
        <v>10</v>
      </c>
      <c r="T67" s="4">
        <v>7</v>
      </c>
      <c r="U67" s="4"/>
      <c r="V67" s="4">
        <v>1</v>
      </c>
      <c r="W67" s="17">
        <v>3000</v>
      </c>
      <c r="X67" s="28"/>
      <c r="Y67" s="4" t="s">
        <v>141</v>
      </c>
      <c r="Z67" s="27">
        <v>3000</v>
      </c>
    </row>
    <row r="68" spans="1:26">
      <c r="C68" s="8">
        <v>44115</v>
      </c>
      <c r="D68" s="17">
        <v>3000</v>
      </c>
      <c r="E68">
        <v>5</v>
      </c>
      <c r="S68" s="29"/>
      <c r="T68" s="29">
        <v>31</v>
      </c>
      <c r="U68" s="29"/>
      <c r="V68" s="59" t="s">
        <v>142</v>
      </c>
      <c r="W68" s="30">
        <v>1800</v>
      </c>
      <c r="X68" s="11"/>
      <c r="Y68" s="59" t="s">
        <v>142</v>
      </c>
      <c r="Z68" s="31">
        <v>4800</v>
      </c>
    </row>
    <row r="70" spans="1:26">
      <c r="A70">
        <v>5</v>
      </c>
      <c r="B70">
        <v>2</v>
      </c>
      <c r="C70" s="49" t="s">
        <v>231</v>
      </c>
      <c r="S70" s="15" t="s">
        <v>86</v>
      </c>
      <c r="T70" s="3"/>
      <c r="U70" s="3"/>
      <c r="V70" s="3"/>
      <c r="W70" s="3"/>
      <c r="X70" s="3"/>
      <c r="Y70" s="3"/>
      <c r="Z70" s="4" t="s">
        <v>155</v>
      </c>
    </row>
    <row r="71" spans="1:26">
      <c r="F71" s="8">
        <v>44135</v>
      </c>
      <c r="G71" s="17">
        <v>8000</v>
      </c>
      <c r="H71">
        <v>14</v>
      </c>
      <c r="S71" s="15" t="s">
        <v>131</v>
      </c>
      <c r="T71" s="4"/>
      <c r="U71" s="4"/>
      <c r="V71" s="4"/>
      <c r="W71" s="3"/>
      <c r="X71" s="4"/>
      <c r="Y71" s="4"/>
      <c r="Z71" s="4"/>
    </row>
    <row r="72" spans="1:26">
      <c r="S72" s="45" t="s">
        <v>132</v>
      </c>
      <c r="T72" s="4" t="s">
        <v>133</v>
      </c>
      <c r="U72" s="5" t="s">
        <v>137</v>
      </c>
      <c r="V72" s="5" t="s">
        <v>138</v>
      </c>
      <c r="W72" s="11" t="s">
        <v>135</v>
      </c>
      <c r="X72" s="48" t="s">
        <v>136</v>
      </c>
      <c r="Y72" s="5" t="s">
        <v>139</v>
      </c>
      <c r="Z72" s="5" t="s">
        <v>140</v>
      </c>
    </row>
    <row r="73" spans="1:26">
      <c r="A73">
        <v>6</v>
      </c>
      <c r="B73">
        <v>2</v>
      </c>
      <c r="C73" s="49" t="s">
        <v>242</v>
      </c>
      <c r="S73" s="45">
        <v>10</v>
      </c>
      <c r="T73" s="4">
        <v>18</v>
      </c>
      <c r="U73" s="4"/>
      <c r="V73" s="4">
        <v>1</v>
      </c>
      <c r="W73" s="17">
        <v>17000</v>
      </c>
      <c r="X73" s="28"/>
      <c r="Y73" s="4" t="s">
        <v>141</v>
      </c>
      <c r="Z73" s="27">
        <v>17000</v>
      </c>
    </row>
    <row r="74" spans="1:26">
      <c r="F74" s="8">
        <v>44135</v>
      </c>
      <c r="G74" s="17">
        <v>1000</v>
      </c>
      <c r="H74">
        <v>15</v>
      </c>
      <c r="S74" s="29"/>
      <c r="T74" s="29">
        <v>31</v>
      </c>
      <c r="U74" s="29"/>
      <c r="V74" s="59" t="s">
        <v>142</v>
      </c>
      <c r="W74" s="30">
        <v>8000</v>
      </c>
      <c r="X74" s="11"/>
      <c r="Y74" s="59" t="s">
        <v>142</v>
      </c>
      <c r="Z74" s="31">
        <v>25000</v>
      </c>
    </row>
    <row r="76" spans="1:26">
      <c r="A76">
        <v>7</v>
      </c>
      <c r="B76">
        <v>3</v>
      </c>
      <c r="C76" s="52" t="s">
        <v>38</v>
      </c>
      <c r="S76" s="15" t="s">
        <v>101</v>
      </c>
      <c r="T76" s="3"/>
      <c r="U76" s="3"/>
      <c r="V76" s="3"/>
      <c r="W76" s="3"/>
      <c r="X76" s="3"/>
      <c r="Y76" s="3"/>
      <c r="Z76" s="4" t="s">
        <v>156</v>
      </c>
    </row>
    <row r="77" spans="1:26">
      <c r="F77" s="8">
        <v>44105</v>
      </c>
      <c r="G77" s="17">
        <v>200000</v>
      </c>
      <c r="H77">
        <v>1</v>
      </c>
      <c r="S77" s="15" t="s">
        <v>131</v>
      </c>
      <c r="T77" s="4"/>
      <c r="U77" s="4"/>
      <c r="V77" s="4"/>
      <c r="W77" s="3"/>
      <c r="X77" s="4"/>
      <c r="Y77" s="4"/>
      <c r="Z77" s="4"/>
    </row>
    <row r="78" spans="1:26">
      <c r="S78" s="45" t="s">
        <v>132</v>
      </c>
      <c r="T78" s="4" t="s">
        <v>133</v>
      </c>
      <c r="U78" s="5" t="s">
        <v>137</v>
      </c>
      <c r="V78" s="5" t="s">
        <v>138</v>
      </c>
      <c r="W78" s="11" t="s">
        <v>135</v>
      </c>
      <c r="X78" s="48" t="s">
        <v>136</v>
      </c>
      <c r="Y78" s="5" t="s">
        <v>139</v>
      </c>
      <c r="Z78" s="48" t="s">
        <v>140</v>
      </c>
    </row>
    <row r="79" spans="1:26">
      <c r="A79">
        <v>8</v>
      </c>
      <c r="B79">
        <v>4</v>
      </c>
      <c r="C79" s="53" t="s">
        <v>148</v>
      </c>
      <c r="S79" s="60">
        <v>10</v>
      </c>
      <c r="T79" s="61">
        <v>21</v>
      </c>
      <c r="U79" s="61"/>
      <c r="V79" s="61">
        <v>1</v>
      </c>
      <c r="W79" s="30">
        <v>400</v>
      </c>
      <c r="X79" s="31"/>
      <c r="Y79" s="61" t="s">
        <v>141</v>
      </c>
      <c r="Z79" s="31">
        <v>400</v>
      </c>
    </row>
    <row r="80" spans="1:26">
      <c r="F80" s="8">
        <v>44119</v>
      </c>
      <c r="G80" s="17">
        <v>30000</v>
      </c>
      <c r="H80">
        <v>6</v>
      </c>
    </row>
    <row r="81" spans="1:26">
      <c r="F81" s="8">
        <v>44135</v>
      </c>
      <c r="G81" s="17">
        <v>40000</v>
      </c>
      <c r="H81">
        <v>10</v>
      </c>
      <c r="S81" s="15" t="s">
        <v>104</v>
      </c>
      <c r="T81" s="3"/>
      <c r="U81" s="3"/>
      <c r="V81" s="3"/>
      <c r="W81" s="3"/>
      <c r="X81" s="3"/>
      <c r="Y81" s="3"/>
      <c r="Z81" s="4" t="s">
        <v>155</v>
      </c>
    </row>
    <row r="82" spans="1:26">
      <c r="S82" s="15" t="s">
        <v>131</v>
      </c>
      <c r="T82" s="4"/>
      <c r="U82" s="4"/>
      <c r="V82" s="4"/>
      <c r="W82" s="3"/>
      <c r="X82" s="4"/>
      <c r="Y82" s="4"/>
      <c r="Z82" s="4"/>
    </row>
    <row r="83" spans="1:26">
      <c r="A83">
        <v>9</v>
      </c>
      <c r="B83">
        <v>5</v>
      </c>
      <c r="C83" s="54" t="s">
        <v>143</v>
      </c>
      <c r="S83" s="45" t="s">
        <v>132</v>
      </c>
      <c r="T83" s="4" t="s">
        <v>133</v>
      </c>
      <c r="U83" s="5" t="s">
        <v>137</v>
      </c>
      <c r="V83" s="5" t="s">
        <v>138</v>
      </c>
      <c r="W83" s="11" t="s">
        <v>135</v>
      </c>
      <c r="X83" s="48" t="s">
        <v>136</v>
      </c>
      <c r="Y83" s="5" t="s">
        <v>139</v>
      </c>
      <c r="Z83" s="48" t="s">
        <v>140</v>
      </c>
    </row>
    <row r="84" spans="1:26">
      <c r="C84" s="8">
        <v>44109</v>
      </c>
      <c r="D84" s="17">
        <v>90000</v>
      </c>
      <c r="E84">
        <v>3</v>
      </c>
      <c r="S84" s="60">
        <v>10</v>
      </c>
      <c r="T84" s="61">
        <v>18</v>
      </c>
      <c r="U84" s="61"/>
      <c r="V84" s="61">
        <v>1</v>
      </c>
      <c r="W84" s="30">
        <v>17000</v>
      </c>
      <c r="X84" s="31"/>
      <c r="Y84" s="61" t="s">
        <v>141</v>
      </c>
      <c r="Z84" s="31">
        <v>17000</v>
      </c>
    </row>
    <row r="86" spans="1:26">
      <c r="A86">
        <v>10</v>
      </c>
      <c r="B86">
        <v>5</v>
      </c>
      <c r="C86" s="54" t="s">
        <v>144</v>
      </c>
      <c r="S86" s="15" t="s">
        <v>236</v>
      </c>
      <c r="T86" s="3"/>
      <c r="U86" s="3"/>
      <c r="V86" s="3"/>
      <c r="W86" s="3"/>
      <c r="X86" s="3"/>
      <c r="Y86" s="3"/>
      <c r="Z86" s="4" t="s">
        <v>247</v>
      </c>
    </row>
    <row r="87" spans="1:26">
      <c r="C87" s="8">
        <v>44111</v>
      </c>
      <c r="D87" s="17">
        <v>3000</v>
      </c>
      <c r="E87">
        <v>4</v>
      </c>
      <c r="F87" s="8">
        <v>44135</v>
      </c>
      <c r="G87" s="17">
        <v>1800</v>
      </c>
      <c r="H87">
        <v>13</v>
      </c>
      <c r="S87" s="15" t="s">
        <v>131</v>
      </c>
      <c r="T87" s="4"/>
      <c r="U87" s="4"/>
      <c r="V87" s="4"/>
      <c r="W87" s="3"/>
      <c r="X87" s="4"/>
      <c r="Y87" s="4"/>
      <c r="Z87" s="4"/>
    </row>
    <row r="88" spans="1:26">
      <c r="S88" s="45" t="s">
        <v>132</v>
      </c>
      <c r="T88" s="4" t="s">
        <v>133</v>
      </c>
      <c r="U88" s="5" t="s">
        <v>137</v>
      </c>
      <c r="V88" s="5" t="s">
        <v>138</v>
      </c>
      <c r="W88" s="11" t="s">
        <v>135</v>
      </c>
      <c r="X88" s="48" t="s">
        <v>136</v>
      </c>
      <c r="Y88" s="5" t="s">
        <v>139</v>
      </c>
      <c r="Z88" s="48" t="s">
        <v>140</v>
      </c>
    </row>
    <row r="89" spans="1:26">
      <c r="A89">
        <v>11</v>
      </c>
      <c r="B89">
        <v>5</v>
      </c>
      <c r="C89" s="54" t="s">
        <v>86</v>
      </c>
      <c r="S89" s="60">
        <v>10</v>
      </c>
      <c r="T89" s="61">
        <v>31</v>
      </c>
      <c r="U89" s="61"/>
      <c r="V89" s="61">
        <v>1</v>
      </c>
      <c r="W89" s="30">
        <v>1000</v>
      </c>
      <c r="X89" s="31"/>
      <c r="Y89" s="61" t="s">
        <v>141</v>
      </c>
      <c r="Z89" s="31">
        <v>1000</v>
      </c>
    </row>
    <row r="90" spans="1:26">
      <c r="C90" s="8">
        <v>44122</v>
      </c>
      <c r="D90" s="17">
        <v>17000</v>
      </c>
      <c r="E90">
        <v>8</v>
      </c>
    </row>
    <row r="91" spans="1:26">
      <c r="C91" s="8">
        <v>44135</v>
      </c>
      <c r="D91" s="17">
        <v>8000</v>
      </c>
      <c r="E91">
        <v>14</v>
      </c>
      <c r="S91" s="15" t="s">
        <v>243</v>
      </c>
      <c r="T91" s="3"/>
      <c r="U91" s="3"/>
      <c r="V91" s="3"/>
      <c r="W91" s="3"/>
      <c r="X91" s="3"/>
      <c r="Y91" s="3"/>
      <c r="Z91" s="4" t="s">
        <v>248</v>
      </c>
    </row>
    <row r="92" spans="1:26">
      <c r="S92" s="15" t="s">
        <v>131</v>
      </c>
      <c r="T92" s="4"/>
      <c r="U92" s="4"/>
      <c r="V92" s="4"/>
      <c r="W92" s="3"/>
      <c r="X92" s="4"/>
      <c r="Y92" s="4"/>
      <c r="Z92" s="4"/>
    </row>
    <row r="93" spans="1:26">
      <c r="A93">
        <v>12</v>
      </c>
      <c r="B93">
        <v>5</v>
      </c>
      <c r="C93" s="54" t="s">
        <v>101</v>
      </c>
      <c r="S93" s="45" t="s">
        <v>132</v>
      </c>
      <c r="T93" s="4" t="s">
        <v>133</v>
      </c>
      <c r="U93" s="5" t="s">
        <v>137</v>
      </c>
      <c r="V93" s="5" t="s">
        <v>138</v>
      </c>
      <c r="W93" s="11" t="s">
        <v>135</v>
      </c>
      <c r="X93" s="48" t="s">
        <v>136</v>
      </c>
      <c r="Y93" s="5" t="s">
        <v>139</v>
      </c>
      <c r="Z93" s="48" t="s">
        <v>140</v>
      </c>
    </row>
    <row r="94" spans="1:26">
      <c r="C94" s="8">
        <v>44125</v>
      </c>
      <c r="D94" s="17">
        <v>400</v>
      </c>
      <c r="E94">
        <v>9</v>
      </c>
      <c r="S94" s="60">
        <v>10</v>
      </c>
      <c r="T94" s="61">
        <v>31</v>
      </c>
      <c r="U94" s="61"/>
      <c r="V94" s="61">
        <v>1</v>
      </c>
      <c r="W94" s="30"/>
      <c r="X94" s="31">
        <v>1000</v>
      </c>
      <c r="Y94" s="61" t="s">
        <v>150</v>
      </c>
      <c r="Z94" s="31">
        <v>1000</v>
      </c>
    </row>
    <row r="96" spans="1:26">
      <c r="A96">
        <v>13</v>
      </c>
      <c r="B96">
        <v>5</v>
      </c>
      <c r="C96" s="54" t="s">
        <v>104</v>
      </c>
      <c r="S96" s="15" t="s">
        <v>244</v>
      </c>
      <c r="T96" s="3"/>
      <c r="U96" s="3"/>
      <c r="V96" s="3"/>
      <c r="W96" s="3"/>
      <c r="X96" s="3"/>
      <c r="Y96" s="3"/>
      <c r="Z96" s="4" t="s">
        <v>152</v>
      </c>
    </row>
    <row r="97" spans="1:26">
      <c r="C97" s="8">
        <v>44135</v>
      </c>
      <c r="D97" s="17">
        <v>10000</v>
      </c>
      <c r="E97">
        <v>11</v>
      </c>
      <c r="S97" s="15" t="s">
        <v>131</v>
      </c>
      <c r="T97" s="4"/>
      <c r="U97" s="4"/>
      <c r="V97" s="4"/>
      <c r="W97" s="3"/>
      <c r="X97" s="4"/>
      <c r="Y97" s="4"/>
      <c r="Z97" s="4"/>
    </row>
    <row r="98" spans="1:26">
      <c r="S98" s="45" t="s">
        <v>132</v>
      </c>
      <c r="T98" s="4" t="s">
        <v>133</v>
      </c>
      <c r="U98" s="5" t="s">
        <v>137</v>
      </c>
      <c r="V98" s="5" t="s">
        <v>138</v>
      </c>
      <c r="W98" s="11" t="s">
        <v>135</v>
      </c>
      <c r="X98" s="48" t="s">
        <v>136</v>
      </c>
      <c r="Y98" s="5" t="s">
        <v>139</v>
      </c>
      <c r="Z98" s="5" t="s">
        <v>140</v>
      </c>
    </row>
    <row r="99" spans="1:26">
      <c r="A99">
        <v>14</v>
      </c>
      <c r="B99">
        <v>5</v>
      </c>
      <c r="C99" s="54" t="s">
        <v>236</v>
      </c>
      <c r="S99" s="60">
        <v>10</v>
      </c>
      <c r="T99" s="61">
        <v>31</v>
      </c>
      <c r="U99" s="61"/>
      <c r="V99" s="61">
        <v>61</v>
      </c>
      <c r="W99" s="30">
        <v>1800</v>
      </c>
      <c r="X99" s="31"/>
      <c r="Y99" s="61" t="s">
        <v>141</v>
      </c>
      <c r="Z99" s="33">
        <v>1800</v>
      </c>
    </row>
    <row r="100" spans="1:26">
      <c r="C100" s="8">
        <v>44135</v>
      </c>
      <c r="D100" s="17">
        <v>1000</v>
      </c>
      <c r="E100">
        <v>12</v>
      </c>
    </row>
    <row r="101" spans="1:26">
      <c r="S101" s="15" t="s">
        <v>84</v>
      </c>
      <c r="T101" s="3"/>
      <c r="U101" s="3"/>
      <c r="V101" s="3"/>
      <c r="W101" s="3"/>
      <c r="X101" s="3"/>
      <c r="Y101" s="3"/>
      <c r="Z101" s="4" t="s">
        <v>249</v>
      </c>
    </row>
    <row r="102" spans="1:26">
      <c r="A102">
        <v>15</v>
      </c>
      <c r="B102">
        <v>5</v>
      </c>
      <c r="C102" s="54" t="s">
        <v>243</v>
      </c>
      <c r="S102" s="15" t="s">
        <v>131</v>
      </c>
      <c r="T102" s="4"/>
      <c r="U102" s="4"/>
      <c r="V102" s="4"/>
      <c r="W102" s="3"/>
      <c r="X102" s="4"/>
      <c r="Y102" s="4"/>
      <c r="Z102" s="4"/>
    </row>
    <row r="103" spans="1:26">
      <c r="F103" s="8">
        <v>44135</v>
      </c>
      <c r="G103" s="17">
        <v>1000</v>
      </c>
      <c r="H103">
        <v>12</v>
      </c>
      <c r="S103" s="45" t="s">
        <v>132</v>
      </c>
      <c r="T103" s="4" t="s">
        <v>133</v>
      </c>
      <c r="U103" s="5" t="s">
        <v>137</v>
      </c>
      <c r="V103" s="5" t="s">
        <v>138</v>
      </c>
      <c r="W103" s="11" t="s">
        <v>135</v>
      </c>
      <c r="X103" s="48" t="s">
        <v>136</v>
      </c>
      <c r="Y103" s="5" t="s">
        <v>139</v>
      </c>
      <c r="Z103" s="5" t="s">
        <v>140</v>
      </c>
    </row>
    <row r="104" spans="1:26">
      <c r="S104" s="60">
        <v>10</v>
      </c>
      <c r="T104" s="61">
        <v>31</v>
      </c>
      <c r="U104" s="61"/>
      <c r="V104" s="61">
        <v>1</v>
      </c>
      <c r="W104" s="28">
        <v>1000</v>
      </c>
      <c r="X104" s="31"/>
      <c r="Y104" s="61"/>
      <c r="Z104" s="28">
        <v>1000</v>
      </c>
    </row>
    <row r="105" spans="1:26">
      <c r="A105">
        <v>16</v>
      </c>
      <c r="B105">
        <v>5</v>
      </c>
      <c r="C105" s="54" t="s">
        <v>244</v>
      </c>
    </row>
    <row r="106" spans="1:26">
      <c r="C106" s="8">
        <v>44135</v>
      </c>
      <c r="D106" s="17">
        <v>1800</v>
      </c>
      <c r="E106">
        <v>13</v>
      </c>
    </row>
    <row r="108" spans="1:26">
      <c r="A108">
        <v>17</v>
      </c>
      <c r="B108">
        <v>5</v>
      </c>
      <c r="C108" s="54" t="s">
        <v>84</v>
      </c>
    </row>
    <row r="109" spans="1:26">
      <c r="C109" s="8">
        <v>44135</v>
      </c>
      <c r="D109" s="17">
        <v>1000</v>
      </c>
      <c r="E109">
        <v>15</v>
      </c>
    </row>
    <row r="114" spans="1:5">
      <c r="A114" t="s">
        <v>108</v>
      </c>
    </row>
    <row r="116" spans="1:5">
      <c r="C116" t="s">
        <v>157</v>
      </c>
    </row>
    <row r="117" spans="1:5">
      <c r="C117" t="s">
        <v>108</v>
      </c>
    </row>
    <row r="118" spans="1:5">
      <c r="C118" t="s">
        <v>158</v>
      </c>
    </row>
    <row r="119" spans="1:5">
      <c r="A119" t="s">
        <v>20</v>
      </c>
      <c r="B119" t="s">
        <v>95</v>
      </c>
      <c r="C119" t="s">
        <v>96</v>
      </c>
      <c r="D119" t="s">
        <v>17</v>
      </c>
      <c r="E119" t="s">
        <v>19</v>
      </c>
    </row>
    <row r="120" spans="1:5">
      <c r="A120">
        <v>1</v>
      </c>
      <c r="B120">
        <v>1</v>
      </c>
      <c r="C120" s="6" t="s">
        <v>29</v>
      </c>
      <c r="D120" s="51">
        <v>115600</v>
      </c>
      <c r="E120" s="51"/>
    </row>
    <row r="121" spans="1:5">
      <c r="A121">
        <v>2</v>
      </c>
      <c r="B121">
        <v>1</v>
      </c>
      <c r="C121" s="6" t="s">
        <v>119</v>
      </c>
      <c r="D121" s="51">
        <v>20000</v>
      </c>
      <c r="E121" s="51"/>
    </row>
    <row r="122" spans="1:5">
      <c r="A122">
        <v>3</v>
      </c>
      <c r="B122">
        <v>1</v>
      </c>
      <c r="C122" s="6" t="s">
        <v>147</v>
      </c>
      <c r="D122" s="51">
        <v>14000</v>
      </c>
      <c r="E122" s="51"/>
    </row>
    <row r="123" spans="1:5">
      <c r="A123">
        <v>4</v>
      </c>
      <c r="B123">
        <v>2</v>
      </c>
      <c r="C123" s="49" t="s">
        <v>145</v>
      </c>
      <c r="D123" s="51">
        <v>0</v>
      </c>
      <c r="E123" s="51"/>
    </row>
    <row r="124" spans="1:5">
      <c r="A124">
        <v>5</v>
      </c>
      <c r="B124">
        <v>2</v>
      </c>
      <c r="C124" s="49" t="s">
        <v>231</v>
      </c>
      <c r="D124" s="51"/>
      <c r="E124" s="51">
        <v>8000</v>
      </c>
    </row>
    <row r="125" spans="1:5">
      <c r="A125">
        <v>6</v>
      </c>
      <c r="B125">
        <v>2</v>
      </c>
      <c r="C125" s="49" t="s">
        <v>242</v>
      </c>
      <c r="D125" s="51"/>
      <c r="E125" s="51">
        <v>1000</v>
      </c>
    </row>
    <row r="126" spans="1:5">
      <c r="A126">
        <v>7</v>
      </c>
      <c r="B126">
        <v>3</v>
      </c>
      <c r="C126" s="52" t="s">
        <v>38</v>
      </c>
      <c r="D126" s="51"/>
      <c r="E126" s="51">
        <v>200000</v>
      </c>
    </row>
    <row r="127" spans="1:5">
      <c r="A127">
        <v>8</v>
      </c>
      <c r="B127">
        <v>4</v>
      </c>
      <c r="C127" s="53" t="s">
        <v>148</v>
      </c>
      <c r="D127" s="51"/>
      <c r="E127" s="51">
        <v>70000</v>
      </c>
    </row>
    <row r="128" spans="1:5">
      <c r="A128">
        <v>9</v>
      </c>
      <c r="B128">
        <v>5</v>
      </c>
      <c r="C128" s="54" t="s">
        <v>143</v>
      </c>
      <c r="D128" s="51">
        <v>90000</v>
      </c>
      <c r="E128" s="51"/>
    </row>
    <row r="129" spans="1:5">
      <c r="A129">
        <v>10</v>
      </c>
      <c r="B129">
        <v>5</v>
      </c>
      <c r="C129" s="54" t="s">
        <v>144</v>
      </c>
      <c r="D129" s="51">
        <v>1200</v>
      </c>
      <c r="E129" s="51"/>
    </row>
    <row r="130" spans="1:5">
      <c r="A130">
        <v>11</v>
      </c>
      <c r="B130">
        <v>5</v>
      </c>
      <c r="C130" s="54" t="s">
        <v>86</v>
      </c>
      <c r="D130" s="51">
        <v>25000</v>
      </c>
      <c r="E130" s="51"/>
    </row>
    <row r="131" spans="1:5">
      <c r="A131">
        <v>12</v>
      </c>
      <c r="B131">
        <v>5</v>
      </c>
      <c r="C131" s="54" t="s">
        <v>101</v>
      </c>
      <c r="D131" s="51">
        <v>400</v>
      </c>
      <c r="E131" s="51"/>
    </row>
    <row r="132" spans="1:5">
      <c r="A132">
        <v>13</v>
      </c>
      <c r="B132">
        <v>5</v>
      </c>
      <c r="C132" s="54" t="s">
        <v>104</v>
      </c>
      <c r="D132" s="51">
        <v>10000</v>
      </c>
      <c r="E132" s="51"/>
    </row>
    <row r="133" spans="1:5">
      <c r="A133">
        <v>14</v>
      </c>
      <c r="B133">
        <v>5</v>
      </c>
      <c r="C133" s="54" t="s">
        <v>236</v>
      </c>
      <c r="D133" s="51">
        <v>1000</v>
      </c>
      <c r="E133" s="51"/>
    </row>
    <row r="134" spans="1:5">
      <c r="A134">
        <v>15</v>
      </c>
      <c r="B134">
        <v>5</v>
      </c>
      <c r="C134" s="54" t="s">
        <v>243</v>
      </c>
      <c r="D134" s="51"/>
      <c r="E134" s="51">
        <v>1000</v>
      </c>
    </row>
    <row r="135" spans="1:5">
      <c r="A135">
        <v>16</v>
      </c>
      <c r="B135">
        <v>5</v>
      </c>
      <c r="C135" s="54" t="s">
        <v>244</v>
      </c>
      <c r="D135" s="51">
        <v>1800</v>
      </c>
      <c r="E135" s="51"/>
    </row>
    <row r="136" spans="1:5">
      <c r="A136">
        <v>17</v>
      </c>
      <c r="B136">
        <v>5</v>
      </c>
      <c r="C136" s="54" t="s">
        <v>84</v>
      </c>
      <c r="D136" s="51">
        <v>1000</v>
      </c>
      <c r="E136" s="51"/>
    </row>
    <row r="137" spans="1:5">
      <c r="C137" t="s">
        <v>107</v>
      </c>
      <c r="D137" s="51">
        <f>SUM(D120:D136)</f>
        <v>280000</v>
      </c>
      <c r="E137" s="51">
        <f>SUM(E120:E136)</f>
        <v>280000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21ECB-FE29-4321-BEB0-8404761A50E7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1BD86-F628-4CA7-A97A-1D5C0B2772D8}">
  <dimension ref="A1:F23"/>
  <sheetViews>
    <sheetView workbookViewId="0">
      <selection activeCell="H1" sqref="H1"/>
    </sheetView>
  </sheetViews>
  <sheetFormatPr defaultRowHeight="16.5"/>
  <cols>
    <col min="2" max="2" width="10.125" bestFit="1" customWidth="1"/>
    <col min="6" max="6" width="18.5" bestFit="1" customWidth="1"/>
  </cols>
  <sheetData>
    <row r="1" spans="1:6">
      <c r="A1" t="s">
        <v>1</v>
      </c>
      <c r="E1" t="s">
        <v>201</v>
      </c>
      <c r="F1" t="s">
        <v>250</v>
      </c>
    </row>
    <row r="2" spans="1:6">
      <c r="A2" t="s">
        <v>251</v>
      </c>
      <c r="B2" s="8">
        <v>44196</v>
      </c>
      <c r="C2" t="s">
        <v>252</v>
      </c>
      <c r="F2" t="s">
        <v>253</v>
      </c>
    </row>
    <row r="3" spans="1:6">
      <c r="A3" t="s">
        <v>251</v>
      </c>
    </row>
    <row r="4" spans="1:6">
      <c r="B4" t="s">
        <v>254</v>
      </c>
      <c r="D4" t="s">
        <v>255</v>
      </c>
    </row>
    <row r="5" spans="1:6">
      <c r="A5" t="s">
        <v>78</v>
      </c>
      <c r="B5" t="s">
        <v>17</v>
      </c>
      <c r="C5" t="s">
        <v>19</v>
      </c>
      <c r="D5" t="s">
        <v>17</v>
      </c>
      <c r="E5" t="s">
        <v>19</v>
      </c>
    </row>
    <row r="6" spans="1:6">
      <c r="A6" t="s">
        <v>29</v>
      </c>
      <c r="B6" s="17">
        <v>9000</v>
      </c>
      <c r="C6" s="17"/>
      <c r="D6" s="17">
        <v>9000</v>
      </c>
      <c r="E6" s="17"/>
    </row>
    <row r="7" spans="1:6">
      <c r="A7" t="s">
        <v>92</v>
      </c>
      <c r="B7" s="17">
        <v>36000</v>
      </c>
      <c r="C7" s="17"/>
      <c r="D7" s="17">
        <v>36000</v>
      </c>
      <c r="E7" s="17"/>
    </row>
    <row r="8" spans="1:6">
      <c r="A8" t="s">
        <v>256</v>
      </c>
      <c r="B8" s="17" t="s">
        <v>257</v>
      </c>
      <c r="C8" s="17"/>
      <c r="D8" s="17">
        <v>6000</v>
      </c>
      <c r="E8" s="17"/>
    </row>
    <row r="9" spans="1:6">
      <c r="A9" t="s">
        <v>119</v>
      </c>
      <c r="B9" s="17">
        <v>27000</v>
      </c>
      <c r="C9" s="17"/>
      <c r="D9" s="17">
        <v>15000</v>
      </c>
      <c r="E9" s="17"/>
    </row>
    <row r="10" spans="1:6">
      <c r="A10" t="s">
        <v>31</v>
      </c>
      <c r="B10" s="17">
        <v>90000</v>
      </c>
      <c r="C10" s="17"/>
      <c r="D10" s="17">
        <v>90000</v>
      </c>
      <c r="E10" s="17"/>
    </row>
    <row r="11" spans="1:6">
      <c r="A11" t="s">
        <v>258</v>
      </c>
      <c r="B11" s="17"/>
      <c r="C11" s="17">
        <v>120000</v>
      </c>
      <c r="D11" s="17"/>
      <c r="E11" s="17">
        <v>21000</v>
      </c>
    </row>
    <row r="12" spans="1:6">
      <c r="A12" t="s">
        <v>103</v>
      </c>
      <c r="B12" s="17"/>
      <c r="C12" s="17">
        <v>54000</v>
      </c>
      <c r="D12" s="17"/>
      <c r="E12" s="17">
        <v>54000</v>
      </c>
    </row>
    <row r="13" spans="1:6">
      <c r="A13" t="s">
        <v>259</v>
      </c>
      <c r="B13" s="17"/>
      <c r="C13" s="17" t="s">
        <v>257</v>
      </c>
      <c r="D13" s="17"/>
      <c r="E13" s="17">
        <v>18000</v>
      </c>
    </row>
    <row r="14" spans="1:6">
      <c r="A14" t="s">
        <v>38</v>
      </c>
      <c r="B14" s="17"/>
      <c r="C14" s="17">
        <v>120000</v>
      </c>
      <c r="D14" s="17"/>
      <c r="E14" s="17">
        <v>120000</v>
      </c>
    </row>
    <row r="15" spans="1:6">
      <c r="A15" t="s">
        <v>260</v>
      </c>
      <c r="B15" s="17"/>
      <c r="C15" s="17">
        <v>39000</v>
      </c>
      <c r="D15" s="17"/>
      <c r="E15" s="17">
        <v>39000</v>
      </c>
    </row>
    <row r="16" spans="1:6">
      <c r="A16" t="s">
        <v>34</v>
      </c>
      <c r="B16" s="17">
        <v>60000</v>
      </c>
      <c r="C16" s="17"/>
      <c r="D16" s="17">
        <v>87000</v>
      </c>
      <c r="E16" s="17"/>
    </row>
    <row r="17" spans="1:5">
      <c r="A17" t="s">
        <v>101</v>
      </c>
      <c r="B17" s="17">
        <v>6000</v>
      </c>
      <c r="C17" s="17"/>
      <c r="D17" s="17">
        <v>9000</v>
      </c>
      <c r="E17" s="17"/>
    </row>
    <row r="18" spans="1:5">
      <c r="A18" t="s">
        <v>236</v>
      </c>
      <c r="B18" s="17" t="s">
        <v>257</v>
      </c>
      <c r="C18" s="17"/>
      <c r="D18" s="17">
        <v>9000</v>
      </c>
      <c r="E18" s="17"/>
    </row>
    <row r="19" spans="1:5">
      <c r="A19" t="s">
        <v>85</v>
      </c>
      <c r="B19" s="17"/>
      <c r="C19" s="17">
        <v>3000</v>
      </c>
      <c r="D19" s="17"/>
      <c r="E19" s="17">
        <v>9000</v>
      </c>
    </row>
    <row r="20" spans="1:5">
      <c r="A20" t="s">
        <v>107</v>
      </c>
      <c r="B20" s="17">
        <v>228000</v>
      </c>
      <c r="C20" s="17">
        <v>228000</v>
      </c>
      <c r="D20" s="17">
        <v>261000</v>
      </c>
      <c r="E20" s="17">
        <v>261000</v>
      </c>
    </row>
    <row r="22" spans="1:5">
      <c r="A22" t="s">
        <v>5</v>
      </c>
    </row>
    <row r="23" spans="1:5">
      <c r="A23" t="s">
        <v>261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5D506-4AC4-41FC-8FD6-088673D87DB3}">
  <dimension ref="A1:N20"/>
  <sheetViews>
    <sheetView topLeftCell="C1" workbookViewId="0">
      <selection activeCell="F4" sqref="F4"/>
    </sheetView>
  </sheetViews>
  <sheetFormatPr defaultRowHeight="16.5"/>
  <cols>
    <col min="1" max="1" width="27.375" style="17" bestFit="1" customWidth="1"/>
    <col min="2" max="5" width="9" style="17"/>
    <col min="6" max="6" width="13.5" style="17" bestFit="1" customWidth="1"/>
    <col min="7" max="7" width="14" style="17" bestFit="1" customWidth="1"/>
    <col min="8" max="9" width="13.5" style="17" bestFit="1" customWidth="1"/>
    <col min="10" max="12" width="9" style="17"/>
    <col min="13" max="13" width="14" style="17" bestFit="1" customWidth="1"/>
    <col min="14" max="14" width="10.75" style="17" bestFit="1" customWidth="1"/>
    <col min="15" max="16384" width="9" style="17"/>
  </cols>
  <sheetData>
    <row r="1" spans="1:9">
      <c r="A1" s="17" t="s">
        <v>262</v>
      </c>
      <c r="D1" s="17" t="s">
        <v>5</v>
      </c>
    </row>
    <row r="2" spans="1:9">
      <c r="A2" s="17" t="s">
        <v>263</v>
      </c>
      <c r="D2" s="17" t="s">
        <v>264</v>
      </c>
      <c r="E2" s="17" t="s">
        <v>265</v>
      </c>
      <c r="F2" s="17" t="s">
        <v>22</v>
      </c>
      <c r="G2" s="17" t="s">
        <v>78</v>
      </c>
      <c r="H2" s="17" t="s">
        <v>17</v>
      </c>
      <c r="I2" s="17" t="s">
        <v>19</v>
      </c>
    </row>
    <row r="3" spans="1:9">
      <c r="A3" s="17" t="s">
        <v>266</v>
      </c>
      <c r="D3" s="17">
        <v>1</v>
      </c>
      <c r="E3" s="17" t="s">
        <v>267</v>
      </c>
      <c r="F3" s="8">
        <v>44075</v>
      </c>
      <c r="G3" s="17" t="s">
        <v>118</v>
      </c>
      <c r="H3" s="17">
        <v>9600</v>
      </c>
    </row>
    <row r="4" spans="1:9">
      <c r="A4" s="17" t="s">
        <v>268</v>
      </c>
      <c r="F4" s="8"/>
      <c r="G4" s="17" t="s">
        <v>29</v>
      </c>
      <c r="I4" s="17">
        <v>9600</v>
      </c>
    </row>
    <row r="5" spans="1:9">
      <c r="F5" s="8">
        <v>44196</v>
      </c>
      <c r="G5" s="17" t="s">
        <v>235</v>
      </c>
      <c r="H5" s="17">
        <f>9600*3/12</f>
        <v>2400</v>
      </c>
    </row>
    <row r="6" spans="1:9">
      <c r="A6" s="17" t="s">
        <v>269</v>
      </c>
      <c r="F6" s="8"/>
      <c r="G6" s="17" t="s">
        <v>118</v>
      </c>
      <c r="I6" s="17">
        <f>9600*3/12</f>
        <v>2400</v>
      </c>
    </row>
    <row r="7" spans="1:9">
      <c r="A7" s="17" t="s">
        <v>270</v>
      </c>
      <c r="D7" s="17">
        <v>2</v>
      </c>
      <c r="E7" s="17" t="s">
        <v>267</v>
      </c>
      <c r="F7" s="8">
        <v>44120</v>
      </c>
      <c r="G7" s="17" t="s">
        <v>271</v>
      </c>
      <c r="H7" s="17">
        <v>84000</v>
      </c>
    </row>
    <row r="8" spans="1:9">
      <c r="F8" s="8"/>
      <c r="G8" s="17" t="s">
        <v>29</v>
      </c>
      <c r="I8" s="17">
        <v>84000</v>
      </c>
    </row>
    <row r="9" spans="1:9">
      <c r="F9" s="8">
        <v>44196</v>
      </c>
      <c r="G9" s="17" t="s">
        <v>234</v>
      </c>
      <c r="H9" s="17">
        <f>84000*1.5/12</f>
        <v>10500</v>
      </c>
    </row>
    <row r="10" spans="1:9">
      <c r="F10" s="8"/>
      <c r="G10" s="17" t="s">
        <v>271</v>
      </c>
      <c r="I10" s="17">
        <f>84000*1.5/12</f>
        <v>10500</v>
      </c>
    </row>
    <row r="11" spans="1:9">
      <c r="D11" s="17">
        <v>3</v>
      </c>
      <c r="E11" s="17" t="s">
        <v>272</v>
      </c>
      <c r="F11" s="8">
        <v>44105</v>
      </c>
      <c r="G11" s="17" t="s">
        <v>34</v>
      </c>
      <c r="H11" s="17">
        <v>30000</v>
      </c>
    </row>
    <row r="12" spans="1:9">
      <c r="F12" s="8"/>
      <c r="G12" s="17" t="s">
        <v>29</v>
      </c>
      <c r="I12" s="17">
        <v>30000</v>
      </c>
    </row>
    <row r="13" spans="1:9">
      <c r="F13" s="8">
        <v>44196</v>
      </c>
      <c r="G13" s="17" t="s">
        <v>190</v>
      </c>
      <c r="H13" s="17">
        <f>30000*2/3</f>
        <v>20000</v>
      </c>
    </row>
    <row r="14" spans="1:9">
      <c r="F14" s="8"/>
      <c r="G14" s="17" t="s">
        <v>34</v>
      </c>
      <c r="I14" s="17">
        <f>30000*2/3</f>
        <v>20000</v>
      </c>
    </row>
    <row r="15" spans="1:9">
      <c r="D15" s="17">
        <v>4</v>
      </c>
      <c r="E15" s="17" t="s">
        <v>267</v>
      </c>
      <c r="F15" s="8">
        <v>44196</v>
      </c>
      <c r="G15" s="17" t="s">
        <v>101</v>
      </c>
      <c r="H15" s="17">
        <v>2000</v>
      </c>
    </row>
    <row r="16" spans="1:9">
      <c r="F16" s="8"/>
      <c r="G16" s="17" t="s">
        <v>179</v>
      </c>
      <c r="I16" s="17">
        <v>2000</v>
      </c>
    </row>
    <row r="17" spans="4:14">
      <c r="D17" s="17">
        <v>5</v>
      </c>
      <c r="E17" s="17" t="s">
        <v>267</v>
      </c>
      <c r="F17" s="8">
        <v>44166</v>
      </c>
      <c r="G17" s="17" t="s">
        <v>273</v>
      </c>
      <c r="H17" s="17">
        <v>30000</v>
      </c>
      <c r="K17" s="17" t="s">
        <v>274</v>
      </c>
      <c r="L17" s="42">
        <v>0.12</v>
      </c>
      <c r="M17" s="17" t="s">
        <v>275</v>
      </c>
      <c r="N17" s="17">
        <f>H17*L17*1/12</f>
        <v>300</v>
      </c>
    </row>
    <row r="18" spans="4:14">
      <c r="F18" s="8"/>
      <c r="G18" s="17" t="s">
        <v>276</v>
      </c>
      <c r="I18" s="17">
        <v>30000</v>
      </c>
    </row>
    <row r="19" spans="4:14">
      <c r="F19" s="8">
        <v>44196</v>
      </c>
      <c r="G19" s="17" t="s">
        <v>85</v>
      </c>
      <c r="H19" s="17">
        <f>N17</f>
        <v>300</v>
      </c>
    </row>
    <row r="20" spans="4:14">
      <c r="G20" s="17" t="s">
        <v>273</v>
      </c>
      <c r="I20" s="17">
        <f>H19</f>
        <v>300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78E30-F9D3-4F76-9382-6BC559B79C90}">
  <dimension ref="C1:N13"/>
  <sheetViews>
    <sheetView workbookViewId="0">
      <selection activeCell="A12" sqref="A1:XFD1048576"/>
    </sheetView>
  </sheetViews>
  <sheetFormatPr defaultRowHeight="16.5"/>
  <cols>
    <col min="3" max="3" width="29.5" bestFit="1" customWidth="1"/>
    <col min="10" max="10" width="10.125" bestFit="1" customWidth="1"/>
  </cols>
  <sheetData>
    <row r="1" spans="3:14">
      <c r="C1" t="s">
        <v>1</v>
      </c>
      <c r="J1" t="s">
        <v>5</v>
      </c>
    </row>
    <row r="2" spans="3:14">
      <c r="C2" t="s">
        <v>277</v>
      </c>
    </row>
    <row r="3" spans="3:14">
      <c r="C3" t="s">
        <v>278</v>
      </c>
      <c r="E3" t="s">
        <v>49</v>
      </c>
      <c r="K3" t="s">
        <v>49</v>
      </c>
    </row>
    <row r="4" spans="3:14">
      <c r="C4" t="s">
        <v>279</v>
      </c>
      <c r="E4" s="3" t="s">
        <v>198</v>
      </c>
      <c r="F4" s="4"/>
      <c r="G4" s="3">
        <v>12800</v>
      </c>
      <c r="H4" s="3"/>
      <c r="J4" s="7">
        <v>44136</v>
      </c>
      <c r="K4" s="3" t="s">
        <v>29</v>
      </c>
      <c r="L4" s="4"/>
      <c r="M4" s="3">
        <v>6400</v>
      </c>
      <c r="N4" s="3"/>
    </row>
    <row r="5" spans="3:14">
      <c r="C5" t="s">
        <v>280</v>
      </c>
      <c r="F5" s="5" t="s">
        <v>234</v>
      </c>
      <c r="H5">
        <v>12800</v>
      </c>
      <c r="L5" s="5" t="s">
        <v>198</v>
      </c>
      <c r="N5">
        <v>6400</v>
      </c>
    </row>
    <row r="6" spans="3:14">
      <c r="J6" s="8">
        <v>44196</v>
      </c>
      <c r="K6" t="s">
        <v>198</v>
      </c>
      <c r="L6" s="5"/>
      <c r="M6">
        <v>12800</v>
      </c>
    </row>
    <row r="7" spans="3:14">
      <c r="C7" t="s">
        <v>281</v>
      </c>
      <c r="E7" t="s">
        <v>50</v>
      </c>
      <c r="L7" s="5" t="s">
        <v>234</v>
      </c>
      <c r="N7">
        <v>12800</v>
      </c>
    </row>
    <row r="8" spans="3:14">
      <c r="C8" t="s">
        <v>282</v>
      </c>
      <c r="E8" s="3" t="s">
        <v>234</v>
      </c>
      <c r="F8" s="4"/>
      <c r="G8" s="3">
        <v>6400</v>
      </c>
      <c r="H8" s="3"/>
    </row>
    <row r="9" spans="3:14">
      <c r="C9" t="s">
        <v>283</v>
      </c>
      <c r="F9" s="5" t="s">
        <v>198</v>
      </c>
      <c r="H9">
        <v>6400</v>
      </c>
      <c r="K9" t="s">
        <v>50</v>
      </c>
    </row>
    <row r="10" spans="3:14">
      <c r="J10" s="7">
        <v>44501</v>
      </c>
      <c r="K10" s="3" t="s">
        <v>29</v>
      </c>
      <c r="L10" s="4"/>
      <c r="M10" s="3">
        <v>12800</v>
      </c>
      <c r="N10" s="3"/>
    </row>
    <row r="11" spans="3:14">
      <c r="L11" s="5" t="s">
        <v>234</v>
      </c>
      <c r="N11">
        <v>12800</v>
      </c>
    </row>
    <row r="12" spans="3:14">
      <c r="J12" s="8">
        <v>44196</v>
      </c>
      <c r="K12" t="s">
        <v>234</v>
      </c>
      <c r="L12" s="5"/>
      <c r="M12">
        <v>6400</v>
      </c>
    </row>
    <row r="13" spans="3:14">
      <c r="L13" s="5" t="s">
        <v>198</v>
      </c>
      <c r="N13">
        <v>6400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20B09-287A-4CD9-9777-E580613DDBFE}">
  <dimension ref="A1:E27"/>
  <sheetViews>
    <sheetView workbookViewId="0">
      <selection activeCell="G10" sqref="G10"/>
    </sheetView>
  </sheetViews>
  <sheetFormatPr defaultRowHeight="16.5"/>
  <cols>
    <col min="1" max="1" width="28.875" style="17" bestFit="1" customWidth="1"/>
    <col min="2" max="2" width="13.5" style="17" bestFit="1" customWidth="1"/>
    <col min="3" max="3" width="14" style="17" bestFit="1" customWidth="1"/>
    <col min="4" max="5" width="12.375" style="17" bestFit="1" customWidth="1"/>
    <col min="6" max="16384" width="9" style="17"/>
  </cols>
  <sheetData>
    <row r="1" spans="1:5">
      <c r="A1" s="17" t="s">
        <v>1</v>
      </c>
    </row>
    <row r="2" spans="1:5">
      <c r="A2" s="17" t="s">
        <v>284</v>
      </c>
    </row>
    <row r="4" spans="1:5">
      <c r="A4" s="17" t="s">
        <v>94</v>
      </c>
    </row>
    <row r="5" spans="1:5">
      <c r="A5" s="17" t="s">
        <v>285</v>
      </c>
      <c r="B5" s="17" t="s">
        <v>22</v>
      </c>
      <c r="C5" s="17" t="s">
        <v>78</v>
      </c>
      <c r="D5" s="17" t="s">
        <v>17</v>
      </c>
      <c r="E5" s="17" t="s">
        <v>19</v>
      </c>
    </row>
    <row r="6" spans="1:5">
      <c r="B6" s="17">
        <v>44105</v>
      </c>
      <c r="C6" s="17" t="s">
        <v>29</v>
      </c>
      <c r="D6" s="17">
        <v>9600</v>
      </c>
    </row>
    <row r="7" spans="1:5">
      <c r="C7" s="17" t="s">
        <v>234</v>
      </c>
      <c r="E7" s="17">
        <v>9600</v>
      </c>
    </row>
    <row r="9" spans="1:5">
      <c r="B9" s="17" t="s">
        <v>22</v>
      </c>
      <c r="C9" s="17" t="s">
        <v>78</v>
      </c>
      <c r="D9" s="17" t="s">
        <v>17</v>
      </c>
      <c r="E9" s="17" t="s">
        <v>19</v>
      </c>
    </row>
    <row r="10" spans="1:5">
      <c r="B10" s="17">
        <v>44196</v>
      </c>
      <c r="C10" s="17" t="s">
        <v>29</v>
      </c>
      <c r="D10" s="17">
        <v>0</v>
      </c>
    </row>
    <row r="11" spans="1:5">
      <c r="C11" s="17" t="s">
        <v>234</v>
      </c>
      <c r="E11" s="17">
        <v>0</v>
      </c>
    </row>
    <row r="13" spans="1:5">
      <c r="A13" s="17" t="s">
        <v>267</v>
      </c>
      <c r="B13" s="17" t="s">
        <v>22</v>
      </c>
      <c r="C13" s="17" t="s">
        <v>78</v>
      </c>
      <c r="D13" s="17" t="s">
        <v>17</v>
      </c>
      <c r="E13" s="17" t="s">
        <v>19</v>
      </c>
    </row>
    <row r="14" spans="1:5">
      <c r="B14" s="17">
        <v>44105</v>
      </c>
      <c r="C14" s="17" t="s">
        <v>29</v>
      </c>
      <c r="D14" s="17">
        <v>9600</v>
      </c>
    </row>
    <row r="15" spans="1:5">
      <c r="C15" s="17" t="s">
        <v>286</v>
      </c>
      <c r="E15" s="17">
        <v>9600</v>
      </c>
    </row>
    <row r="17" spans="1:5">
      <c r="B17" s="17" t="s">
        <v>22</v>
      </c>
      <c r="C17" s="17" t="s">
        <v>78</v>
      </c>
      <c r="D17" s="17" t="s">
        <v>17</v>
      </c>
      <c r="E17" s="17" t="s">
        <v>19</v>
      </c>
    </row>
    <row r="18" spans="1:5">
      <c r="B18" s="17">
        <v>44196</v>
      </c>
      <c r="C18" s="17" t="s">
        <v>286</v>
      </c>
      <c r="D18" s="17">
        <f>9600*1/12*2</f>
        <v>1600</v>
      </c>
    </row>
    <row r="19" spans="1:5">
      <c r="C19" s="17" t="s">
        <v>234</v>
      </c>
      <c r="E19" s="17">
        <f>9600*1/12*2</f>
        <v>1600</v>
      </c>
    </row>
    <row r="21" spans="1:5">
      <c r="A21" s="17" t="s">
        <v>272</v>
      </c>
      <c r="B21" s="17" t="s">
        <v>22</v>
      </c>
      <c r="C21" s="17" t="s">
        <v>78</v>
      </c>
      <c r="D21" s="17" t="s">
        <v>17</v>
      </c>
      <c r="E21" s="17" t="s">
        <v>19</v>
      </c>
    </row>
    <row r="22" spans="1:5">
      <c r="B22" s="17">
        <v>44105</v>
      </c>
      <c r="C22" s="17" t="s">
        <v>29</v>
      </c>
      <c r="D22" s="17">
        <v>9600</v>
      </c>
    </row>
    <row r="23" spans="1:5">
      <c r="C23" s="17" t="s">
        <v>234</v>
      </c>
      <c r="E23" s="17">
        <v>9600</v>
      </c>
    </row>
    <row r="25" spans="1:5">
      <c r="B25" s="17" t="s">
        <v>22</v>
      </c>
      <c r="C25" s="17" t="s">
        <v>78</v>
      </c>
      <c r="D25" s="17" t="s">
        <v>17</v>
      </c>
      <c r="E25" s="17" t="s">
        <v>19</v>
      </c>
    </row>
    <row r="26" spans="1:5">
      <c r="B26" s="17">
        <v>44196</v>
      </c>
      <c r="C26" s="17" t="s">
        <v>234</v>
      </c>
      <c r="D26" s="17">
        <f>9600*(1-2/12)</f>
        <v>8000</v>
      </c>
    </row>
    <row r="27" spans="1:5">
      <c r="C27" s="17" t="s">
        <v>286</v>
      </c>
      <c r="E27" s="17">
        <f>9600*(1-2/12)</f>
        <v>8000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7029A-9B39-4713-93B3-C2E4420C4316}">
  <dimension ref="A1:P6"/>
  <sheetViews>
    <sheetView workbookViewId="0">
      <selection activeCell="I7" sqref="I7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</cols>
  <sheetData>
    <row r="1" spans="1:16">
      <c r="A1" t="s">
        <v>40</v>
      </c>
      <c r="B1" t="s">
        <v>1</v>
      </c>
      <c r="J1" t="s">
        <v>5</v>
      </c>
    </row>
    <row r="2" spans="1:16">
      <c r="A2" s="19" t="s">
        <v>41</v>
      </c>
      <c r="B2" t="s">
        <v>42</v>
      </c>
      <c r="C2" t="s">
        <v>26</v>
      </c>
      <c r="D2" t="s">
        <v>25</v>
      </c>
      <c r="E2" t="s">
        <v>43</v>
      </c>
      <c r="F2" t="s">
        <v>44</v>
      </c>
      <c r="G2" t="s">
        <v>23</v>
      </c>
      <c r="H2" t="s">
        <v>27</v>
      </c>
      <c r="J2" t="s">
        <v>42</v>
      </c>
      <c r="K2" t="s">
        <v>26</v>
      </c>
      <c r="L2" t="s">
        <v>25</v>
      </c>
      <c r="M2" t="s">
        <v>43</v>
      </c>
      <c r="N2" t="s">
        <v>44</v>
      </c>
      <c r="O2" t="s">
        <v>23</v>
      </c>
      <c r="P2" t="s">
        <v>27</v>
      </c>
    </row>
    <row r="3" spans="1:16">
      <c r="A3" s="19" t="s">
        <v>45</v>
      </c>
      <c r="B3">
        <v>17</v>
      </c>
      <c r="C3" s="17"/>
      <c r="D3" s="17">
        <v>200000</v>
      </c>
      <c r="E3" s="17">
        <v>10000</v>
      </c>
      <c r="F3" s="17">
        <v>125000</v>
      </c>
      <c r="G3" s="17">
        <v>300000</v>
      </c>
      <c r="H3" s="17">
        <v>110000</v>
      </c>
      <c r="J3">
        <v>17</v>
      </c>
      <c r="K3" s="17">
        <v>75000</v>
      </c>
      <c r="L3" s="17">
        <v>200000</v>
      </c>
      <c r="M3" s="17">
        <v>10000</v>
      </c>
      <c r="N3" s="17">
        <v>125000</v>
      </c>
      <c r="O3" s="17">
        <v>300000</v>
      </c>
      <c r="P3" s="17">
        <v>110000</v>
      </c>
    </row>
    <row r="4" spans="1:16">
      <c r="A4" s="19" t="s">
        <v>46</v>
      </c>
      <c r="B4">
        <v>18</v>
      </c>
      <c r="C4" s="17">
        <v>350000</v>
      </c>
      <c r="D4" s="17">
        <v>225000</v>
      </c>
      <c r="E4" s="17">
        <v>105000</v>
      </c>
      <c r="F4" s="17">
        <v>90000</v>
      </c>
      <c r="G4" s="17">
        <v>350000</v>
      </c>
      <c r="J4">
        <v>18</v>
      </c>
      <c r="K4" s="17">
        <v>350000</v>
      </c>
      <c r="L4" s="17">
        <v>225000</v>
      </c>
      <c r="M4" s="17">
        <v>105000</v>
      </c>
      <c r="N4" s="17">
        <v>90000</v>
      </c>
      <c r="O4" s="17">
        <v>350000</v>
      </c>
      <c r="P4" s="17">
        <v>380000</v>
      </c>
    </row>
    <row r="5" spans="1:16">
      <c r="B5">
        <v>19</v>
      </c>
      <c r="C5" s="17">
        <v>400000</v>
      </c>
      <c r="D5" s="17">
        <v>250000</v>
      </c>
      <c r="E5" s="17"/>
      <c r="F5" s="17">
        <v>60000</v>
      </c>
      <c r="G5" s="17">
        <v>450000</v>
      </c>
      <c r="H5" s="17">
        <v>250000</v>
      </c>
      <c r="J5">
        <v>19</v>
      </c>
      <c r="K5" s="17">
        <v>400000</v>
      </c>
      <c r="L5" s="17">
        <v>250000</v>
      </c>
      <c r="M5" s="17">
        <v>10000</v>
      </c>
      <c r="N5" s="17">
        <v>60000</v>
      </c>
      <c r="O5" s="17">
        <v>450000</v>
      </c>
      <c r="P5" s="17">
        <v>250000</v>
      </c>
    </row>
    <row r="6" spans="1:16">
      <c r="B6">
        <v>20</v>
      </c>
      <c r="C6" s="17">
        <v>425000</v>
      </c>
      <c r="D6" s="17">
        <v>350000</v>
      </c>
      <c r="E6" s="17">
        <v>100000</v>
      </c>
      <c r="F6" s="17">
        <v>150000</v>
      </c>
      <c r="G6" s="17"/>
      <c r="H6" s="17">
        <v>130000</v>
      </c>
      <c r="J6">
        <v>20</v>
      </c>
      <c r="K6" s="17">
        <v>425000</v>
      </c>
      <c r="L6" s="17">
        <v>350000</v>
      </c>
      <c r="M6" s="17">
        <v>100000</v>
      </c>
      <c r="N6" s="17">
        <v>150000</v>
      </c>
      <c r="O6" s="17">
        <v>255000</v>
      </c>
      <c r="P6" s="17">
        <v>130000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17003-26A3-49E2-B631-63A6797FD5C0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47A57-CA1A-48C4-B41F-C97C5546CA9D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47440-AE15-4A4C-96D3-7A0DC91A70D1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53A2E-F4A7-4946-A997-A1BE1FFEE193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58C7-CFB8-4EFB-9FBA-4A3F6211D42A}">
  <dimension ref="A1:W13"/>
  <sheetViews>
    <sheetView topLeftCell="M1" workbookViewId="0">
      <selection activeCell="N3" sqref="N3:W13"/>
    </sheetView>
  </sheetViews>
  <sheetFormatPr defaultRowHeight="16.5"/>
  <cols>
    <col min="1" max="1" width="21.875" bestFit="1" customWidth="1"/>
    <col min="6" max="6" width="14" bestFit="1" customWidth="1"/>
    <col min="7" max="7" width="16" bestFit="1" customWidth="1"/>
    <col min="8" max="8" width="11.75" bestFit="1" customWidth="1"/>
    <col min="10" max="11" width="10.75" bestFit="1" customWidth="1"/>
    <col min="14" max="14" width="14" bestFit="1" customWidth="1"/>
  </cols>
  <sheetData>
    <row r="1" spans="1:23">
      <c r="D1" t="s">
        <v>287</v>
      </c>
    </row>
    <row r="2" spans="1:23">
      <c r="D2" t="s">
        <v>129</v>
      </c>
    </row>
    <row r="3" spans="1:23">
      <c r="A3" t="s">
        <v>288</v>
      </c>
      <c r="D3" s="15" t="s">
        <v>129</v>
      </c>
      <c r="E3" s="3"/>
      <c r="F3" s="3"/>
      <c r="G3" s="3"/>
      <c r="H3" s="3"/>
      <c r="I3" s="3"/>
      <c r="J3" s="3"/>
      <c r="K3" s="4"/>
      <c r="N3" t="s">
        <v>289</v>
      </c>
      <c r="W3">
        <v>1</v>
      </c>
    </row>
    <row r="4" spans="1:23">
      <c r="A4" t="s">
        <v>290</v>
      </c>
      <c r="D4" s="14" t="s">
        <v>131</v>
      </c>
      <c r="K4" s="5" t="s">
        <v>291</v>
      </c>
      <c r="N4" s="4">
        <v>12</v>
      </c>
      <c r="O4" s="4">
        <v>31</v>
      </c>
      <c r="P4" s="4"/>
      <c r="Q4" s="4">
        <v>5</v>
      </c>
      <c r="R4" s="4">
        <v>3000</v>
      </c>
      <c r="S4" s="4"/>
      <c r="T4" s="4"/>
      <c r="U4" s="4"/>
      <c r="V4" s="4"/>
      <c r="W4" s="3"/>
    </row>
    <row r="5" spans="1:23">
      <c r="D5" s="15" t="s">
        <v>132</v>
      </c>
      <c r="E5" s="3" t="s">
        <v>133</v>
      </c>
      <c r="F5" s="3" t="s">
        <v>96</v>
      </c>
      <c r="G5" s="3" t="s">
        <v>137</v>
      </c>
      <c r="H5" s="3" t="s">
        <v>137</v>
      </c>
      <c r="I5" s="3" t="s">
        <v>134</v>
      </c>
      <c r="J5" s="3" t="s">
        <v>135</v>
      </c>
      <c r="K5" s="44" t="s">
        <v>136</v>
      </c>
    </row>
    <row r="6" spans="1:23">
      <c r="D6" s="15">
        <v>12</v>
      </c>
      <c r="E6" s="3">
        <v>31</v>
      </c>
      <c r="F6" s="3" t="s">
        <v>289</v>
      </c>
      <c r="G6" s="3"/>
      <c r="H6" s="3"/>
      <c r="I6" s="3">
        <v>1</v>
      </c>
      <c r="J6" s="25"/>
      <c r="K6" s="27">
        <v>3000</v>
      </c>
      <c r="N6" t="s">
        <v>121</v>
      </c>
      <c r="W6">
        <v>2</v>
      </c>
    </row>
    <row r="7" spans="1:23">
      <c r="D7" s="14"/>
      <c r="E7" t="s">
        <v>142</v>
      </c>
      <c r="F7" t="s">
        <v>121</v>
      </c>
      <c r="I7">
        <v>2</v>
      </c>
      <c r="J7" s="17"/>
      <c r="K7" s="28"/>
      <c r="N7" s="4">
        <v>12</v>
      </c>
      <c r="O7" s="4">
        <v>31</v>
      </c>
      <c r="P7" s="4"/>
      <c r="Q7" s="3">
        <v>5</v>
      </c>
      <c r="R7" s="25">
        <v>10000</v>
      </c>
      <c r="S7" s="27"/>
      <c r="T7" s="27"/>
      <c r="U7" s="4"/>
      <c r="V7" s="4">
        <v>2</v>
      </c>
      <c r="W7" s="3">
        <v>4000</v>
      </c>
    </row>
    <row r="8" spans="1:23">
      <c r="D8" s="14"/>
      <c r="G8" t="s">
        <v>292</v>
      </c>
      <c r="J8" s="17">
        <v>10000</v>
      </c>
      <c r="K8" s="28"/>
    </row>
    <row r="9" spans="1:23">
      <c r="D9" s="14"/>
      <c r="G9" t="s">
        <v>293</v>
      </c>
      <c r="J9" s="17"/>
      <c r="K9" s="28">
        <v>4000</v>
      </c>
      <c r="N9" t="s">
        <v>119</v>
      </c>
      <c r="W9">
        <v>3</v>
      </c>
    </row>
    <row r="10" spans="1:23">
      <c r="D10" s="14"/>
      <c r="E10" t="s">
        <v>142</v>
      </c>
      <c r="F10" t="s">
        <v>119</v>
      </c>
      <c r="G10">
        <v>60000</v>
      </c>
      <c r="I10">
        <v>3</v>
      </c>
      <c r="J10" s="17">
        <v>60000</v>
      </c>
      <c r="K10" s="28"/>
      <c r="N10" s="4">
        <v>12</v>
      </c>
      <c r="O10" s="4">
        <v>31</v>
      </c>
      <c r="P10" s="4"/>
      <c r="Q10" s="4">
        <v>5</v>
      </c>
      <c r="R10" s="27">
        <v>60000</v>
      </c>
      <c r="S10" s="27"/>
      <c r="T10" s="27"/>
      <c r="U10" s="4"/>
      <c r="V10" s="4">
        <v>2</v>
      </c>
      <c r="W10" s="3" t="s">
        <v>30</v>
      </c>
    </row>
    <row r="11" spans="1:23">
      <c r="D11" s="14"/>
      <c r="G11" t="s">
        <v>294</v>
      </c>
      <c r="J11" s="17"/>
      <c r="K11" s="28">
        <v>15000</v>
      </c>
    </row>
    <row r="12" spans="1:23">
      <c r="D12" s="29"/>
      <c r="E12" s="11" t="s">
        <v>142</v>
      </c>
      <c r="F12" s="11" t="s">
        <v>30</v>
      </c>
      <c r="G12" s="11"/>
      <c r="H12" s="11"/>
      <c r="I12" s="11">
        <v>4</v>
      </c>
      <c r="J12" s="30"/>
      <c r="K12" s="31">
        <v>10000</v>
      </c>
      <c r="N12" t="s">
        <v>30</v>
      </c>
      <c r="T12" s="5"/>
      <c r="W12">
        <v>4</v>
      </c>
    </row>
    <row r="13" spans="1:23">
      <c r="N13" s="4">
        <v>12</v>
      </c>
      <c r="O13" s="4">
        <v>31</v>
      </c>
      <c r="P13" s="4"/>
      <c r="Q13" s="4"/>
      <c r="R13" s="4"/>
      <c r="S13" s="4"/>
      <c r="T13" s="4"/>
      <c r="U13" s="4"/>
      <c r="V13" s="4">
        <v>1</v>
      </c>
      <c r="W13" s="3">
        <v>10000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50301-0E85-4950-9B88-4C992AE14743}">
  <dimension ref="C1:L22"/>
  <sheetViews>
    <sheetView workbookViewId="0">
      <selection activeCell="L16" sqref="L16"/>
    </sheetView>
  </sheetViews>
  <sheetFormatPr defaultRowHeight="16.5"/>
  <cols>
    <col min="3" max="3" width="16.25" bestFit="1" customWidth="1"/>
    <col min="6" max="6" width="9.625" bestFit="1" customWidth="1"/>
    <col min="7" max="7" width="10.125" bestFit="1" customWidth="1"/>
    <col min="8" max="9" width="14" bestFit="1" customWidth="1"/>
    <col min="10" max="10" width="11.875" bestFit="1" customWidth="1"/>
    <col min="11" max="11" width="16.5" bestFit="1" customWidth="1"/>
  </cols>
  <sheetData>
    <row r="1" spans="3:12">
      <c r="C1" t="s">
        <v>1</v>
      </c>
      <c r="E1" t="s">
        <v>5</v>
      </c>
    </row>
    <row r="2" spans="3:12">
      <c r="C2" s="8">
        <v>44075</v>
      </c>
      <c r="E2" t="s">
        <v>226</v>
      </c>
      <c r="F2" t="s">
        <v>265</v>
      </c>
      <c r="G2" t="s">
        <v>22</v>
      </c>
      <c r="H2" t="s">
        <v>78</v>
      </c>
      <c r="J2" t="s">
        <v>17</v>
      </c>
      <c r="K2" t="s">
        <v>19</v>
      </c>
    </row>
    <row r="3" spans="3:12">
      <c r="C3" t="s">
        <v>295</v>
      </c>
      <c r="E3">
        <v>1</v>
      </c>
      <c r="F3" t="s">
        <v>285</v>
      </c>
      <c r="G3" s="7">
        <v>44075</v>
      </c>
      <c r="H3" s="3" t="s">
        <v>234</v>
      </c>
      <c r="I3" s="4"/>
      <c r="J3" s="25">
        <v>300000</v>
      </c>
      <c r="K3" s="25"/>
    </row>
    <row r="4" spans="3:12">
      <c r="C4" t="s">
        <v>296</v>
      </c>
      <c r="I4" s="5" t="s">
        <v>271</v>
      </c>
      <c r="J4" s="17"/>
      <c r="K4" s="17">
        <v>300000</v>
      </c>
      <c r="L4" s="17"/>
    </row>
    <row r="5" spans="3:12">
      <c r="C5" t="s">
        <v>297</v>
      </c>
      <c r="E5">
        <v>2</v>
      </c>
      <c r="F5" t="s">
        <v>267</v>
      </c>
      <c r="G5" s="8">
        <v>44075</v>
      </c>
      <c r="H5" t="s">
        <v>29</v>
      </c>
      <c r="I5" s="5"/>
      <c r="J5" s="17">
        <v>300000</v>
      </c>
      <c r="K5" s="17"/>
    </row>
    <row r="6" spans="3:12">
      <c r="I6" s="5" t="s">
        <v>271</v>
      </c>
      <c r="J6" s="17"/>
      <c r="K6" s="17">
        <v>300000</v>
      </c>
    </row>
    <row r="7" spans="3:12">
      <c r="G7" s="8">
        <v>44196</v>
      </c>
      <c r="H7" t="s">
        <v>271</v>
      </c>
      <c r="I7" s="5"/>
      <c r="J7" s="17">
        <f>J5*3/12</f>
        <v>75000</v>
      </c>
      <c r="K7" s="17"/>
    </row>
    <row r="8" spans="3:12">
      <c r="I8" s="5" t="s">
        <v>234</v>
      </c>
      <c r="J8" s="17"/>
      <c r="K8" s="17">
        <f>J7</f>
        <v>75000</v>
      </c>
    </row>
    <row r="9" spans="3:12">
      <c r="E9">
        <v>3</v>
      </c>
      <c r="F9" t="s">
        <v>272</v>
      </c>
      <c r="G9" s="8">
        <v>44075</v>
      </c>
      <c r="H9" t="s">
        <v>29</v>
      </c>
      <c r="I9" s="5"/>
      <c r="J9" s="17">
        <v>300000</v>
      </c>
      <c r="K9" s="17"/>
    </row>
    <row r="10" spans="3:12">
      <c r="I10" s="5" t="s">
        <v>234</v>
      </c>
      <c r="J10" s="17"/>
      <c r="K10" s="17">
        <v>300000</v>
      </c>
    </row>
    <row r="11" spans="3:12">
      <c r="G11" s="8">
        <v>44196</v>
      </c>
      <c r="H11" t="s">
        <v>234</v>
      </c>
      <c r="I11" s="5"/>
      <c r="J11" s="17">
        <f>J9*(1-3/12)</f>
        <v>225000</v>
      </c>
      <c r="K11" s="17"/>
    </row>
    <row r="12" spans="3:12">
      <c r="I12" s="5" t="s">
        <v>271</v>
      </c>
      <c r="J12" s="17"/>
      <c r="K12" s="17">
        <f>J11</f>
        <v>225000</v>
      </c>
    </row>
    <row r="13" spans="3:12">
      <c r="J13" s="43"/>
      <c r="K13" s="43"/>
    </row>
    <row r="14" spans="3:12">
      <c r="J14" s="43"/>
      <c r="K14" s="43"/>
    </row>
    <row r="15" spans="3:12">
      <c r="J15" s="43"/>
      <c r="K15" s="43"/>
    </row>
    <row r="16" spans="3:12">
      <c r="J16" s="43"/>
      <c r="K16" s="43"/>
    </row>
    <row r="17" spans="10:11">
      <c r="J17" s="43"/>
      <c r="K17" s="43"/>
    </row>
    <row r="18" spans="10:11">
      <c r="J18" s="43"/>
      <c r="K18" s="43"/>
    </row>
    <row r="19" spans="10:11">
      <c r="J19" s="43"/>
      <c r="K19" s="43"/>
    </row>
    <row r="20" spans="10:11">
      <c r="J20" s="43"/>
      <c r="K20" s="43"/>
    </row>
    <row r="21" spans="10:11">
      <c r="J21" s="43"/>
      <c r="K21" s="43"/>
    </row>
    <row r="22" spans="10:11">
      <c r="J22" s="43"/>
      <c r="K22" s="43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9B6A1-5A49-4B3D-A73B-1A9BBD6C6DC8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52D1-BD8E-47D5-9A08-A4F600811DBB}">
  <dimension ref="C1:I18"/>
  <sheetViews>
    <sheetView workbookViewId="0">
      <selection activeCell="F20" sqref="F20"/>
    </sheetView>
  </sheetViews>
  <sheetFormatPr defaultRowHeight="16.5"/>
  <cols>
    <col min="5" max="5" width="10.125" bestFit="1" customWidth="1"/>
    <col min="6" max="7" width="14" bestFit="1" customWidth="1"/>
    <col min="8" max="9" width="14.375" bestFit="1" customWidth="1"/>
  </cols>
  <sheetData>
    <row r="1" spans="3:9">
      <c r="C1" t="s">
        <v>5</v>
      </c>
    </row>
    <row r="2" spans="3:9">
      <c r="C2" t="s">
        <v>226</v>
      </c>
      <c r="D2" t="s">
        <v>265</v>
      </c>
      <c r="E2" t="s">
        <v>22</v>
      </c>
      <c r="F2" t="s">
        <v>78</v>
      </c>
      <c r="H2" t="s">
        <v>17</v>
      </c>
      <c r="I2" t="s">
        <v>19</v>
      </c>
    </row>
    <row r="3" spans="3:9">
      <c r="C3">
        <v>1</v>
      </c>
      <c r="D3" t="s">
        <v>272</v>
      </c>
      <c r="E3" s="8">
        <v>44013</v>
      </c>
      <c r="F3" t="s">
        <v>29</v>
      </c>
      <c r="H3" s="17">
        <v>840000</v>
      </c>
      <c r="I3" s="17"/>
    </row>
    <row r="4" spans="3:9">
      <c r="G4" t="s">
        <v>234</v>
      </c>
      <c r="H4" s="17"/>
      <c r="I4" s="17">
        <v>840000</v>
      </c>
    </row>
    <row r="5" spans="3:9">
      <c r="E5" s="8">
        <v>44196</v>
      </c>
      <c r="F5" t="s">
        <v>234</v>
      </c>
      <c r="H5" s="17">
        <f>H3*(1-6/24)</f>
        <v>630000</v>
      </c>
      <c r="I5" s="17"/>
    </row>
    <row r="6" spans="3:9">
      <c r="G6" t="s">
        <v>271</v>
      </c>
      <c r="H6" s="17"/>
      <c r="I6" s="17">
        <f>H5</f>
        <v>630000</v>
      </c>
    </row>
    <row r="7" spans="3:9">
      <c r="C7">
        <v>2</v>
      </c>
      <c r="D7" t="s">
        <v>267</v>
      </c>
      <c r="E7" s="8">
        <v>44075</v>
      </c>
      <c r="F7" t="s">
        <v>286</v>
      </c>
      <c r="H7" s="17">
        <v>240000</v>
      </c>
      <c r="I7" s="17"/>
    </row>
    <row r="8" spans="3:9">
      <c r="G8" t="s">
        <v>34</v>
      </c>
      <c r="H8" s="17"/>
      <c r="I8" s="17">
        <v>240000</v>
      </c>
    </row>
    <row r="9" spans="3:9">
      <c r="E9" s="8">
        <v>44196</v>
      </c>
      <c r="F9" t="s">
        <v>34</v>
      </c>
      <c r="H9" s="17">
        <f>H7*3/12</f>
        <v>60000</v>
      </c>
      <c r="I9" s="17"/>
    </row>
    <row r="10" spans="3:9">
      <c r="G10" t="s">
        <v>29</v>
      </c>
      <c r="H10" s="17"/>
      <c r="I10" s="17">
        <f>H9</f>
        <v>60000</v>
      </c>
    </row>
    <row r="11" spans="3:9">
      <c r="C11">
        <v>3</v>
      </c>
      <c r="D11" t="s">
        <v>272</v>
      </c>
      <c r="E11" s="8">
        <v>43831</v>
      </c>
      <c r="F11" t="s">
        <v>235</v>
      </c>
      <c r="H11" s="17">
        <v>3600</v>
      </c>
      <c r="I11" s="17"/>
    </row>
    <row r="12" spans="3:9">
      <c r="G12" t="s">
        <v>118</v>
      </c>
      <c r="H12" s="17"/>
      <c r="I12" s="17">
        <v>3600</v>
      </c>
    </row>
    <row r="13" spans="3:9">
      <c r="E13" s="8">
        <v>44196</v>
      </c>
      <c r="F13" t="s">
        <v>118</v>
      </c>
      <c r="H13" s="17">
        <f>3600*(1-1/2)</f>
        <v>1800</v>
      </c>
      <c r="I13" s="17"/>
    </row>
    <row r="14" spans="3:9">
      <c r="G14" t="s">
        <v>29</v>
      </c>
      <c r="H14" s="17"/>
      <c r="I14" s="17">
        <f>H13</f>
        <v>1800</v>
      </c>
    </row>
    <row r="15" spans="3:9">
      <c r="C15">
        <v>4</v>
      </c>
      <c r="D15" t="s">
        <v>267</v>
      </c>
      <c r="E15" s="8">
        <v>43952</v>
      </c>
      <c r="F15" t="s">
        <v>118</v>
      </c>
      <c r="H15" s="17">
        <v>1200</v>
      </c>
      <c r="I15" s="17"/>
    </row>
    <row r="16" spans="3:9">
      <c r="G16" t="s">
        <v>235</v>
      </c>
      <c r="H16" s="17"/>
      <c r="I16" s="17">
        <v>1200</v>
      </c>
    </row>
    <row r="17" spans="5:9">
      <c r="E17" s="8">
        <v>44196</v>
      </c>
      <c r="F17" t="s">
        <v>235</v>
      </c>
      <c r="H17" s="17">
        <f>H15*8/12</f>
        <v>800</v>
      </c>
      <c r="I17" s="17"/>
    </row>
    <row r="18" spans="5:9">
      <c r="G18" t="s">
        <v>29</v>
      </c>
      <c r="H18" s="17"/>
      <c r="I18" s="17">
        <f>H17</f>
        <v>800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01209-5F3A-4E1B-8375-E90445D5D86B}">
  <dimension ref="A1:W14"/>
  <sheetViews>
    <sheetView topLeftCell="H1" workbookViewId="0">
      <selection activeCell="R20" sqref="R20"/>
    </sheetView>
  </sheetViews>
  <sheetFormatPr defaultRowHeight="16.5"/>
  <cols>
    <col min="1" max="1" width="21.875" bestFit="1" customWidth="1"/>
    <col min="6" max="6" width="14" bestFit="1" customWidth="1"/>
    <col min="7" max="7" width="16" bestFit="1" customWidth="1"/>
    <col min="8" max="8" width="14.375" bestFit="1" customWidth="1"/>
    <col min="10" max="11" width="10.75" bestFit="1" customWidth="1"/>
    <col min="14" max="14" width="14" bestFit="1" customWidth="1"/>
    <col min="18" max="18" width="14.375" bestFit="1" customWidth="1"/>
  </cols>
  <sheetData>
    <row r="1" spans="1:23">
      <c r="D1" t="s">
        <v>287</v>
      </c>
    </row>
    <row r="2" spans="1:23">
      <c r="D2" t="s">
        <v>129</v>
      </c>
    </row>
    <row r="3" spans="1:23">
      <c r="A3" t="s">
        <v>288</v>
      </c>
      <c r="D3" s="15" t="s">
        <v>129</v>
      </c>
      <c r="E3" s="3"/>
      <c r="F3" s="3"/>
      <c r="G3" s="3"/>
      <c r="H3" s="3"/>
      <c r="I3" s="3"/>
      <c r="J3" s="3"/>
      <c r="K3" s="4"/>
      <c r="N3" t="s">
        <v>298</v>
      </c>
      <c r="W3">
        <v>1</v>
      </c>
    </row>
    <row r="4" spans="1:23">
      <c r="A4" t="s">
        <v>290</v>
      </c>
      <c r="D4" s="14" t="s">
        <v>131</v>
      </c>
      <c r="K4" s="5" t="s">
        <v>291</v>
      </c>
      <c r="N4" s="4">
        <v>1</v>
      </c>
      <c r="O4" s="4">
        <v>1</v>
      </c>
      <c r="P4" s="4"/>
      <c r="Q4" s="4">
        <v>5</v>
      </c>
      <c r="R4" s="27">
        <v>100000</v>
      </c>
      <c r="S4" s="4"/>
      <c r="T4" s="4"/>
      <c r="U4" s="4"/>
      <c r="V4" s="4"/>
      <c r="W4" s="3"/>
    </row>
    <row r="5" spans="1:23">
      <c r="D5" s="15" t="s">
        <v>132</v>
      </c>
      <c r="E5" s="3" t="s">
        <v>133</v>
      </c>
      <c r="F5" s="3" t="s">
        <v>96</v>
      </c>
      <c r="G5" s="3" t="s">
        <v>137</v>
      </c>
      <c r="H5" s="3" t="s">
        <v>137</v>
      </c>
      <c r="I5" s="3" t="s">
        <v>134</v>
      </c>
      <c r="J5" s="3" t="s">
        <v>135</v>
      </c>
      <c r="K5" s="44" t="s">
        <v>136</v>
      </c>
      <c r="R5" s="17"/>
    </row>
    <row r="6" spans="1:23">
      <c r="D6" s="15">
        <v>1</v>
      </c>
      <c r="E6" s="3">
        <v>1</v>
      </c>
      <c r="F6" s="3" t="s">
        <v>298</v>
      </c>
      <c r="G6" s="3" t="s">
        <v>299</v>
      </c>
      <c r="H6" s="25">
        <v>100000</v>
      </c>
      <c r="I6" s="3">
        <v>1</v>
      </c>
      <c r="J6" s="25">
        <v>100000</v>
      </c>
      <c r="K6" s="27"/>
      <c r="N6" t="s">
        <v>118</v>
      </c>
      <c r="R6" s="17"/>
      <c r="W6">
        <v>2</v>
      </c>
    </row>
    <row r="7" spans="1:23">
      <c r="D7" s="14"/>
      <c r="G7" t="s">
        <v>300</v>
      </c>
      <c r="H7" s="17">
        <v>10000</v>
      </c>
      <c r="J7" s="17"/>
      <c r="K7" s="28">
        <v>10000</v>
      </c>
      <c r="N7" s="4">
        <v>5</v>
      </c>
      <c r="O7" s="4">
        <v>1</v>
      </c>
      <c r="P7" s="4"/>
      <c r="Q7" s="3">
        <v>1</v>
      </c>
      <c r="R7" s="25">
        <v>1200</v>
      </c>
      <c r="S7" s="27"/>
      <c r="T7" s="27"/>
      <c r="U7" s="4"/>
      <c r="V7" s="4"/>
      <c r="W7" s="3"/>
    </row>
    <row r="8" spans="1:23">
      <c r="D8" s="14">
        <v>5</v>
      </c>
      <c r="E8">
        <v>1</v>
      </c>
      <c r="F8" t="s">
        <v>118</v>
      </c>
      <c r="G8" t="s">
        <v>235</v>
      </c>
      <c r="H8" s="17">
        <v>1200</v>
      </c>
      <c r="I8">
        <v>2</v>
      </c>
      <c r="J8" s="17">
        <v>1200</v>
      </c>
      <c r="K8" s="28"/>
      <c r="R8" s="17"/>
    </row>
    <row r="9" spans="1:23">
      <c r="D9" s="14"/>
      <c r="G9" t="s">
        <v>301</v>
      </c>
      <c r="H9" s="17" t="s">
        <v>302</v>
      </c>
      <c r="J9" s="17"/>
      <c r="K9" s="28">
        <f>J8</f>
        <v>1200</v>
      </c>
      <c r="N9" t="s">
        <v>121</v>
      </c>
      <c r="R9" s="17"/>
      <c r="W9">
        <v>3</v>
      </c>
    </row>
    <row r="10" spans="1:23">
      <c r="D10" s="14">
        <v>7</v>
      </c>
      <c r="E10">
        <v>1</v>
      </c>
      <c r="F10" t="s">
        <v>121</v>
      </c>
      <c r="G10" t="s">
        <v>25</v>
      </c>
      <c r="H10" s="17">
        <v>5000</v>
      </c>
      <c r="I10">
        <v>3</v>
      </c>
      <c r="J10" s="17">
        <v>5000</v>
      </c>
      <c r="K10" s="28"/>
      <c r="N10" s="4">
        <v>7</v>
      </c>
      <c r="O10" s="4">
        <v>1</v>
      </c>
      <c r="P10" s="4"/>
      <c r="Q10" s="4">
        <v>5</v>
      </c>
      <c r="R10" s="27">
        <v>5000</v>
      </c>
      <c r="S10" s="27"/>
      <c r="T10" s="27"/>
      <c r="U10" s="4"/>
      <c r="V10" s="4"/>
      <c r="W10" s="3"/>
    </row>
    <row r="11" spans="1:23">
      <c r="D11" s="14"/>
      <c r="G11" t="s">
        <v>303</v>
      </c>
      <c r="H11" s="17">
        <v>1400</v>
      </c>
      <c r="J11" s="17">
        <v>3600</v>
      </c>
      <c r="K11" s="28">
        <v>1400</v>
      </c>
      <c r="R11" s="17"/>
    </row>
    <row r="12" spans="1:23">
      <c r="D12" s="14">
        <v>9</v>
      </c>
      <c r="E12">
        <v>1</v>
      </c>
      <c r="F12" t="s">
        <v>198</v>
      </c>
      <c r="G12" t="s">
        <v>104</v>
      </c>
      <c r="H12" s="17">
        <v>12000</v>
      </c>
      <c r="I12">
        <v>4</v>
      </c>
      <c r="J12" s="17">
        <v>12000</v>
      </c>
      <c r="K12" s="28"/>
      <c r="R12" s="17"/>
    </row>
    <row r="13" spans="1:23">
      <c r="D13" s="29"/>
      <c r="E13" s="11"/>
      <c r="F13" s="11"/>
      <c r="G13" s="11" t="s">
        <v>301</v>
      </c>
      <c r="H13" s="11" t="s">
        <v>302</v>
      </c>
      <c r="I13" s="11"/>
      <c r="J13" s="30"/>
      <c r="K13" s="31">
        <v>12000</v>
      </c>
      <c r="N13" t="s">
        <v>198</v>
      </c>
      <c r="R13" s="17"/>
      <c r="T13" s="5"/>
      <c r="W13">
        <v>4</v>
      </c>
    </row>
    <row r="14" spans="1:23">
      <c r="N14" s="4">
        <v>9</v>
      </c>
      <c r="O14" s="4">
        <v>1</v>
      </c>
      <c r="P14" s="4"/>
      <c r="Q14" s="4">
        <v>2</v>
      </c>
      <c r="R14" s="27">
        <v>12000</v>
      </c>
      <c r="S14" s="4"/>
      <c r="T14" s="4"/>
      <c r="U14" s="4"/>
      <c r="V14" s="4">
        <v>1</v>
      </c>
      <c r="W14" s="3">
        <v>10000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F52BD-8CFF-465E-B429-83A9988E08F3}">
  <dimension ref="A1:P15"/>
  <sheetViews>
    <sheetView topLeftCell="G1" workbookViewId="0">
      <selection activeCell="J9" sqref="J9"/>
    </sheetView>
  </sheetViews>
  <sheetFormatPr defaultRowHeight="16.5"/>
  <cols>
    <col min="1" max="1" width="21.875" bestFit="1" customWidth="1"/>
    <col min="3" max="3" width="29.5" bestFit="1" customWidth="1"/>
    <col min="5" max="6" width="14" bestFit="1" customWidth="1"/>
    <col min="10" max="10" width="10.125" bestFit="1" customWidth="1"/>
    <col min="12" max="12" width="10.125" bestFit="1" customWidth="1"/>
    <col min="13" max="14" width="14" bestFit="1" customWidth="1"/>
  </cols>
  <sheetData>
    <row r="1" spans="1:16">
      <c r="C1" t="s">
        <v>1</v>
      </c>
      <c r="K1" t="s">
        <v>5</v>
      </c>
    </row>
    <row r="2" spans="1:16">
      <c r="C2" t="s">
        <v>277</v>
      </c>
    </row>
    <row r="3" spans="1:16">
      <c r="A3" t="s">
        <v>288</v>
      </c>
      <c r="C3" t="s">
        <v>278</v>
      </c>
      <c r="E3" t="s">
        <v>49</v>
      </c>
      <c r="K3" t="s">
        <v>265</v>
      </c>
      <c r="L3" t="s">
        <v>22</v>
      </c>
      <c r="M3" t="s">
        <v>49</v>
      </c>
    </row>
    <row r="4" spans="1:16">
      <c r="A4" t="s">
        <v>290</v>
      </c>
      <c r="C4" t="s">
        <v>304</v>
      </c>
      <c r="E4" s="3" t="s">
        <v>190</v>
      </c>
      <c r="F4" s="4"/>
      <c r="G4" s="3">
        <v>48000</v>
      </c>
      <c r="H4" s="3"/>
      <c r="K4" t="s">
        <v>272</v>
      </c>
      <c r="L4" s="7">
        <v>44075</v>
      </c>
      <c r="M4" s="3" t="s">
        <v>29</v>
      </c>
      <c r="N4" s="4"/>
      <c r="O4" s="3">
        <v>144000</v>
      </c>
      <c r="P4" s="3"/>
    </row>
    <row r="5" spans="1:16">
      <c r="C5" t="s">
        <v>280</v>
      </c>
      <c r="F5" s="5" t="s">
        <v>34</v>
      </c>
      <c r="H5">
        <v>48000</v>
      </c>
      <c r="N5" s="5" t="s">
        <v>190</v>
      </c>
      <c r="P5">
        <v>144000</v>
      </c>
    </row>
    <row r="6" spans="1:16">
      <c r="L6" s="8">
        <v>44196</v>
      </c>
      <c r="M6" t="s">
        <v>190</v>
      </c>
      <c r="N6" s="5"/>
      <c r="O6">
        <v>48000</v>
      </c>
    </row>
    <row r="7" spans="1:16">
      <c r="C7" t="s">
        <v>281</v>
      </c>
      <c r="E7" t="s">
        <v>50</v>
      </c>
      <c r="N7" s="5" t="s">
        <v>34</v>
      </c>
      <c r="P7">
        <v>48000</v>
      </c>
    </row>
    <row r="8" spans="1:16">
      <c r="C8" t="s">
        <v>282</v>
      </c>
      <c r="E8" s="3" t="s">
        <v>34</v>
      </c>
      <c r="F8" s="4"/>
      <c r="G8" s="3">
        <v>96000</v>
      </c>
      <c r="H8" s="3"/>
    </row>
    <row r="9" spans="1:16">
      <c r="C9" t="s">
        <v>283</v>
      </c>
      <c r="F9" s="5" t="s">
        <v>190</v>
      </c>
      <c r="H9">
        <v>96000</v>
      </c>
    </row>
    <row r="11" spans="1:16">
      <c r="K11" t="s">
        <v>265</v>
      </c>
      <c r="L11" t="s">
        <v>22</v>
      </c>
      <c r="M11" t="s">
        <v>50</v>
      </c>
    </row>
    <row r="12" spans="1:16">
      <c r="K12" t="s">
        <v>267</v>
      </c>
      <c r="L12" s="7">
        <v>44075</v>
      </c>
      <c r="M12" s="3" t="s">
        <v>29</v>
      </c>
      <c r="N12" s="4"/>
      <c r="O12" s="3">
        <v>144000</v>
      </c>
      <c r="P12" s="3"/>
    </row>
    <row r="13" spans="1:16">
      <c r="N13" s="5" t="s">
        <v>34</v>
      </c>
      <c r="P13">
        <v>144000</v>
      </c>
    </row>
    <row r="14" spans="1:16">
      <c r="L14" s="8">
        <v>44196</v>
      </c>
      <c r="M14" t="s">
        <v>34</v>
      </c>
      <c r="N14" s="5"/>
      <c r="O14">
        <v>96000</v>
      </c>
    </row>
    <row r="15" spans="1:16">
      <c r="N15" s="5" t="s">
        <v>190</v>
      </c>
      <c r="P15">
        <v>96000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ADFC6-629A-48C6-85FA-561D7749E299}">
  <dimension ref="A1:V6"/>
  <sheetViews>
    <sheetView workbookViewId="0">
      <selection activeCell="B10" sqref="B10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</cols>
  <sheetData>
    <row r="1" spans="1:22">
      <c r="A1" s="22" t="s">
        <v>40</v>
      </c>
      <c r="B1" t="s">
        <v>1</v>
      </c>
      <c r="M1" t="s">
        <v>5</v>
      </c>
    </row>
    <row r="2" spans="1:22">
      <c r="A2" s="23" t="s">
        <v>41</v>
      </c>
      <c r="B2" t="s">
        <v>47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26</v>
      </c>
      <c r="J2" t="s">
        <v>25</v>
      </c>
      <c r="K2" t="s">
        <v>48</v>
      </c>
      <c r="M2" t="s">
        <v>47</v>
      </c>
      <c r="N2" t="s">
        <v>6</v>
      </c>
      <c r="O2" t="s">
        <v>7</v>
      </c>
      <c r="P2" t="s">
        <v>8</v>
      </c>
      <c r="Q2" t="s">
        <v>9</v>
      </c>
      <c r="R2" t="s">
        <v>10</v>
      </c>
      <c r="S2" t="s">
        <v>11</v>
      </c>
      <c r="T2" t="s">
        <v>26</v>
      </c>
      <c r="U2" t="s">
        <v>25</v>
      </c>
      <c r="V2" t="s">
        <v>48</v>
      </c>
    </row>
    <row r="3" spans="1:22">
      <c r="A3" s="23" t="s">
        <v>45</v>
      </c>
      <c r="B3" t="s">
        <v>49</v>
      </c>
      <c r="C3" s="17">
        <v>3000</v>
      </c>
      <c r="D3" s="17">
        <v>1200</v>
      </c>
      <c r="E3" s="17"/>
      <c r="F3" s="17">
        <v>3700</v>
      </c>
      <c r="G3" s="17"/>
      <c r="H3" s="17"/>
      <c r="I3" s="17">
        <v>1750</v>
      </c>
      <c r="J3" s="17"/>
      <c r="K3" s="17">
        <v>600</v>
      </c>
      <c r="M3" t="s">
        <v>49</v>
      </c>
      <c r="N3" s="17">
        <v>3000</v>
      </c>
      <c r="O3" s="17">
        <v>1200</v>
      </c>
      <c r="P3" s="17">
        <v>1800</v>
      </c>
      <c r="Q3" s="17">
        <v>3700</v>
      </c>
      <c r="R3" s="17">
        <v>1300</v>
      </c>
      <c r="S3" s="17">
        <v>2400</v>
      </c>
      <c r="T3" s="17">
        <v>1750</v>
      </c>
      <c r="U3" s="17">
        <v>1150</v>
      </c>
      <c r="V3" s="17">
        <v>600</v>
      </c>
    </row>
    <row r="4" spans="1:22">
      <c r="A4" s="23" t="s">
        <v>46</v>
      </c>
      <c r="B4" t="s">
        <v>50</v>
      </c>
      <c r="C4" s="17">
        <v>4000</v>
      </c>
      <c r="D4" s="17"/>
      <c r="E4" s="17">
        <v>3600</v>
      </c>
      <c r="F4" s="17"/>
      <c r="G4" s="17">
        <v>2150</v>
      </c>
      <c r="H4" s="17">
        <v>3950</v>
      </c>
      <c r="I4" s="17"/>
      <c r="J4" s="17">
        <v>2700</v>
      </c>
      <c r="K4" s="17"/>
      <c r="M4" t="s">
        <v>50</v>
      </c>
      <c r="N4" s="17">
        <v>4000</v>
      </c>
      <c r="O4" s="17">
        <v>400</v>
      </c>
      <c r="P4" s="17">
        <v>3600</v>
      </c>
      <c r="Q4" s="17">
        <v>6100</v>
      </c>
      <c r="R4" s="17">
        <v>2150</v>
      </c>
      <c r="S4" s="17">
        <v>3950</v>
      </c>
      <c r="T4" s="17">
        <v>3050</v>
      </c>
      <c r="U4" s="17">
        <v>2700</v>
      </c>
      <c r="V4" s="17">
        <v>350</v>
      </c>
    </row>
    <row r="5" spans="1:22">
      <c r="A5" s="22"/>
      <c r="B5" t="s">
        <v>51</v>
      </c>
      <c r="C5" s="17"/>
      <c r="D5" s="17">
        <v>750</v>
      </c>
      <c r="E5" s="17">
        <v>500</v>
      </c>
      <c r="F5" s="17"/>
      <c r="G5" s="17">
        <v>700</v>
      </c>
      <c r="H5" s="17"/>
      <c r="I5" s="17">
        <v>1350</v>
      </c>
      <c r="J5" s="17">
        <v>800</v>
      </c>
      <c r="K5" s="17"/>
      <c r="M5" t="s">
        <v>51</v>
      </c>
      <c r="N5" s="17">
        <v>1250</v>
      </c>
      <c r="O5" s="17">
        <v>750</v>
      </c>
      <c r="P5" s="17">
        <v>500</v>
      </c>
      <c r="Q5" s="17">
        <v>1250</v>
      </c>
      <c r="R5" s="17">
        <v>700</v>
      </c>
      <c r="S5" s="17">
        <v>550</v>
      </c>
      <c r="T5" s="17">
        <v>1350</v>
      </c>
      <c r="U5" s="17">
        <v>800</v>
      </c>
      <c r="V5" s="17">
        <v>550</v>
      </c>
    </row>
    <row r="6" spans="1:22">
      <c r="A6" s="2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0944-A5C9-4803-A411-4CA47F3FA890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C04C-74DC-4D06-A762-1F2EA3D79E7A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7CA6A-2818-4B44-993F-B1CF369E3B1B}">
  <dimension ref="A1:BF137"/>
  <sheetViews>
    <sheetView topLeftCell="AC14" workbookViewId="0">
      <selection activeCell="AE25" sqref="AE25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8" max="39" width="14" bestFit="1" customWidth="1"/>
    <col min="40" max="41" width="11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C2" t="s">
        <v>307</v>
      </c>
    </row>
    <row r="3" spans="1:58">
      <c r="A3" t="s">
        <v>94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3" t="s">
        <v>108</v>
      </c>
      <c r="AH7" s="4"/>
      <c r="AI7" s="3" t="s">
        <v>261</v>
      </c>
      <c r="AJ7" s="3"/>
      <c r="AK7" s="3"/>
      <c r="AL7" s="4"/>
      <c r="AM7" s="3" t="s">
        <v>314</v>
      </c>
      <c r="AN7" s="4"/>
      <c r="AO7" s="3" t="s">
        <v>315</v>
      </c>
      <c r="AP7" s="4"/>
      <c r="AQ7" s="3" t="s">
        <v>316</v>
      </c>
      <c r="AR7" s="4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45" t="s">
        <v>96</v>
      </c>
      <c r="AF8" s="4" t="s">
        <v>96</v>
      </c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9" si="2">IF(OR($AD10=4,$AD10=5),$AM10,"")</f>
        <v/>
      </c>
      <c r="AP10" s="87" t="str">
        <f t="shared" ref="AP10:AP29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7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J14">
        <v>4</v>
      </c>
      <c r="K14">
        <v>5</v>
      </c>
      <c r="M14" t="s">
        <v>142</v>
      </c>
      <c r="N14" s="54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5</v>
      </c>
      <c r="AE16" s="80" t="s">
        <v>144</v>
      </c>
      <c r="AF16" s="106"/>
      <c r="AG16" s="107">
        <v>3000</v>
      </c>
      <c r="AH16" s="106"/>
      <c r="AI16" s="54"/>
      <c r="AJ16" s="54"/>
      <c r="AK16" s="110">
        <v>1800</v>
      </c>
      <c r="AL16" s="106">
        <v>13</v>
      </c>
      <c r="AM16" s="108">
        <f t="shared" si="0"/>
        <v>1200</v>
      </c>
      <c r="AN16" s="108" t="str">
        <f t="shared" si="1"/>
        <v/>
      </c>
      <c r="AO16" s="108">
        <f t="shared" si="2"/>
        <v>1200</v>
      </c>
      <c r="AP16" s="108" t="str">
        <f t="shared" si="3"/>
        <v/>
      </c>
      <c r="AQ16" s="108" t="str">
        <f t="shared" si="4"/>
        <v/>
      </c>
      <c r="AR16" s="109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5</v>
      </c>
      <c r="AE22" s="80" t="s">
        <v>243</v>
      </c>
      <c r="AF22" s="106"/>
      <c r="AG22" s="54"/>
      <c r="AH22" s="106"/>
      <c r="AI22" s="107"/>
      <c r="AJ22" s="54"/>
      <c r="AK22" s="107">
        <v>1000</v>
      </c>
      <c r="AL22" s="106">
        <v>12</v>
      </c>
      <c r="AM22" s="108" t="str">
        <f t="shared" si="0"/>
        <v/>
      </c>
      <c r="AN22" s="108">
        <f t="shared" si="1"/>
        <v>1000</v>
      </c>
      <c r="AO22" s="108" t="str">
        <f t="shared" si="2"/>
        <v/>
      </c>
      <c r="AP22" s="108">
        <f t="shared" si="3"/>
        <v>1000</v>
      </c>
      <c r="AQ22" s="108" t="str">
        <f t="shared" si="4"/>
        <v/>
      </c>
      <c r="AR22" s="109" t="str">
        <f t="shared" si="5"/>
        <v/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 t="shared" si="10"/>
        <v>1000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 t="shared" si="7"/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71000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71000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59400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59400</v>
      </c>
      <c r="AS29" s="55"/>
      <c r="AT29">
        <f t="shared" si="6"/>
        <v>0</v>
      </c>
      <c r="AV29">
        <f t="shared" si="8"/>
        <v>59400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71000</v>
      </c>
      <c r="AP30" s="67">
        <f>IF($AP28="",0,$AP28)-IF($AP29="",0,$AP29)</f>
        <v>71000</v>
      </c>
      <c r="AQ30" s="67">
        <f>SUM(AQ$9:AQ$29)</f>
        <v>149600</v>
      </c>
      <c r="AR30" s="70">
        <f>SUM(AR$9:AR$29)</f>
        <v>268400</v>
      </c>
      <c r="AS30" s="69"/>
      <c r="AT30" s="5"/>
      <c r="AV30">
        <f t="shared" si="8"/>
        <v>71000</v>
      </c>
      <c r="AW30">
        <f t="shared" si="9"/>
        <v>0</v>
      </c>
      <c r="AX30">
        <f t="shared" si="10"/>
        <v>71000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54" t="s">
        <v>243</v>
      </c>
      <c r="G33" s="17">
        <v>1000</v>
      </c>
      <c r="J33">
        <v>12</v>
      </c>
      <c r="O33" s="54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54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</row>
    <row r="48" spans="1:58">
      <c r="A48">
        <v>1</v>
      </c>
      <c r="B48">
        <v>1</v>
      </c>
      <c r="C48" s="6" t="s">
        <v>29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</row>
    <row r="53" spans="1:58">
      <c r="C53" s="8">
        <v>44119</v>
      </c>
      <c r="D53" s="17">
        <v>20000</v>
      </c>
      <c r="E53" s="5">
        <v>6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9" spans="1:58">
      <c r="A59">
        <v>2</v>
      </c>
      <c r="B59">
        <v>1</v>
      </c>
      <c r="C59" s="6" t="s">
        <v>119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</row>
    <row r="64" spans="1:58">
      <c r="C64" s="8">
        <v>44135</v>
      </c>
      <c r="D64" s="17">
        <v>12000</v>
      </c>
      <c r="E64" s="5">
        <v>10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5</v>
      </c>
      <c r="C86" s="54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5</v>
      </c>
      <c r="C102" s="54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9">
      <c r="A114" t="s">
        <v>108</v>
      </c>
    </row>
    <row r="116" spans="1:9">
      <c r="C116" t="s">
        <v>157</v>
      </c>
    </row>
    <row r="117" spans="1:9">
      <c r="C117" t="s">
        <v>108</v>
      </c>
    </row>
    <row r="118" spans="1:9">
      <c r="C118" t="s">
        <v>158</v>
      </c>
      <c r="H118" t="s">
        <v>315</v>
      </c>
    </row>
    <row r="119" spans="1:9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17</v>
      </c>
      <c r="I119" t="s">
        <v>19</v>
      </c>
    </row>
    <row r="120" spans="1:9">
      <c r="A120">
        <v>1</v>
      </c>
      <c r="B120">
        <v>1</v>
      </c>
      <c r="C120" s="6" t="s">
        <v>29</v>
      </c>
      <c r="D120" s="51">
        <v>115600</v>
      </c>
      <c r="E120" s="51"/>
    </row>
    <row r="121" spans="1:9">
      <c r="A121">
        <v>2</v>
      </c>
      <c r="B121">
        <v>1</v>
      </c>
      <c r="C121" s="6" t="s">
        <v>119</v>
      </c>
      <c r="D121" s="51">
        <v>20000</v>
      </c>
      <c r="E121" s="51"/>
    </row>
    <row r="122" spans="1:9">
      <c r="A122">
        <v>3</v>
      </c>
      <c r="B122">
        <v>1</v>
      </c>
      <c r="C122" s="6" t="s">
        <v>147</v>
      </c>
      <c r="D122" s="51">
        <v>14000</v>
      </c>
      <c r="E122" s="51"/>
    </row>
    <row r="123" spans="1:9">
      <c r="A123">
        <v>4</v>
      </c>
      <c r="B123">
        <v>2</v>
      </c>
      <c r="C123" s="49" t="s">
        <v>145</v>
      </c>
      <c r="D123" s="51">
        <v>0</v>
      </c>
      <c r="E123" s="51"/>
    </row>
    <row r="124" spans="1:9">
      <c r="A124">
        <v>5</v>
      </c>
      <c r="B124">
        <v>2</v>
      </c>
      <c r="C124" s="49" t="s">
        <v>231</v>
      </c>
      <c r="D124" s="51"/>
      <c r="E124" s="51">
        <v>8000</v>
      </c>
    </row>
    <row r="125" spans="1:9">
      <c r="A125">
        <v>6</v>
      </c>
      <c r="B125">
        <v>2</v>
      </c>
      <c r="C125" s="49" t="s">
        <v>242</v>
      </c>
      <c r="D125" s="51"/>
      <c r="E125" s="51">
        <v>1000</v>
      </c>
    </row>
    <row r="126" spans="1:9">
      <c r="A126">
        <v>7</v>
      </c>
      <c r="B126">
        <v>3</v>
      </c>
      <c r="C126" s="52" t="s">
        <v>38</v>
      </c>
      <c r="D126" s="51"/>
      <c r="E126" s="51">
        <v>200000</v>
      </c>
    </row>
    <row r="127" spans="1:9">
      <c r="A127">
        <v>8</v>
      </c>
      <c r="B127">
        <v>4</v>
      </c>
      <c r="C127" s="53" t="s">
        <v>148</v>
      </c>
      <c r="D127" s="51"/>
      <c r="E127" s="51">
        <v>70000</v>
      </c>
    </row>
    <row r="128" spans="1:9">
      <c r="A128">
        <v>9</v>
      </c>
      <c r="B128">
        <v>5</v>
      </c>
      <c r="C128" s="54" t="s">
        <v>143</v>
      </c>
      <c r="D128" s="51">
        <v>90000</v>
      </c>
      <c r="E128" s="51"/>
    </row>
    <row r="129" spans="1:5">
      <c r="A129">
        <v>10</v>
      </c>
      <c r="B129">
        <v>5</v>
      </c>
      <c r="C129" s="54" t="s">
        <v>144</v>
      </c>
      <c r="D129" s="51">
        <v>1200</v>
      </c>
      <c r="E129" s="51"/>
    </row>
    <row r="130" spans="1:5">
      <c r="A130">
        <v>11</v>
      </c>
      <c r="B130">
        <v>5</v>
      </c>
      <c r="C130" s="54" t="s">
        <v>86</v>
      </c>
      <c r="D130" s="51">
        <v>25000</v>
      </c>
      <c r="E130" s="51"/>
    </row>
    <row r="131" spans="1:5">
      <c r="A131">
        <v>12</v>
      </c>
      <c r="B131">
        <v>5</v>
      </c>
      <c r="C131" s="54" t="s">
        <v>101</v>
      </c>
      <c r="D131" s="51">
        <v>400</v>
      </c>
      <c r="E131" s="51"/>
    </row>
    <row r="132" spans="1:5">
      <c r="A132">
        <v>13</v>
      </c>
      <c r="B132">
        <v>5</v>
      </c>
      <c r="C132" s="54" t="s">
        <v>104</v>
      </c>
      <c r="D132" s="51">
        <v>10000</v>
      </c>
      <c r="E132" s="51"/>
    </row>
    <row r="133" spans="1:5">
      <c r="A133">
        <v>14</v>
      </c>
      <c r="B133">
        <v>5</v>
      </c>
      <c r="C133" s="54" t="s">
        <v>236</v>
      </c>
      <c r="D133" s="51">
        <v>1000</v>
      </c>
      <c r="E133" s="51"/>
    </row>
    <row r="134" spans="1:5">
      <c r="A134">
        <v>15</v>
      </c>
      <c r="B134">
        <v>5</v>
      </c>
      <c r="C134" s="54" t="s">
        <v>243</v>
      </c>
      <c r="D134" s="51"/>
      <c r="E134" s="51">
        <v>1000</v>
      </c>
    </row>
    <row r="135" spans="1:5">
      <c r="A135">
        <v>16</v>
      </c>
      <c r="B135">
        <v>5</v>
      </c>
      <c r="C135" s="54" t="s">
        <v>244</v>
      </c>
      <c r="D135" s="51">
        <v>1800</v>
      </c>
      <c r="E135" s="51"/>
    </row>
    <row r="136" spans="1:5">
      <c r="A136">
        <v>17</v>
      </c>
      <c r="B136">
        <v>5</v>
      </c>
      <c r="C136" s="54" t="s">
        <v>84</v>
      </c>
      <c r="D136" s="51">
        <v>1000</v>
      </c>
      <c r="E136" s="51"/>
    </row>
    <row r="137" spans="1:5">
      <c r="C137" t="s">
        <v>107</v>
      </c>
      <c r="D137" s="51">
        <f>SUM(D120:D136)</f>
        <v>280000</v>
      </c>
      <c r="E137" s="51">
        <f>SUM(E120:E136)</f>
        <v>280000</v>
      </c>
    </row>
  </sheetData>
  <sheetProtection formatColumns="0"/>
  <protectedRanges>
    <protectedRange sqref="AU13:AU14 AU22 AU26" name="範圍1"/>
  </protectedRange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9DDD6-4367-40DA-B539-5BCDC6CC54BF}">
  <dimension ref="A1:BF137"/>
  <sheetViews>
    <sheetView topLeftCell="W9" workbookViewId="0">
      <selection activeCell="AA22" sqref="AA22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8" max="8" width="16.12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8" max="39" width="14" bestFit="1" customWidth="1"/>
    <col min="40" max="41" width="11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2" t="s">
        <v>319</v>
      </c>
      <c r="C2" t="s">
        <v>320</v>
      </c>
      <c r="D2" t="s">
        <v>305</v>
      </c>
      <c r="E2" t="s">
        <v>321</v>
      </c>
      <c r="AC2" t="s">
        <v>307</v>
      </c>
    </row>
    <row r="3" spans="1:58">
      <c r="A3" t="s">
        <v>94</v>
      </c>
      <c r="D3" t="s">
        <v>318</v>
      </c>
      <c r="E3" t="s">
        <v>322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3" t="s">
        <v>108</v>
      </c>
      <c r="AH7" s="4"/>
      <c r="AI7" s="3" t="s">
        <v>261</v>
      </c>
      <c r="AJ7" s="3"/>
      <c r="AK7" s="3"/>
      <c r="AL7" s="4"/>
      <c r="AM7" s="3" t="s">
        <v>314</v>
      </c>
      <c r="AN7" s="4"/>
      <c r="AO7" s="3" t="s">
        <v>315</v>
      </c>
      <c r="AP7" s="4"/>
      <c r="AQ7" s="3" t="s">
        <v>316</v>
      </c>
      <c r="AR7" s="4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45" t="s">
        <v>96</v>
      </c>
      <c r="AF8" s="4" t="s">
        <v>96</v>
      </c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7" si="2">IF(OR($AD10=4,$AD10=5),$AM10,"")</f>
        <v/>
      </c>
      <c r="AP10" s="87" t="str">
        <f t="shared" ref="AP10:AP27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6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4</v>
      </c>
      <c r="C14" s="8">
        <v>44111</v>
      </c>
      <c r="D14" s="102" t="s">
        <v>144</v>
      </c>
      <c r="F14" s="17">
        <v>3000</v>
      </c>
      <c r="J14">
        <v>4</v>
      </c>
      <c r="K14">
        <v>4</v>
      </c>
      <c r="M14" t="s">
        <v>142</v>
      </c>
      <c r="N14" s="102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4</v>
      </c>
      <c r="AE16" s="100" t="s">
        <v>144</v>
      </c>
      <c r="AF16" s="101"/>
      <c r="AG16" s="113">
        <v>3000</v>
      </c>
      <c r="AH16" s="101"/>
      <c r="AI16" s="102"/>
      <c r="AJ16" s="102"/>
      <c r="AK16" s="114">
        <v>1800</v>
      </c>
      <c r="AL16" s="101">
        <v>13</v>
      </c>
      <c r="AM16" s="104">
        <f t="shared" si="0"/>
        <v>1200</v>
      </c>
      <c r="AN16" s="104" t="str">
        <f t="shared" si="1"/>
        <v/>
      </c>
      <c r="AO16" s="104">
        <f t="shared" si="2"/>
        <v>1200</v>
      </c>
      <c r="AP16" s="104" t="str">
        <f t="shared" si="3"/>
        <v/>
      </c>
      <c r="AQ16" s="104" t="str">
        <f t="shared" si="4"/>
        <v/>
      </c>
      <c r="AR16" s="105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5</v>
      </c>
      <c r="AE22" s="80" t="s">
        <v>243</v>
      </c>
      <c r="AF22" s="106"/>
      <c r="AG22" s="54"/>
      <c r="AH22" s="106"/>
      <c r="AI22" s="107"/>
      <c r="AJ22" s="54"/>
      <c r="AK22" s="107">
        <v>1000</v>
      </c>
      <c r="AL22" s="106">
        <v>12</v>
      </c>
      <c r="AM22" s="108" t="str">
        <f t="shared" si="0"/>
        <v/>
      </c>
      <c r="AN22" s="108">
        <f t="shared" si="1"/>
        <v>1000</v>
      </c>
      <c r="AO22" s="108" t="str">
        <f t="shared" si="2"/>
        <v/>
      </c>
      <c r="AP22" s="108">
        <f t="shared" si="3"/>
        <v>1000</v>
      </c>
      <c r="AQ22" s="108" t="str">
        <f t="shared" si="4"/>
        <v/>
      </c>
      <c r="AR22" s="109" t="str">
        <f t="shared" si="5"/>
        <v/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 t="shared" si="10"/>
        <v>1000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>$AG25-$AH25+$AI25-$AK25</f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71000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71000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59400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59400</v>
      </c>
      <c r="AS29" s="55">
        <v>209000</v>
      </c>
      <c r="AT29">
        <f t="shared" si="6"/>
        <v>0</v>
      </c>
      <c r="AV29">
        <f t="shared" si="8"/>
        <v>59400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71000</v>
      </c>
      <c r="AP30" s="67">
        <f>IF($AP28="",0,$AP28)-IF($AP29="",0,$AP29)</f>
        <v>71000</v>
      </c>
      <c r="AQ30" s="67">
        <f>SUM(AQ$9:AQ$29)</f>
        <v>149600</v>
      </c>
      <c r="AR30" s="70">
        <f>SUM(AR$9:AR$29)</f>
        <v>268400</v>
      </c>
      <c r="AS30" s="69"/>
      <c r="AT30" s="5"/>
      <c r="AV30">
        <f t="shared" si="8"/>
        <v>71000</v>
      </c>
      <c r="AW30">
        <f t="shared" si="9"/>
        <v>0</v>
      </c>
      <c r="AX30">
        <f t="shared" si="10"/>
        <v>71000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54" t="s">
        <v>243</v>
      </c>
      <c r="G33" s="17">
        <v>1000</v>
      </c>
      <c r="J33">
        <v>12</v>
      </c>
      <c r="O33" s="54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102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</row>
    <row r="48" spans="1:58">
      <c r="A48">
        <v>1</v>
      </c>
      <c r="B48">
        <v>1</v>
      </c>
      <c r="C48" s="6" t="s">
        <v>29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</row>
    <row r="53" spans="1:58">
      <c r="C53" s="8">
        <v>44119</v>
      </c>
      <c r="D53" s="17">
        <v>20000</v>
      </c>
      <c r="E53" s="5">
        <v>6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9" spans="1:58">
      <c r="A59">
        <v>2</v>
      </c>
      <c r="B59">
        <v>1</v>
      </c>
      <c r="C59" s="6" t="s">
        <v>119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</row>
    <row r="64" spans="1:58">
      <c r="C64" s="8">
        <v>44135</v>
      </c>
      <c r="D64" s="17">
        <v>12000</v>
      </c>
      <c r="E64" s="5">
        <v>10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4</v>
      </c>
      <c r="C86" s="102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5</v>
      </c>
      <c r="C102" s="54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9">
      <c r="A114" t="s">
        <v>108</v>
      </c>
    </row>
    <row r="116" spans="1:9">
      <c r="C116" t="s">
        <v>157</v>
      </c>
    </row>
    <row r="117" spans="1:9">
      <c r="C117" t="s">
        <v>108</v>
      </c>
    </row>
    <row r="118" spans="1:9">
      <c r="C118" t="s">
        <v>158</v>
      </c>
      <c r="H118" t="s">
        <v>315</v>
      </c>
    </row>
    <row r="119" spans="1:9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17</v>
      </c>
      <c r="I119" t="s">
        <v>19</v>
      </c>
    </row>
    <row r="120" spans="1:9">
      <c r="A120">
        <v>1</v>
      </c>
      <c r="B120">
        <v>1</v>
      </c>
      <c r="C120" s="6" t="s">
        <v>29</v>
      </c>
      <c r="D120" s="51">
        <v>115600</v>
      </c>
      <c r="E120" s="51"/>
    </row>
    <row r="121" spans="1:9">
      <c r="A121">
        <v>2</v>
      </c>
      <c r="B121">
        <v>1</v>
      </c>
      <c r="C121" s="6" t="s">
        <v>119</v>
      </c>
      <c r="D121" s="51">
        <v>20000</v>
      </c>
      <c r="E121" s="51"/>
    </row>
    <row r="122" spans="1:9">
      <c r="A122">
        <v>3</v>
      </c>
      <c r="B122">
        <v>1</v>
      </c>
      <c r="C122" s="6" t="s">
        <v>147</v>
      </c>
      <c r="D122" s="51">
        <v>14000</v>
      </c>
      <c r="E122" s="51"/>
    </row>
    <row r="123" spans="1:9">
      <c r="A123">
        <v>4</v>
      </c>
      <c r="B123">
        <v>2</v>
      </c>
      <c r="C123" s="49" t="s">
        <v>145</v>
      </c>
      <c r="D123" s="51">
        <v>0</v>
      </c>
      <c r="E123" s="51"/>
    </row>
    <row r="124" spans="1:9">
      <c r="A124">
        <v>5</v>
      </c>
      <c r="B124">
        <v>2</v>
      </c>
      <c r="C124" s="49" t="s">
        <v>231</v>
      </c>
      <c r="D124" s="51"/>
      <c r="E124" s="51">
        <v>8000</v>
      </c>
    </row>
    <row r="125" spans="1:9">
      <c r="A125">
        <v>6</v>
      </c>
      <c r="B125">
        <v>2</v>
      </c>
      <c r="C125" s="49" t="s">
        <v>242</v>
      </c>
      <c r="D125" s="51"/>
      <c r="E125" s="51">
        <v>1000</v>
      </c>
    </row>
    <row r="126" spans="1:9">
      <c r="A126">
        <v>7</v>
      </c>
      <c r="B126">
        <v>3</v>
      </c>
      <c r="C126" s="52" t="s">
        <v>38</v>
      </c>
      <c r="D126" s="51"/>
      <c r="E126" s="51">
        <v>200000</v>
      </c>
    </row>
    <row r="127" spans="1:9">
      <c r="A127">
        <v>8</v>
      </c>
      <c r="B127">
        <v>4</v>
      </c>
      <c r="C127" s="53" t="s">
        <v>148</v>
      </c>
      <c r="D127" s="51"/>
      <c r="E127" s="51">
        <v>70000</v>
      </c>
    </row>
    <row r="128" spans="1:9">
      <c r="A128">
        <v>9</v>
      </c>
      <c r="B128">
        <v>5</v>
      </c>
      <c r="C128" s="54" t="s">
        <v>143</v>
      </c>
      <c r="D128" s="51">
        <v>90000</v>
      </c>
      <c r="E128" s="51"/>
    </row>
    <row r="129" spans="1:5">
      <c r="A129">
        <v>10</v>
      </c>
      <c r="B129">
        <v>4</v>
      </c>
      <c r="C129" s="102" t="s">
        <v>144</v>
      </c>
      <c r="D129" s="51">
        <v>1200</v>
      </c>
      <c r="E129" s="51"/>
    </row>
    <row r="130" spans="1:5">
      <c r="A130">
        <v>11</v>
      </c>
      <c r="B130">
        <v>5</v>
      </c>
      <c r="C130" s="54" t="s">
        <v>86</v>
      </c>
      <c r="D130" s="51">
        <v>25000</v>
      </c>
      <c r="E130" s="51"/>
    </row>
    <row r="131" spans="1:5">
      <c r="A131">
        <v>12</v>
      </c>
      <c r="B131">
        <v>5</v>
      </c>
      <c r="C131" s="54" t="s">
        <v>101</v>
      </c>
      <c r="D131" s="51">
        <v>400</v>
      </c>
      <c r="E131" s="51"/>
    </row>
    <row r="132" spans="1:5">
      <c r="A132">
        <v>13</v>
      </c>
      <c r="B132">
        <v>5</v>
      </c>
      <c r="C132" s="54" t="s">
        <v>104</v>
      </c>
      <c r="D132" s="51">
        <v>10000</v>
      </c>
      <c r="E132" s="51"/>
    </row>
    <row r="133" spans="1:5">
      <c r="A133">
        <v>14</v>
      </c>
      <c r="B133">
        <v>5</v>
      </c>
      <c r="C133" s="54" t="s">
        <v>236</v>
      </c>
      <c r="D133" s="51">
        <v>1000</v>
      </c>
      <c r="E133" s="51"/>
    </row>
    <row r="134" spans="1:5">
      <c r="A134">
        <v>15</v>
      </c>
      <c r="B134">
        <v>5</v>
      </c>
      <c r="C134" s="54" t="s">
        <v>243</v>
      </c>
      <c r="D134" s="51"/>
      <c r="E134" s="51">
        <v>1000</v>
      </c>
    </row>
    <row r="135" spans="1:5">
      <c r="A135">
        <v>16</v>
      </c>
      <c r="B135">
        <v>5</v>
      </c>
      <c r="C135" s="54" t="s">
        <v>244</v>
      </c>
      <c r="D135" s="51">
        <v>1800</v>
      </c>
      <c r="E135" s="51"/>
    </row>
    <row r="136" spans="1:5">
      <c r="A136">
        <v>17</v>
      </c>
      <c r="B136">
        <v>5</v>
      </c>
      <c r="C136" s="54" t="s">
        <v>84</v>
      </c>
      <c r="D136" s="51">
        <v>1000</v>
      </c>
      <c r="E136" s="51"/>
    </row>
    <row r="137" spans="1:5">
      <c r="C137" t="s">
        <v>107</v>
      </c>
      <c r="D137" s="51">
        <f>SUM(D120:D136)</f>
        <v>280000</v>
      </c>
      <c r="E137" s="51">
        <f>SUM(E120:E136)</f>
        <v>280000</v>
      </c>
    </row>
  </sheetData>
  <sheetProtection formatColumns="0"/>
  <protectedRanges>
    <protectedRange sqref="AU13:AU14 AU22 AU26" name="範圍1"/>
  </protectedRanges>
  <pageMargins left="0.7" right="0.7" top="0.75" bottom="0.75" header="0.3" footer="0.3"/>
  <legacy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1E2F-0693-4B3F-AE4B-01AA9C5AD810}">
  <dimension ref="A1:BF137"/>
  <sheetViews>
    <sheetView workbookViewId="0">
      <selection activeCell="A2" sqref="A2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8" max="8" width="5.625" bestFit="1" customWidth="1"/>
    <col min="9" max="9" width="14" bestFit="1" customWidth="1"/>
    <col min="11" max="11" width="14" bestFit="1" customWidth="1"/>
    <col min="12" max="12" width="15.375" bestFit="1" customWidth="1"/>
    <col min="13" max="13" width="19.87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3" max="34" width="8.25" bestFit="1" customWidth="1"/>
    <col min="35" max="35" width="7.375" bestFit="1" customWidth="1"/>
    <col min="36" max="36" width="7.625" bestFit="1" customWidth="1"/>
    <col min="37" max="37" width="7.375" bestFit="1" customWidth="1"/>
    <col min="38" max="38" width="7.625" bestFit="1" customWidth="1"/>
    <col min="39" max="40" width="8.25" bestFit="1" customWidth="1"/>
    <col min="41" max="41" width="7.75" bestFit="1" customWidth="1"/>
    <col min="42" max="42" width="6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2" t="s">
        <v>319</v>
      </c>
      <c r="C2" t="s">
        <v>320</v>
      </c>
      <c r="D2" t="s">
        <v>305</v>
      </c>
      <c r="E2" t="s">
        <v>321</v>
      </c>
      <c r="AC2" t="s">
        <v>307</v>
      </c>
    </row>
    <row r="3" spans="1:58">
      <c r="A3" t="s">
        <v>94</v>
      </c>
      <c r="D3" t="s">
        <v>318</v>
      </c>
      <c r="E3" t="s">
        <v>322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130" t="s">
        <v>108</v>
      </c>
      <c r="AH7" s="131"/>
      <c r="AI7" s="130" t="s">
        <v>261</v>
      </c>
      <c r="AJ7" s="132"/>
      <c r="AK7" s="132"/>
      <c r="AL7" s="131"/>
      <c r="AM7" s="130" t="s">
        <v>314</v>
      </c>
      <c r="AN7" s="131"/>
      <c r="AO7" s="130" t="s">
        <v>315</v>
      </c>
      <c r="AP7" s="131"/>
      <c r="AQ7" s="130" t="s">
        <v>316</v>
      </c>
      <c r="AR7" s="131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130" t="s">
        <v>96</v>
      </c>
      <c r="AF8" s="131"/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7" si="2">IF(OR($AD10=4,$AD10=5),$AM10,"")</f>
        <v/>
      </c>
      <c r="AP10" s="87" t="str">
        <f t="shared" ref="AP10:AR27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6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4</v>
      </c>
      <c r="C14" s="8">
        <v>44111</v>
      </c>
      <c r="D14" s="102" t="s">
        <v>144</v>
      </c>
      <c r="F14" s="17">
        <v>3000</v>
      </c>
      <c r="J14">
        <v>4</v>
      </c>
      <c r="K14">
        <v>4</v>
      </c>
      <c r="M14" t="s">
        <v>142</v>
      </c>
      <c r="N14" s="102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4</v>
      </c>
      <c r="AE16" s="100" t="s">
        <v>144</v>
      </c>
      <c r="AF16" s="101"/>
      <c r="AG16" s="113">
        <v>3000</v>
      </c>
      <c r="AH16" s="101"/>
      <c r="AI16" s="102"/>
      <c r="AJ16" s="102"/>
      <c r="AK16" s="114">
        <v>1800</v>
      </c>
      <c r="AL16" s="101">
        <v>13</v>
      </c>
      <c r="AM16" s="104">
        <f t="shared" si="0"/>
        <v>1200</v>
      </c>
      <c r="AN16" s="104" t="str">
        <f t="shared" si="1"/>
        <v/>
      </c>
      <c r="AO16" s="104">
        <f t="shared" si="2"/>
        <v>1200</v>
      </c>
      <c r="AP16" s="104" t="str">
        <f t="shared" si="3"/>
        <v/>
      </c>
      <c r="AQ16" s="104" t="str">
        <f t="shared" si="4"/>
        <v/>
      </c>
      <c r="AR16" s="105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5</v>
      </c>
      <c r="AE22" s="78" t="s">
        <v>243</v>
      </c>
      <c r="AF22" s="92"/>
      <c r="AG22" s="49"/>
      <c r="AH22" s="92"/>
      <c r="AI22" s="93"/>
      <c r="AJ22" s="49"/>
      <c r="AK22" s="93">
        <v>1000</v>
      </c>
      <c r="AL22" s="92">
        <v>12</v>
      </c>
      <c r="AM22" s="94" t="str">
        <f t="shared" si="0"/>
        <v/>
      </c>
      <c r="AN22" s="94">
        <f t="shared" si="1"/>
        <v>1000</v>
      </c>
      <c r="AO22" s="94" t="str">
        <f t="shared" si="2"/>
        <v/>
      </c>
      <c r="AP22" s="49"/>
      <c r="AQ22" s="94" t="str">
        <f t="shared" si="4"/>
        <v/>
      </c>
      <c r="AR22" s="94">
        <f t="shared" si="3"/>
        <v>1000</v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>IF($AR22="",0,$AR22)</f>
        <v>1000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>$AG25-$AH25+$AI25-$AK25</f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70000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70000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60400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60400</v>
      </c>
      <c r="AS29" s="55">
        <v>209000</v>
      </c>
      <c r="AT29">
        <f t="shared" si="6"/>
        <v>0</v>
      </c>
      <c r="AV29">
        <f t="shared" si="8"/>
        <v>60400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70000</v>
      </c>
      <c r="AP30" s="67">
        <f>IF($AP28="",0,$AP28)-IF($AP29="",0,$AP29)</f>
        <v>70000</v>
      </c>
      <c r="AQ30" s="67">
        <f>SUM(AQ$9:AQ$29)</f>
        <v>149600</v>
      </c>
      <c r="AR30" s="70">
        <f>SUM(AR$9:AR$29)</f>
        <v>270400</v>
      </c>
      <c r="AS30" s="69"/>
      <c r="AT30" s="5"/>
      <c r="AV30">
        <f t="shared" si="8"/>
        <v>70000</v>
      </c>
      <c r="AW30">
        <f t="shared" si="9"/>
        <v>0</v>
      </c>
      <c r="AX30">
        <f t="shared" si="10"/>
        <v>70000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49" t="s">
        <v>243</v>
      </c>
      <c r="G33" s="17">
        <v>1000</v>
      </c>
      <c r="J33">
        <v>12</v>
      </c>
      <c r="O33" s="49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102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  <c r="J47" s="129" t="s">
        <v>323</v>
      </c>
      <c r="K47" s="129"/>
    </row>
    <row r="48" spans="1:58">
      <c r="A48">
        <v>1</v>
      </c>
      <c r="B48">
        <v>1</v>
      </c>
      <c r="C48" s="6" t="s">
        <v>29</v>
      </c>
      <c r="J48" t="s">
        <v>20</v>
      </c>
      <c r="K48" t="s">
        <v>324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J49">
        <v>1</v>
      </c>
      <c r="K49" s="51">
        <f>SUM(D49:D57)-SUM(G49:G57)</f>
        <v>115600</v>
      </c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J50">
        <v>2</v>
      </c>
      <c r="K50" s="51">
        <f>SUM(D60)-SUM(G60)</f>
        <v>20000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J51">
        <v>3</v>
      </c>
      <c r="K51" s="51">
        <f>SUM(D63:D64)-SUM(G63:G64)</f>
        <v>14000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  <c r="J52">
        <v>4</v>
      </c>
      <c r="K52" s="51">
        <f>SUM(D67:D68)-SUM(G67:G68)</f>
        <v>0</v>
      </c>
    </row>
    <row r="53" spans="1:58">
      <c r="C53" s="8">
        <v>44119</v>
      </c>
      <c r="D53" s="17">
        <v>20000</v>
      </c>
      <c r="E53" s="5">
        <v>6</v>
      </c>
      <c r="J53">
        <v>5</v>
      </c>
      <c r="K53" s="51">
        <f>SUM(D71)-SUM(G71)</f>
        <v>-8000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J54">
        <v>6</v>
      </c>
      <c r="K54" s="51">
        <f>SUM(D74)-SUM(G74)</f>
        <v>-1000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J55">
        <v>7</v>
      </c>
      <c r="K55" s="51">
        <f>SUM(D77)-SUM(G77)</f>
        <v>-200000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J56">
        <v>8</v>
      </c>
      <c r="K56" s="51">
        <f>SUM(D80:D81)-SUM(G80:G81)</f>
        <v>-70000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J57">
        <v>9</v>
      </c>
      <c r="K57" s="51">
        <f>SUM(D84)-SUM(G84)</f>
        <v>90000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8" spans="1:58">
      <c r="J58">
        <v>10</v>
      </c>
      <c r="K58" s="51">
        <f>SUM(D87)-SUM(G87)</f>
        <v>1200</v>
      </c>
    </row>
    <row r="59" spans="1:58">
      <c r="A59">
        <v>2</v>
      </c>
      <c r="B59">
        <v>1</v>
      </c>
      <c r="C59" s="6" t="s">
        <v>119</v>
      </c>
      <c r="J59">
        <v>11</v>
      </c>
      <c r="K59" s="51">
        <f>SUM(D90:D91)-SUM(G90:G91)</f>
        <v>25000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J60">
        <v>12</v>
      </c>
      <c r="K60" s="51">
        <f>SUM(D94)-SUM(G94)</f>
        <v>400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J61">
        <v>13</v>
      </c>
      <c r="K61" s="51">
        <f>SUM(D97)-SUM(G97)</f>
        <v>10000</v>
      </c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J62">
        <v>14</v>
      </c>
      <c r="K62" s="51">
        <f>SUM(D100)-SUM(G100)</f>
        <v>1000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  <c r="J63">
        <v>15</v>
      </c>
      <c r="K63" s="51">
        <f>SUM(D103)-SUM(G103)</f>
        <v>-1000</v>
      </c>
    </row>
    <row r="64" spans="1:58">
      <c r="C64" s="8">
        <v>44135</v>
      </c>
      <c r="D64" s="17">
        <v>12000</v>
      </c>
      <c r="E64" s="5">
        <v>10</v>
      </c>
      <c r="J64">
        <v>16</v>
      </c>
      <c r="K64" s="51">
        <f>SUM(D106)-SUM(G106)</f>
        <v>1800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J65">
        <v>17</v>
      </c>
      <c r="K65" s="51">
        <f>SUM(D109)-SUM(G109)</f>
        <v>1000</v>
      </c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J66" t="s">
        <v>107</v>
      </c>
      <c r="K66" s="17">
        <f>SUM(K49:K65)</f>
        <v>0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4</v>
      </c>
      <c r="C86" s="102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2</v>
      </c>
      <c r="C102" s="49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24">
      <c r="A114" s="129" t="s">
        <v>325</v>
      </c>
      <c r="B114" s="129"/>
      <c r="K114" s="129" t="s">
        <v>326</v>
      </c>
      <c r="L114" s="129"/>
    </row>
    <row r="116" spans="1:24">
      <c r="C116" t="s">
        <v>157</v>
      </c>
      <c r="M116" t="s">
        <v>157</v>
      </c>
      <c r="W116" t="s">
        <v>327</v>
      </c>
    </row>
    <row r="117" spans="1:24">
      <c r="C117" t="s">
        <v>108</v>
      </c>
      <c r="M117" t="s">
        <v>108</v>
      </c>
      <c r="W117" t="s">
        <v>328</v>
      </c>
    </row>
    <row r="118" spans="1:24">
      <c r="C118" t="s">
        <v>158</v>
      </c>
      <c r="H118" s="129" t="s">
        <v>323</v>
      </c>
      <c r="I118" s="129"/>
      <c r="M118" t="s">
        <v>158</v>
      </c>
      <c r="Q118" s="129" t="s">
        <v>325</v>
      </c>
      <c r="R118" s="129"/>
      <c r="T118" s="129" t="s">
        <v>326</v>
      </c>
      <c r="U118" s="129"/>
      <c r="W118" t="s">
        <v>329</v>
      </c>
    </row>
    <row r="119" spans="1:24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20</v>
      </c>
      <c r="I119" t="s">
        <v>324</v>
      </c>
      <c r="K119" t="s">
        <v>20</v>
      </c>
      <c r="L119" t="s">
        <v>95</v>
      </c>
      <c r="M119" t="s">
        <v>96</v>
      </c>
      <c r="N119" t="s">
        <v>17</v>
      </c>
      <c r="O119" t="s">
        <v>19</v>
      </c>
      <c r="Q119" t="s">
        <v>17</v>
      </c>
      <c r="R119" t="s">
        <v>19</v>
      </c>
      <c r="T119" t="s">
        <v>17</v>
      </c>
      <c r="U119" t="s">
        <v>19</v>
      </c>
      <c r="W119" t="s">
        <v>17</v>
      </c>
      <c r="X119" t="s">
        <v>19</v>
      </c>
    </row>
    <row r="120" spans="1:24">
      <c r="A120">
        <v>1</v>
      </c>
      <c r="B120">
        <v>1</v>
      </c>
      <c r="C120" s="6" t="s">
        <v>29</v>
      </c>
      <c r="D120" s="51">
        <v>115600</v>
      </c>
      <c r="E120" s="51"/>
      <c r="H120">
        <v>1</v>
      </c>
      <c r="I120">
        <v>115600</v>
      </c>
      <c r="K120">
        <v>1</v>
      </c>
      <c r="L120">
        <v>1</v>
      </c>
      <c r="M120" s="6" t="s">
        <v>29</v>
      </c>
      <c r="N120" s="55">
        <f>IF($I120&gt;0,$I120,"")</f>
        <v>115600</v>
      </c>
      <c r="O120" s="55" t="str">
        <f>IF(-$I120&gt;0,-$I120,"")</f>
        <v/>
      </c>
      <c r="Q120">
        <f>IF(D120&lt;&gt;"",D120,0)</f>
        <v>115600</v>
      </c>
      <c r="R120">
        <f>IF(E120&lt;&gt;"",E120,0)</f>
        <v>0</v>
      </c>
      <c r="T120">
        <f>IF(N120&lt;&gt;"",N120,0)</f>
        <v>115600</v>
      </c>
      <c r="U120">
        <f>IF(O120&lt;&gt;"",O120,0)</f>
        <v>0</v>
      </c>
      <c r="W120" t="b">
        <f>IF(Q120=T120,TRUE,FALSE)</f>
        <v>1</v>
      </c>
      <c r="X120" t="b">
        <f>IF(R120=U120,TRUE,FALSE)</f>
        <v>1</v>
      </c>
    </row>
    <row r="121" spans="1:24">
      <c r="A121">
        <v>2</v>
      </c>
      <c r="B121">
        <v>1</v>
      </c>
      <c r="C121" s="6" t="s">
        <v>119</v>
      </c>
      <c r="D121" s="51">
        <v>20000</v>
      </c>
      <c r="E121" s="51"/>
      <c r="H121">
        <v>2</v>
      </c>
      <c r="I121">
        <v>20000</v>
      </c>
      <c r="K121">
        <v>2</v>
      </c>
      <c r="L121">
        <v>1</v>
      </c>
      <c r="M121" s="6" t="s">
        <v>119</v>
      </c>
      <c r="N121" s="55">
        <f t="shared" ref="N121:N136" si="11">IF($I121&gt;0,$I121,"")</f>
        <v>20000</v>
      </c>
      <c r="O121" s="55" t="str">
        <f t="shared" ref="O121:O136" si="12">IF(-$I121&gt;0,-$I121,"")</f>
        <v/>
      </c>
      <c r="Q121">
        <f t="shared" ref="Q121:Q137" si="13">IF(D121&lt;&gt;"",D121,0)</f>
        <v>20000</v>
      </c>
      <c r="R121">
        <f t="shared" ref="R121:R137" si="14">IF(E121&lt;&gt;"",E121,0)</f>
        <v>0</v>
      </c>
      <c r="T121">
        <f t="shared" ref="T121:T137" si="15">IF(N121&lt;&gt;"",N121,0)</f>
        <v>20000</v>
      </c>
      <c r="U121">
        <f t="shared" ref="U121:U137" si="16">IF(O121&lt;&gt;"",O121,0)</f>
        <v>0</v>
      </c>
      <c r="W121" t="b">
        <f t="shared" ref="W121:W137" si="17">IF(Q121=T121,TRUE,FALSE)</f>
        <v>1</v>
      </c>
      <c r="X121" t="b">
        <f t="shared" ref="X121:X137" si="18">IF(R121=U121,TRUE,FALSE)</f>
        <v>1</v>
      </c>
    </row>
    <row r="122" spans="1:24">
      <c r="A122">
        <v>3</v>
      </c>
      <c r="B122">
        <v>1</v>
      </c>
      <c r="C122" s="6" t="s">
        <v>147</v>
      </c>
      <c r="D122" s="51">
        <v>14000</v>
      </c>
      <c r="E122" s="51"/>
      <c r="H122">
        <v>3</v>
      </c>
      <c r="I122">
        <v>14000</v>
      </c>
      <c r="K122">
        <v>3</v>
      </c>
      <c r="L122">
        <v>1</v>
      </c>
      <c r="M122" s="6" t="s">
        <v>147</v>
      </c>
      <c r="N122" s="55">
        <f t="shared" si="11"/>
        <v>14000</v>
      </c>
      <c r="O122" s="55" t="str">
        <f t="shared" si="12"/>
        <v/>
      </c>
      <c r="Q122">
        <f t="shared" si="13"/>
        <v>14000</v>
      </c>
      <c r="R122">
        <f t="shared" si="14"/>
        <v>0</v>
      </c>
      <c r="T122">
        <f t="shared" si="15"/>
        <v>14000</v>
      </c>
      <c r="U122">
        <f t="shared" si="16"/>
        <v>0</v>
      </c>
      <c r="W122" t="b">
        <f t="shared" si="17"/>
        <v>1</v>
      </c>
      <c r="X122" t="b">
        <f t="shared" si="18"/>
        <v>1</v>
      </c>
    </row>
    <row r="123" spans="1:24">
      <c r="A123">
        <v>4</v>
      </c>
      <c r="B123">
        <v>2</v>
      </c>
      <c r="C123" s="49" t="s">
        <v>145</v>
      </c>
      <c r="D123" s="51">
        <v>0</v>
      </c>
      <c r="E123" s="51"/>
      <c r="H123">
        <v>4</v>
      </c>
      <c r="I123">
        <v>0</v>
      </c>
      <c r="K123">
        <v>4</v>
      </c>
      <c r="L123">
        <v>2</v>
      </c>
      <c r="M123" s="49" t="s">
        <v>145</v>
      </c>
      <c r="N123" s="55" t="str">
        <f t="shared" si="11"/>
        <v/>
      </c>
      <c r="O123" s="55" t="str">
        <f t="shared" si="12"/>
        <v/>
      </c>
      <c r="Q123">
        <f t="shared" si="13"/>
        <v>0</v>
      </c>
      <c r="R123">
        <f t="shared" si="14"/>
        <v>0</v>
      </c>
      <c r="T123">
        <f t="shared" si="15"/>
        <v>0</v>
      </c>
      <c r="U123">
        <f t="shared" si="16"/>
        <v>0</v>
      </c>
      <c r="W123" t="b">
        <f t="shared" si="17"/>
        <v>1</v>
      </c>
      <c r="X123" t="b">
        <f t="shared" si="18"/>
        <v>1</v>
      </c>
    </row>
    <row r="124" spans="1:24">
      <c r="A124">
        <v>5</v>
      </c>
      <c r="B124">
        <v>2</v>
      </c>
      <c r="C124" s="49" t="s">
        <v>231</v>
      </c>
      <c r="D124" s="51"/>
      <c r="E124" s="51">
        <v>8000</v>
      </c>
      <c r="H124">
        <v>5</v>
      </c>
      <c r="I124">
        <v>-8000</v>
      </c>
      <c r="K124">
        <v>5</v>
      </c>
      <c r="L124">
        <v>2</v>
      </c>
      <c r="M124" s="49" t="s">
        <v>231</v>
      </c>
      <c r="N124" s="55" t="str">
        <f t="shared" si="11"/>
        <v/>
      </c>
      <c r="O124" s="55">
        <f t="shared" si="12"/>
        <v>8000</v>
      </c>
      <c r="Q124">
        <f t="shared" si="13"/>
        <v>0</v>
      </c>
      <c r="R124">
        <f t="shared" si="14"/>
        <v>8000</v>
      </c>
      <c r="T124">
        <f t="shared" si="15"/>
        <v>0</v>
      </c>
      <c r="U124">
        <f t="shared" si="16"/>
        <v>8000</v>
      </c>
      <c r="W124" t="b">
        <f t="shared" si="17"/>
        <v>1</v>
      </c>
      <c r="X124" t="b">
        <f t="shared" si="18"/>
        <v>1</v>
      </c>
    </row>
    <row r="125" spans="1:24">
      <c r="A125">
        <v>6</v>
      </c>
      <c r="B125">
        <v>2</v>
      </c>
      <c r="C125" s="49" t="s">
        <v>242</v>
      </c>
      <c r="D125" s="51"/>
      <c r="E125" s="51">
        <v>1000</v>
      </c>
      <c r="H125">
        <v>6</v>
      </c>
      <c r="I125">
        <v>-1000</v>
      </c>
      <c r="K125">
        <v>6</v>
      </c>
      <c r="L125">
        <v>2</v>
      </c>
      <c r="M125" s="49" t="s">
        <v>242</v>
      </c>
      <c r="N125" s="55" t="str">
        <f t="shared" si="11"/>
        <v/>
      </c>
      <c r="O125" s="55">
        <f t="shared" si="12"/>
        <v>1000</v>
      </c>
      <c r="Q125">
        <f t="shared" si="13"/>
        <v>0</v>
      </c>
      <c r="R125">
        <f t="shared" si="14"/>
        <v>1000</v>
      </c>
      <c r="T125">
        <f t="shared" si="15"/>
        <v>0</v>
      </c>
      <c r="U125">
        <f t="shared" si="16"/>
        <v>1000</v>
      </c>
      <c r="W125" t="b">
        <f t="shared" si="17"/>
        <v>1</v>
      </c>
      <c r="X125" t="b">
        <f t="shared" si="18"/>
        <v>1</v>
      </c>
    </row>
    <row r="126" spans="1:24">
      <c r="A126">
        <v>7</v>
      </c>
      <c r="B126">
        <v>3</v>
      </c>
      <c r="C126" s="52" t="s">
        <v>38</v>
      </c>
      <c r="D126" s="51"/>
      <c r="E126" s="51">
        <v>200000</v>
      </c>
      <c r="H126">
        <v>7</v>
      </c>
      <c r="I126">
        <v>-200000</v>
      </c>
      <c r="K126">
        <v>7</v>
      </c>
      <c r="L126">
        <v>3</v>
      </c>
      <c r="M126" s="52" t="s">
        <v>38</v>
      </c>
      <c r="N126" s="55" t="str">
        <f t="shared" si="11"/>
        <v/>
      </c>
      <c r="O126" s="55">
        <f t="shared" si="12"/>
        <v>200000</v>
      </c>
      <c r="Q126">
        <f t="shared" si="13"/>
        <v>0</v>
      </c>
      <c r="R126">
        <f t="shared" si="14"/>
        <v>200000</v>
      </c>
      <c r="T126">
        <f t="shared" si="15"/>
        <v>0</v>
      </c>
      <c r="U126">
        <f t="shared" si="16"/>
        <v>200000</v>
      </c>
      <c r="W126" t="b">
        <f t="shared" si="17"/>
        <v>1</v>
      </c>
      <c r="X126" t="b">
        <f t="shared" si="18"/>
        <v>1</v>
      </c>
    </row>
    <row r="127" spans="1:24">
      <c r="A127">
        <v>8</v>
      </c>
      <c r="B127">
        <v>4</v>
      </c>
      <c r="C127" s="53" t="s">
        <v>148</v>
      </c>
      <c r="D127" s="51"/>
      <c r="E127" s="51">
        <v>70000</v>
      </c>
      <c r="H127">
        <v>8</v>
      </c>
      <c r="I127">
        <v>-70000</v>
      </c>
      <c r="K127">
        <v>8</v>
      </c>
      <c r="L127">
        <v>4</v>
      </c>
      <c r="M127" s="53" t="s">
        <v>148</v>
      </c>
      <c r="N127" s="55" t="str">
        <f t="shared" si="11"/>
        <v/>
      </c>
      <c r="O127" s="55">
        <f t="shared" si="12"/>
        <v>70000</v>
      </c>
      <c r="Q127">
        <f t="shared" si="13"/>
        <v>0</v>
      </c>
      <c r="R127">
        <f t="shared" si="14"/>
        <v>70000</v>
      </c>
      <c r="T127">
        <f t="shared" si="15"/>
        <v>0</v>
      </c>
      <c r="U127">
        <f t="shared" si="16"/>
        <v>70000</v>
      </c>
      <c r="W127" t="b">
        <f t="shared" si="17"/>
        <v>1</v>
      </c>
      <c r="X127" t="b">
        <f t="shared" si="18"/>
        <v>1</v>
      </c>
    </row>
    <row r="128" spans="1:24">
      <c r="A128">
        <v>9</v>
      </c>
      <c r="B128">
        <v>5</v>
      </c>
      <c r="C128" s="54" t="s">
        <v>143</v>
      </c>
      <c r="D128" s="51">
        <v>90000</v>
      </c>
      <c r="E128" s="51"/>
      <c r="H128">
        <v>9</v>
      </c>
      <c r="I128">
        <v>90000</v>
      </c>
      <c r="K128">
        <v>9</v>
      </c>
      <c r="L128">
        <v>5</v>
      </c>
      <c r="M128" s="54" t="s">
        <v>143</v>
      </c>
      <c r="N128" s="55">
        <f t="shared" si="11"/>
        <v>90000</v>
      </c>
      <c r="O128" s="55" t="str">
        <f t="shared" si="12"/>
        <v/>
      </c>
      <c r="Q128">
        <f t="shared" si="13"/>
        <v>90000</v>
      </c>
      <c r="R128">
        <f t="shared" si="14"/>
        <v>0</v>
      </c>
      <c r="T128">
        <f t="shared" si="15"/>
        <v>90000</v>
      </c>
      <c r="U128">
        <f t="shared" si="16"/>
        <v>0</v>
      </c>
      <c r="W128" t="b">
        <f t="shared" si="17"/>
        <v>1</v>
      </c>
      <c r="X128" t="b">
        <f t="shared" si="18"/>
        <v>1</v>
      </c>
    </row>
    <row r="129" spans="1:24">
      <c r="A129">
        <v>10</v>
      </c>
      <c r="B129">
        <v>4</v>
      </c>
      <c r="C129" s="102" t="s">
        <v>144</v>
      </c>
      <c r="D129" s="51">
        <v>1200</v>
      </c>
      <c r="E129" s="51"/>
      <c r="H129">
        <v>10</v>
      </c>
      <c r="I129">
        <v>1200</v>
      </c>
      <c r="K129">
        <v>10</v>
      </c>
      <c r="L129">
        <v>4</v>
      </c>
      <c r="M129" s="102" t="s">
        <v>144</v>
      </c>
      <c r="N129" s="55">
        <f t="shared" si="11"/>
        <v>1200</v>
      </c>
      <c r="O129" s="55" t="str">
        <f t="shared" si="12"/>
        <v/>
      </c>
      <c r="Q129">
        <f t="shared" si="13"/>
        <v>1200</v>
      </c>
      <c r="R129">
        <f t="shared" si="14"/>
        <v>0</v>
      </c>
      <c r="T129">
        <f t="shared" si="15"/>
        <v>1200</v>
      </c>
      <c r="U129">
        <f t="shared" si="16"/>
        <v>0</v>
      </c>
      <c r="W129" t="b">
        <f t="shared" si="17"/>
        <v>1</v>
      </c>
      <c r="X129" t="b">
        <f t="shared" si="18"/>
        <v>1</v>
      </c>
    </row>
    <row r="130" spans="1:24">
      <c r="A130">
        <v>11</v>
      </c>
      <c r="B130">
        <v>5</v>
      </c>
      <c r="C130" s="54" t="s">
        <v>86</v>
      </c>
      <c r="D130" s="51">
        <v>25000</v>
      </c>
      <c r="E130" s="51"/>
      <c r="H130">
        <v>11</v>
      </c>
      <c r="I130">
        <v>25000</v>
      </c>
      <c r="K130">
        <v>11</v>
      </c>
      <c r="L130">
        <v>5</v>
      </c>
      <c r="M130" s="54" t="s">
        <v>86</v>
      </c>
      <c r="N130" s="55">
        <f t="shared" si="11"/>
        <v>25000</v>
      </c>
      <c r="O130" s="55" t="str">
        <f t="shared" si="12"/>
        <v/>
      </c>
      <c r="Q130">
        <f t="shared" si="13"/>
        <v>25000</v>
      </c>
      <c r="R130">
        <f t="shared" si="14"/>
        <v>0</v>
      </c>
      <c r="T130">
        <f t="shared" si="15"/>
        <v>25000</v>
      </c>
      <c r="U130">
        <f t="shared" si="16"/>
        <v>0</v>
      </c>
      <c r="W130" t="b">
        <f t="shared" si="17"/>
        <v>1</v>
      </c>
      <c r="X130" t="b">
        <f t="shared" si="18"/>
        <v>1</v>
      </c>
    </row>
    <row r="131" spans="1:24">
      <c r="A131">
        <v>12</v>
      </c>
      <c r="B131">
        <v>5</v>
      </c>
      <c r="C131" s="54" t="s">
        <v>101</v>
      </c>
      <c r="D131" s="51">
        <v>400</v>
      </c>
      <c r="E131" s="51"/>
      <c r="H131">
        <v>12</v>
      </c>
      <c r="I131">
        <v>400</v>
      </c>
      <c r="K131">
        <v>12</v>
      </c>
      <c r="L131">
        <v>5</v>
      </c>
      <c r="M131" s="54" t="s">
        <v>101</v>
      </c>
      <c r="N131" s="55">
        <f t="shared" si="11"/>
        <v>400</v>
      </c>
      <c r="O131" s="55" t="str">
        <f t="shared" si="12"/>
        <v/>
      </c>
      <c r="Q131">
        <f t="shared" si="13"/>
        <v>400</v>
      </c>
      <c r="R131">
        <f t="shared" si="14"/>
        <v>0</v>
      </c>
      <c r="T131">
        <f t="shared" si="15"/>
        <v>400</v>
      </c>
      <c r="U131">
        <f t="shared" si="16"/>
        <v>0</v>
      </c>
      <c r="W131" t="b">
        <f t="shared" si="17"/>
        <v>1</v>
      </c>
      <c r="X131" t="b">
        <f t="shared" si="18"/>
        <v>1</v>
      </c>
    </row>
    <row r="132" spans="1:24">
      <c r="A132">
        <v>13</v>
      </c>
      <c r="B132">
        <v>5</v>
      </c>
      <c r="C132" s="54" t="s">
        <v>104</v>
      </c>
      <c r="D132" s="51">
        <v>10000</v>
      </c>
      <c r="E132" s="51"/>
      <c r="H132">
        <v>13</v>
      </c>
      <c r="I132">
        <v>10000</v>
      </c>
      <c r="K132">
        <v>13</v>
      </c>
      <c r="L132">
        <v>5</v>
      </c>
      <c r="M132" s="54" t="s">
        <v>104</v>
      </c>
      <c r="N132" s="55">
        <f t="shared" si="11"/>
        <v>10000</v>
      </c>
      <c r="O132" s="55" t="str">
        <f t="shared" si="12"/>
        <v/>
      </c>
      <c r="Q132">
        <f t="shared" si="13"/>
        <v>10000</v>
      </c>
      <c r="R132">
        <f t="shared" si="14"/>
        <v>0</v>
      </c>
      <c r="T132">
        <f t="shared" si="15"/>
        <v>10000</v>
      </c>
      <c r="U132">
        <f t="shared" si="16"/>
        <v>0</v>
      </c>
      <c r="W132" t="b">
        <f t="shared" si="17"/>
        <v>1</v>
      </c>
      <c r="X132" t="b">
        <f t="shared" si="18"/>
        <v>1</v>
      </c>
    </row>
    <row r="133" spans="1:24">
      <c r="A133">
        <v>14</v>
      </c>
      <c r="B133">
        <v>5</v>
      </c>
      <c r="C133" s="54" t="s">
        <v>236</v>
      </c>
      <c r="D133" s="51">
        <v>1000</v>
      </c>
      <c r="E133" s="51"/>
      <c r="H133">
        <v>14</v>
      </c>
      <c r="I133">
        <v>1000</v>
      </c>
      <c r="K133">
        <v>14</v>
      </c>
      <c r="L133">
        <v>5</v>
      </c>
      <c r="M133" s="54" t="s">
        <v>236</v>
      </c>
      <c r="N133" s="55">
        <f t="shared" si="11"/>
        <v>1000</v>
      </c>
      <c r="O133" s="55" t="str">
        <f t="shared" si="12"/>
        <v/>
      </c>
      <c r="Q133">
        <f t="shared" si="13"/>
        <v>1000</v>
      </c>
      <c r="R133">
        <f t="shared" si="14"/>
        <v>0</v>
      </c>
      <c r="T133">
        <f t="shared" si="15"/>
        <v>1000</v>
      </c>
      <c r="U133">
        <f t="shared" si="16"/>
        <v>0</v>
      </c>
      <c r="W133" t="b">
        <f t="shared" si="17"/>
        <v>1</v>
      </c>
      <c r="X133" t="b">
        <f t="shared" si="18"/>
        <v>1</v>
      </c>
    </row>
    <row r="134" spans="1:24">
      <c r="A134">
        <v>15</v>
      </c>
      <c r="B134">
        <v>2</v>
      </c>
      <c r="C134" s="49" t="s">
        <v>243</v>
      </c>
      <c r="D134" s="51"/>
      <c r="E134" s="51">
        <v>1000</v>
      </c>
      <c r="H134">
        <v>15</v>
      </c>
      <c r="I134">
        <v>-1000</v>
      </c>
      <c r="K134">
        <v>15</v>
      </c>
      <c r="L134">
        <v>2</v>
      </c>
      <c r="M134" s="49" t="s">
        <v>243</v>
      </c>
      <c r="N134" s="55" t="str">
        <f t="shared" si="11"/>
        <v/>
      </c>
      <c r="O134" s="55">
        <f t="shared" si="12"/>
        <v>1000</v>
      </c>
      <c r="Q134">
        <f t="shared" si="13"/>
        <v>0</v>
      </c>
      <c r="R134">
        <f t="shared" si="14"/>
        <v>1000</v>
      </c>
      <c r="T134">
        <f t="shared" si="15"/>
        <v>0</v>
      </c>
      <c r="U134">
        <f t="shared" si="16"/>
        <v>1000</v>
      </c>
      <c r="W134" t="b">
        <f t="shared" si="17"/>
        <v>1</v>
      </c>
      <c r="X134" t="b">
        <f t="shared" si="18"/>
        <v>1</v>
      </c>
    </row>
    <row r="135" spans="1:24">
      <c r="A135">
        <v>16</v>
      </c>
      <c r="B135">
        <v>5</v>
      </c>
      <c r="C135" s="54" t="s">
        <v>244</v>
      </c>
      <c r="D135" s="51">
        <v>1800</v>
      </c>
      <c r="E135" s="51"/>
      <c r="H135">
        <v>16</v>
      </c>
      <c r="I135">
        <v>1800</v>
      </c>
      <c r="K135">
        <v>16</v>
      </c>
      <c r="L135">
        <v>5</v>
      </c>
      <c r="M135" s="54" t="s">
        <v>244</v>
      </c>
      <c r="N135" s="55">
        <f t="shared" si="11"/>
        <v>1800</v>
      </c>
      <c r="O135" s="55" t="str">
        <f t="shared" si="12"/>
        <v/>
      </c>
      <c r="Q135">
        <f t="shared" si="13"/>
        <v>1800</v>
      </c>
      <c r="R135">
        <f t="shared" si="14"/>
        <v>0</v>
      </c>
      <c r="T135">
        <f t="shared" si="15"/>
        <v>1800</v>
      </c>
      <c r="U135">
        <f t="shared" si="16"/>
        <v>0</v>
      </c>
      <c r="W135" t="b">
        <f t="shared" si="17"/>
        <v>1</v>
      </c>
      <c r="X135" t="b">
        <f t="shared" si="18"/>
        <v>1</v>
      </c>
    </row>
    <row r="136" spans="1:24">
      <c r="A136">
        <v>17</v>
      </c>
      <c r="B136">
        <v>5</v>
      </c>
      <c r="C136" s="54" t="s">
        <v>84</v>
      </c>
      <c r="D136" s="51">
        <v>1000</v>
      </c>
      <c r="E136" s="51"/>
      <c r="H136">
        <v>17</v>
      </c>
      <c r="I136">
        <v>1000</v>
      </c>
      <c r="K136">
        <v>17</v>
      </c>
      <c r="L136">
        <v>5</v>
      </c>
      <c r="M136" s="54" t="s">
        <v>84</v>
      </c>
      <c r="N136" s="55">
        <f t="shared" si="11"/>
        <v>1000</v>
      </c>
      <c r="O136" s="55" t="str">
        <f t="shared" si="12"/>
        <v/>
      </c>
      <c r="Q136">
        <f t="shared" si="13"/>
        <v>1000</v>
      </c>
      <c r="R136">
        <f t="shared" si="14"/>
        <v>0</v>
      </c>
      <c r="T136">
        <f t="shared" si="15"/>
        <v>1000</v>
      </c>
      <c r="U136">
        <f t="shared" si="16"/>
        <v>0</v>
      </c>
      <c r="W136" t="b">
        <f t="shared" si="17"/>
        <v>1</v>
      </c>
      <c r="X136" t="b">
        <f t="shared" si="18"/>
        <v>1</v>
      </c>
    </row>
    <row r="137" spans="1:24">
      <c r="C137" t="s">
        <v>107</v>
      </c>
      <c r="D137" s="51">
        <f>SUM(D120:D136)</f>
        <v>280000</v>
      </c>
      <c r="E137" s="51">
        <f>SUM(E120:E136)</f>
        <v>280000</v>
      </c>
      <c r="H137" t="s">
        <v>107</v>
      </c>
      <c r="I137">
        <v>0</v>
      </c>
      <c r="M137" t="s">
        <v>107</v>
      </c>
      <c r="N137" s="51">
        <f>SUM(N120:N136)</f>
        <v>280000</v>
      </c>
      <c r="O137" s="51">
        <f>SUM(O120:O136)</f>
        <v>280000</v>
      </c>
      <c r="Q137">
        <f t="shared" si="13"/>
        <v>280000</v>
      </c>
      <c r="R137">
        <f t="shared" si="14"/>
        <v>280000</v>
      </c>
      <c r="T137">
        <f t="shared" si="15"/>
        <v>280000</v>
      </c>
      <c r="U137">
        <f t="shared" si="16"/>
        <v>280000</v>
      </c>
      <c r="W137" t="b">
        <f t="shared" si="17"/>
        <v>1</v>
      </c>
      <c r="X137" t="b">
        <f t="shared" si="18"/>
        <v>1</v>
      </c>
    </row>
  </sheetData>
  <sheetProtection formatColumns="0"/>
  <protectedRanges>
    <protectedRange sqref="AU13:AU14 AU22 AU26" name="範圍1"/>
  </protectedRanges>
  <mergeCells count="12">
    <mergeCell ref="T118:U118"/>
    <mergeCell ref="AO7:AP7"/>
    <mergeCell ref="AM7:AN7"/>
    <mergeCell ref="AQ7:AR7"/>
    <mergeCell ref="AI7:AL7"/>
    <mergeCell ref="AG7:AH7"/>
    <mergeCell ref="AE8:AF8"/>
    <mergeCell ref="J47:K47"/>
    <mergeCell ref="H118:I118"/>
    <mergeCell ref="A114:B114"/>
    <mergeCell ref="K114:L114"/>
    <mergeCell ref="Q118:R118"/>
  </mergeCells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53465-F56D-4EAD-814C-8B6ED3A4796D}">
  <dimension ref="A1:BF137"/>
  <sheetViews>
    <sheetView topLeftCell="A24" workbookViewId="0">
      <selection activeCell="E34" sqref="E34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8" max="8" width="5.625" bestFit="1" customWidth="1"/>
    <col min="9" max="9" width="14" bestFit="1" customWidth="1"/>
    <col min="11" max="11" width="14" bestFit="1" customWidth="1"/>
    <col min="12" max="12" width="15.375" bestFit="1" customWidth="1"/>
    <col min="13" max="13" width="19.87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3" max="34" width="8.25" bestFit="1" customWidth="1"/>
    <col min="35" max="35" width="7.375" bestFit="1" customWidth="1"/>
    <col min="36" max="36" width="7.625" bestFit="1" customWidth="1"/>
    <col min="37" max="37" width="7.375" bestFit="1" customWidth="1"/>
    <col min="38" max="38" width="7.625" bestFit="1" customWidth="1"/>
    <col min="39" max="40" width="8.25" bestFit="1" customWidth="1"/>
    <col min="41" max="41" width="7.75" bestFit="1" customWidth="1"/>
    <col min="42" max="42" width="6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2" t="s">
        <v>319</v>
      </c>
      <c r="C2" t="s">
        <v>320</v>
      </c>
      <c r="D2" t="s">
        <v>305</v>
      </c>
      <c r="E2" t="s">
        <v>321</v>
      </c>
      <c r="AC2" t="s">
        <v>307</v>
      </c>
    </row>
    <row r="3" spans="1:58">
      <c r="A3" t="s">
        <v>94</v>
      </c>
      <c r="D3" t="s">
        <v>318</v>
      </c>
      <c r="E3" t="s">
        <v>322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130" t="s">
        <v>108</v>
      </c>
      <c r="AH7" s="131"/>
      <c r="AI7" s="130" t="s">
        <v>261</v>
      </c>
      <c r="AJ7" s="132"/>
      <c r="AK7" s="132"/>
      <c r="AL7" s="131"/>
      <c r="AM7" s="130" t="s">
        <v>314</v>
      </c>
      <c r="AN7" s="131"/>
      <c r="AO7" s="130" t="s">
        <v>315</v>
      </c>
      <c r="AP7" s="131"/>
      <c r="AQ7" s="130" t="s">
        <v>316</v>
      </c>
      <c r="AR7" s="131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130" t="s">
        <v>96</v>
      </c>
      <c r="AF8" s="131"/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7" si="2">IF(OR($AD10=4,$AD10=5),$AM10,"")</f>
        <v/>
      </c>
      <c r="AP10" s="87" t="str">
        <f t="shared" ref="AP10:AR27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6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4</v>
      </c>
      <c r="C14" s="8">
        <v>44111</v>
      </c>
      <c r="D14" s="102" t="s">
        <v>144</v>
      </c>
      <c r="F14" s="17">
        <v>3000</v>
      </c>
      <c r="J14">
        <v>4</v>
      </c>
      <c r="K14">
        <v>4</v>
      </c>
      <c r="M14" t="s">
        <v>142</v>
      </c>
      <c r="N14" s="102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4</v>
      </c>
      <c r="AE16" s="100" t="s">
        <v>144</v>
      </c>
      <c r="AF16" s="101"/>
      <c r="AG16" s="113">
        <v>3000</v>
      </c>
      <c r="AH16" s="101"/>
      <c r="AI16" s="102"/>
      <c r="AJ16" s="102"/>
      <c r="AK16" s="114">
        <v>1800</v>
      </c>
      <c r="AL16" s="101">
        <v>13</v>
      </c>
      <c r="AM16" s="104">
        <f t="shared" si="0"/>
        <v>1200</v>
      </c>
      <c r="AN16" s="104" t="str">
        <f t="shared" si="1"/>
        <v/>
      </c>
      <c r="AO16" s="104">
        <f t="shared" si="2"/>
        <v>1200</v>
      </c>
      <c r="AP16" s="104" t="str">
        <f t="shared" si="3"/>
        <v/>
      </c>
      <c r="AQ16" s="104" t="str">
        <f t="shared" si="4"/>
        <v/>
      </c>
      <c r="AR16" s="105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1</v>
      </c>
      <c r="AE22" s="77" t="s">
        <v>243</v>
      </c>
      <c r="AF22" s="89"/>
      <c r="AG22" s="6"/>
      <c r="AH22" s="89"/>
      <c r="AI22" s="90"/>
      <c r="AJ22" s="6"/>
      <c r="AK22" s="90">
        <v>1000</v>
      </c>
      <c r="AL22" s="89">
        <v>12</v>
      </c>
      <c r="AM22" s="87" t="str">
        <f t="shared" si="0"/>
        <v/>
      </c>
      <c r="AN22" s="87">
        <f t="shared" si="1"/>
        <v>1000</v>
      </c>
      <c r="AO22" s="87" t="str">
        <f t="shared" si="2"/>
        <v/>
      </c>
      <c r="AP22" s="6"/>
      <c r="AQ22" s="87" t="str">
        <f t="shared" si="4"/>
        <v/>
      </c>
      <c r="AR22" s="87" t="str">
        <f t="shared" si="3"/>
        <v/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>IF($AR22="",0,$AR22)</f>
        <v>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>$AG25-$AH25+$AI25-$AK25</f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70000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70000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60400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60400</v>
      </c>
      <c r="AS29" s="55">
        <v>209000</v>
      </c>
      <c r="AT29">
        <f t="shared" si="6"/>
        <v>0</v>
      </c>
      <c r="AV29">
        <f t="shared" si="8"/>
        <v>60400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70000</v>
      </c>
      <c r="AP30" s="67">
        <f>IF($AP28="",0,$AP28)-IF($AP29="",0,$AP29)</f>
        <v>70000</v>
      </c>
      <c r="AQ30" s="67">
        <f>SUM(AQ$9:AQ$29)</f>
        <v>149600</v>
      </c>
      <c r="AR30" s="70">
        <f>SUM(AR$9:AR$29)</f>
        <v>269400</v>
      </c>
      <c r="AS30" s="69"/>
      <c r="AT30" s="5"/>
      <c r="AV30">
        <f t="shared" si="8"/>
        <v>70000</v>
      </c>
      <c r="AW30">
        <f t="shared" si="9"/>
        <v>0</v>
      </c>
      <c r="AX30">
        <f t="shared" si="10"/>
        <v>70000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49" t="s">
        <v>243</v>
      </c>
      <c r="G33" s="17">
        <v>1000</v>
      </c>
      <c r="J33">
        <v>12</v>
      </c>
      <c r="O33" s="49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102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  <c r="J47" s="129" t="s">
        <v>323</v>
      </c>
      <c r="K47" s="129"/>
    </row>
    <row r="48" spans="1:58">
      <c r="A48">
        <v>1</v>
      </c>
      <c r="B48">
        <v>1</v>
      </c>
      <c r="C48" s="6" t="s">
        <v>29</v>
      </c>
      <c r="J48" t="s">
        <v>20</v>
      </c>
      <c r="K48" t="s">
        <v>324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J49">
        <v>1</v>
      </c>
      <c r="K49" s="51">
        <f>SUM(D49:D57)-SUM(G49:G57)</f>
        <v>115600</v>
      </c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J50">
        <v>2</v>
      </c>
      <c r="K50" s="51">
        <f>SUM(D60)-SUM(G60)</f>
        <v>20000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J51">
        <v>3</v>
      </c>
      <c r="K51" s="51">
        <f>SUM(D63:D64)-SUM(G63:G64)</f>
        <v>14000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  <c r="J52">
        <v>4</v>
      </c>
      <c r="K52" s="51">
        <f>SUM(D67:D68)-SUM(G67:G68)</f>
        <v>0</v>
      </c>
    </row>
    <row r="53" spans="1:58">
      <c r="C53" s="8">
        <v>44119</v>
      </c>
      <c r="D53" s="17">
        <v>20000</v>
      </c>
      <c r="E53" s="5">
        <v>6</v>
      </c>
      <c r="J53">
        <v>5</v>
      </c>
      <c r="K53" s="51">
        <f>SUM(D71)-SUM(G71)</f>
        <v>-8000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J54">
        <v>6</v>
      </c>
      <c r="K54" s="51">
        <f>SUM(D74)-SUM(G74)</f>
        <v>-1000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J55">
        <v>7</v>
      </c>
      <c r="K55" s="51">
        <f>SUM(D77)-SUM(G77)</f>
        <v>-200000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J56">
        <v>8</v>
      </c>
      <c r="K56" s="51">
        <f>SUM(D80:D81)-SUM(G80:G81)</f>
        <v>-70000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J57">
        <v>9</v>
      </c>
      <c r="K57" s="51">
        <f>SUM(D84)-SUM(G84)</f>
        <v>90000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8" spans="1:58">
      <c r="J58">
        <v>10</v>
      </c>
      <c r="K58" s="51">
        <f>SUM(D87)-SUM(G87)</f>
        <v>1200</v>
      </c>
    </row>
    <row r="59" spans="1:58">
      <c r="A59">
        <v>2</v>
      </c>
      <c r="B59">
        <v>1</v>
      </c>
      <c r="C59" s="6" t="s">
        <v>119</v>
      </c>
      <c r="J59">
        <v>11</v>
      </c>
      <c r="K59" s="51">
        <f>SUM(D90:D91)-SUM(G90:G91)</f>
        <v>25000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J60">
        <v>12</v>
      </c>
      <c r="K60" s="51">
        <f>SUM(D94)-SUM(G94)</f>
        <v>400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J61">
        <v>13</v>
      </c>
      <c r="K61" s="51">
        <f>SUM(D97)-SUM(G97)</f>
        <v>10000</v>
      </c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J62">
        <v>14</v>
      </c>
      <c r="K62" s="51">
        <f>SUM(D100)-SUM(G100)</f>
        <v>1000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  <c r="J63">
        <v>15</v>
      </c>
      <c r="K63" s="51">
        <f>SUM(D103)-SUM(G103)</f>
        <v>-1000</v>
      </c>
    </row>
    <row r="64" spans="1:58">
      <c r="C64" s="8">
        <v>44135</v>
      </c>
      <c r="D64" s="17">
        <v>12000</v>
      </c>
      <c r="E64" s="5">
        <v>10</v>
      </c>
      <c r="J64">
        <v>16</v>
      </c>
      <c r="K64" s="51">
        <f>SUM(D106)-SUM(G106)</f>
        <v>1800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J65">
        <v>17</v>
      </c>
      <c r="K65" s="51">
        <f>SUM(D109)-SUM(G109)</f>
        <v>1000</v>
      </c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J66" t="s">
        <v>107</v>
      </c>
      <c r="K66" s="17">
        <f>SUM(K49:K65)</f>
        <v>0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4</v>
      </c>
      <c r="C86" s="102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1</v>
      </c>
      <c r="C102" s="6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24">
      <c r="A114" s="129" t="s">
        <v>325</v>
      </c>
      <c r="B114" s="129"/>
      <c r="K114" s="129" t="s">
        <v>326</v>
      </c>
      <c r="L114" s="129"/>
    </row>
    <row r="116" spans="1:24">
      <c r="C116" t="s">
        <v>157</v>
      </c>
      <c r="M116" t="s">
        <v>157</v>
      </c>
      <c r="W116" t="s">
        <v>327</v>
      </c>
    </row>
    <row r="117" spans="1:24">
      <c r="C117" t="s">
        <v>108</v>
      </c>
      <c r="M117" t="s">
        <v>108</v>
      </c>
      <c r="W117" t="s">
        <v>328</v>
      </c>
    </row>
    <row r="118" spans="1:24">
      <c r="C118" t="s">
        <v>158</v>
      </c>
      <c r="H118" s="129" t="s">
        <v>323</v>
      </c>
      <c r="I118" s="129"/>
      <c r="M118" t="s">
        <v>158</v>
      </c>
      <c r="Q118" s="129" t="s">
        <v>325</v>
      </c>
      <c r="R118" s="129"/>
      <c r="T118" s="129" t="s">
        <v>326</v>
      </c>
      <c r="U118" s="129"/>
      <c r="W118" t="s">
        <v>329</v>
      </c>
    </row>
    <row r="119" spans="1:24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20</v>
      </c>
      <c r="I119" t="s">
        <v>324</v>
      </c>
      <c r="K119" t="s">
        <v>20</v>
      </c>
      <c r="L119" t="s">
        <v>95</v>
      </c>
      <c r="M119" t="s">
        <v>96</v>
      </c>
      <c r="N119" t="s">
        <v>17</v>
      </c>
      <c r="O119" t="s">
        <v>19</v>
      </c>
      <c r="Q119" t="s">
        <v>17</v>
      </c>
      <c r="R119" t="s">
        <v>19</v>
      </c>
      <c r="T119" t="s">
        <v>17</v>
      </c>
      <c r="U119" t="s">
        <v>19</v>
      </c>
      <c r="W119" t="s">
        <v>17</v>
      </c>
      <c r="X119" t="s">
        <v>19</v>
      </c>
    </row>
    <row r="120" spans="1:24">
      <c r="A120">
        <v>1</v>
      </c>
      <c r="B120">
        <v>1</v>
      </c>
      <c r="C120" s="6" t="s">
        <v>29</v>
      </c>
      <c r="D120" s="51">
        <v>115600</v>
      </c>
      <c r="E120" s="51"/>
      <c r="H120">
        <v>1</v>
      </c>
      <c r="I120">
        <v>115600</v>
      </c>
      <c r="K120">
        <v>1</v>
      </c>
      <c r="L120">
        <v>1</v>
      </c>
      <c r="M120" s="6" t="s">
        <v>29</v>
      </c>
      <c r="N120" s="55">
        <f>IF($I120&gt;0,$I120,"")</f>
        <v>115600</v>
      </c>
      <c r="O120" s="55" t="str">
        <f>IF(-$I120&gt;0,-$I120,"")</f>
        <v/>
      </c>
      <c r="Q120">
        <f>IF(D120&lt;&gt;"",D120,0)</f>
        <v>115600</v>
      </c>
      <c r="R120">
        <f>IF(E120&lt;&gt;"",E120,0)</f>
        <v>0</v>
      </c>
      <c r="T120">
        <f>IF(N120&lt;&gt;"",N120,0)</f>
        <v>115600</v>
      </c>
      <c r="U120">
        <f>IF(O120&lt;&gt;"",O120,0)</f>
        <v>0</v>
      </c>
      <c r="W120" t="b">
        <f>IF(Q120=T120,TRUE,FALSE)</f>
        <v>1</v>
      </c>
      <c r="X120" t="b">
        <f>IF(R120=U120,TRUE,FALSE)</f>
        <v>1</v>
      </c>
    </row>
    <row r="121" spans="1:24">
      <c r="A121">
        <v>2</v>
      </c>
      <c r="B121">
        <v>1</v>
      </c>
      <c r="C121" s="6" t="s">
        <v>119</v>
      </c>
      <c r="D121" s="51">
        <v>20000</v>
      </c>
      <c r="E121" s="51"/>
      <c r="H121">
        <v>2</v>
      </c>
      <c r="I121">
        <v>20000</v>
      </c>
      <c r="K121">
        <v>2</v>
      </c>
      <c r="L121">
        <v>1</v>
      </c>
      <c r="M121" s="6" t="s">
        <v>119</v>
      </c>
      <c r="N121" s="55">
        <f t="shared" ref="N121:N136" si="11">IF($I121&gt;0,$I121,"")</f>
        <v>20000</v>
      </c>
      <c r="O121" s="55" t="str">
        <f t="shared" ref="O121:O136" si="12">IF(-$I121&gt;0,-$I121,"")</f>
        <v/>
      </c>
      <c r="Q121">
        <f t="shared" ref="Q121:R137" si="13">IF(D121&lt;&gt;"",D121,0)</f>
        <v>20000</v>
      </c>
      <c r="R121">
        <f t="shared" si="13"/>
        <v>0</v>
      </c>
      <c r="T121">
        <f t="shared" ref="T121:U137" si="14">IF(N121&lt;&gt;"",N121,0)</f>
        <v>20000</v>
      </c>
      <c r="U121">
        <f t="shared" si="14"/>
        <v>0</v>
      </c>
      <c r="W121" t="b">
        <f t="shared" ref="W121:X137" si="15">IF(Q121=T121,TRUE,FALSE)</f>
        <v>1</v>
      </c>
      <c r="X121" t="b">
        <f t="shared" si="15"/>
        <v>1</v>
      </c>
    </row>
    <row r="122" spans="1:24">
      <c r="A122">
        <v>3</v>
      </c>
      <c r="B122">
        <v>1</v>
      </c>
      <c r="C122" s="6" t="s">
        <v>147</v>
      </c>
      <c r="D122" s="51">
        <v>14000</v>
      </c>
      <c r="E122" s="51"/>
      <c r="H122">
        <v>3</v>
      </c>
      <c r="I122">
        <v>14000</v>
      </c>
      <c r="K122">
        <v>3</v>
      </c>
      <c r="L122">
        <v>1</v>
      </c>
      <c r="M122" s="6" t="s">
        <v>147</v>
      </c>
      <c r="N122" s="55">
        <f t="shared" si="11"/>
        <v>14000</v>
      </c>
      <c r="O122" s="55" t="str">
        <f t="shared" si="12"/>
        <v/>
      </c>
      <c r="Q122">
        <f t="shared" si="13"/>
        <v>14000</v>
      </c>
      <c r="R122">
        <f t="shared" si="13"/>
        <v>0</v>
      </c>
      <c r="T122">
        <f t="shared" si="14"/>
        <v>14000</v>
      </c>
      <c r="U122">
        <f t="shared" si="14"/>
        <v>0</v>
      </c>
      <c r="W122" t="b">
        <f t="shared" si="15"/>
        <v>1</v>
      </c>
      <c r="X122" t="b">
        <f t="shared" si="15"/>
        <v>1</v>
      </c>
    </row>
    <row r="123" spans="1:24">
      <c r="A123">
        <v>4</v>
      </c>
      <c r="B123">
        <v>2</v>
      </c>
      <c r="C123" s="49" t="s">
        <v>145</v>
      </c>
      <c r="D123" s="51">
        <v>0</v>
      </c>
      <c r="E123" s="51"/>
      <c r="H123">
        <v>4</v>
      </c>
      <c r="I123">
        <v>0</v>
      </c>
      <c r="K123">
        <v>4</v>
      </c>
      <c r="L123">
        <v>2</v>
      </c>
      <c r="M123" s="49" t="s">
        <v>145</v>
      </c>
      <c r="N123" s="55" t="str">
        <f t="shared" si="11"/>
        <v/>
      </c>
      <c r="O123" s="55" t="str">
        <f t="shared" si="12"/>
        <v/>
      </c>
      <c r="Q123">
        <f t="shared" si="13"/>
        <v>0</v>
      </c>
      <c r="R123">
        <f t="shared" si="13"/>
        <v>0</v>
      </c>
      <c r="T123">
        <f t="shared" si="14"/>
        <v>0</v>
      </c>
      <c r="U123">
        <f t="shared" si="14"/>
        <v>0</v>
      </c>
      <c r="W123" t="b">
        <f t="shared" si="15"/>
        <v>1</v>
      </c>
      <c r="X123" t="b">
        <f t="shared" si="15"/>
        <v>1</v>
      </c>
    </row>
    <row r="124" spans="1:24">
      <c r="A124">
        <v>5</v>
      </c>
      <c r="B124">
        <v>2</v>
      </c>
      <c r="C124" s="49" t="s">
        <v>231</v>
      </c>
      <c r="D124" s="51"/>
      <c r="E124" s="51">
        <v>8000</v>
      </c>
      <c r="H124">
        <v>5</v>
      </c>
      <c r="I124">
        <v>-8000</v>
      </c>
      <c r="K124">
        <v>5</v>
      </c>
      <c r="L124">
        <v>2</v>
      </c>
      <c r="M124" s="49" t="s">
        <v>231</v>
      </c>
      <c r="N124" s="55" t="str">
        <f t="shared" si="11"/>
        <v/>
      </c>
      <c r="O124" s="55">
        <f t="shared" si="12"/>
        <v>8000</v>
      </c>
      <c r="Q124">
        <f t="shared" si="13"/>
        <v>0</v>
      </c>
      <c r="R124">
        <f t="shared" si="13"/>
        <v>8000</v>
      </c>
      <c r="T124">
        <f t="shared" si="14"/>
        <v>0</v>
      </c>
      <c r="U124">
        <f t="shared" si="14"/>
        <v>8000</v>
      </c>
      <c r="W124" t="b">
        <f t="shared" si="15"/>
        <v>1</v>
      </c>
      <c r="X124" t="b">
        <f t="shared" si="15"/>
        <v>1</v>
      </c>
    </row>
    <row r="125" spans="1:24">
      <c r="A125">
        <v>6</v>
      </c>
      <c r="B125">
        <v>2</v>
      </c>
      <c r="C125" s="49" t="s">
        <v>242</v>
      </c>
      <c r="D125" s="51"/>
      <c r="E125" s="51">
        <v>1000</v>
      </c>
      <c r="H125">
        <v>6</v>
      </c>
      <c r="I125">
        <v>-1000</v>
      </c>
      <c r="K125">
        <v>6</v>
      </c>
      <c r="L125">
        <v>2</v>
      </c>
      <c r="M125" s="49" t="s">
        <v>242</v>
      </c>
      <c r="N125" s="55" t="str">
        <f t="shared" si="11"/>
        <v/>
      </c>
      <c r="O125" s="55">
        <f t="shared" si="12"/>
        <v>1000</v>
      </c>
      <c r="Q125">
        <f t="shared" si="13"/>
        <v>0</v>
      </c>
      <c r="R125">
        <f t="shared" si="13"/>
        <v>1000</v>
      </c>
      <c r="T125">
        <f t="shared" si="14"/>
        <v>0</v>
      </c>
      <c r="U125">
        <f t="shared" si="14"/>
        <v>1000</v>
      </c>
      <c r="W125" t="b">
        <f t="shared" si="15"/>
        <v>1</v>
      </c>
      <c r="X125" t="b">
        <f t="shared" si="15"/>
        <v>1</v>
      </c>
    </row>
    <row r="126" spans="1:24">
      <c r="A126">
        <v>7</v>
      </c>
      <c r="B126">
        <v>3</v>
      </c>
      <c r="C126" s="52" t="s">
        <v>38</v>
      </c>
      <c r="D126" s="51"/>
      <c r="E126" s="51">
        <v>200000</v>
      </c>
      <c r="H126">
        <v>7</v>
      </c>
      <c r="I126">
        <v>-200000</v>
      </c>
      <c r="K126">
        <v>7</v>
      </c>
      <c r="L126">
        <v>3</v>
      </c>
      <c r="M126" s="52" t="s">
        <v>38</v>
      </c>
      <c r="N126" s="55" t="str">
        <f t="shared" si="11"/>
        <v/>
      </c>
      <c r="O126" s="55">
        <f t="shared" si="12"/>
        <v>200000</v>
      </c>
      <c r="Q126">
        <f t="shared" si="13"/>
        <v>0</v>
      </c>
      <c r="R126">
        <f t="shared" si="13"/>
        <v>200000</v>
      </c>
      <c r="T126">
        <f t="shared" si="14"/>
        <v>0</v>
      </c>
      <c r="U126">
        <f t="shared" si="14"/>
        <v>200000</v>
      </c>
      <c r="W126" t="b">
        <f t="shared" si="15"/>
        <v>1</v>
      </c>
      <c r="X126" t="b">
        <f t="shared" si="15"/>
        <v>1</v>
      </c>
    </row>
    <row r="127" spans="1:24">
      <c r="A127">
        <v>8</v>
      </c>
      <c r="B127">
        <v>4</v>
      </c>
      <c r="C127" s="53" t="s">
        <v>148</v>
      </c>
      <c r="D127" s="51"/>
      <c r="E127" s="51">
        <v>70000</v>
      </c>
      <c r="H127">
        <v>8</v>
      </c>
      <c r="I127">
        <v>-70000</v>
      </c>
      <c r="K127">
        <v>8</v>
      </c>
      <c r="L127">
        <v>4</v>
      </c>
      <c r="M127" s="53" t="s">
        <v>148</v>
      </c>
      <c r="N127" s="55" t="str">
        <f t="shared" si="11"/>
        <v/>
      </c>
      <c r="O127" s="55">
        <f t="shared" si="12"/>
        <v>70000</v>
      </c>
      <c r="Q127">
        <f t="shared" si="13"/>
        <v>0</v>
      </c>
      <c r="R127">
        <f t="shared" si="13"/>
        <v>70000</v>
      </c>
      <c r="T127">
        <f t="shared" si="14"/>
        <v>0</v>
      </c>
      <c r="U127">
        <f t="shared" si="14"/>
        <v>70000</v>
      </c>
      <c r="W127" t="b">
        <f t="shared" si="15"/>
        <v>1</v>
      </c>
      <c r="X127" t="b">
        <f t="shared" si="15"/>
        <v>1</v>
      </c>
    </row>
    <row r="128" spans="1:24">
      <c r="A128">
        <v>9</v>
      </c>
      <c r="B128">
        <v>5</v>
      </c>
      <c r="C128" s="54" t="s">
        <v>143</v>
      </c>
      <c r="D128" s="51">
        <v>90000</v>
      </c>
      <c r="E128" s="51"/>
      <c r="H128">
        <v>9</v>
      </c>
      <c r="I128">
        <v>90000</v>
      </c>
      <c r="K128">
        <v>9</v>
      </c>
      <c r="L128">
        <v>5</v>
      </c>
      <c r="M128" s="54" t="s">
        <v>143</v>
      </c>
      <c r="N128" s="55">
        <f t="shared" si="11"/>
        <v>90000</v>
      </c>
      <c r="O128" s="55" t="str">
        <f t="shared" si="12"/>
        <v/>
      </c>
      <c r="Q128">
        <f t="shared" si="13"/>
        <v>90000</v>
      </c>
      <c r="R128">
        <f t="shared" si="13"/>
        <v>0</v>
      </c>
      <c r="T128">
        <f t="shared" si="14"/>
        <v>90000</v>
      </c>
      <c r="U128">
        <f t="shared" si="14"/>
        <v>0</v>
      </c>
      <c r="W128" t="b">
        <f t="shared" si="15"/>
        <v>1</v>
      </c>
      <c r="X128" t="b">
        <f t="shared" si="15"/>
        <v>1</v>
      </c>
    </row>
    <row r="129" spans="1:24">
      <c r="A129">
        <v>10</v>
      </c>
      <c r="B129">
        <v>4</v>
      </c>
      <c r="C129" s="102" t="s">
        <v>144</v>
      </c>
      <c r="D129" s="51">
        <v>1200</v>
      </c>
      <c r="E129" s="51"/>
      <c r="H129">
        <v>10</v>
      </c>
      <c r="I129">
        <v>1200</v>
      </c>
      <c r="K129">
        <v>10</v>
      </c>
      <c r="L129">
        <v>4</v>
      </c>
      <c r="M129" s="102" t="s">
        <v>144</v>
      </c>
      <c r="N129" s="55">
        <f t="shared" si="11"/>
        <v>1200</v>
      </c>
      <c r="O129" s="55" t="str">
        <f t="shared" si="12"/>
        <v/>
      </c>
      <c r="Q129">
        <f t="shared" si="13"/>
        <v>1200</v>
      </c>
      <c r="R129">
        <f t="shared" si="13"/>
        <v>0</v>
      </c>
      <c r="T129">
        <f t="shared" si="14"/>
        <v>1200</v>
      </c>
      <c r="U129">
        <f t="shared" si="14"/>
        <v>0</v>
      </c>
      <c r="W129" t="b">
        <f t="shared" si="15"/>
        <v>1</v>
      </c>
      <c r="X129" t="b">
        <f t="shared" si="15"/>
        <v>1</v>
      </c>
    </row>
    <row r="130" spans="1:24">
      <c r="A130">
        <v>11</v>
      </c>
      <c r="B130">
        <v>5</v>
      </c>
      <c r="C130" s="54" t="s">
        <v>86</v>
      </c>
      <c r="D130" s="51">
        <v>25000</v>
      </c>
      <c r="E130" s="51"/>
      <c r="H130">
        <v>11</v>
      </c>
      <c r="I130">
        <v>25000</v>
      </c>
      <c r="K130">
        <v>11</v>
      </c>
      <c r="L130">
        <v>5</v>
      </c>
      <c r="M130" s="54" t="s">
        <v>86</v>
      </c>
      <c r="N130" s="55">
        <f t="shared" si="11"/>
        <v>25000</v>
      </c>
      <c r="O130" s="55" t="str">
        <f t="shared" si="12"/>
        <v/>
      </c>
      <c r="Q130">
        <f t="shared" si="13"/>
        <v>25000</v>
      </c>
      <c r="R130">
        <f t="shared" si="13"/>
        <v>0</v>
      </c>
      <c r="T130">
        <f t="shared" si="14"/>
        <v>25000</v>
      </c>
      <c r="U130">
        <f t="shared" si="14"/>
        <v>0</v>
      </c>
      <c r="W130" t="b">
        <f t="shared" si="15"/>
        <v>1</v>
      </c>
      <c r="X130" t="b">
        <f t="shared" si="15"/>
        <v>1</v>
      </c>
    </row>
    <row r="131" spans="1:24">
      <c r="A131">
        <v>12</v>
      </c>
      <c r="B131">
        <v>5</v>
      </c>
      <c r="C131" s="54" t="s">
        <v>101</v>
      </c>
      <c r="D131" s="51">
        <v>400</v>
      </c>
      <c r="E131" s="51"/>
      <c r="H131">
        <v>12</v>
      </c>
      <c r="I131">
        <v>400</v>
      </c>
      <c r="K131">
        <v>12</v>
      </c>
      <c r="L131">
        <v>5</v>
      </c>
      <c r="M131" s="54" t="s">
        <v>101</v>
      </c>
      <c r="N131" s="55">
        <f t="shared" si="11"/>
        <v>400</v>
      </c>
      <c r="O131" s="55" t="str">
        <f t="shared" si="12"/>
        <v/>
      </c>
      <c r="Q131">
        <f t="shared" si="13"/>
        <v>400</v>
      </c>
      <c r="R131">
        <f t="shared" si="13"/>
        <v>0</v>
      </c>
      <c r="T131">
        <f t="shared" si="14"/>
        <v>400</v>
      </c>
      <c r="U131">
        <f t="shared" si="14"/>
        <v>0</v>
      </c>
      <c r="W131" t="b">
        <f t="shared" si="15"/>
        <v>1</v>
      </c>
      <c r="X131" t="b">
        <f t="shared" si="15"/>
        <v>1</v>
      </c>
    </row>
    <row r="132" spans="1:24">
      <c r="A132">
        <v>13</v>
      </c>
      <c r="B132">
        <v>5</v>
      </c>
      <c r="C132" s="54" t="s">
        <v>104</v>
      </c>
      <c r="D132" s="51">
        <v>10000</v>
      </c>
      <c r="E132" s="51"/>
      <c r="H132">
        <v>13</v>
      </c>
      <c r="I132">
        <v>10000</v>
      </c>
      <c r="K132">
        <v>13</v>
      </c>
      <c r="L132">
        <v>5</v>
      </c>
      <c r="M132" s="54" t="s">
        <v>104</v>
      </c>
      <c r="N132" s="55">
        <f t="shared" si="11"/>
        <v>10000</v>
      </c>
      <c r="O132" s="55" t="str">
        <f t="shared" si="12"/>
        <v/>
      </c>
      <c r="Q132">
        <f t="shared" si="13"/>
        <v>10000</v>
      </c>
      <c r="R132">
        <f t="shared" si="13"/>
        <v>0</v>
      </c>
      <c r="T132">
        <f t="shared" si="14"/>
        <v>10000</v>
      </c>
      <c r="U132">
        <f t="shared" si="14"/>
        <v>0</v>
      </c>
      <c r="W132" t="b">
        <f t="shared" si="15"/>
        <v>1</v>
      </c>
      <c r="X132" t="b">
        <f t="shared" si="15"/>
        <v>1</v>
      </c>
    </row>
    <row r="133" spans="1:24">
      <c r="A133">
        <v>14</v>
      </c>
      <c r="B133">
        <v>5</v>
      </c>
      <c r="C133" s="54" t="s">
        <v>236</v>
      </c>
      <c r="D133" s="51">
        <v>1000</v>
      </c>
      <c r="E133" s="51"/>
      <c r="H133">
        <v>14</v>
      </c>
      <c r="I133">
        <v>1000</v>
      </c>
      <c r="K133">
        <v>14</v>
      </c>
      <c r="L133">
        <v>5</v>
      </c>
      <c r="M133" s="54" t="s">
        <v>236</v>
      </c>
      <c r="N133" s="55">
        <f t="shared" si="11"/>
        <v>1000</v>
      </c>
      <c r="O133" s="55" t="str">
        <f t="shared" si="12"/>
        <v/>
      </c>
      <c r="Q133">
        <f t="shared" si="13"/>
        <v>1000</v>
      </c>
      <c r="R133">
        <f t="shared" si="13"/>
        <v>0</v>
      </c>
      <c r="T133">
        <f t="shared" si="14"/>
        <v>1000</v>
      </c>
      <c r="U133">
        <f t="shared" si="14"/>
        <v>0</v>
      </c>
      <c r="W133" t="b">
        <f t="shared" si="15"/>
        <v>1</v>
      </c>
      <c r="X133" t="b">
        <f t="shared" si="15"/>
        <v>1</v>
      </c>
    </row>
    <row r="134" spans="1:24">
      <c r="A134">
        <v>15</v>
      </c>
      <c r="B134">
        <v>2</v>
      </c>
      <c r="C134" s="49" t="s">
        <v>243</v>
      </c>
      <c r="D134" s="51"/>
      <c r="E134" s="51">
        <v>1000</v>
      </c>
      <c r="H134">
        <v>15</v>
      </c>
      <c r="I134">
        <v>-1000</v>
      </c>
      <c r="K134">
        <v>15</v>
      </c>
      <c r="L134">
        <v>2</v>
      </c>
      <c r="M134" s="49" t="s">
        <v>243</v>
      </c>
      <c r="N134" s="55" t="str">
        <f t="shared" si="11"/>
        <v/>
      </c>
      <c r="O134" s="55">
        <f t="shared" si="12"/>
        <v>1000</v>
      </c>
      <c r="Q134">
        <f t="shared" si="13"/>
        <v>0</v>
      </c>
      <c r="R134">
        <f t="shared" si="13"/>
        <v>1000</v>
      </c>
      <c r="T134">
        <f t="shared" si="14"/>
        <v>0</v>
      </c>
      <c r="U134">
        <f t="shared" si="14"/>
        <v>1000</v>
      </c>
      <c r="W134" t="b">
        <f t="shared" si="15"/>
        <v>1</v>
      </c>
      <c r="X134" t="b">
        <f t="shared" si="15"/>
        <v>1</v>
      </c>
    </row>
    <row r="135" spans="1:24">
      <c r="A135">
        <v>16</v>
      </c>
      <c r="B135">
        <v>5</v>
      </c>
      <c r="C135" s="54" t="s">
        <v>244</v>
      </c>
      <c r="D135" s="51">
        <v>1800</v>
      </c>
      <c r="E135" s="51"/>
      <c r="H135">
        <v>16</v>
      </c>
      <c r="I135">
        <v>1800</v>
      </c>
      <c r="K135">
        <v>16</v>
      </c>
      <c r="L135">
        <v>5</v>
      </c>
      <c r="M135" s="54" t="s">
        <v>244</v>
      </c>
      <c r="N135" s="55">
        <f t="shared" si="11"/>
        <v>1800</v>
      </c>
      <c r="O135" s="55" t="str">
        <f t="shared" si="12"/>
        <v/>
      </c>
      <c r="Q135">
        <f t="shared" si="13"/>
        <v>1800</v>
      </c>
      <c r="R135">
        <f t="shared" si="13"/>
        <v>0</v>
      </c>
      <c r="T135">
        <f t="shared" si="14"/>
        <v>1800</v>
      </c>
      <c r="U135">
        <f t="shared" si="14"/>
        <v>0</v>
      </c>
      <c r="W135" t="b">
        <f t="shared" si="15"/>
        <v>1</v>
      </c>
      <c r="X135" t="b">
        <f t="shared" si="15"/>
        <v>1</v>
      </c>
    </row>
    <row r="136" spans="1:24">
      <c r="A136">
        <v>17</v>
      </c>
      <c r="B136">
        <v>5</v>
      </c>
      <c r="C136" s="54" t="s">
        <v>84</v>
      </c>
      <c r="D136" s="51">
        <v>1000</v>
      </c>
      <c r="E136" s="51"/>
      <c r="H136">
        <v>17</v>
      </c>
      <c r="I136">
        <v>1000</v>
      </c>
      <c r="K136">
        <v>17</v>
      </c>
      <c r="L136">
        <v>5</v>
      </c>
      <c r="M136" s="54" t="s">
        <v>84</v>
      </c>
      <c r="N136" s="55">
        <f t="shared" si="11"/>
        <v>1000</v>
      </c>
      <c r="O136" s="55" t="str">
        <f t="shared" si="12"/>
        <v/>
      </c>
      <c r="Q136">
        <f t="shared" si="13"/>
        <v>1000</v>
      </c>
      <c r="R136">
        <f t="shared" si="13"/>
        <v>0</v>
      </c>
      <c r="T136">
        <f t="shared" si="14"/>
        <v>1000</v>
      </c>
      <c r="U136">
        <f t="shared" si="14"/>
        <v>0</v>
      </c>
      <c r="W136" t="b">
        <f t="shared" si="15"/>
        <v>1</v>
      </c>
      <c r="X136" t="b">
        <f t="shared" si="15"/>
        <v>1</v>
      </c>
    </row>
    <row r="137" spans="1:24">
      <c r="C137" t="s">
        <v>107</v>
      </c>
      <c r="D137" s="51">
        <f>SUM(D120:D136)</f>
        <v>280000</v>
      </c>
      <c r="E137" s="51">
        <f>SUM(E120:E136)</f>
        <v>280000</v>
      </c>
      <c r="H137" t="s">
        <v>107</v>
      </c>
      <c r="I137">
        <v>0</v>
      </c>
      <c r="M137" t="s">
        <v>107</v>
      </c>
      <c r="N137" s="51">
        <f>SUM(N120:N136)</f>
        <v>280000</v>
      </c>
      <c r="O137" s="51">
        <f>SUM(O120:O136)</f>
        <v>280000</v>
      </c>
      <c r="Q137">
        <f t="shared" si="13"/>
        <v>280000</v>
      </c>
      <c r="R137">
        <f t="shared" si="13"/>
        <v>280000</v>
      </c>
      <c r="T137">
        <f t="shared" si="14"/>
        <v>280000</v>
      </c>
      <c r="U137">
        <f t="shared" si="14"/>
        <v>280000</v>
      </c>
      <c r="W137" t="b">
        <f t="shared" si="15"/>
        <v>1</v>
      </c>
      <c r="X137" t="b">
        <f t="shared" si="15"/>
        <v>1</v>
      </c>
    </row>
  </sheetData>
  <sheetProtection formatColumns="0"/>
  <protectedRanges>
    <protectedRange sqref="AU13:AU14 AU22 AU26" name="範圍1"/>
  </protectedRanges>
  <mergeCells count="12">
    <mergeCell ref="J47:K47"/>
    <mergeCell ref="A114:B114"/>
    <mergeCell ref="K114:L114"/>
    <mergeCell ref="H118:I118"/>
    <mergeCell ref="Q118:R118"/>
    <mergeCell ref="AQ7:AR7"/>
    <mergeCell ref="AE8:AF8"/>
    <mergeCell ref="T118:U118"/>
    <mergeCell ref="AG7:AH7"/>
    <mergeCell ref="AI7:AL7"/>
    <mergeCell ref="AM7:AN7"/>
    <mergeCell ref="AO7:AP7"/>
  </mergeCells>
  <pageMargins left="0.7" right="0.7" top="0.75" bottom="0.75" header="0.3" footer="0.3"/>
  <legacy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EB354-CEB0-44A7-98D8-64C8EAE59E97}">
  <dimension ref="A1:E15"/>
  <sheetViews>
    <sheetView workbookViewId="0">
      <selection activeCell="A4" sqref="A4"/>
    </sheetView>
  </sheetViews>
  <sheetFormatPr defaultRowHeight="16.5"/>
  <cols>
    <col min="1" max="1" width="16.25" bestFit="1" customWidth="1"/>
  </cols>
  <sheetData>
    <row r="1" spans="1:5">
      <c r="A1" t="s">
        <v>306</v>
      </c>
    </row>
    <row r="3" spans="1:5">
      <c r="A3" t="s">
        <v>330</v>
      </c>
    </row>
    <row r="4" spans="1:5">
      <c r="A4" t="s">
        <v>22</v>
      </c>
      <c r="B4" t="s">
        <v>96</v>
      </c>
      <c r="C4" t="s">
        <v>96</v>
      </c>
      <c r="D4" t="s">
        <v>17</v>
      </c>
      <c r="E4" t="s">
        <v>19</v>
      </c>
    </row>
    <row r="5" spans="1:5">
      <c r="A5" s="8">
        <v>44135</v>
      </c>
      <c r="B5" t="s">
        <v>48</v>
      </c>
      <c r="D5">
        <v>39200</v>
      </c>
    </row>
    <row r="6" spans="1:5">
      <c r="C6" t="s">
        <v>86</v>
      </c>
      <c r="E6">
        <v>25000</v>
      </c>
    </row>
    <row r="7" spans="1:5">
      <c r="C7" t="s">
        <v>101</v>
      </c>
      <c r="E7">
        <v>400</v>
      </c>
    </row>
    <row r="8" spans="1:5">
      <c r="C8" t="s">
        <v>331</v>
      </c>
      <c r="E8">
        <v>10000</v>
      </c>
    </row>
    <row r="9" spans="1:5">
      <c r="C9" t="s">
        <v>236</v>
      </c>
      <c r="E9">
        <v>1000</v>
      </c>
    </row>
    <row r="10" spans="1:5">
      <c r="C10" t="s">
        <v>244</v>
      </c>
      <c r="E10">
        <v>8000</v>
      </c>
    </row>
    <row r="11" spans="1:5">
      <c r="C11" t="s">
        <v>84</v>
      </c>
      <c r="E11">
        <v>1000</v>
      </c>
    </row>
    <row r="12" spans="1:5">
      <c r="B12" t="s">
        <v>148</v>
      </c>
      <c r="D12">
        <v>70000</v>
      </c>
    </row>
    <row r="13" spans="1:5">
      <c r="C13" t="s">
        <v>48</v>
      </c>
      <c r="E13">
        <v>70000</v>
      </c>
    </row>
    <row r="14" spans="1:5">
      <c r="B14" t="s">
        <v>48</v>
      </c>
      <c r="D14">
        <v>30800</v>
      </c>
    </row>
    <row r="15" spans="1:5">
      <c r="C15" t="s">
        <v>38</v>
      </c>
      <c r="E15">
        <v>30800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47F-35CF-4363-891F-4B3A49A80A77}">
  <dimension ref="B1"/>
  <sheetViews>
    <sheetView workbookViewId="0">
      <selection activeCell="B1" sqref="B1"/>
    </sheetView>
  </sheetViews>
  <sheetFormatPr defaultRowHeight="16.5"/>
  <cols>
    <col min="2" max="2" width="16.125" bestFit="1" customWidth="1"/>
  </cols>
  <sheetData>
    <row r="1" spans="2:2">
      <c r="B1" t="s">
        <v>321</v>
      </c>
    </row>
  </sheetData>
  <pageMargins left="0.7" right="0.7" top="0.75" bottom="0.75" header="0.3" footer="0.3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584E2-A20F-49DC-B5DD-950BCC48F6A4}">
  <dimension ref="A1:H1"/>
  <sheetViews>
    <sheetView workbookViewId="0">
      <selection activeCell="H3" sqref="H3"/>
    </sheetView>
  </sheetViews>
  <sheetFormatPr defaultRowHeight="16.5"/>
  <cols>
    <col min="1" max="1" width="11.625" bestFit="1" customWidth="1"/>
    <col min="8" max="8" width="11.625" bestFit="1" customWidth="1"/>
  </cols>
  <sheetData>
    <row r="1" spans="1:8">
      <c r="A1" t="s">
        <v>332</v>
      </c>
      <c r="H1" t="s">
        <v>333</v>
      </c>
    </row>
  </sheetData>
  <pageMargins left="0.7" right="0.7" top="0.75" bottom="0.75" header="0.3" footer="0.3"/>
  <drawing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1251F-2DEA-4D8B-B6C4-93FEE7CE4C4D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B0522-9EFA-4F9C-839A-5F2764B52A64}">
  <dimension ref="A1:R6"/>
  <sheetViews>
    <sheetView workbookViewId="0">
      <selection activeCell="B8" sqref="B8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  <col min="7" max="7" width="9.625" bestFit="1" customWidth="1"/>
  </cols>
  <sheetData>
    <row r="1" spans="1:18">
      <c r="A1" s="22" t="s">
        <v>40</v>
      </c>
      <c r="B1" t="s">
        <v>1</v>
      </c>
      <c r="K1" t="s">
        <v>5</v>
      </c>
    </row>
    <row r="2" spans="1:18">
      <c r="A2" s="23" t="s">
        <v>41</v>
      </c>
      <c r="B2" t="s">
        <v>47</v>
      </c>
      <c r="C2" t="s">
        <v>9</v>
      </c>
      <c r="D2" t="s">
        <v>10</v>
      </c>
      <c r="E2" t="s">
        <v>8</v>
      </c>
      <c r="F2" t="s">
        <v>11</v>
      </c>
      <c r="G2" t="s">
        <v>26</v>
      </c>
      <c r="H2" t="s">
        <v>25</v>
      </c>
      <c r="I2" t="s">
        <v>48</v>
      </c>
      <c r="K2" t="s">
        <v>47</v>
      </c>
      <c r="L2" t="s">
        <v>9</v>
      </c>
      <c r="M2" t="s">
        <v>10</v>
      </c>
      <c r="N2" t="s">
        <v>8</v>
      </c>
      <c r="O2" t="s">
        <v>11</v>
      </c>
      <c r="P2" t="s">
        <v>26</v>
      </c>
      <c r="Q2" t="s">
        <v>25</v>
      </c>
      <c r="R2" t="s">
        <v>48</v>
      </c>
    </row>
    <row r="3" spans="1:18">
      <c r="A3" s="23" t="s">
        <v>45</v>
      </c>
      <c r="B3" t="s">
        <v>49</v>
      </c>
      <c r="C3" s="17">
        <v>150000</v>
      </c>
      <c r="D3" s="17">
        <v>70000</v>
      </c>
      <c r="E3" s="17">
        <v>65000</v>
      </c>
      <c r="F3" s="17"/>
      <c r="G3" s="17"/>
      <c r="H3" s="17">
        <v>15000</v>
      </c>
      <c r="I3" s="17"/>
      <c r="K3" t="s">
        <v>49</v>
      </c>
      <c r="L3" s="17">
        <v>150000</v>
      </c>
      <c r="M3" s="17">
        <v>70000</v>
      </c>
      <c r="N3" s="17">
        <v>65000</v>
      </c>
      <c r="O3" s="17">
        <v>80000</v>
      </c>
      <c r="P3" s="17">
        <v>30000</v>
      </c>
      <c r="Q3" s="17">
        <v>15000</v>
      </c>
      <c r="R3" s="17">
        <v>15000</v>
      </c>
    </row>
    <row r="4" spans="1:18">
      <c r="A4" s="23" t="s">
        <v>46</v>
      </c>
      <c r="B4" t="s">
        <v>50</v>
      </c>
      <c r="C4" s="17">
        <v>900000</v>
      </c>
      <c r="D4" s="17">
        <v>520000</v>
      </c>
      <c r="E4" s="17"/>
      <c r="F4" s="17">
        <v>380000</v>
      </c>
      <c r="G4" s="17">
        <v>420000</v>
      </c>
      <c r="H4" s="17"/>
      <c r="I4" s="17">
        <v>10000</v>
      </c>
      <c r="K4" t="s">
        <v>50</v>
      </c>
      <c r="L4" s="17">
        <v>900000</v>
      </c>
      <c r="M4" s="17">
        <v>520000</v>
      </c>
      <c r="N4" s="17">
        <v>280000</v>
      </c>
      <c r="O4" s="17">
        <v>380000</v>
      </c>
      <c r="P4" s="17">
        <v>420000</v>
      </c>
      <c r="Q4" s="17">
        <v>410000</v>
      </c>
      <c r="R4" s="17">
        <v>10000</v>
      </c>
    </row>
    <row r="5" spans="1:18">
      <c r="A5" s="22"/>
    </row>
    <row r="6" spans="1:18">
      <c r="A6" s="2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0848-6CEB-41E6-B25C-51C581ED9FFB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FD65F-CB54-44FB-BE81-C61B5A1B8DFF}">
  <dimension ref="A1"/>
  <sheetViews>
    <sheetView workbookViewId="0">
      <selection activeCell="G5" sqref="G5"/>
    </sheetView>
  </sheetViews>
  <sheetFormatPr defaultRowHeight="16.5"/>
  <sheetData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1204C-E6B9-4847-8D0D-ABC818AD98E6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AD1AA-8E33-4D20-A6C4-8F727731DFD9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81083-A4E6-4AA2-966B-0E20DA8087EC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0246-4849-4C29-AF56-26E0AEC16E34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202F6-C39F-4EDD-8BDC-131126C68BF9}">
  <dimension ref="C2:E16"/>
  <sheetViews>
    <sheetView workbookViewId="0">
      <selection activeCell="E16" sqref="E16"/>
    </sheetView>
  </sheetViews>
  <sheetFormatPr defaultRowHeight="16.5"/>
  <cols>
    <col min="4" max="4" width="19.5" bestFit="1" customWidth="1"/>
    <col min="5" max="5" width="10.625" bestFit="1" customWidth="1"/>
  </cols>
  <sheetData>
    <row r="2" spans="3:5">
      <c r="C2" t="s">
        <v>1</v>
      </c>
    </row>
    <row r="3" spans="3:5">
      <c r="C3" t="s">
        <v>277</v>
      </c>
      <c r="D3" t="s">
        <v>334</v>
      </c>
      <c r="E3" s="117">
        <v>0.2</v>
      </c>
    </row>
    <row r="4" spans="3:5">
      <c r="D4" t="s">
        <v>335</v>
      </c>
      <c r="E4" s="117">
        <v>500000</v>
      </c>
    </row>
    <row r="5" spans="3:5">
      <c r="D5" t="s">
        <v>336</v>
      </c>
      <c r="E5" s="117">
        <v>2500</v>
      </c>
    </row>
    <row r="6" spans="3:5">
      <c r="D6" t="s">
        <v>337</v>
      </c>
      <c r="E6" s="117">
        <v>2500</v>
      </c>
    </row>
    <row r="7" spans="3:5">
      <c r="D7" t="s">
        <v>338</v>
      </c>
      <c r="E7" s="117">
        <v>2500</v>
      </c>
    </row>
    <row r="8" spans="3:5">
      <c r="D8" t="s">
        <v>339</v>
      </c>
      <c r="E8" s="117">
        <v>45000</v>
      </c>
    </row>
    <row r="9" spans="3:5">
      <c r="D9" t="s">
        <v>239</v>
      </c>
      <c r="E9" s="117">
        <v>2000</v>
      </c>
    </row>
    <row r="10" spans="3:5">
      <c r="C10" t="s">
        <v>340</v>
      </c>
      <c r="D10" t="s">
        <v>341</v>
      </c>
      <c r="E10" s="117"/>
    </row>
    <row r="11" spans="3:5">
      <c r="C11" t="s">
        <v>342</v>
      </c>
      <c r="D11" t="s">
        <v>343</v>
      </c>
      <c r="E11" s="117">
        <f>$E$4-(SUM($E$5:$E$7))</f>
        <v>492500</v>
      </c>
    </row>
    <row r="12" spans="3:5">
      <c r="D12" t="s">
        <v>344</v>
      </c>
      <c r="E12">
        <f>$E$11*$E$3</f>
        <v>98500</v>
      </c>
    </row>
    <row r="13" spans="3:5">
      <c r="D13" t="s">
        <v>345</v>
      </c>
      <c r="E13" s="117">
        <f>$E$12-$E$8</f>
        <v>53500</v>
      </c>
    </row>
    <row r="14" spans="3:5">
      <c r="D14" t="s">
        <v>346</v>
      </c>
      <c r="E14" s="117">
        <f>$E$13</f>
        <v>53500</v>
      </c>
    </row>
    <row r="15" spans="3:5">
      <c r="D15" t="s">
        <v>347</v>
      </c>
      <c r="E15" s="117">
        <f>$E$9</f>
        <v>2000</v>
      </c>
    </row>
    <row r="16" spans="3:5">
      <c r="D16" t="s">
        <v>341</v>
      </c>
      <c r="E16" s="117">
        <f>$E$14-$E$15</f>
        <v>51500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CAFB-A371-4F39-8861-3F7DBAD7188B}">
  <dimension ref="C2:G20"/>
  <sheetViews>
    <sheetView workbookViewId="0">
      <selection activeCell="E9" sqref="E9"/>
    </sheetView>
  </sheetViews>
  <sheetFormatPr defaultRowHeight="16.5"/>
  <cols>
    <col min="5" max="5" width="9.625" bestFit="1" customWidth="1"/>
    <col min="7" max="7" width="57.875" bestFit="1" customWidth="1"/>
  </cols>
  <sheetData>
    <row r="2" spans="3:7">
      <c r="C2" t="s">
        <v>1</v>
      </c>
    </row>
    <row r="3" spans="3:7">
      <c r="C3" t="s">
        <v>277</v>
      </c>
      <c r="D3" t="s">
        <v>348</v>
      </c>
      <c r="E3" s="117">
        <v>45000</v>
      </c>
      <c r="G3" t="s">
        <v>349</v>
      </c>
    </row>
    <row r="4" spans="3:7">
      <c r="D4" t="s">
        <v>350</v>
      </c>
      <c r="E4" s="117">
        <v>800</v>
      </c>
      <c r="G4" t="s">
        <v>351</v>
      </c>
    </row>
    <row r="5" spans="3:7">
      <c r="D5" t="s">
        <v>352</v>
      </c>
      <c r="E5" s="117">
        <v>400</v>
      </c>
      <c r="G5" t="s">
        <v>353</v>
      </c>
    </row>
    <row r="6" spans="3:7">
      <c r="D6" t="s">
        <v>354</v>
      </c>
      <c r="E6" s="117">
        <v>1000</v>
      </c>
      <c r="G6" t="s">
        <v>355</v>
      </c>
    </row>
    <row r="7" spans="3:7">
      <c r="D7" t="s">
        <v>356</v>
      </c>
      <c r="E7" s="117">
        <v>41800</v>
      </c>
    </row>
    <row r="8" spans="3:7">
      <c r="D8" t="s">
        <v>357</v>
      </c>
      <c r="E8" s="117">
        <v>9000</v>
      </c>
    </row>
    <row r="9" spans="3:7">
      <c r="C9" t="s">
        <v>340</v>
      </c>
      <c r="D9" t="s">
        <v>358</v>
      </c>
      <c r="E9" s="117">
        <v>6000</v>
      </c>
    </row>
    <row r="10" spans="3:7">
      <c r="E10" s="117"/>
    </row>
    <row r="11" spans="3:7">
      <c r="E11" s="117"/>
    </row>
    <row r="12" spans="3:7">
      <c r="E12" s="117"/>
    </row>
    <row r="13" spans="3:7">
      <c r="E13" s="117"/>
    </row>
    <row r="14" spans="3:7">
      <c r="E14" s="117"/>
    </row>
    <row r="15" spans="3:7">
      <c r="E15" s="117"/>
    </row>
    <row r="16" spans="3:7">
      <c r="E16" s="117"/>
    </row>
    <row r="17" spans="5:5">
      <c r="E17" s="117"/>
    </row>
    <row r="18" spans="5:5">
      <c r="E18" s="117"/>
    </row>
    <row r="19" spans="5:5">
      <c r="E19" s="117"/>
    </row>
    <row r="20" spans="5:5">
      <c r="E20" s="117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BC92B-9053-4F46-B9A4-6BF87E205F4D}">
  <dimension ref="C2:K10"/>
  <sheetViews>
    <sheetView topLeftCell="C1" workbookViewId="0">
      <selection activeCell="G3" sqref="G3"/>
    </sheetView>
  </sheetViews>
  <sheetFormatPr defaultRowHeight="16.5"/>
  <cols>
    <col min="3" max="3" width="14" bestFit="1" customWidth="1"/>
    <col min="4" max="4" width="20.625" bestFit="1" customWidth="1"/>
    <col min="5" max="5" width="10.625" bestFit="1" customWidth="1"/>
    <col min="7" max="7" width="14" bestFit="1" customWidth="1"/>
    <col min="9" max="9" width="14" bestFit="1" customWidth="1"/>
  </cols>
  <sheetData>
    <row r="2" spans="3:11">
      <c r="C2" t="s">
        <v>1</v>
      </c>
      <c r="G2" t="s">
        <v>5</v>
      </c>
    </row>
    <row r="3" spans="3:11">
      <c r="C3" t="s">
        <v>277</v>
      </c>
      <c r="D3" t="s">
        <v>359</v>
      </c>
      <c r="E3" s="117">
        <v>1200</v>
      </c>
      <c r="G3" t="s">
        <v>94</v>
      </c>
    </row>
    <row r="4" spans="3:11">
      <c r="D4" s="118" t="s">
        <v>360</v>
      </c>
      <c r="E4" s="117">
        <v>0.1</v>
      </c>
      <c r="G4" t="s">
        <v>22</v>
      </c>
      <c r="H4" s="129" t="s">
        <v>96</v>
      </c>
      <c r="I4" s="129"/>
      <c r="J4" t="s">
        <v>17</v>
      </c>
      <c r="K4" t="s">
        <v>19</v>
      </c>
    </row>
    <row r="5" spans="3:11">
      <c r="D5" t="s">
        <v>361</v>
      </c>
      <c r="E5" s="117">
        <v>0.05</v>
      </c>
      <c r="G5" t="s">
        <v>362</v>
      </c>
      <c r="H5" t="s">
        <v>30</v>
      </c>
      <c r="J5" s="117">
        <v>1200</v>
      </c>
    </row>
    <row r="6" spans="3:11">
      <c r="C6" t="s">
        <v>340</v>
      </c>
      <c r="D6" t="s">
        <v>363</v>
      </c>
      <c r="E6" s="117"/>
      <c r="I6" t="s">
        <v>364</v>
      </c>
      <c r="K6" s="117">
        <v>1200</v>
      </c>
    </row>
    <row r="7" spans="3:11">
      <c r="G7" t="s">
        <v>365</v>
      </c>
      <c r="H7" s="118" t="s">
        <v>360</v>
      </c>
      <c r="J7" s="117">
        <f>$J$5*$E$4</f>
        <v>120</v>
      </c>
    </row>
    <row r="8" spans="3:11">
      <c r="H8" t="s">
        <v>361</v>
      </c>
      <c r="J8" s="117">
        <f>($J$5-$J$7)*$E$5</f>
        <v>54</v>
      </c>
    </row>
    <row r="9" spans="3:11">
      <c r="H9" t="s">
        <v>29</v>
      </c>
      <c r="J9" s="117">
        <f>$J$5-$J$7-$J$8</f>
        <v>1026</v>
      </c>
    </row>
    <row r="10" spans="3:11">
      <c r="I10" t="s">
        <v>30</v>
      </c>
      <c r="K10" s="117">
        <v>1200</v>
      </c>
    </row>
  </sheetData>
  <mergeCells count="1">
    <mergeCell ref="H4:I4"/>
  </mergeCell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14E68-743C-496E-A9BC-12770F85AB75}">
  <dimension ref="C2:I11"/>
  <sheetViews>
    <sheetView workbookViewId="0">
      <selection activeCell="M14" sqref="M14"/>
    </sheetView>
  </sheetViews>
  <sheetFormatPr defaultRowHeight="16.5"/>
  <cols>
    <col min="5" max="5" width="9.25" bestFit="1" customWidth="1"/>
    <col min="8" max="9" width="9.625" bestFit="1" customWidth="1"/>
  </cols>
  <sheetData>
    <row r="2" spans="3:9">
      <c r="C2" t="s">
        <v>1</v>
      </c>
      <c r="E2" t="s">
        <v>5</v>
      </c>
    </row>
    <row r="3" spans="3:9">
      <c r="C3" t="s">
        <v>277</v>
      </c>
      <c r="E3" t="s">
        <v>94</v>
      </c>
    </row>
    <row r="4" spans="3:9">
      <c r="C4" t="s">
        <v>340</v>
      </c>
      <c r="E4" t="s">
        <v>22</v>
      </c>
      <c r="F4" s="129" t="s">
        <v>96</v>
      </c>
      <c r="G4" s="129"/>
      <c r="H4" t="s">
        <v>17</v>
      </c>
      <c r="I4" t="s">
        <v>19</v>
      </c>
    </row>
    <row r="5" spans="3:9">
      <c r="E5" s="8">
        <v>44013</v>
      </c>
      <c r="F5" t="s">
        <v>366</v>
      </c>
      <c r="H5" s="51">
        <v>65000</v>
      </c>
      <c r="I5" s="51"/>
    </row>
    <row r="6" spans="3:9">
      <c r="G6" t="s">
        <v>93</v>
      </c>
      <c r="H6" s="51"/>
      <c r="I6" s="51">
        <v>65000</v>
      </c>
    </row>
    <row r="7" spans="3:9">
      <c r="E7" s="8">
        <v>44018</v>
      </c>
      <c r="F7" t="s">
        <v>93</v>
      </c>
      <c r="H7" s="51">
        <v>8000</v>
      </c>
      <c r="I7" s="51"/>
    </row>
    <row r="8" spans="3:9">
      <c r="G8" t="s">
        <v>367</v>
      </c>
      <c r="H8" s="51"/>
      <c r="I8" s="51">
        <v>8000</v>
      </c>
    </row>
    <row r="9" spans="3:9">
      <c r="E9" s="8">
        <v>44031</v>
      </c>
      <c r="F9" t="s">
        <v>93</v>
      </c>
      <c r="H9" s="51">
        <f>($H$5-$H$7)/2</f>
        <v>28500</v>
      </c>
      <c r="I9" s="51"/>
    </row>
    <row r="10" spans="3:9">
      <c r="G10" t="s">
        <v>338</v>
      </c>
      <c r="H10" s="51"/>
      <c r="I10" s="51">
        <f>$H$9*0.01</f>
        <v>285</v>
      </c>
    </row>
    <row r="11" spans="3:9">
      <c r="G11" t="s">
        <v>29</v>
      </c>
      <c r="H11" s="51"/>
      <c r="I11" s="51">
        <f>$H$9-$I$10</f>
        <v>28215</v>
      </c>
    </row>
  </sheetData>
  <mergeCells count="1">
    <mergeCell ref="F4:G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BF354-7CC1-4735-95C7-BF3B854FA0D4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C954D-889C-486D-B875-FD18EEFEEBF6}">
  <dimension ref="C1:R40"/>
  <sheetViews>
    <sheetView topLeftCell="C1" workbookViewId="0">
      <selection activeCell="L12" sqref="L12"/>
    </sheetView>
  </sheetViews>
  <sheetFormatPr defaultRowHeight="16.5"/>
  <cols>
    <col min="4" max="4" width="16.25" bestFit="1" customWidth="1"/>
    <col min="5" max="5" width="9.625" bestFit="1" customWidth="1"/>
    <col min="7" max="7" width="11.75" bestFit="1" customWidth="1"/>
    <col min="8" max="8" width="23.75" bestFit="1" customWidth="1"/>
    <col min="9" max="9" width="10.125" bestFit="1" customWidth="1"/>
    <col min="12" max="13" width="9.625" bestFit="1" customWidth="1"/>
    <col min="14" max="14" width="10.125" bestFit="1" customWidth="1"/>
    <col min="17" max="18" width="9.625" bestFit="1" customWidth="1"/>
  </cols>
  <sheetData>
    <row r="1" spans="3:18">
      <c r="G1" t="s">
        <v>5</v>
      </c>
    </row>
    <row r="2" spans="3:18">
      <c r="C2" t="s">
        <v>1</v>
      </c>
      <c r="G2" t="s">
        <v>94</v>
      </c>
    </row>
    <row r="3" spans="3:18">
      <c r="C3" t="s">
        <v>277</v>
      </c>
      <c r="D3" t="s">
        <v>348</v>
      </c>
      <c r="E3" s="51">
        <v>20000</v>
      </c>
      <c r="G3" t="s">
        <v>368</v>
      </c>
      <c r="N3" t="s">
        <v>369</v>
      </c>
    </row>
    <row r="4" spans="3:18">
      <c r="D4" t="s">
        <v>358</v>
      </c>
      <c r="E4" s="51">
        <v>12000</v>
      </c>
      <c r="G4" t="s">
        <v>20</v>
      </c>
      <c r="H4" t="s">
        <v>206</v>
      </c>
      <c r="I4" t="s">
        <v>22</v>
      </c>
      <c r="J4" t="s">
        <v>96</v>
      </c>
      <c r="K4" t="s">
        <v>96</v>
      </c>
      <c r="L4" t="s">
        <v>17</v>
      </c>
      <c r="M4" t="s">
        <v>19</v>
      </c>
      <c r="N4" t="s">
        <v>22</v>
      </c>
      <c r="O4" t="s">
        <v>96</v>
      </c>
      <c r="P4" t="s">
        <v>96</v>
      </c>
      <c r="Q4" t="s">
        <v>17</v>
      </c>
      <c r="R4" t="s">
        <v>19</v>
      </c>
    </row>
    <row r="5" spans="3:18">
      <c r="D5" t="s">
        <v>357</v>
      </c>
      <c r="E5" s="51">
        <v>11000</v>
      </c>
      <c r="G5">
        <v>1</v>
      </c>
      <c r="H5" t="s">
        <v>370</v>
      </c>
      <c r="I5" s="8">
        <v>43831</v>
      </c>
      <c r="J5" t="s">
        <v>348</v>
      </c>
      <c r="L5" s="51">
        <v>20000</v>
      </c>
      <c r="M5" s="51"/>
      <c r="N5" s="51">
        <v>43831</v>
      </c>
      <c r="O5" s="51" t="s">
        <v>30</v>
      </c>
      <c r="P5" s="51"/>
      <c r="Q5" s="51">
        <v>8000</v>
      </c>
      <c r="R5" s="51"/>
    </row>
    <row r="6" spans="3:18">
      <c r="D6" t="s">
        <v>344</v>
      </c>
      <c r="E6" s="51">
        <v>9000</v>
      </c>
      <c r="K6" t="s">
        <v>93</v>
      </c>
      <c r="L6" s="51"/>
      <c r="M6" s="51">
        <v>8000</v>
      </c>
      <c r="N6" s="51"/>
      <c r="O6" s="51" t="s">
        <v>29</v>
      </c>
      <c r="P6" s="51"/>
      <c r="Q6" s="51">
        <v>14000</v>
      </c>
      <c r="R6" s="51"/>
    </row>
    <row r="7" spans="3:18">
      <c r="D7" t="s">
        <v>371</v>
      </c>
      <c r="E7" s="51">
        <v>8000</v>
      </c>
      <c r="K7" t="s">
        <v>29</v>
      </c>
      <c r="L7" s="51"/>
      <c r="M7" s="51">
        <v>14000</v>
      </c>
      <c r="N7" s="51"/>
      <c r="O7" s="51"/>
      <c r="P7" s="51" t="s">
        <v>372</v>
      </c>
      <c r="Q7" s="51"/>
      <c r="R7" s="51">
        <v>20000</v>
      </c>
    </row>
    <row r="8" spans="3:18">
      <c r="D8" t="s">
        <v>373</v>
      </c>
      <c r="E8" s="51">
        <v>26000</v>
      </c>
      <c r="G8">
        <v>2</v>
      </c>
      <c r="H8" t="s">
        <v>374</v>
      </c>
      <c r="I8" s="8">
        <v>44196</v>
      </c>
      <c r="J8" t="s">
        <v>375</v>
      </c>
      <c r="L8" s="51">
        <v>5000</v>
      </c>
      <c r="M8" s="51"/>
      <c r="N8" s="51">
        <v>44196</v>
      </c>
      <c r="O8" s="51" t="s">
        <v>29</v>
      </c>
      <c r="P8" s="51"/>
      <c r="Q8" s="51">
        <v>5000</v>
      </c>
      <c r="R8" s="51"/>
    </row>
    <row r="9" spans="3:18">
      <c r="D9" t="s">
        <v>376</v>
      </c>
      <c r="E9" s="51">
        <v>5000</v>
      </c>
      <c r="K9" t="s">
        <v>29</v>
      </c>
      <c r="L9" s="51"/>
      <c r="M9" s="51">
        <v>5000</v>
      </c>
      <c r="N9" s="51"/>
      <c r="O9" s="51"/>
      <c r="P9" s="51" t="s">
        <v>377</v>
      </c>
      <c r="Q9" s="51"/>
      <c r="R9" s="51">
        <v>5000</v>
      </c>
    </row>
    <row r="10" spans="3:18">
      <c r="C10" t="s">
        <v>340</v>
      </c>
      <c r="D10" t="s">
        <v>378</v>
      </c>
      <c r="E10" s="51">
        <v>64000</v>
      </c>
      <c r="G10">
        <v>3</v>
      </c>
      <c r="H10" t="s">
        <v>379</v>
      </c>
      <c r="I10" s="8">
        <v>44196</v>
      </c>
      <c r="J10" t="s">
        <v>93</v>
      </c>
      <c r="L10" s="51">
        <v>26000</v>
      </c>
      <c r="M10" s="51"/>
      <c r="N10" s="51">
        <v>44196</v>
      </c>
      <c r="O10" s="51" t="s">
        <v>29</v>
      </c>
      <c r="P10" s="51"/>
      <c r="Q10" s="51">
        <v>26000</v>
      </c>
      <c r="R10" s="51"/>
    </row>
    <row r="11" spans="3:18">
      <c r="C11" t="s">
        <v>342</v>
      </c>
      <c r="D11" t="s">
        <v>356</v>
      </c>
      <c r="E11" s="51">
        <v>21000</v>
      </c>
      <c r="K11" t="s">
        <v>29</v>
      </c>
      <c r="L11" s="51"/>
      <c r="M11" s="51">
        <v>26000</v>
      </c>
      <c r="N11" s="51"/>
      <c r="O11" s="51"/>
      <c r="P11" s="51" t="s">
        <v>30</v>
      </c>
      <c r="Q11" s="51"/>
      <c r="R11" s="51">
        <v>26000</v>
      </c>
    </row>
    <row r="12" spans="3:18">
      <c r="D12" t="s">
        <v>343</v>
      </c>
      <c r="E12" s="51">
        <v>30000</v>
      </c>
      <c r="G12">
        <v>4</v>
      </c>
      <c r="H12" t="s">
        <v>380</v>
      </c>
      <c r="I12" s="8">
        <v>44196</v>
      </c>
      <c r="J12" s="51" t="s">
        <v>356</v>
      </c>
      <c r="L12" s="51">
        <v>21000</v>
      </c>
      <c r="M12" s="51"/>
      <c r="N12" s="51">
        <v>44196</v>
      </c>
      <c r="O12" s="51"/>
      <c r="P12" s="51" t="s">
        <v>356</v>
      </c>
      <c r="Q12" s="51"/>
      <c r="R12" s="51"/>
    </row>
    <row r="13" spans="3:18">
      <c r="C13" t="s">
        <v>381</v>
      </c>
      <c r="D13" t="s">
        <v>350</v>
      </c>
      <c r="E13">
        <v>0</v>
      </c>
      <c r="J13" t="s">
        <v>350</v>
      </c>
      <c r="L13" s="51">
        <v>0</v>
      </c>
      <c r="M13" s="51"/>
      <c r="N13" s="51"/>
      <c r="O13" s="51"/>
      <c r="P13" s="51" t="s">
        <v>337</v>
      </c>
      <c r="Q13" s="51"/>
      <c r="R13" s="51">
        <v>0</v>
      </c>
    </row>
    <row r="14" spans="3:18">
      <c r="D14" t="s">
        <v>382</v>
      </c>
      <c r="E14">
        <v>0</v>
      </c>
      <c r="J14" t="s">
        <v>382</v>
      </c>
      <c r="L14" s="51">
        <v>0</v>
      </c>
      <c r="M14" s="51"/>
      <c r="N14" s="51"/>
      <c r="O14" s="51"/>
      <c r="P14" s="51" t="s">
        <v>383</v>
      </c>
      <c r="Q14" s="51"/>
      <c r="R14" s="51">
        <v>0</v>
      </c>
    </row>
    <row r="15" spans="3:18">
      <c r="D15" t="s">
        <v>352</v>
      </c>
      <c r="E15">
        <v>0</v>
      </c>
      <c r="J15" t="s">
        <v>352</v>
      </c>
      <c r="L15" s="51">
        <v>0</v>
      </c>
      <c r="M15" s="51"/>
      <c r="N15" s="51"/>
      <c r="O15" s="51"/>
      <c r="P15" s="51" t="s">
        <v>338</v>
      </c>
      <c r="Q15" s="51"/>
      <c r="R15" s="51">
        <v>0</v>
      </c>
    </row>
    <row r="16" spans="3:18">
      <c r="K16" t="s">
        <v>358</v>
      </c>
      <c r="L16" s="51"/>
      <c r="M16" s="51">
        <v>12000</v>
      </c>
      <c r="N16" s="51"/>
      <c r="O16" s="51" t="s">
        <v>358</v>
      </c>
      <c r="P16" s="51"/>
      <c r="Q16" s="51">
        <v>12000</v>
      </c>
      <c r="R16" s="51"/>
    </row>
    <row r="17" spans="7:18">
      <c r="K17" t="s">
        <v>348</v>
      </c>
      <c r="L17" s="51"/>
      <c r="M17" s="51">
        <v>20000</v>
      </c>
      <c r="N17" s="51"/>
      <c r="O17" s="51" t="s">
        <v>372</v>
      </c>
      <c r="P17" s="51"/>
      <c r="Q17" s="51">
        <v>20000</v>
      </c>
      <c r="R17" s="51"/>
    </row>
    <row r="18" spans="7:18">
      <c r="K18" t="s">
        <v>354</v>
      </c>
      <c r="L18" s="51"/>
      <c r="M18" s="51">
        <v>0</v>
      </c>
      <c r="N18" s="51"/>
      <c r="O18" s="51" t="s">
        <v>336</v>
      </c>
      <c r="P18" s="51"/>
      <c r="Q18" s="51">
        <v>0</v>
      </c>
      <c r="R18" s="51"/>
    </row>
    <row r="19" spans="7:18">
      <c r="J19" t="s">
        <v>357</v>
      </c>
      <c r="L19" s="51">
        <v>11000</v>
      </c>
      <c r="M19" s="51"/>
      <c r="N19" s="51"/>
      <c r="O19" s="51"/>
      <c r="P19" s="51" t="s">
        <v>357</v>
      </c>
      <c r="Q19" s="51"/>
      <c r="R19" s="51">
        <v>11000</v>
      </c>
    </row>
    <row r="20" spans="7:18">
      <c r="K20" t="s">
        <v>356</v>
      </c>
      <c r="L20" s="51"/>
      <c r="M20" s="51">
        <v>11000</v>
      </c>
      <c r="N20" s="51"/>
      <c r="O20" s="51" t="s">
        <v>356</v>
      </c>
      <c r="P20" s="51"/>
      <c r="Q20" s="51">
        <v>11000</v>
      </c>
      <c r="R20" s="51"/>
    </row>
    <row r="21" spans="7:18">
      <c r="L21" s="51"/>
      <c r="M21" s="51"/>
      <c r="N21" s="51"/>
      <c r="O21" s="51"/>
      <c r="P21" s="51"/>
      <c r="Q21" s="51"/>
      <c r="R21" s="51"/>
    </row>
    <row r="22" spans="7:18">
      <c r="G22" s="129" t="s">
        <v>384</v>
      </c>
      <c r="H22" s="129"/>
      <c r="L22" s="51"/>
      <c r="M22" s="51"/>
      <c r="N22" s="51"/>
      <c r="O22" s="51"/>
      <c r="P22" s="51"/>
      <c r="Q22" s="51"/>
      <c r="R22" s="51"/>
    </row>
    <row r="23" spans="7:18">
      <c r="G23" t="s">
        <v>368</v>
      </c>
      <c r="L23" s="51"/>
      <c r="M23" s="51"/>
      <c r="N23" s="51" t="s">
        <v>369</v>
      </c>
      <c r="O23" s="51"/>
      <c r="P23" s="51"/>
      <c r="Q23" s="51"/>
      <c r="R23" s="51"/>
    </row>
    <row r="24" spans="7:18">
      <c r="G24" t="s">
        <v>20</v>
      </c>
      <c r="H24" t="s">
        <v>206</v>
      </c>
      <c r="I24" t="s">
        <v>22</v>
      </c>
      <c r="J24" t="s">
        <v>96</v>
      </c>
      <c r="K24" t="s">
        <v>96</v>
      </c>
      <c r="L24" s="51" t="s">
        <v>17</v>
      </c>
      <c r="M24" s="51" t="s">
        <v>19</v>
      </c>
      <c r="N24" s="51" t="s">
        <v>22</v>
      </c>
      <c r="O24" s="51" t="s">
        <v>96</v>
      </c>
      <c r="P24" s="51" t="s">
        <v>96</v>
      </c>
      <c r="Q24" s="51" t="s">
        <v>17</v>
      </c>
      <c r="R24" s="51" t="s">
        <v>19</v>
      </c>
    </row>
    <row r="25" spans="7:18">
      <c r="I25" s="8">
        <v>44135</v>
      </c>
      <c r="J25" t="s">
        <v>348</v>
      </c>
      <c r="L25" s="51"/>
      <c r="M25" s="51">
        <v>20000</v>
      </c>
      <c r="N25" s="51"/>
      <c r="O25" s="51"/>
      <c r="P25" s="51" t="s">
        <v>372</v>
      </c>
      <c r="Q25" s="51"/>
      <c r="R25" s="51">
        <v>20000</v>
      </c>
    </row>
    <row r="26" spans="7:18">
      <c r="J26" t="s">
        <v>385</v>
      </c>
      <c r="K26" t="s">
        <v>350</v>
      </c>
      <c r="L26" s="51">
        <v>0</v>
      </c>
      <c r="M26" s="51"/>
      <c r="N26" s="51"/>
      <c r="O26" s="51" t="s">
        <v>385</v>
      </c>
      <c r="P26" s="51" t="s">
        <v>386</v>
      </c>
      <c r="Q26" s="51">
        <v>0</v>
      </c>
      <c r="R26" s="51"/>
    </row>
    <row r="27" spans="7:18">
      <c r="K27" t="s">
        <v>382</v>
      </c>
      <c r="L27" s="51">
        <v>0</v>
      </c>
      <c r="M27" s="51"/>
      <c r="N27" s="51"/>
      <c r="O27" s="51"/>
      <c r="P27" s="51" t="s">
        <v>383</v>
      </c>
      <c r="Q27" s="51">
        <v>0</v>
      </c>
      <c r="R27" s="51"/>
    </row>
    <row r="28" spans="7:18">
      <c r="K28" t="s">
        <v>352</v>
      </c>
      <c r="L28" s="51">
        <v>0</v>
      </c>
      <c r="M28" s="120">
        <v>0</v>
      </c>
      <c r="N28" s="51"/>
      <c r="O28" s="51"/>
      <c r="P28" s="51" t="s">
        <v>338</v>
      </c>
      <c r="Q28" s="120">
        <v>0</v>
      </c>
      <c r="R28" s="120">
        <v>0</v>
      </c>
    </row>
    <row r="29" spans="7:18">
      <c r="J29" t="s">
        <v>387</v>
      </c>
      <c r="L29" s="51"/>
      <c r="M29" s="51">
        <v>20000</v>
      </c>
      <c r="N29" s="51"/>
      <c r="O29" s="51" t="s">
        <v>343</v>
      </c>
      <c r="P29" s="51"/>
      <c r="Q29" s="51"/>
      <c r="R29" s="51">
        <v>20000</v>
      </c>
    </row>
    <row r="30" spans="7:18">
      <c r="J30" t="s">
        <v>388</v>
      </c>
      <c r="K30" t="s">
        <v>354</v>
      </c>
      <c r="L30" s="51"/>
      <c r="M30" s="120">
        <v>0</v>
      </c>
      <c r="N30" s="51"/>
      <c r="O30" s="51"/>
      <c r="P30" s="51"/>
      <c r="Q30" s="51"/>
      <c r="R30" s="51"/>
    </row>
    <row r="31" spans="7:18">
      <c r="J31" t="s">
        <v>389</v>
      </c>
      <c r="L31" s="51"/>
      <c r="M31" s="51">
        <v>20000</v>
      </c>
      <c r="N31" s="51"/>
      <c r="O31" s="51"/>
      <c r="P31" s="51"/>
      <c r="Q31" s="51"/>
      <c r="R31" s="51"/>
    </row>
    <row r="32" spans="7:18">
      <c r="L32" s="51"/>
      <c r="M32" s="51"/>
      <c r="N32" s="51"/>
      <c r="O32" s="51"/>
      <c r="P32" s="51"/>
      <c r="Q32" s="51"/>
      <c r="R32" s="51"/>
    </row>
    <row r="33" spans="7:18">
      <c r="G33" s="129" t="s">
        <v>390</v>
      </c>
      <c r="H33" s="129"/>
      <c r="L33" s="51"/>
      <c r="M33" s="51"/>
      <c r="N33" s="51"/>
      <c r="O33" s="51"/>
      <c r="P33" s="51"/>
      <c r="Q33" s="51"/>
      <c r="R33" s="51"/>
    </row>
    <row r="34" spans="7:18">
      <c r="G34" t="s">
        <v>368</v>
      </c>
      <c r="L34" s="51"/>
      <c r="M34" s="51"/>
      <c r="N34" s="51"/>
      <c r="O34" s="51"/>
      <c r="P34" s="51"/>
      <c r="Q34" s="51"/>
      <c r="R34" s="51"/>
    </row>
    <row r="35" spans="7:18">
      <c r="G35" t="s">
        <v>20</v>
      </c>
      <c r="H35" t="s">
        <v>206</v>
      </c>
      <c r="I35" t="s">
        <v>22</v>
      </c>
      <c r="J35" t="s">
        <v>96</v>
      </c>
      <c r="K35" t="s">
        <v>96</v>
      </c>
      <c r="L35" s="51" t="s">
        <v>17</v>
      </c>
      <c r="M35" s="51" t="s">
        <v>19</v>
      </c>
      <c r="N35" s="51"/>
      <c r="O35" s="51"/>
      <c r="P35" s="51"/>
      <c r="Q35" s="51"/>
      <c r="R35" s="51"/>
    </row>
    <row r="36" spans="7:18">
      <c r="I36" s="8">
        <v>44135</v>
      </c>
      <c r="J36" t="s">
        <v>358</v>
      </c>
      <c r="L36" s="51"/>
      <c r="M36" s="51">
        <v>12000</v>
      </c>
      <c r="N36" s="51"/>
      <c r="O36" s="51"/>
      <c r="P36" s="51"/>
      <c r="Q36" s="51"/>
      <c r="R36" s="51"/>
    </row>
    <row r="37" spans="7:18">
      <c r="J37" t="s">
        <v>388</v>
      </c>
      <c r="K37" s="119" t="s">
        <v>389</v>
      </c>
      <c r="L37" s="51"/>
      <c r="M37" s="120">
        <v>20000</v>
      </c>
      <c r="N37" s="51"/>
      <c r="O37" s="51"/>
      <c r="P37" s="51"/>
      <c r="Q37" s="51"/>
      <c r="R37" s="51"/>
    </row>
    <row r="38" spans="7:18">
      <c r="J38" t="s">
        <v>391</v>
      </c>
      <c r="L38" s="51"/>
      <c r="M38" s="51">
        <v>32000</v>
      </c>
      <c r="N38" s="51"/>
      <c r="O38" s="51"/>
      <c r="P38" s="51"/>
      <c r="Q38" s="51"/>
      <c r="R38" s="51"/>
    </row>
    <row r="39" spans="7:18">
      <c r="J39" t="s">
        <v>385</v>
      </c>
      <c r="K39" t="s">
        <v>392</v>
      </c>
      <c r="L39" s="51"/>
      <c r="M39" s="120">
        <v>11000</v>
      </c>
      <c r="N39" s="51"/>
      <c r="O39" s="51"/>
      <c r="P39" s="51"/>
      <c r="Q39" s="51"/>
      <c r="R39" s="51"/>
    </row>
    <row r="40" spans="7:18">
      <c r="J40" t="s">
        <v>356</v>
      </c>
      <c r="L40" s="51"/>
      <c r="M40" s="51">
        <v>21000</v>
      </c>
      <c r="N40" s="51"/>
      <c r="O40" s="51"/>
      <c r="P40" s="51"/>
      <c r="Q40" s="51"/>
      <c r="R40" s="51"/>
    </row>
  </sheetData>
  <mergeCells count="2">
    <mergeCell ref="G22:H22"/>
    <mergeCell ref="G33:H33"/>
  </mergeCells>
  <pageMargins left="0.7" right="0.7" top="0.75" bottom="0.75" header="0.3" footer="0.3"/>
  <legacy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0F0E4-1437-4BCB-88B7-63D370BE8DC4}">
  <dimension ref="A2:O11"/>
  <sheetViews>
    <sheetView workbookViewId="0">
      <selection activeCell="A14" sqref="A14"/>
    </sheetView>
  </sheetViews>
  <sheetFormatPr defaultRowHeight="16.5"/>
  <cols>
    <col min="1" max="1" width="16.25" bestFit="1" customWidth="1"/>
    <col min="2" max="2" width="10.125" bestFit="1" customWidth="1"/>
    <col min="17" max="17" width="15.125" bestFit="1" customWidth="1"/>
  </cols>
  <sheetData>
    <row r="2" spans="1:15">
      <c r="A2" t="s">
        <v>266</v>
      </c>
    </row>
    <row r="3" spans="1:15">
      <c r="A3" t="s">
        <v>393</v>
      </c>
    </row>
    <row r="4" spans="1:15" ht="33.75">
      <c r="A4" s="116" t="s">
        <v>394</v>
      </c>
      <c r="C4" t="s">
        <v>1</v>
      </c>
      <c r="J4" t="s">
        <v>5</v>
      </c>
    </row>
    <row r="5" spans="1:15" ht="33.75">
      <c r="A5" s="116" t="s">
        <v>395</v>
      </c>
      <c r="C5" t="s">
        <v>343</v>
      </c>
      <c r="D5" s="55">
        <v>100000</v>
      </c>
      <c r="F5" s="55">
        <v>180000</v>
      </c>
      <c r="G5" s="55">
        <v>140000</v>
      </c>
      <c r="H5" s="55">
        <v>120000</v>
      </c>
      <c r="J5" t="s">
        <v>343</v>
      </c>
      <c r="K5" s="55">
        <v>100000</v>
      </c>
      <c r="L5" s="55">
        <v>180000</v>
      </c>
      <c r="M5" s="55">
        <v>180000</v>
      </c>
      <c r="N5" s="55">
        <v>140000</v>
      </c>
      <c r="O5" s="55">
        <v>120000</v>
      </c>
    </row>
    <row r="6" spans="1:15" ht="33.75">
      <c r="A6" s="116" t="s">
        <v>395</v>
      </c>
      <c r="C6" t="s">
        <v>358</v>
      </c>
      <c r="D6" s="55">
        <v>30000</v>
      </c>
      <c r="E6" s="55">
        <v>40000</v>
      </c>
      <c r="G6" s="55">
        <v>30000</v>
      </c>
      <c r="J6" t="s">
        <v>358</v>
      </c>
      <c r="K6" s="55">
        <v>30000</v>
      </c>
      <c r="L6" s="55">
        <v>40000</v>
      </c>
      <c r="M6" s="55">
        <v>70000</v>
      </c>
      <c r="N6" s="55">
        <v>30000</v>
      </c>
      <c r="O6" s="55">
        <v>50000</v>
      </c>
    </row>
    <row r="7" spans="1:15" ht="33.75">
      <c r="A7" s="116" t="s">
        <v>395</v>
      </c>
      <c r="C7" t="s">
        <v>387</v>
      </c>
      <c r="D7" s="55">
        <v>60000</v>
      </c>
      <c r="F7" s="55">
        <v>120000</v>
      </c>
      <c r="G7" s="55">
        <v>80000</v>
      </c>
      <c r="H7" s="55">
        <v>110000</v>
      </c>
      <c r="J7" t="s">
        <v>387</v>
      </c>
      <c r="K7" s="55">
        <v>60000</v>
      </c>
      <c r="L7" s="55">
        <v>130000</v>
      </c>
      <c r="M7" s="55">
        <v>120000</v>
      </c>
      <c r="N7" s="55">
        <v>80000</v>
      </c>
      <c r="O7" s="55">
        <v>110000</v>
      </c>
    </row>
    <row r="8" spans="1:15" ht="33.75">
      <c r="A8" s="116" t="s">
        <v>395</v>
      </c>
      <c r="C8" t="s">
        <v>391</v>
      </c>
      <c r="F8" s="55">
        <v>190000</v>
      </c>
      <c r="J8" t="s">
        <v>391</v>
      </c>
      <c r="K8" s="55">
        <v>90000</v>
      </c>
      <c r="L8" s="55">
        <v>170000</v>
      </c>
      <c r="M8" s="55">
        <v>190000</v>
      </c>
      <c r="N8" s="55">
        <v>110000</v>
      </c>
      <c r="O8" s="55">
        <v>160000</v>
      </c>
    </row>
    <row r="9" spans="1:15" ht="33.75">
      <c r="A9" s="116" t="s">
        <v>395</v>
      </c>
      <c r="C9" t="s">
        <v>357</v>
      </c>
      <c r="D9" s="55">
        <v>24000</v>
      </c>
      <c r="E9" s="55">
        <v>30000</v>
      </c>
      <c r="H9" s="55">
        <v>70000</v>
      </c>
      <c r="J9" t="s">
        <v>357</v>
      </c>
      <c r="K9" s="55">
        <v>24000</v>
      </c>
      <c r="L9" s="55">
        <v>30000</v>
      </c>
      <c r="M9" s="55">
        <v>40000</v>
      </c>
      <c r="N9" s="55">
        <v>20000</v>
      </c>
      <c r="O9" s="55">
        <v>70000</v>
      </c>
    </row>
    <row r="10" spans="1:15">
      <c r="C10" t="s">
        <v>356</v>
      </c>
      <c r="E10" s="55">
        <v>140000</v>
      </c>
      <c r="J10" t="s">
        <v>356</v>
      </c>
      <c r="K10" s="55">
        <v>66000</v>
      </c>
      <c r="L10" s="55">
        <v>140000</v>
      </c>
      <c r="M10" s="55">
        <v>150000</v>
      </c>
      <c r="N10" s="55">
        <v>90000</v>
      </c>
      <c r="O10" s="55">
        <v>90000</v>
      </c>
    </row>
    <row r="11" spans="1:15">
      <c r="C11" t="s">
        <v>344</v>
      </c>
      <c r="E11" s="55">
        <v>40000</v>
      </c>
      <c r="F11" s="55">
        <v>30000</v>
      </c>
      <c r="G11" s="55">
        <v>50000</v>
      </c>
      <c r="H11" s="55">
        <v>30000</v>
      </c>
      <c r="J11" t="s">
        <v>344</v>
      </c>
      <c r="K11" s="55">
        <v>34000</v>
      </c>
      <c r="L11" s="55">
        <v>40000</v>
      </c>
      <c r="M11" s="55">
        <v>30000</v>
      </c>
      <c r="N11" s="55">
        <v>50000</v>
      </c>
      <c r="O11" s="55">
        <v>30000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16332-44DA-4258-BB33-8601CC4AF7AC}">
  <dimension ref="A1:J11"/>
  <sheetViews>
    <sheetView workbookViewId="0">
      <selection activeCell="L9" sqref="L9"/>
    </sheetView>
  </sheetViews>
  <sheetFormatPr defaultRowHeight="16.5"/>
  <cols>
    <col min="1" max="1" width="18" bestFit="1" customWidth="1"/>
    <col min="3" max="3" width="16.25" bestFit="1" customWidth="1"/>
    <col min="4" max="4" width="10.625" bestFit="1" customWidth="1"/>
    <col min="6" max="6" width="10.125" bestFit="1" customWidth="1"/>
    <col min="9" max="10" width="10.625" bestFit="1" customWidth="1"/>
  </cols>
  <sheetData>
    <row r="1" spans="1:10">
      <c r="A1" t="s">
        <v>1</v>
      </c>
    </row>
    <row r="2" spans="1:10">
      <c r="A2" t="s">
        <v>277</v>
      </c>
      <c r="F2" t="s">
        <v>105</v>
      </c>
    </row>
    <row r="3" spans="1:10">
      <c r="A3" s="8">
        <v>44114</v>
      </c>
      <c r="C3" t="s">
        <v>396</v>
      </c>
      <c r="D3" s="43">
        <v>200</v>
      </c>
      <c r="F3" t="s">
        <v>22</v>
      </c>
      <c r="G3" s="115" t="s">
        <v>96</v>
      </c>
      <c r="H3" s="115"/>
      <c r="I3" t="s">
        <v>17</v>
      </c>
      <c r="J3" t="s">
        <v>19</v>
      </c>
    </row>
    <row r="4" spans="1:10">
      <c r="A4" t="s">
        <v>397</v>
      </c>
      <c r="C4" t="s">
        <v>398</v>
      </c>
      <c r="D4" s="43">
        <v>1000</v>
      </c>
      <c r="F4" s="8">
        <v>44124</v>
      </c>
      <c r="G4" t="s">
        <v>29</v>
      </c>
      <c r="I4" s="55">
        <f>$D$8-$D$9</f>
        <v>128000</v>
      </c>
      <c r="J4" s="55"/>
    </row>
    <row r="5" spans="1:10">
      <c r="A5" t="s">
        <v>399</v>
      </c>
      <c r="C5" t="s">
        <v>400</v>
      </c>
      <c r="D5" s="43">
        <v>0.2</v>
      </c>
      <c r="G5" t="s">
        <v>338</v>
      </c>
      <c r="I5" s="55">
        <f>$D$8*$D$6</f>
        <v>32000</v>
      </c>
      <c r="J5" s="55"/>
    </row>
    <row r="6" spans="1:10">
      <c r="A6" t="s">
        <v>401</v>
      </c>
      <c r="C6" t="s">
        <v>402</v>
      </c>
      <c r="D6" s="43">
        <v>0.2</v>
      </c>
      <c r="H6" t="s">
        <v>30</v>
      </c>
      <c r="I6" s="55"/>
      <c r="J6" s="55">
        <f>$D$7*(1-$D$5)</f>
        <v>160000</v>
      </c>
    </row>
    <row r="7" spans="1:10">
      <c r="A7" t="s">
        <v>403</v>
      </c>
      <c r="C7" t="s">
        <v>404</v>
      </c>
      <c r="D7" s="43">
        <f>$D$3*$D$4</f>
        <v>200000</v>
      </c>
    </row>
    <row r="8" spans="1:10">
      <c r="C8" t="s">
        <v>405</v>
      </c>
      <c r="D8" s="43">
        <f>$D$7*(1-$D$5)</f>
        <v>160000</v>
      </c>
    </row>
    <row r="9" spans="1:10">
      <c r="A9" t="s">
        <v>340</v>
      </c>
      <c r="C9" t="s">
        <v>338</v>
      </c>
      <c r="D9" s="43">
        <f>$D$8*$D$6</f>
        <v>32000</v>
      </c>
    </row>
    <row r="10" spans="1:10">
      <c r="A10" s="8">
        <v>44124</v>
      </c>
      <c r="C10" t="s">
        <v>29</v>
      </c>
      <c r="D10" s="43">
        <f>$D$8-$D$9</f>
        <v>128000</v>
      </c>
    </row>
    <row r="11" spans="1:10">
      <c r="A11" t="s">
        <v>94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06BC8-C1F3-47E2-A6C3-0C488E808FB1}">
  <dimension ref="C1:AE6"/>
  <sheetViews>
    <sheetView topLeftCell="M1" workbookViewId="0">
      <selection activeCell="N10" sqref="N10"/>
    </sheetView>
  </sheetViews>
  <sheetFormatPr defaultRowHeight="16.5"/>
  <cols>
    <col min="14" max="14" width="9.625" bestFit="1" customWidth="1"/>
    <col min="16" max="19" width="9.625" bestFit="1" customWidth="1"/>
    <col min="21" max="21" width="9.5" bestFit="1" customWidth="1"/>
    <col min="22" max="25" width="9.625" bestFit="1" customWidth="1"/>
  </cols>
  <sheetData>
    <row r="1" spans="3:31">
      <c r="C1" t="s">
        <v>1</v>
      </c>
      <c r="M1" t="s">
        <v>5</v>
      </c>
    </row>
    <row r="2" spans="3:31">
      <c r="M2" t="s">
        <v>42</v>
      </c>
      <c r="S2" t="s">
        <v>372</v>
      </c>
      <c r="T2" t="s">
        <v>406</v>
      </c>
      <c r="U2" t="s">
        <v>406</v>
      </c>
      <c r="V2" t="s">
        <v>407</v>
      </c>
      <c r="Z2" t="s">
        <v>381</v>
      </c>
    </row>
    <row r="3" spans="3:31">
      <c r="C3" t="s">
        <v>42</v>
      </c>
      <c r="D3" t="s">
        <v>372</v>
      </c>
      <c r="E3" t="s">
        <v>358</v>
      </c>
      <c r="F3" t="s">
        <v>348</v>
      </c>
      <c r="G3" t="s">
        <v>357</v>
      </c>
      <c r="H3" t="s">
        <v>356</v>
      </c>
      <c r="I3" t="s">
        <v>408</v>
      </c>
      <c r="J3" t="s">
        <v>409</v>
      </c>
      <c r="K3" t="s">
        <v>410</v>
      </c>
      <c r="N3" t="s">
        <v>372</v>
      </c>
      <c r="O3" t="s">
        <v>358</v>
      </c>
      <c r="P3" t="s">
        <v>348</v>
      </c>
      <c r="Q3" t="s">
        <v>357</v>
      </c>
      <c r="R3" t="s">
        <v>356</v>
      </c>
      <c r="S3" t="s">
        <v>408</v>
      </c>
      <c r="T3" t="s">
        <v>409</v>
      </c>
      <c r="U3" t="s">
        <v>410</v>
      </c>
      <c r="V3" t="s">
        <v>391</v>
      </c>
      <c r="W3" t="s">
        <v>389</v>
      </c>
      <c r="X3" t="s">
        <v>387</v>
      </c>
      <c r="Y3" t="s">
        <v>343</v>
      </c>
      <c r="Z3" t="s">
        <v>337</v>
      </c>
      <c r="AA3" t="s">
        <v>383</v>
      </c>
      <c r="AB3" t="s">
        <v>338</v>
      </c>
      <c r="AC3" t="s">
        <v>350</v>
      </c>
      <c r="AD3" t="s">
        <v>382</v>
      </c>
      <c r="AE3" t="s">
        <v>352</v>
      </c>
    </row>
    <row r="4" spans="3:31">
      <c r="C4">
        <v>18</v>
      </c>
      <c r="E4">
        <v>4000</v>
      </c>
      <c r="G4">
        <v>2800</v>
      </c>
      <c r="H4">
        <v>12000</v>
      </c>
      <c r="I4">
        <v>11200</v>
      </c>
      <c r="K4">
        <v>4600</v>
      </c>
      <c r="M4">
        <v>18</v>
      </c>
      <c r="N4" s="51">
        <v>23200</v>
      </c>
      <c r="O4" s="51">
        <v>4000</v>
      </c>
      <c r="P4" s="51">
        <v>10800</v>
      </c>
      <c r="Q4" s="51">
        <v>2800</v>
      </c>
      <c r="R4" s="51">
        <v>12000</v>
      </c>
      <c r="S4" s="51">
        <v>11200</v>
      </c>
      <c r="T4" s="51">
        <v>6600</v>
      </c>
      <c r="U4" s="51">
        <v>4600</v>
      </c>
      <c r="V4" s="51">
        <v>14800</v>
      </c>
      <c r="W4" s="51"/>
      <c r="X4" s="51">
        <v>10800</v>
      </c>
      <c r="Y4" s="51">
        <v>23200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3:31">
      <c r="C5">
        <v>19</v>
      </c>
      <c r="D5">
        <v>25400</v>
      </c>
      <c r="F5">
        <v>14000</v>
      </c>
      <c r="J5">
        <v>4500</v>
      </c>
      <c r="K5">
        <v>4200</v>
      </c>
      <c r="M5">
        <v>19</v>
      </c>
      <c r="N5" s="51">
        <v>25400</v>
      </c>
      <c r="O5" s="51">
        <v>2800</v>
      </c>
      <c r="P5" s="51">
        <v>14000</v>
      </c>
      <c r="Q5" s="51">
        <v>100</v>
      </c>
      <c r="R5" s="51">
        <v>16700</v>
      </c>
      <c r="S5" s="51">
        <v>8700</v>
      </c>
      <c r="T5" s="51">
        <v>4500</v>
      </c>
      <c r="U5" s="51">
        <v>4200</v>
      </c>
      <c r="V5" s="51"/>
      <c r="W5" s="51">
        <v>18200</v>
      </c>
      <c r="X5" s="51"/>
      <c r="Y5" s="51">
        <v>25400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3:31">
      <c r="C6">
        <v>20</v>
      </c>
      <c r="G6">
        <v>17000</v>
      </c>
      <c r="H6">
        <v>10000</v>
      </c>
      <c r="I6">
        <v>4000</v>
      </c>
      <c r="J6">
        <v>5600</v>
      </c>
      <c r="M6">
        <v>20</v>
      </c>
      <c r="N6" s="51">
        <v>14000</v>
      </c>
      <c r="O6" s="51">
        <v>100</v>
      </c>
      <c r="P6" s="51">
        <v>26900</v>
      </c>
      <c r="Q6" s="51">
        <v>17000</v>
      </c>
      <c r="R6" s="51">
        <v>10000</v>
      </c>
      <c r="S6" s="51">
        <v>4000</v>
      </c>
      <c r="T6" s="51">
        <v>5600</v>
      </c>
      <c r="U6" s="51">
        <v>-1600</v>
      </c>
      <c r="V6" s="51">
        <v>27000</v>
      </c>
      <c r="W6" s="51"/>
      <c r="X6" s="51"/>
      <c r="Y6" s="51">
        <v>14000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</sheetData>
  <pageMargins left="0.7" right="0.7" top="0.75" bottom="0.75" header="0.3" footer="0.3"/>
  <legacy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8EE38-CB64-49A7-B51D-8EC0337B253E}">
  <dimension ref="G2:I9"/>
  <sheetViews>
    <sheetView workbookViewId="0">
      <selection activeCell="G12" sqref="G12"/>
    </sheetView>
  </sheetViews>
  <sheetFormatPr defaultRowHeight="16.5"/>
  <cols>
    <col min="7" max="7" width="18.5" bestFit="1" customWidth="1"/>
  </cols>
  <sheetData>
    <row r="2" spans="7:9">
      <c r="G2" t="s">
        <v>5</v>
      </c>
    </row>
    <row r="3" spans="7:9">
      <c r="G3" t="s">
        <v>411</v>
      </c>
    </row>
    <row r="4" spans="7:9">
      <c r="G4" t="s">
        <v>96</v>
      </c>
      <c r="H4" t="s">
        <v>96</v>
      </c>
      <c r="I4" t="s">
        <v>163</v>
      </c>
    </row>
    <row r="5" spans="7:9">
      <c r="G5" t="s">
        <v>412</v>
      </c>
      <c r="I5">
        <v>5000</v>
      </c>
    </row>
    <row r="6" spans="7:9">
      <c r="G6" t="s">
        <v>385</v>
      </c>
      <c r="H6" t="s">
        <v>413</v>
      </c>
      <c r="I6">
        <v>4650</v>
      </c>
    </row>
    <row r="7" spans="7:9">
      <c r="G7" t="s">
        <v>414</v>
      </c>
      <c r="I7">
        <v>350</v>
      </c>
    </row>
    <row r="8" spans="7:9">
      <c r="G8" t="s">
        <v>415</v>
      </c>
      <c r="H8" t="s">
        <v>29</v>
      </c>
      <c r="I8">
        <v>300</v>
      </c>
    </row>
    <row r="9" spans="7:9">
      <c r="G9" t="s">
        <v>416</v>
      </c>
      <c r="I9">
        <v>50</v>
      </c>
    </row>
  </sheetData>
  <pageMargins left="0.7" right="0.7" top="0.75" bottom="0.75" header="0.3" footer="0.3"/>
  <legacy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4CF56-3D19-4025-A991-69CFA3EB7189}">
  <dimension ref="C3:AY36"/>
  <sheetViews>
    <sheetView topLeftCell="AM1" workbookViewId="0">
      <selection activeCell="AU7" sqref="AU7"/>
    </sheetView>
  </sheetViews>
  <sheetFormatPr defaultRowHeight="16.5"/>
  <cols>
    <col min="7" max="8" width="9.25" bestFit="1" customWidth="1"/>
    <col min="11" max="12" width="9.25" bestFit="1" customWidth="1"/>
    <col min="15" max="15" width="14" bestFit="1" customWidth="1"/>
    <col min="17" max="17" width="11.75" bestFit="1" customWidth="1"/>
    <col min="19" max="19" width="14" bestFit="1" customWidth="1"/>
    <col min="20" max="20" width="11.75" bestFit="1" customWidth="1"/>
    <col min="44" max="44" width="18.5" bestFit="1" customWidth="1"/>
    <col min="45" max="45" width="14.25" bestFit="1" customWidth="1"/>
  </cols>
  <sheetData>
    <row r="3" spans="3:51">
      <c r="C3" t="s">
        <v>1</v>
      </c>
    </row>
    <row r="4" spans="3:51">
      <c r="D4" t="s">
        <v>94</v>
      </c>
      <c r="J4" t="s">
        <v>108</v>
      </c>
      <c r="O4" t="s">
        <v>315</v>
      </c>
      <c r="T4" t="s">
        <v>417</v>
      </c>
      <c r="AG4" t="s">
        <v>129</v>
      </c>
      <c r="AR4" t="s">
        <v>418</v>
      </c>
    </row>
    <row r="5" spans="3:51">
      <c r="D5" t="s">
        <v>419</v>
      </c>
      <c r="E5" t="s">
        <v>96</v>
      </c>
      <c r="F5" t="s">
        <v>96</v>
      </c>
      <c r="G5" t="s">
        <v>17</v>
      </c>
      <c r="H5" t="s">
        <v>19</v>
      </c>
      <c r="J5" t="s">
        <v>420</v>
      </c>
      <c r="O5" t="s">
        <v>96</v>
      </c>
      <c r="P5" t="s">
        <v>96</v>
      </c>
      <c r="Q5" t="s">
        <v>17</v>
      </c>
      <c r="R5" t="s">
        <v>19</v>
      </c>
      <c r="T5" t="s">
        <v>96</v>
      </c>
      <c r="U5" t="s">
        <v>96</v>
      </c>
      <c r="V5" t="s">
        <v>17</v>
      </c>
      <c r="W5" t="s">
        <v>19</v>
      </c>
      <c r="AG5" t="s">
        <v>29</v>
      </c>
      <c r="AN5" t="s">
        <v>421</v>
      </c>
      <c r="AR5" s="129" t="s">
        <v>420</v>
      </c>
      <c r="AS5" s="129"/>
      <c r="AT5" s="129"/>
      <c r="AU5" s="129"/>
    </row>
    <row r="6" spans="3:51">
      <c r="D6">
        <v>1</v>
      </c>
      <c r="E6" t="s">
        <v>422</v>
      </c>
      <c r="G6" s="51">
        <v>2700</v>
      </c>
      <c r="H6" s="51"/>
      <c r="J6" t="s">
        <v>423</v>
      </c>
      <c r="O6" t="s">
        <v>101</v>
      </c>
      <c r="R6" s="51">
        <v>8000</v>
      </c>
      <c r="T6" t="s">
        <v>29</v>
      </c>
      <c r="V6" s="51">
        <v>30000</v>
      </c>
      <c r="AG6" s="129" t="s">
        <v>423</v>
      </c>
      <c r="AH6" s="129"/>
      <c r="AR6" s="135" t="s">
        <v>424</v>
      </c>
      <c r="AS6" s="135"/>
      <c r="AT6" s="135"/>
      <c r="AU6" s="135"/>
      <c r="AV6" s="8"/>
      <c r="AW6" s="8"/>
      <c r="AX6" s="8"/>
      <c r="AY6" s="8"/>
    </row>
    <row r="7" spans="3:51">
      <c r="F7" t="s">
        <v>103</v>
      </c>
      <c r="G7" s="51"/>
      <c r="H7" s="51">
        <v>2700</v>
      </c>
      <c r="J7" t="s">
        <v>96</v>
      </c>
      <c r="K7" t="s">
        <v>96</v>
      </c>
      <c r="L7" t="s">
        <v>17</v>
      </c>
      <c r="M7" t="s">
        <v>19</v>
      </c>
      <c r="O7" t="s">
        <v>422</v>
      </c>
      <c r="Q7" s="51">
        <v>7200</v>
      </c>
      <c r="T7" t="s">
        <v>103</v>
      </c>
      <c r="W7" s="51">
        <v>7200</v>
      </c>
      <c r="AG7" t="s">
        <v>132</v>
      </c>
      <c r="AH7" t="s">
        <v>133</v>
      </c>
      <c r="AI7" t="s">
        <v>137</v>
      </c>
      <c r="AJ7" t="s">
        <v>138</v>
      </c>
      <c r="AK7" t="s">
        <v>135</v>
      </c>
      <c r="AL7" s="123" t="s">
        <v>136</v>
      </c>
      <c r="AM7" t="s">
        <v>425</v>
      </c>
      <c r="AN7" t="s">
        <v>140</v>
      </c>
      <c r="AR7" t="s">
        <v>426</v>
      </c>
      <c r="AT7" s="17"/>
      <c r="AU7" s="28">
        <v>85000</v>
      </c>
    </row>
    <row r="8" spans="3:51">
      <c r="D8">
        <v>2</v>
      </c>
      <c r="E8" t="s">
        <v>422</v>
      </c>
      <c r="G8" s="51">
        <v>4500</v>
      </c>
      <c r="H8" s="51"/>
      <c r="J8" t="s">
        <v>29</v>
      </c>
      <c r="L8" s="51">
        <v>30000</v>
      </c>
      <c r="M8" s="51"/>
      <c r="P8" t="s">
        <v>107</v>
      </c>
      <c r="Q8" s="51">
        <f>SUM(Q6:Q7)</f>
        <v>7200</v>
      </c>
      <c r="R8" s="51">
        <f>SUM(R6:R7)</f>
        <v>8000</v>
      </c>
      <c r="T8" t="s">
        <v>427</v>
      </c>
      <c r="W8" s="51">
        <v>22000</v>
      </c>
      <c r="AK8" s="51">
        <v>30000</v>
      </c>
      <c r="AM8" t="s">
        <v>141</v>
      </c>
      <c r="AN8" s="51">
        <v>30000</v>
      </c>
      <c r="AR8" t="s">
        <v>388</v>
      </c>
      <c r="AS8" t="s">
        <v>428</v>
      </c>
      <c r="AT8" s="17">
        <v>4500</v>
      </c>
      <c r="AU8" s="28"/>
    </row>
    <row r="9" spans="3:51">
      <c r="F9" t="s">
        <v>103</v>
      </c>
      <c r="G9" s="51"/>
      <c r="H9" s="51">
        <v>4500</v>
      </c>
      <c r="J9" t="s">
        <v>103</v>
      </c>
      <c r="L9" s="51"/>
      <c r="M9" s="51">
        <v>7200</v>
      </c>
      <c r="U9" t="s">
        <v>107</v>
      </c>
      <c r="V9" s="51">
        <f>SUM(V6:V8)</f>
        <v>30000</v>
      </c>
      <c r="W9" s="51">
        <f>SUM(W6:W8)</f>
        <v>29200</v>
      </c>
      <c r="AT9" s="17"/>
      <c r="AU9" s="28">
        <f>SUM($AT$8:$AT$9)</f>
        <v>4500</v>
      </c>
    </row>
    <row r="10" spans="3:51">
      <c r="D10">
        <v>3</v>
      </c>
      <c r="E10" t="s">
        <v>29</v>
      </c>
      <c r="G10" s="51">
        <v>30000</v>
      </c>
      <c r="H10" s="51"/>
      <c r="J10" t="s">
        <v>427</v>
      </c>
      <c r="L10" s="51"/>
      <c r="M10" s="51">
        <v>22000</v>
      </c>
      <c r="AG10" t="s">
        <v>103</v>
      </c>
      <c r="AN10" t="s">
        <v>429</v>
      </c>
      <c r="AT10" s="25"/>
      <c r="AU10" s="27">
        <f>SUM($AU$7,$AU$9)</f>
        <v>89500</v>
      </c>
    </row>
    <row r="11" spans="3:51">
      <c r="F11" t="s">
        <v>427</v>
      </c>
      <c r="G11" s="51"/>
      <c r="H11" s="51">
        <v>30000</v>
      </c>
      <c r="J11" t="s">
        <v>101</v>
      </c>
      <c r="L11" s="51"/>
      <c r="M11" s="51">
        <v>8000</v>
      </c>
      <c r="AG11" s="129" t="s">
        <v>423</v>
      </c>
      <c r="AH11" s="129"/>
      <c r="AT11" s="17"/>
      <c r="AU11" s="28"/>
    </row>
    <row r="12" spans="3:51">
      <c r="D12">
        <v>4</v>
      </c>
      <c r="E12" t="s">
        <v>427</v>
      </c>
      <c r="G12" s="51">
        <v>8000</v>
      </c>
      <c r="H12" s="51"/>
      <c r="J12" t="s">
        <v>422</v>
      </c>
      <c r="L12" s="51">
        <v>7200</v>
      </c>
      <c r="M12" s="51"/>
      <c r="AG12" t="s">
        <v>132</v>
      </c>
      <c r="AH12" t="s">
        <v>133</v>
      </c>
      <c r="AI12" t="s">
        <v>137</v>
      </c>
      <c r="AJ12" t="s">
        <v>138</v>
      </c>
      <c r="AK12" t="s">
        <v>135</v>
      </c>
      <c r="AL12" s="123" t="s">
        <v>136</v>
      </c>
      <c r="AM12" t="s">
        <v>425</v>
      </c>
      <c r="AN12" t="s">
        <v>140</v>
      </c>
      <c r="AR12" t="s">
        <v>385</v>
      </c>
      <c r="AS12" t="s">
        <v>430</v>
      </c>
      <c r="AT12" s="17">
        <v>550</v>
      </c>
      <c r="AU12" s="28"/>
    </row>
    <row r="13" spans="3:51">
      <c r="F13" t="s">
        <v>101</v>
      </c>
      <c r="G13" s="51"/>
      <c r="H13" s="51">
        <v>8000</v>
      </c>
      <c r="K13" t="s">
        <v>107</v>
      </c>
      <c r="L13" s="51">
        <f>SUM(L$8:L$12)</f>
        <v>37200</v>
      </c>
      <c r="M13" s="51">
        <f>SUM(M$8:M$12)</f>
        <v>37200</v>
      </c>
      <c r="AL13" s="51">
        <v>7200</v>
      </c>
      <c r="AM13" t="s">
        <v>150</v>
      </c>
      <c r="AN13" s="51">
        <v>7200</v>
      </c>
      <c r="AT13" s="17"/>
      <c r="AU13" s="28">
        <f>SUM($AT$12:$AT$13)</f>
        <v>550</v>
      </c>
    </row>
    <row r="14" spans="3:51">
      <c r="AR14" t="s">
        <v>431</v>
      </c>
      <c r="AT14" s="25"/>
      <c r="AU14" s="126">
        <f>$AU$10-$AU$13</f>
        <v>88950</v>
      </c>
    </row>
    <row r="15" spans="3:51">
      <c r="D15" t="s">
        <v>105</v>
      </c>
      <c r="AG15" t="s">
        <v>427</v>
      </c>
      <c r="AN15" t="s">
        <v>291</v>
      </c>
    </row>
    <row r="16" spans="3:51">
      <c r="D16" t="s">
        <v>96</v>
      </c>
      <c r="E16" t="s">
        <v>29</v>
      </c>
      <c r="AG16" s="129" t="s">
        <v>423</v>
      </c>
      <c r="AH16" s="129"/>
    </row>
    <row r="17" spans="4:40">
      <c r="D17" t="s">
        <v>419</v>
      </c>
      <c r="E17" t="s">
        <v>17</v>
      </c>
      <c r="F17" t="s">
        <v>419</v>
      </c>
      <c r="G17" t="s">
        <v>19</v>
      </c>
      <c r="J17" t="s">
        <v>307</v>
      </c>
      <c r="AG17" t="s">
        <v>132</v>
      </c>
      <c r="AH17" t="s">
        <v>133</v>
      </c>
      <c r="AI17" t="s">
        <v>137</v>
      </c>
      <c r="AJ17" t="s">
        <v>138</v>
      </c>
      <c r="AK17" t="s">
        <v>135</v>
      </c>
      <c r="AL17" s="123" t="s">
        <v>136</v>
      </c>
      <c r="AM17" t="s">
        <v>425</v>
      </c>
      <c r="AN17" t="s">
        <v>140</v>
      </c>
    </row>
    <row r="18" spans="4:40">
      <c r="D18">
        <v>3</v>
      </c>
      <c r="E18" s="51">
        <v>30000</v>
      </c>
      <c r="J18" t="s">
        <v>420</v>
      </c>
      <c r="AL18" s="51">
        <v>22000</v>
      </c>
      <c r="AM18" t="s">
        <v>150</v>
      </c>
      <c r="AN18" s="51">
        <v>22000</v>
      </c>
    </row>
    <row r="19" spans="4:40">
      <c r="J19" t="s">
        <v>424</v>
      </c>
    </row>
    <row r="20" spans="4:40">
      <c r="D20" t="s">
        <v>96</v>
      </c>
      <c r="E20" t="s">
        <v>103</v>
      </c>
      <c r="J20" s="133" t="s">
        <v>96</v>
      </c>
      <c r="K20" s="132" t="s">
        <v>108</v>
      </c>
      <c r="L20" s="131"/>
      <c r="M20" s="132" t="s">
        <v>261</v>
      </c>
      <c r="N20" s="131"/>
      <c r="O20" s="132" t="s">
        <v>314</v>
      </c>
      <c r="P20" s="131"/>
      <c r="Q20" s="132" t="s">
        <v>315</v>
      </c>
      <c r="R20" s="131"/>
      <c r="S20" s="132" t="s">
        <v>417</v>
      </c>
      <c r="T20" s="131"/>
      <c r="AG20" t="s">
        <v>427</v>
      </c>
      <c r="AN20" t="s">
        <v>432</v>
      </c>
    </row>
    <row r="21" spans="4:40">
      <c r="D21" t="s">
        <v>419</v>
      </c>
      <c r="E21" t="s">
        <v>17</v>
      </c>
      <c r="F21" t="s">
        <v>419</v>
      </c>
      <c r="G21" t="s">
        <v>19</v>
      </c>
      <c r="J21" s="134"/>
      <c r="K21" s="48" t="s">
        <v>17</v>
      </c>
      <c r="L21" s="48" t="s">
        <v>19</v>
      </c>
      <c r="M21" s="48" t="s">
        <v>17</v>
      </c>
      <c r="N21" s="48" t="s">
        <v>19</v>
      </c>
      <c r="O21" s="48" t="s">
        <v>17</v>
      </c>
      <c r="P21" s="48" t="s">
        <v>19</v>
      </c>
      <c r="Q21" s="48" t="s">
        <v>17</v>
      </c>
      <c r="R21" s="48" t="s">
        <v>19</v>
      </c>
      <c r="S21" s="48" t="s">
        <v>17</v>
      </c>
      <c r="T21" s="48" t="s">
        <v>19</v>
      </c>
      <c r="AG21" s="129" t="s">
        <v>423</v>
      </c>
      <c r="AH21" s="129"/>
    </row>
    <row r="22" spans="4:40">
      <c r="F22">
        <v>1</v>
      </c>
      <c r="G22" s="51">
        <v>2700</v>
      </c>
      <c r="J22" s="46" t="s">
        <v>29</v>
      </c>
      <c r="K22" s="51">
        <v>30000</v>
      </c>
      <c r="L22" s="124"/>
      <c r="M22" s="51"/>
      <c r="N22" s="124"/>
      <c r="O22" s="51">
        <v>30000</v>
      </c>
      <c r="P22" s="124"/>
      <c r="R22" s="5"/>
      <c r="S22" s="51">
        <v>30000</v>
      </c>
      <c r="T22" s="5"/>
      <c r="AG22" t="s">
        <v>132</v>
      </c>
      <c r="AH22" t="s">
        <v>133</v>
      </c>
      <c r="AI22" t="s">
        <v>137</v>
      </c>
      <c r="AJ22" t="s">
        <v>138</v>
      </c>
      <c r="AK22" t="s">
        <v>135</v>
      </c>
      <c r="AL22" s="123" t="s">
        <v>136</v>
      </c>
      <c r="AM22" t="s">
        <v>425</v>
      </c>
      <c r="AN22" t="s">
        <v>140</v>
      </c>
    </row>
    <row r="23" spans="4:40">
      <c r="F23">
        <v>2</v>
      </c>
      <c r="G23" s="51">
        <v>4500</v>
      </c>
      <c r="J23" s="46" t="s">
        <v>103</v>
      </c>
      <c r="K23" s="51"/>
      <c r="L23" s="124">
        <v>2700</v>
      </c>
      <c r="M23" s="51"/>
      <c r="N23" s="124">
        <v>4500</v>
      </c>
      <c r="O23" s="51"/>
      <c r="P23" s="124">
        <v>7200</v>
      </c>
      <c r="R23" s="5"/>
      <c r="T23" s="124">
        <v>7200</v>
      </c>
      <c r="AL23" s="51">
        <v>8000</v>
      </c>
      <c r="AM23" t="s">
        <v>150</v>
      </c>
      <c r="AN23" s="51">
        <v>8000</v>
      </c>
    </row>
    <row r="24" spans="4:40">
      <c r="J24" s="46" t="s">
        <v>427</v>
      </c>
      <c r="K24" s="51"/>
      <c r="L24" s="124">
        <v>22000</v>
      </c>
      <c r="M24" s="51"/>
      <c r="N24" s="124"/>
      <c r="O24" s="51"/>
      <c r="P24" s="124">
        <v>22000</v>
      </c>
      <c r="R24" s="5"/>
      <c r="T24" s="124">
        <v>22000</v>
      </c>
    </row>
    <row r="25" spans="4:40">
      <c r="D25" t="s">
        <v>96</v>
      </c>
      <c r="E25" t="s">
        <v>427</v>
      </c>
      <c r="J25" s="46" t="s">
        <v>101</v>
      </c>
      <c r="K25" s="51"/>
      <c r="L25" s="124">
        <v>8000</v>
      </c>
      <c r="M25" s="51"/>
      <c r="N25" s="124"/>
      <c r="O25" s="51"/>
      <c r="P25" s="124">
        <v>8000</v>
      </c>
      <c r="R25" s="124">
        <v>8000</v>
      </c>
      <c r="T25" s="5"/>
      <c r="AG25" t="s">
        <v>422</v>
      </c>
      <c r="AN25" t="s">
        <v>433</v>
      </c>
    </row>
    <row r="26" spans="4:40">
      <c r="D26" t="s">
        <v>419</v>
      </c>
      <c r="E26" t="s">
        <v>17</v>
      </c>
      <c r="F26" t="s">
        <v>419</v>
      </c>
      <c r="G26" t="s">
        <v>19</v>
      </c>
      <c r="J26" s="46" t="s">
        <v>422</v>
      </c>
      <c r="K26" s="120">
        <v>2700</v>
      </c>
      <c r="L26" s="125"/>
      <c r="M26" s="120">
        <v>4500</v>
      </c>
      <c r="N26" s="125"/>
      <c r="O26" s="120">
        <v>7200</v>
      </c>
      <c r="P26" s="125"/>
      <c r="Q26" s="120">
        <v>7200</v>
      </c>
      <c r="R26" s="48"/>
      <c r="S26" s="11"/>
      <c r="T26" s="48"/>
      <c r="AG26" s="129" t="s">
        <v>423</v>
      </c>
      <c r="AH26" s="129"/>
    </row>
    <row r="27" spans="4:40">
      <c r="D27">
        <v>4</v>
      </c>
      <c r="E27" s="51">
        <v>8000</v>
      </c>
      <c r="F27">
        <v>3</v>
      </c>
      <c r="G27" s="51">
        <v>30000</v>
      </c>
      <c r="J27" s="46" t="s">
        <v>107</v>
      </c>
      <c r="K27" s="62">
        <v>37200</v>
      </c>
      <c r="L27" s="75">
        <v>37200</v>
      </c>
      <c r="M27" s="62">
        <f>SUM(M22:M26)</f>
        <v>4500</v>
      </c>
      <c r="N27" s="75">
        <f>SUM(N22:N26)</f>
        <v>4500</v>
      </c>
      <c r="O27" s="62">
        <v>37200</v>
      </c>
      <c r="P27" s="75">
        <v>37200</v>
      </c>
      <c r="Q27" s="51">
        <f>SUM(Q22:Q26)</f>
        <v>7200</v>
      </c>
      <c r="R27" s="124">
        <f>SUM(R22:R26)</f>
        <v>8000</v>
      </c>
      <c r="S27" s="51">
        <f>SUM(S22:S26)</f>
        <v>30000</v>
      </c>
      <c r="T27" s="124">
        <f>SUM(T22:T26)</f>
        <v>29200</v>
      </c>
      <c r="AG27" t="s">
        <v>132</v>
      </c>
      <c r="AH27" t="s">
        <v>133</v>
      </c>
      <c r="AI27" t="s">
        <v>137</v>
      </c>
      <c r="AJ27" t="s">
        <v>138</v>
      </c>
      <c r="AK27" t="s">
        <v>135</v>
      </c>
      <c r="AL27" s="123" t="s">
        <v>136</v>
      </c>
      <c r="AM27" t="s">
        <v>425</v>
      </c>
      <c r="AN27" t="s">
        <v>140</v>
      </c>
    </row>
    <row r="28" spans="4:40">
      <c r="J28" s="46"/>
      <c r="L28" s="5"/>
      <c r="N28" s="5"/>
      <c r="P28" s="5"/>
      <c r="Q28" s="120">
        <f>IF($Q$27-$R$27&lt;0,-($Q$27-$R$27),"")</f>
        <v>800</v>
      </c>
      <c r="R28" s="48" t="str">
        <f>IF(-($Q$27-$R$27)&lt;0,($Q$27-$R$27),"")</f>
        <v/>
      </c>
      <c r="S28" s="11" t="str">
        <f>IF($S$27-$T$27&lt;0,($S$27-$T$27),"")</f>
        <v/>
      </c>
      <c r="T28" s="125">
        <f>IF(-($S$27-$T$27)&lt;0,($S$27-$T$27),"")</f>
        <v>800</v>
      </c>
      <c r="AK28" s="51">
        <v>7200</v>
      </c>
      <c r="AM28" t="s">
        <v>141</v>
      </c>
      <c r="AN28" s="51">
        <v>7200</v>
      </c>
    </row>
    <row r="29" spans="4:40">
      <c r="D29" t="s">
        <v>96</v>
      </c>
      <c r="E29" t="s">
        <v>101</v>
      </c>
      <c r="J29" s="59" t="s">
        <v>107</v>
      </c>
      <c r="K29" s="11"/>
      <c r="L29" s="48"/>
      <c r="M29" s="11"/>
      <c r="N29" s="48"/>
      <c r="O29" s="11"/>
      <c r="P29" s="48"/>
      <c r="Q29" s="62">
        <f>SUM(Q27:Q28)</f>
        <v>8000</v>
      </c>
      <c r="R29" s="75">
        <f>SUM(R27:R28)</f>
        <v>8000</v>
      </c>
      <c r="S29" s="62">
        <f>SUM(S27:S28)</f>
        <v>30000</v>
      </c>
      <c r="T29" s="75">
        <f>SUM(T27:T28)</f>
        <v>30000</v>
      </c>
    </row>
    <row r="30" spans="4:40">
      <c r="D30" t="s">
        <v>419</v>
      </c>
      <c r="E30" t="s">
        <v>17</v>
      </c>
      <c r="F30" t="s">
        <v>419</v>
      </c>
      <c r="G30" t="s">
        <v>19</v>
      </c>
    </row>
    <row r="31" spans="4:40">
      <c r="F31">
        <v>4</v>
      </c>
      <c r="G31" s="51">
        <v>8000</v>
      </c>
    </row>
    <row r="33" spans="4:7">
      <c r="D33" t="s">
        <v>96</v>
      </c>
      <c r="E33" t="s">
        <v>422</v>
      </c>
    </row>
    <row r="34" spans="4:7">
      <c r="D34" t="s">
        <v>419</v>
      </c>
      <c r="E34" t="s">
        <v>17</v>
      </c>
      <c r="F34" t="s">
        <v>419</v>
      </c>
      <c r="G34" t="s">
        <v>19</v>
      </c>
    </row>
    <row r="35" spans="4:7">
      <c r="D35">
        <v>1</v>
      </c>
      <c r="E35" s="51">
        <v>2700</v>
      </c>
    </row>
    <row r="36" spans="4:7">
      <c r="D36">
        <v>2</v>
      </c>
      <c r="E36" s="51">
        <v>4500</v>
      </c>
    </row>
  </sheetData>
  <mergeCells count="13">
    <mergeCell ref="AR5:AU5"/>
    <mergeCell ref="AR6:AU6"/>
    <mergeCell ref="AG26:AH26"/>
    <mergeCell ref="M20:N20"/>
    <mergeCell ref="O20:P20"/>
    <mergeCell ref="Q20:R20"/>
    <mergeCell ref="S20:T20"/>
    <mergeCell ref="K20:L20"/>
    <mergeCell ref="J20:J21"/>
    <mergeCell ref="AG6:AH6"/>
    <mergeCell ref="AG11:AH11"/>
    <mergeCell ref="AG16:AH16"/>
    <mergeCell ref="AG21:AH21"/>
  </mergeCells>
  <pageMargins left="0.7" right="0.7" top="0.75" bottom="0.75" header="0.3" footer="0.3"/>
  <legacy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10B08-A25B-4C32-A934-46BC57433D3A}">
  <dimension ref="C3:AN30"/>
  <sheetViews>
    <sheetView workbookViewId="0">
      <selection activeCell="D17" sqref="D17"/>
    </sheetView>
  </sheetViews>
  <sheetFormatPr defaultRowHeight="16.5"/>
  <cols>
    <col min="3" max="3" width="18.5" bestFit="1" customWidth="1"/>
    <col min="4" max="4" width="14.25" bestFit="1" customWidth="1"/>
    <col min="5" max="5" width="9.625" bestFit="1" customWidth="1"/>
    <col min="6" max="6" width="10.625" bestFit="1" customWidth="1"/>
    <col min="7" max="7" width="14" bestFit="1" customWidth="1"/>
    <col min="8" max="8" width="14.25" bestFit="1" customWidth="1"/>
    <col min="10" max="10" width="10.125" bestFit="1" customWidth="1"/>
    <col min="11" max="12" width="9.25" bestFit="1" customWidth="1"/>
    <col min="15" max="15" width="14" bestFit="1" customWidth="1"/>
    <col min="17" max="17" width="11.75" bestFit="1" customWidth="1"/>
    <col min="19" max="19" width="14" bestFit="1" customWidth="1"/>
    <col min="20" max="20" width="11.75" bestFit="1" customWidth="1"/>
  </cols>
  <sheetData>
    <row r="3" spans="3:40">
      <c r="C3" t="s">
        <v>1</v>
      </c>
    </row>
    <row r="4" spans="3:40">
      <c r="C4" t="s">
        <v>418</v>
      </c>
      <c r="AG4" t="s">
        <v>129</v>
      </c>
    </row>
    <row r="5" spans="3:40">
      <c r="C5" s="129" t="s">
        <v>420</v>
      </c>
      <c r="D5" s="129"/>
      <c r="E5" s="129"/>
      <c r="F5" s="129"/>
      <c r="G5" s="129"/>
      <c r="H5" s="129"/>
      <c r="I5" s="129"/>
      <c r="J5" s="129"/>
      <c r="AG5" t="s">
        <v>29</v>
      </c>
      <c r="AN5" t="s">
        <v>421</v>
      </c>
    </row>
    <row r="6" spans="3:40">
      <c r="C6" s="135">
        <v>44043</v>
      </c>
      <c r="D6" s="135"/>
      <c r="E6" s="135"/>
      <c r="F6" s="135"/>
      <c r="G6" s="135"/>
      <c r="H6" s="135"/>
      <c r="I6" s="135"/>
      <c r="J6" s="135"/>
      <c r="AG6" s="129" t="s">
        <v>423</v>
      </c>
      <c r="AH6" s="129"/>
    </row>
    <row r="7" spans="3:40">
      <c r="C7" t="s">
        <v>434</v>
      </c>
      <c r="E7" s="17"/>
      <c r="F7" s="28">
        <v>655710</v>
      </c>
      <c r="G7" t="s">
        <v>435</v>
      </c>
      <c r="I7" s="51"/>
      <c r="J7" s="51">
        <v>653900</v>
      </c>
      <c r="AG7" t="s">
        <v>132</v>
      </c>
      <c r="AH7" t="s">
        <v>133</v>
      </c>
      <c r="AI7" t="s">
        <v>137</v>
      </c>
      <c r="AJ7" t="s">
        <v>138</v>
      </c>
      <c r="AK7" t="s">
        <v>135</v>
      </c>
      <c r="AL7" s="123" t="s">
        <v>136</v>
      </c>
      <c r="AM7" t="s">
        <v>425</v>
      </c>
      <c r="AN7" t="s">
        <v>140</v>
      </c>
    </row>
    <row r="8" spans="3:40">
      <c r="C8" t="s">
        <v>388</v>
      </c>
      <c r="D8" t="s">
        <v>436</v>
      </c>
      <c r="E8" s="17">
        <v>15300</v>
      </c>
      <c r="F8" s="28"/>
      <c r="G8" t="s">
        <v>388</v>
      </c>
      <c r="I8" s="51"/>
      <c r="J8" s="51"/>
      <c r="AK8" s="51">
        <v>30000</v>
      </c>
      <c r="AM8" t="s">
        <v>141</v>
      </c>
      <c r="AN8" s="51">
        <v>30000</v>
      </c>
    </row>
    <row r="9" spans="3:40">
      <c r="D9" t="s">
        <v>437</v>
      </c>
      <c r="E9" s="17">
        <v>14130</v>
      </c>
      <c r="F9" s="28">
        <f>SUM($E$8:$E$9)</f>
        <v>29430</v>
      </c>
      <c r="I9" s="51"/>
      <c r="J9" s="51"/>
    </row>
    <row r="10" spans="3:40">
      <c r="E10" s="25"/>
      <c r="F10" s="27">
        <f>SUM($F$7,$F$9)</f>
        <v>685140</v>
      </c>
      <c r="I10" s="121"/>
      <c r="J10" s="121">
        <f>SUM($J$7)</f>
        <v>653900</v>
      </c>
    </row>
    <row r="11" spans="3:40">
      <c r="E11" s="17"/>
      <c r="F11" s="28"/>
      <c r="I11" s="51"/>
      <c r="J11" s="51"/>
    </row>
    <row r="12" spans="3:40">
      <c r="C12" t="s">
        <v>385</v>
      </c>
      <c r="D12" t="s">
        <v>438</v>
      </c>
      <c r="E12" s="17">
        <v>550</v>
      </c>
      <c r="F12" s="28"/>
      <c r="G12" t="s">
        <v>385</v>
      </c>
      <c r="I12" s="51"/>
      <c r="J12" s="51"/>
      <c r="AG12" t="s">
        <v>103</v>
      </c>
      <c r="AN12" t="s">
        <v>429</v>
      </c>
    </row>
    <row r="13" spans="3:40">
      <c r="D13" t="s">
        <v>439</v>
      </c>
      <c r="E13" s="17">
        <v>90</v>
      </c>
      <c r="F13" s="28">
        <f>SUM($E$12:$E$13)</f>
        <v>640</v>
      </c>
      <c r="I13" s="51"/>
      <c r="J13" s="51"/>
      <c r="AG13" s="129" t="s">
        <v>423</v>
      </c>
      <c r="AH13" s="129"/>
    </row>
    <row r="14" spans="3:40">
      <c r="C14" t="s">
        <v>431</v>
      </c>
      <c r="E14" s="25"/>
      <c r="F14" s="126">
        <f>$F$10-$F$13</f>
        <v>684500</v>
      </c>
      <c r="G14" t="s">
        <v>431</v>
      </c>
      <c r="I14" s="121"/>
      <c r="J14" s="64">
        <f>$J$10</f>
        <v>653900</v>
      </c>
      <c r="AG14" t="s">
        <v>132</v>
      </c>
      <c r="AH14" t="s">
        <v>133</v>
      </c>
      <c r="AI14" t="s">
        <v>137</v>
      </c>
      <c r="AJ14" t="s">
        <v>138</v>
      </c>
      <c r="AK14" t="s">
        <v>135</v>
      </c>
      <c r="AL14" s="123" t="s">
        <v>136</v>
      </c>
      <c r="AM14" t="s">
        <v>425</v>
      </c>
      <c r="AN14" t="s">
        <v>140</v>
      </c>
    </row>
    <row r="15" spans="3:40">
      <c r="AL15" s="51">
        <v>7200</v>
      </c>
      <c r="AM15" t="s">
        <v>150</v>
      </c>
      <c r="AN15" s="51">
        <v>7200</v>
      </c>
    </row>
    <row r="17" spans="33:40">
      <c r="AG17" t="s">
        <v>427</v>
      </c>
      <c r="AN17" t="s">
        <v>291</v>
      </c>
    </row>
    <row r="18" spans="33:40">
      <c r="AG18" s="129" t="s">
        <v>423</v>
      </c>
      <c r="AH18" s="129"/>
    </row>
    <row r="19" spans="33:40">
      <c r="AG19" t="s">
        <v>132</v>
      </c>
      <c r="AH19" t="s">
        <v>133</v>
      </c>
      <c r="AI19" t="s">
        <v>137</v>
      </c>
      <c r="AJ19" t="s">
        <v>138</v>
      </c>
      <c r="AK19" t="s">
        <v>135</v>
      </c>
      <c r="AL19" s="123" t="s">
        <v>136</v>
      </c>
      <c r="AM19" t="s">
        <v>425</v>
      </c>
      <c r="AN19" t="s">
        <v>140</v>
      </c>
    </row>
    <row r="20" spans="33:40">
      <c r="AL20" s="51">
        <v>22000</v>
      </c>
      <c r="AM20" t="s">
        <v>150</v>
      </c>
      <c r="AN20" s="51">
        <v>22000</v>
      </c>
    </row>
    <row r="22" spans="33:40">
      <c r="AG22" t="s">
        <v>427</v>
      </c>
      <c r="AN22" t="s">
        <v>432</v>
      </c>
    </row>
    <row r="23" spans="33:40">
      <c r="AG23" s="129" t="s">
        <v>423</v>
      </c>
      <c r="AH23" s="129"/>
    </row>
    <row r="24" spans="33:40">
      <c r="AG24" t="s">
        <v>132</v>
      </c>
      <c r="AH24" t="s">
        <v>133</v>
      </c>
      <c r="AI24" t="s">
        <v>137</v>
      </c>
      <c r="AJ24" t="s">
        <v>138</v>
      </c>
      <c r="AK24" t="s">
        <v>135</v>
      </c>
      <c r="AL24" s="123" t="s">
        <v>136</v>
      </c>
      <c r="AM24" t="s">
        <v>425</v>
      </c>
      <c r="AN24" t="s">
        <v>140</v>
      </c>
    </row>
    <row r="25" spans="33:40">
      <c r="AL25" s="51">
        <v>8000</v>
      </c>
      <c r="AM25" t="s">
        <v>150</v>
      </c>
      <c r="AN25" s="51">
        <v>8000</v>
      </c>
    </row>
    <row r="27" spans="33:40">
      <c r="AG27" t="s">
        <v>422</v>
      </c>
      <c r="AN27" t="s">
        <v>433</v>
      </c>
    </row>
    <row r="28" spans="33:40">
      <c r="AG28" s="129" t="s">
        <v>423</v>
      </c>
      <c r="AH28" s="129"/>
    </row>
    <row r="29" spans="33:40">
      <c r="AG29" t="s">
        <v>132</v>
      </c>
      <c r="AH29" t="s">
        <v>133</v>
      </c>
      <c r="AI29" t="s">
        <v>137</v>
      </c>
      <c r="AJ29" t="s">
        <v>138</v>
      </c>
      <c r="AK29" t="s">
        <v>135</v>
      </c>
      <c r="AL29" s="123" t="s">
        <v>136</v>
      </c>
      <c r="AM29" t="s">
        <v>425</v>
      </c>
      <c r="AN29" t="s">
        <v>140</v>
      </c>
    </row>
    <row r="30" spans="33:40">
      <c r="AK30" s="51">
        <v>7200</v>
      </c>
      <c r="AM30" t="s">
        <v>141</v>
      </c>
      <c r="AN30" s="51">
        <v>7200</v>
      </c>
    </row>
  </sheetData>
  <mergeCells count="7">
    <mergeCell ref="AG28:AH28"/>
    <mergeCell ref="C5:J5"/>
    <mergeCell ref="C6:J6"/>
    <mergeCell ref="AG6:AH6"/>
    <mergeCell ref="AG13:AH13"/>
    <mergeCell ref="AG18:AH18"/>
    <mergeCell ref="AG23:AH23"/>
  </mergeCells>
  <pageMargins left="0.7" right="0.7" top="0.75" bottom="0.75" header="0.3" footer="0.3"/>
  <legacy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65885-B258-4885-9F9D-3262A10E939C}">
  <dimension ref="C3"/>
  <sheetViews>
    <sheetView workbookViewId="0">
      <selection activeCell="C3" sqref="C3"/>
    </sheetView>
  </sheetViews>
  <sheetFormatPr defaultRowHeight="16.5"/>
  <sheetData>
    <row r="3" spans="3:3">
      <c r="C3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8B042-E599-4AD3-8150-2E3F592FD5F3}">
  <dimension ref="C2:N13"/>
  <sheetViews>
    <sheetView topLeftCell="I1" workbookViewId="0">
      <selection activeCell="Q2" sqref="Q2:U9"/>
    </sheetView>
  </sheetViews>
  <sheetFormatPr defaultRowHeight="16.5"/>
  <cols>
    <col min="3" max="3" width="11.75" bestFit="1" customWidth="1"/>
    <col min="6" max="7" width="10.125" bestFit="1" customWidth="1"/>
    <col min="10" max="10" width="11.75" bestFit="1" customWidth="1"/>
    <col min="12" max="12" width="18.5" bestFit="1" customWidth="1"/>
    <col min="17" max="17" width="11.75" bestFit="1" customWidth="1"/>
  </cols>
  <sheetData>
    <row r="2" spans="3:14">
      <c r="C2" t="s">
        <v>1</v>
      </c>
      <c r="J2" t="s">
        <v>5</v>
      </c>
    </row>
    <row r="4" spans="3:14">
      <c r="C4" t="s">
        <v>440</v>
      </c>
      <c r="F4" t="s">
        <v>299</v>
      </c>
      <c r="G4" t="s">
        <v>441</v>
      </c>
      <c r="J4" t="s">
        <v>440</v>
      </c>
      <c r="M4" t="s">
        <v>299</v>
      </c>
      <c r="N4" t="s">
        <v>441</v>
      </c>
    </row>
    <row r="5" spans="3:14">
      <c r="D5" s="118">
        <v>45444</v>
      </c>
      <c r="E5" t="s">
        <v>442</v>
      </c>
      <c r="F5" s="51">
        <v>24000</v>
      </c>
      <c r="G5" s="51">
        <v>34280</v>
      </c>
      <c r="K5" s="118">
        <v>45444</v>
      </c>
      <c r="L5" t="s">
        <v>442</v>
      </c>
      <c r="M5" s="51">
        <v>24000</v>
      </c>
      <c r="N5" s="51">
        <v>34280</v>
      </c>
    </row>
    <row r="6" spans="3:14">
      <c r="D6" t="s">
        <v>443</v>
      </c>
      <c r="E6" t="s">
        <v>348</v>
      </c>
      <c r="F6" s="51">
        <v>246000</v>
      </c>
      <c r="G6" s="51">
        <v>365720</v>
      </c>
      <c r="K6" t="s">
        <v>443</v>
      </c>
      <c r="L6" t="s">
        <v>348</v>
      </c>
      <c r="M6" s="51">
        <v>246000</v>
      </c>
      <c r="N6" s="51">
        <v>365720</v>
      </c>
    </row>
    <row r="7" spans="3:14">
      <c r="E7" t="s">
        <v>354</v>
      </c>
      <c r="F7" s="51">
        <v>10000</v>
      </c>
      <c r="G7" s="51"/>
      <c r="L7" t="s">
        <v>354</v>
      </c>
      <c r="M7" s="51">
        <v>-10000</v>
      </c>
      <c r="N7" s="51"/>
    </row>
    <row r="8" spans="3:14">
      <c r="E8" t="s">
        <v>372</v>
      </c>
      <c r="F8" s="51"/>
      <c r="G8" s="51">
        <v>300000</v>
      </c>
      <c r="L8" t="s">
        <v>372</v>
      </c>
      <c r="M8" s="51"/>
      <c r="N8" s="51">
        <v>300000</v>
      </c>
    </row>
    <row r="9" spans="3:14">
      <c r="E9" t="s">
        <v>337</v>
      </c>
      <c r="F9" s="51"/>
      <c r="G9" s="51">
        <v>10000</v>
      </c>
      <c r="L9" t="s">
        <v>337</v>
      </c>
      <c r="M9" s="51"/>
      <c r="N9" s="51">
        <v>-10000</v>
      </c>
    </row>
    <row r="10" spans="3:14">
      <c r="L10" t="s">
        <v>444</v>
      </c>
      <c r="M10" s="64">
        <f>SUM(M5:M9)</f>
        <v>260000</v>
      </c>
      <c r="N10" s="64">
        <f>SUM(N5:N9)</f>
        <v>690000</v>
      </c>
    </row>
    <row r="11" spans="3:14">
      <c r="L11" t="s">
        <v>445</v>
      </c>
      <c r="M11">
        <f>M10/N10</f>
        <v>0.37681159420289856</v>
      </c>
    </row>
    <row r="12" spans="3:14">
      <c r="L12" t="s">
        <v>446</v>
      </c>
      <c r="N12" s="64">
        <f>N10-(N8+N9)</f>
        <v>400000</v>
      </c>
    </row>
    <row r="13" spans="3:14">
      <c r="L13" t="s">
        <v>447</v>
      </c>
      <c r="M13" s="122">
        <f>$N12*$M11</f>
        <v>150724.63768115942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D5300-C713-43D5-9E3C-ADAE2D1014F0}">
  <dimension ref="C2:K9"/>
  <sheetViews>
    <sheetView workbookViewId="0">
      <selection activeCell="K9" sqref="K9"/>
    </sheetView>
  </sheetViews>
  <sheetFormatPr defaultRowHeight="16.5"/>
  <cols>
    <col min="4" max="4" width="9.25" bestFit="1" customWidth="1"/>
    <col min="11" max="11" width="10.125" bestFit="1" customWidth="1"/>
  </cols>
  <sheetData>
    <row r="2" spans="3:11">
      <c r="C2" t="s">
        <v>1</v>
      </c>
      <c r="H2" t="s">
        <v>5</v>
      </c>
    </row>
    <row r="3" spans="3:11">
      <c r="C3" s="118">
        <v>45292</v>
      </c>
      <c r="D3" s="51">
        <v>5000</v>
      </c>
      <c r="E3" s="117">
        <v>3</v>
      </c>
      <c r="H3" s="118">
        <v>45292</v>
      </c>
      <c r="I3" s="51">
        <v>5000</v>
      </c>
      <c r="J3" s="117">
        <v>3</v>
      </c>
      <c r="K3" s="51">
        <f>$I3*$J3</f>
        <v>15000</v>
      </c>
    </row>
    <row r="4" spans="3:11">
      <c r="C4" t="s">
        <v>448</v>
      </c>
      <c r="D4" s="51">
        <v>8000</v>
      </c>
      <c r="E4" s="117">
        <v>3.25</v>
      </c>
      <c r="H4" t="s">
        <v>448</v>
      </c>
      <c r="I4" s="51">
        <v>8000</v>
      </c>
      <c r="J4" s="117">
        <v>3.25</v>
      </c>
      <c r="K4" s="51">
        <f t="shared" ref="K4:K8" si="0">$I4*$J4</f>
        <v>26000</v>
      </c>
    </row>
    <row r="5" spans="3:11">
      <c r="C5" t="s">
        <v>449</v>
      </c>
      <c r="D5" s="51">
        <v>10000</v>
      </c>
      <c r="E5" s="117">
        <v>3.5</v>
      </c>
      <c r="H5" t="s">
        <v>449</v>
      </c>
      <c r="I5" s="51">
        <v>10000</v>
      </c>
      <c r="J5" s="117">
        <v>3.5</v>
      </c>
      <c r="K5" s="51">
        <f t="shared" si="0"/>
        <v>35000</v>
      </c>
    </row>
    <row r="6" spans="3:11">
      <c r="C6" t="s">
        <v>450</v>
      </c>
      <c r="D6" s="51">
        <v>6000</v>
      </c>
      <c r="E6" s="117">
        <v>3.65</v>
      </c>
      <c r="H6" t="s">
        <v>450</v>
      </c>
      <c r="I6" s="51">
        <v>6000</v>
      </c>
      <c r="J6" s="117">
        <v>3.65</v>
      </c>
      <c r="K6" s="51">
        <f t="shared" si="0"/>
        <v>21900</v>
      </c>
    </row>
    <row r="7" spans="3:11">
      <c r="C7" t="s">
        <v>451</v>
      </c>
      <c r="D7" s="51">
        <v>9000</v>
      </c>
      <c r="E7" s="117">
        <v>3.9</v>
      </c>
      <c r="H7" t="s">
        <v>451</v>
      </c>
      <c r="I7" s="51">
        <v>9000</v>
      </c>
      <c r="J7" s="117">
        <v>3.9</v>
      </c>
      <c r="K7" s="51">
        <f t="shared" si="0"/>
        <v>35100</v>
      </c>
    </row>
    <row r="8" spans="3:11">
      <c r="C8" t="s">
        <v>452</v>
      </c>
      <c r="D8" s="51">
        <v>28000</v>
      </c>
      <c r="E8" s="117">
        <v>5</v>
      </c>
      <c r="H8" t="s">
        <v>452</v>
      </c>
      <c r="I8" s="51">
        <v>28000</v>
      </c>
      <c r="J8" s="117">
        <v>5</v>
      </c>
      <c r="K8" s="51">
        <f t="shared" si="0"/>
        <v>140000</v>
      </c>
    </row>
    <row r="9" spans="3:11">
      <c r="H9" t="s">
        <v>107</v>
      </c>
      <c r="K9" s="51">
        <f>SUM($K4:$K7)</f>
        <v>118000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3B8D-8ED8-4791-8F71-0136E8F4672A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7CC90-FCA2-49EA-95E9-69DCA491AD6B}">
  <dimension ref="C2:O12"/>
  <sheetViews>
    <sheetView topLeftCell="D1" workbookViewId="0">
      <selection activeCell="O12" sqref="O12"/>
    </sheetView>
  </sheetViews>
  <sheetFormatPr defaultRowHeight="16.5"/>
  <cols>
    <col min="4" max="5" width="12.25" bestFit="1" customWidth="1"/>
    <col min="8" max="8" width="16.25" bestFit="1" customWidth="1"/>
    <col min="13" max="13" width="16.25" bestFit="1" customWidth="1"/>
    <col min="14" max="15" width="12.25" bestFit="1" customWidth="1"/>
  </cols>
  <sheetData>
    <row r="2" spans="3:15">
      <c r="C2" t="s">
        <v>1</v>
      </c>
      <c r="L2" t="s">
        <v>5</v>
      </c>
    </row>
    <row r="3" spans="3:15">
      <c r="C3" t="s">
        <v>453</v>
      </c>
      <c r="H3" t="s">
        <v>454</v>
      </c>
      <c r="M3" t="s">
        <v>454</v>
      </c>
    </row>
    <row r="4" spans="3:15">
      <c r="D4" t="s">
        <v>299</v>
      </c>
      <c r="E4" t="s">
        <v>441</v>
      </c>
      <c r="I4" t="s">
        <v>299</v>
      </c>
      <c r="J4" t="s">
        <v>441</v>
      </c>
      <c r="N4" t="s">
        <v>299</v>
      </c>
      <c r="O4" t="s">
        <v>441</v>
      </c>
    </row>
    <row r="5" spans="3:15">
      <c r="C5" t="s">
        <v>358</v>
      </c>
      <c r="D5" s="51">
        <v>20000</v>
      </c>
      <c r="E5" s="51">
        <v>80000</v>
      </c>
      <c r="H5" t="s">
        <v>358</v>
      </c>
      <c r="I5" s="51">
        <v>20000</v>
      </c>
      <c r="J5" s="51">
        <v>80000</v>
      </c>
      <c r="M5" t="s">
        <v>358</v>
      </c>
      <c r="N5" s="51">
        <v>20000</v>
      </c>
      <c r="O5" s="51">
        <v>80000</v>
      </c>
    </row>
    <row r="6" spans="3:15">
      <c r="C6" t="s">
        <v>455</v>
      </c>
      <c r="D6" s="51">
        <v>1647000</v>
      </c>
      <c r="E6" s="51">
        <v>5400000</v>
      </c>
      <c r="H6" t="s">
        <v>455</v>
      </c>
      <c r="I6" s="51">
        <v>1647000</v>
      </c>
      <c r="J6" s="51">
        <v>5400000</v>
      </c>
      <c r="M6" t="s">
        <v>455</v>
      </c>
      <c r="N6" s="51">
        <v>1647000</v>
      </c>
      <c r="O6" s="51">
        <v>5400000</v>
      </c>
    </row>
    <row r="7" spans="3:15">
      <c r="C7" t="s">
        <v>354</v>
      </c>
      <c r="D7" s="51">
        <v>13000</v>
      </c>
      <c r="E7" s="51"/>
      <c r="H7" t="s">
        <v>354</v>
      </c>
      <c r="I7" s="51">
        <v>13000</v>
      </c>
      <c r="J7" s="51"/>
      <c r="M7" t="s">
        <v>354</v>
      </c>
      <c r="N7" s="51">
        <v>13000</v>
      </c>
      <c r="O7" s="51"/>
    </row>
    <row r="8" spans="3:15">
      <c r="C8" t="s">
        <v>343</v>
      </c>
      <c r="D8" s="51"/>
      <c r="E8" s="51">
        <v>5850000</v>
      </c>
      <c r="H8" t="s">
        <v>444</v>
      </c>
      <c r="I8" s="51"/>
      <c r="M8" t="s">
        <v>444</v>
      </c>
      <c r="N8" s="64">
        <f>SUM(N5:N7)</f>
        <v>1680000</v>
      </c>
      <c r="O8" s="121">
        <f>SUM(O5:O7)</f>
        <v>5480000</v>
      </c>
    </row>
    <row r="9" spans="3:15">
      <c r="H9" t="s">
        <v>445</v>
      </c>
      <c r="M9" t="s">
        <v>445</v>
      </c>
      <c r="N9" s="117">
        <f>$N$8/$O$8</f>
        <v>0.30656934306569344</v>
      </c>
      <c r="O9" s="117"/>
    </row>
    <row r="10" spans="3:15">
      <c r="H10" t="s">
        <v>343</v>
      </c>
      <c r="J10" s="51">
        <v>5850000</v>
      </c>
      <c r="M10" t="s">
        <v>343</v>
      </c>
      <c r="N10" s="51"/>
      <c r="O10" s="51">
        <v>5850000</v>
      </c>
    </row>
    <row r="11" spans="3:15">
      <c r="H11" t="s">
        <v>456</v>
      </c>
      <c r="M11" t="s">
        <v>357</v>
      </c>
      <c r="N11" s="51"/>
      <c r="O11" s="51">
        <f>$O$8-$O$10</f>
        <v>-370000</v>
      </c>
    </row>
    <row r="12" spans="3:15">
      <c r="H12" t="s">
        <v>457</v>
      </c>
      <c r="M12" t="s">
        <v>457</v>
      </c>
      <c r="N12" s="51">
        <f>$O$11*$N$9</f>
        <v>-113430.65693430658</v>
      </c>
      <c r="O12" s="51"/>
    </row>
  </sheetData>
  <pageMargins left="0.7" right="0.7" top="0.75" bottom="0.75" header="0.3" footer="0.3"/>
  <legacy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B7870-F12E-46B0-A86A-FE474AD50FD3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CD4C2-537D-4F66-A4CC-00FF3AC7FB13}">
  <dimension ref="C2:G6"/>
  <sheetViews>
    <sheetView workbookViewId="0">
      <selection activeCell="C2" sqref="C2:G6"/>
    </sheetView>
  </sheetViews>
  <sheetFormatPr defaultRowHeight="16.5"/>
  <cols>
    <col min="4" max="4" width="9.625" bestFit="1" customWidth="1"/>
    <col min="6" max="6" width="9.625" bestFit="1" customWidth="1"/>
    <col min="7" max="7" width="14" bestFit="1" customWidth="1"/>
  </cols>
  <sheetData>
    <row r="2" spans="3:7">
      <c r="C2" t="s">
        <v>42</v>
      </c>
      <c r="D2" t="s">
        <v>458</v>
      </c>
      <c r="E2" t="s">
        <v>459</v>
      </c>
      <c r="F2" t="s">
        <v>460</v>
      </c>
      <c r="G2" t="s">
        <v>461</v>
      </c>
    </row>
    <row r="3" spans="3:7">
      <c r="C3">
        <v>20</v>
      </c>
      <c r="D3" s="51">
        <v>80000</v>
      </c>
      <c r="E3" s="117">
        <v>0.2</v>
      </c>
      <c r="F3" s="51">
        <f>$D3*$E3</f>
        <v>16000</v>
      </c>
      <c r="G3" s="51">
        <f>$D3-$F3</f>
        <v>64000</v>
      </c>
    </row>
    <row r="4" spans="3:7">
      <c r="C4">
        <v>21</v>
      </c>
      <c r="D4" s="51">
        <f>$G3</f>
        <v>64000</v>
      </c>
      <c r="E4" s="117">
        <v>0.2</v>
      </c>
      <c r="F4" s="51">
        <f t="shared" ref="F4:F6" si="0">$D4*$E4</f>
        <v>12800</v>
      </c>
      <c r="G4" s="51">
        <f t="shared" ref="G4:G6" si="1">$D4-$F4</f>
        <v>51200</v>
      </c>
    </row>
    <row r="5" spans="3:7">
      <c r="C5">
        <v>22</v>
      </c>
      <c r="D5" s="51">
        <f t="shared" ref="D5:D6" si="2">$G4</f>
        <v>51200</v>
      </c>
      <c r="E5" s="117">
        <v>0.2</v>
      </c>
      <c r="F5" s="51">
        <f t="shared" si="0"/>
        <v>10240</v>
      </c>
      <c r="G5" s="51">
        <f t="shared" si="1"/>
        <v>40960</v>
      </c>
    </row>
    <row r="6" spans="3:7">
      <c r="C6">
        <v>23</v>
      </c>
      <c r="D6" s="51">
        <f t="shared" si="2"/>
        <v>40960</v>
      </c>
      <c r="E6" s="117">
        <v>0.2</v>
      </c>
      <c r="F6" s="51">
        <f t="shared" si="0"/>
        <v>8192</v>
      </c>
      <c r="G6" s="51">
        <f t="shared" si="1"/>
        <v>32768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9EF6F-D0CD-4E16-9778-2B7D76592133}">
  <dimension ref="C2:K7"/>
  <sheetViews>
    <sheetView workbookViewId="0">
      <selection activeCell="J8" sqref="J8"/>
    </sheetView>
  </sheetViews>
  <sheetFormatPr defaultRowHeight="16.5"/>
  <cols>
    <col min="5" max="5" width="12.25" bestFit="1" customWidth="1"/>
  </cols>
  <sheetData>
    <row r="2" spans="3:11">
      <c r="C2" t="s">
        <v>1</v>
      </c>
      <c r="G2" t="s">
        <v>5</v>
      </c>
    </row>
    <row r="3" spans="3:11">
      <c r="C3" t="s">
        <v>277</v>
      </c>
      <c r="D3" t="s">
        <v>462</v>
      </c>
      <c r="E3" s="51">
        <v>8385000</v>
      </c>
      <c r="G3" t="s">
        <v>94</v>
      </c>
    </row>
    <row r="4" spans="3:11">
      <c r="D4" t="s">
        <v>463</v>
      </c>
      <c r="E4" s="51">
        <v>6000000</v>
      </c>
      <c r="G4" t="s">
        <v>22</v>
      </c>
      <c r="H4" t="s">
        <v>96</v>
      </c>
      <c r="I4" t="s">
        <v>96</v>
      </c>
      <c r="J4" t="s">
        <v>17</v>
      </c>
      <c r="K4" t="s">
        <v>19</v>
      </c>
    </row>
    <row r="5" spans="3:11">
      <c r="D5" t="s">
        <v>81</v>
      </c>
      <c r="E5" s="51">
        <v>4000000</v>
      </c>
      <c r="H5" t="s">
        <v>463</v>
      </c>
      <c r="J5" s="51">
        <f>$K$7*$E4/($E$4+$E$5)</f>
        <v>5031000</v>
      </c>
      <c r="K5" s="51"/>
    </row>
    <row r="6" spans="3:11">
      <c r="H6" t="s">
        <v>81</v>
      </c>
      <c r="J6" s="51">
        <f>$K$7*$E5/($E$4+$E$5)</f>
        <v>3354000</v>
      </c>
      <c r="K6" s="51"/>
    </row>
    <row r="7" spans="3:11">
      <c r="I7" t="s">
        <v>462</v>
      </c>
      <c r="J7" s="51"/>
      <c r="K7" s="51">
        <v>8385000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FCE5C-60C3-484E-86F5-A0E539942817}">
  <dimension ref="C3:F14"/>
  <sheetViews>
    <sheetView workbookViewId="0">
      <selection activeCell="F5" sqref="F5"/>
    </sheetView>
  </sheetViews>
  <sheetFormatPr defaultRowHeight="16.5"/>
  <cols>
    <col min="3" max="3" width="11.75" bestFit="1" customWidth="1"/>
    <col min="5" max="5" width="16.25" bestFit="1" customWidth="1"/>
    <col min="6" max="6" width="20.625" bestFit="1" customWidth="1"/>
  </cols>
  <sheetData>
    <row r="3" spans="3:6">
      <c r="C3" t="s">
        <v>1</v>
      </c>
    </row>
    <row r="4" spans="3:6">
      <c r="C4" t="s">
        <v>340</v>
      </c>
      <c r="E4" t="s">
        <v>23</v>
      </c>
      <c r="F4" t="s">
        <v>464</v>
      </c>
    </row>
    <row r="5" spans="3:6">
      <c r="E5" t="s">
        <v>465</v>
      </c>
      <c r="F5" s="51">
        <v>3300000</v>
      </c>
    </row>
    <row r="6" spans="3:6">
      <c r="E6" t="s">
        <v>466</v>
      </c>
      <c r="F6" s="51">
        <v>3800000</v>
      </c>
    </row>
    <row r="7" spans="3:6">
      <c r="E7" t="s">
        <v>467</v>
      </c>
      <c r="F7" s="51">
        <v>4300000</v>
      </c>
    </row>
    <row r="9" spans="3:6">
      <c r="E9" t="s">
        <v>27</v>
      </c>
      <c r="F9" t="s">
        <v>464</v>
      </c>
    </row>
    <row r="10" spans="3:6">
      <c r="E10" t="s">
        <v>466</v>
      </c>
      <c r="F10" s="51">
        <v>1800000</v>
      </c>
    </row>
    <row r="11" spans="3:6">
      <c r="E11" t="s">
        <v>467</v>
      </c>
      <c r="F11" s="51">
        <v>1800000</v>
      </c>
    </row>
    <row r="13" spans="3:6">
      <c r="E13" t="s">
        <v>468</v>
      </c>
      <c r="F13" t="s">
        <v>464</v>
      </c>
    </row>
    <row r="14" spans="3:6">
      <c r="E14" t="s">
        <v>467</v>
      </c>
      <c r="F14" s="51">
        <v>200000</v>
      </c>
    </row>
  </sheetData>
  <pageMargins left="0.7" right="0.7" top="0.75" bottom="0.75" header="0.3" footer="0.3"/>
  <legacy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7107-C1C1-4CE3-9CB7-A5D41A379EAD}">
  <dimension ref="D3:J11"/>
  <sheetViews>
    <sheetView topLeftCell="B1" workbookViewId="0">
      <selection activeCell="D4" sqref="D4:F8"/>
    </sheetView>
  </sheetViews>
  <sheetFormatPr defaultRowHeight="16.5"/>
  <cols>
    <col min="4" max="4" width="11" bestFit="1" customWidth="1"/>
    <col min="5" max="6" width="20.625" bestFit="1" customWidth="1"/>
    <col min="8" max="8" width="18.5" bestFit="1" customWidth="1"/>
    <col min="9" max="10" width="20.625" bestFit="1" customWidth="1"/>
  </cols>
  <sheetData>
    <row r="3" spans="4:10">
      <c r="D3" t="s">
        <v>1</v>
      </c>
      <c r="H3" t="s">
        <v>5</v>
      </c>
    </row>
    <row r="4" spans="4:10">
      <c r="D4" t="s">
        <v>469</v>
      </c>
      <c r="E4" t="s">
        <v>470</v>
      </c>
      <c r="F4" t="s">
        <v>471</v>
      </c>
      <c r="H4" t="s">
        <v>469</v>
      </c>
      <c r="I4" t="s">
        <v>470</v>
      </c>
      <c r="J4" t="s">
        <v>471</v>
      </c>
    </row>
    <row r="5" spans="4:10">
      <c r="D5" t="s">
        <v>472</v>
      </c>
      <c r="E5" s="51">
        <v>1600000</v>
      </c>
      <c r="F5" s="51">
        <v>1000000</v>
      </c>
      <c r="H5" t="s">
        <v>472</v>
      </c>
      <c r="I5" s="51">
        <v>1600000</v>
      </c>
      <c r="J5" s="51">
        <v>1000000</v>
      </c>
    </row>
    <row r="6" spans="4:10">
      <c r="D6" t="s">
        <v>258</v>
      </c>
      <c r="E6" s="51">
        <v>800000</v>
      </c>
      <c r="F6" s="51">
        <v>500000</v>
      </c>
      <c r="H6" t="s">
        <v>258</v>
      </c>
      <c r="I6" s="51">
        <v>800000</v>
      </c>
      <c r="J6" s="51">
        <v>500000</v>
      </c>
    </row>
    <row r="7" spans="4:10">
      <c r="D7" t="s">
        <v>473</v>
      </c>
      <c r="E7" s="51">
        <v>230000</v>
      </c>
      <c r="F7" s="51">
        <v>-230000</v>
      </c>
      <c r="H7" t="s">
        <v>473</v>
      </c>
      <c r="I7" s="51">
        <v>230000</v>
      </c>
      <c r="J7" s="51">
        <v>-230000</v>
      </c>
    </row>
    <row r="8" spans="4:10">
      <c r="D8" t="s">
        <v>467</v>
      </c>
      <c r="E8" s="51">
        <v>880000</v>
      </c>
      <c r="F8" s="51">
        <v>650000</v>
      </c>
      <c r="H8" t="s">
        <v>467</v>
      </c>
      <c r="I8" s="51">
        <v>880000</v>
      </c>
      <c r="J8" s="51">
        <v>650000</v>
      </c>
    </row>
    <row r="10" spans="4:10">
      <c r="I10" t="s">
        <v>474</v>
      </c>
      <c r="J10" t="s">
        <v>464</v>
      </c>
    </row>
    <row r="11" spans="4:10">
      <c r="H11" t="s">
        <v>475</v>
      </c>
      <c r="I11" s="51">
        <f>I5+I7</f>
        <v>1830000</v>
      </c>
      <c r="J11" s="51">
        <f>J5+J7</f>
        <v>770000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3931C-6301-485F-8816-6647BD6733E2}">
  <dimension ref="B2:F8"/>
  <sheetViews>
    <sheetView workbookViewId="0">
      <selection activeCell="G15" sqref="G15"/>
    </sheetView>
  </sheetViews>
  <sheetFormatPr defaultRowHeight="16.5"/>
  <cols>
    <col min="5" max="6" width="10.125" bestFit="1" customWidth="1"/>
  </cols>
  <sheetData>
    <row r="2" spans="2:6">
      <c r="B2" t="s">
        <v>5</v>
      </c>
    </row>
    <row r="3" spans="2:6">
      <c r="B3" t="s">
        <v>94</v>
      </c>
    </row>
    <row r="4" spans="2:6">
      <c r="B4" t="s">
        <v>22</v>
      </c>
      <c r="C4" t="s">
        <v>96</v>
      </c>
      <c r="D4" t="s">
        <v>96</v>
      </c>
      <c r="E4" t="s">
        <v>17</v>
      </c>
      <c r="F4" t="s">
        <v>19</v>
      </c>
    </row>
    <row r="5" spans="2:6">
      <c r="B5" s="8">
        <v>43831</v>
      </c>
      <c r="C5" t="s">
        <v>52</v>
      </c>
      <c r="E5" s="51">
        <v>300000</v>
      </c>
      <c r="F5" s="51"/>
    </row>
    <row r="6" spans="2:6">
      <c r="D6" t="s">
        <v>171</v>
      </c>
      <c r="E6" s="51"/>
      <c r="F6" s="51">
        <v>260000</v>
      </c>
    </row>
    <row r="7" spans="2:6">
      <c r="D7" t="s">
        <v>29</v>
      </c>
      <c r="E7" s="51"/>
      <c r="F7" s="51">
        <v>40000</v>
      </c>
    </row>
    <row r="8" spans="2:6">
      <c r="E8" s="51"/>
      <c r="F8" s="51"/>
    </row>
  </sheetData>
  <pageMargins left="0.7" right="0.7" top="0.75" bottom="0.75" header="0.3" footer="0.3"/>
  <legacy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23095-3DCD-4338-BA65-0B977353EC09}">
  <dimension ref="C2:O24"/>
  <sheetViews>
    <sheetView topLeftCell="D3" workbookViewId="0">
      <selection activeCell="O24" sqref="O24"/>
    </sheetView>
  </sheetViews>
  <sheetFormatPr defaultRowHeight="16.5"/>
  <cols>
    <col min="4" max="4" width="9.25" bestFit="1" customWidth="1"/>
    <col min="7" max="8" width="10.125" bestFit="1" customWidth="1"/>
    <col min="10" max="10" width="10.125" bestFit="1" customWidth="1"/>
    <col min="13" max="13" width="10.625" bestFit="1" customWidth="1"/>
    <col min="14" max="15" width="11.625" bestFit="1" customWidth="1"/>
  </cols>
  <sheetData>
    <row r="2" spans="3:15">
      <c r="C2" t="s">
        <v>1</v>
      </c>
    </row>
    <row r="3" spans="3:15">
      <c r="J3" t="s">
        <v>316</v>
      </c>
    </row>
    <row r="4" spans="3:15">
      <c r="J4" t="s">
        <v>22</v>
      </c>
      <c r="K4" t="s">
        <v>96</v>
      </c>
      <c r="L4" t="s">
        <v>96</v>
      </c>
      <c r="M4" t="s">
        <v>17</v>
      </c>
      <c r="N4" t="s">
        <v>19</v>
      </c>
      <c r="O4" t="s">
        <v>93</v>
      </c>
    </row>
    <row r="5" spans="3:15">
      <c r="J5" s="8">
        <v>43831</v>
      </c>
      <c r="K5" t="s">
        <v>139</v>
      </c>
      <c r="M5" s="127"/>
      <c r="N5" s="127">
        <v>100000</v>
      </c>
      <c r="O5" s="127">
        <v>100000</v>
      </c>
    </row>
    <row r="6" spans="3:15">
      <c r="J6" s="8">
        <v>44012</v>
      </c>
      <c r="K6" t="s">
        <v>388</v>
      </c>
      <c r="L6" t="s">
        <v>476</v>
      </c>
      <c r="M6" s="127"/>
      <c r="N6" s="127">
        <v>5000</v>
      </c>
      <c r="O6" s="127">
        <v>5000</v>
      </c>
    </row>
    <row r="7" spans="3:15">
      <c r="J7" s="8">
        <v>44012</v>
      </c>
      <c r="K7" t="s">
        <v>385</v>
      </c>
      <c r="L7" t="s">
        <v>477</v>
      </c>
      <c r="M7" s="127">
        <v>19702</v>
      </c>
      <c r="N7" s="127"/>
    </row>
    <row r="8" spans="3:15">
      <c r="L8" t="s">
        <v>478</v>
      </c>
      <c r="M8" s="127"/>
      <c r="N8" s="127">
        <v>85928</v>
      </c>
      <c r="O8" s="127"/>
    </row>
    <row r="9" spans="3:15">
      <c r="J9" s="8">
        <v>44196</v>
      </c>
      <c r="K9" t="s">
        <v>388</v>
      </c>
      <c r="L9" t="s">
        <v>476</v>
      </c>
      <c r="M9" s="127"/>
      <c r="N9" s="127">
        <v>4296.3999999999996</v>
      </c>
      <c r="O9" s="127">
        <v>4296.3999999999996</v>
      </c>
    </row>
    <row r="10" spans="3:15">
      <c r="J10" s="8">
        <v>44196</v>
      </c>
      <c r="K10" t="s">
        <v>385</v>
      </c>
      <c r="L10" t="s">
        <v>477</v>
      </c>
      <c r="M10" s="127">
        <v>19702</v>
      </c>
      <c r="N10" s="127"/>
    </row>
    <row r="11" spans="3:15">
      <c r="G11" s="51"/>
      <c r="H11" s="51"/>
      <c r="L11" t="s">
        <v>478</v>
      </c>
      <c r="M11" s="127"/>
      <c r="N11" s="127">
        <v>70522.399999999994</v>
      </c>
    </row>
    <row r="12" spans="3:15">
      <c r="G12" s="51"/>
      <c r="H12" s="51"/>
      <c r="J12" s="8">
        <v>44377</v>
      </c>
      <c r="K12" t="s">
        <v>388</v>
      </c>
      <c r="L12" t="s">
        <v>476</v>
      </c>
      <c r="M12" s="127"/>
      <c r="N12" s="127">
        <v>3526.12</v>
      </c>
      <c r="O12" s="127">
        <v>3526.12</v>
      </c>
    </row>
    <row r="13" spans="3:15">
      <c r="G13" s="51"/>
      <c r="H13" s="51"/>
      <c r="J13" s="8">
        <v>44377</v>
      </c>
      <c r="K13" t="s">
        <v>385</v>
      </c>
      <c r="L13" t="s">
        <v>477</v>
      </c>
      <c r="M13" s="127">
        <v>19702</v>
      </c>
      <c r="N13" s="127"/>
    </row>
    <row r="14" spans="3:15">
      <c r="G14" s="51"/>
      <c r="H14" s="51"/>
      <c r="L14" t="s">
        <v>478</v>
      </c>
      <c r="M14" s="127"/>
      <c r="N14" s="127">
        <v>54346.52</v>
      </c>
    </row>
    <row r="15" spans="3:15">
      <c r="J15" s="8">
        <v>44561</v>
      </c>
      <c r="K15" t="s">
        <v>388</v>
      </c>
      <c r="L15" t="s">
        <v>476</v>
      </c>
      <c r="M15" s="127"/>
      <c r="N15" s="127">
        <v>2717.326</v>
      </c>
      <c r="O15" s="127">
        <v>2717.326</v>
      </c>
    </row>
    <row r="16" spans="3:15">
      <c r="J16" s="8">
        <v>44561</v>
      </c>
      <c r="K16" t="s">
        <v>385</v>
      </c>
      <c r="L16" t="s">
        <v>477</v>
      </c>
      <c r="M16" s="127">
        <v>19702</v>
      </c>
      <c r="N16" s="127"/>
    </row>
    <row r="17" spans="10:15">
      <c r="L17" t="s">
        <v>478</v>
      </c>
      <c r="M17" s="127"/>
      <c r="N17" s="127">
        <v>37361.845999999998</v>
      </c>
    </row>
    <row r="18" spans="10:15">
      <c r="J18" s="8">
        <v>44742</v>
      </c>
      <c r="K18" t="s">
        <v>388</v>
      </c>
      <c r="L18" t="s">
        <v>476</v>
      </c>
      <c r="M18" s="127"/>
      <c r="N18" s="127">
        <v>1868.0923</v>
      </c>
      <c r="O18" s="127">
        <v>1868.0923</v>
      </c>
    </row>
    <row r="19" spans="10:15">
      <c r="J19" s="8">
        <v>44742</v>
      </c>
      <c r="K19" t="s">
        <v>385</v>
      </c>
      <c r="L19" t="s">
        <v>477</v>
      </c>
      <c r="M19" s="127">
        <v>19702</v>
      </c>
      <c r="N19" s="127"/>
    </row>
    <row r="20" spans="10:15">
      <c r="L20" t="s">
        <v>478</v>
      </c>
      <c r="M20" s="127"/>
      <c r="N20" s="127">
        <v>19527.938300000002</v>
      </c>
      <c r="O20" s="127">
        <v>19527.938300000002</v>
      </c>
    </row>
    <row r="21" spans="10:15">
      <c r="J21" s="8">
        <v>44926</v>
      </c>
      <c r="K21" t="s">
        <v>388</v>
      </c>
      <c r="L21" t="s">
        <v>476</v>
      </c>
      <c r="M21" s="127"/>
      <c r="N21" s="127">
        <v>976.39691500000004</v>
      </c>
    </row>
    <row r="22" spans="10:15">
      <c r="J22" s="8">
        <v>44926</v>
      </c>
      <c r="K22" t="s">
        <v>385</v>
      </c>
      <c r="L22" t="s">
        <v>477</v>
      </c>
      <c r="M22" s="128">
        <v>20504.334914999999</v>
      </c>
      <c r="N22" s="127"/>
    </row>
    <row r="23" spans="10:15">
      <c r="L23" t="s">
        <v>478</v>
      </c>
      <c r="M23" s="127"/>
      <c r="N23" s="128">
        <v>0</v>
      </c>
    </row>
    <row r="24" spans="10:15">
      <c r="L24" t="s">
        <v>107</v>
      </c>
      <c r="O24" s="127">
        <f>SUM($O$6:$O$23)</f>
        <v>36935.876600000003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85544-2F30-4227-94F0-D399CE92CE1F}">
  <dimension ref="C3:H54"/>
  <sheetViews>
    <sheetView topLeftCell="A10" workbookViewId="0">
      <selection activeCell="D32" sqref="D32"/>
    </sheetView>
  </sheetViews>
  <sheetFormatPr defaultRowHeight="16.5"/>
  <cols>
    <col min="4" max="6" width="24.25" bestFit="1" customWidth="1"/>
    <col min="7" max="8" width="9.625" bestFit="1" customWidth="1"/>
  </cols>
  <sheetData>
    <row r="3" spans="3:8">
      <c r="C3" t="s">
        <v>1</v>
      </c>
    </row>
    <row r="4" spans="3:8">
      <c r="D4" t="s">
        <v>94</v>
      </c>
    </row>
    <row r="5" spans="3:8">
      <c r="D5" t="s">
        <v>22</v>
      </c>
      <c r="E5" t="s">
        <v>96</v>
      </c>
      <c r="F5" t="s">
        <v>96</v>
      </c>
      <c r="G5" t="s">
        <v>17</v>
      </c>
      <c r="H5" t="s">
        <v>19</v>
      </c>
    </row>
    <row r="6" spans="3:8">
      <c r="D6" s="8">
        <v>44105</v>
      </c>
      <c r="E6" t="s">
        <v>479</v>
      </c>
      <c r="G6" s="51">
        <v>15000</v>
      </c>
      <c r="H6" s="51"/>
    </row>
    <row r="7" spans="3:8">
      <c r="F7" t="s">
        <v>29</v>
      </c>
      <c r="G7" s="51"/>
      <c r="H7" s="51">
        <v>15000</v>
      </c>
    </row>
    <row r="8" spans="3:8">
      <c r="D8" s="8">
        <v>44150</v>
      </c>
      <c r="E8" t="s">
        <v>29</v>
      </c>
      <c r="G8" s="51">
        <v>8500</v>
      </c>
      <c r="H8" s="51"/>
    </row>
    <row r="9" spans="3:8">
      <c r="F9" t="s">
        <v>479</v>
      </c>
      <c r="G9" s="51"/>
      <c r="H9" s="51">
        <v>8500</v>
      </c>
    </row>
    <row r="10" spans="3:8">
      <c r="D10" s="8">
        <v>44181</v>
      </c>
      <c r="E10" t="s">
        <v>29</v>
      </c>
      <c r="G10" s="51">
        <v>6000</v>
      </c>
      <c r="H10" s="51"/>
    </row>
    <row r="11" spans="3:8">
      <c r="F11" t="s">
        <v>479</v>
      </c>
      <c r="G11" s="51"/>
      <c r="H11" s="51">
        <v>6000</v>
      </c>
    </row>
    <row r="13" spans="3:8">
      <c r="D13" t="s">
        <v>105</v>
      </c>
    </row>
    <row r="14" spans="3:8">
      <c r="D14" s="11" t="s">
        <v>96</v>
      </c>
      <c r="E14" s="11" t="s">
        <v>29</v>
      </c>
      <c r="F14" s="11"/>
      <c r="G14" s="11"/>
    </row>
    <row r="15" spans="3:8">
      <c r="E15" s="124"/>
      <c r="F15" s="8">
        <v>44105</v>
      </c>
      <c r="G15" s="51">
        <v>15000</v>
      </c>
    </row>
    <row r="16" spans="3:8">
      <c r="D16" s="8">
        <v>44150</v>
      </c>
      <c r="E16" s="124">
        <v>8500</v>
      </c>
      <c r="G16" s="51"/>
    </row>
    <row r="17" spans="4:7">
      <c r="D17" s="8">
        <v>44181</v>
      </c>
      <c r="E17" s="124">
        <v>6000</v>
      </c>
      <c r="G17" s="51"/>
    </row>
    <row r="19" spans="4:7">
      <c r="D19" s="11" t="s">
        <v>96</v>
      </c>
      <c r="E19" s="11" t="s">
        <v>479</v>
      </c>
      <c r="F19" s="11"/>
      <c r="G19" s="11"/>
    </row>
    <row r="20" spans="4:7">
      <c r="D20" s="8">
        <v>44105</v>
      </c>
      <c r="E20" s="124">
        <v>15000</v>
      </c>
      <c r="F20" s="8"/>
      <c r="G20" s="51"/>
    </row>
    <row r="21" spans="4:7">
      <c r="D21" s="8"/>
      <c r="E21" s="124"/>
      <c r="F21" s="8">
        <v>44150</v>
      </c>
      <c r="G21" s="51">
        <v>8500</v>
      </c>
    </row>
    <row r="22" spans="4:7">
      <c r="D22" s="8"/>
      <c r="E22" s="124"/>
      <c r="F22" s="8">
        <v>44181</v>
      </c>
      <c r="G22" s="51">
        <v>6000</v>
      </c>
    </row>
    <row r="23" spans="4:7">
      <c r="D23" t="s">
        <v>480</v>
      </c>
    </row>
    <row r="24" spans="4:7">
      <c r="D24" s="11" t="s">
        <v>96</v>
      </c>
      <c r="E24" s="11"/>
      <c r="F24" s="11" t="s">
        <v>140</v>
      </c>
    </row>
    <row r="25" spans="4:7">
      <c r="D25" t="s">
        <v>481</v>
      </c>
      <c r="F25" s="51">
        <v>15000</v>
      </c>
    </row>
    <row r="26" spans="4:7">
      <c r="D26" t="s">
        <v>479</v>
      </c>
      <c r="F26" s="51">
        <v>-8500</v>
      </c>
    </row>
    <row r="27" spans="4:7">
      <c r="D27" t="s">
        <v>479</v>
      </c>
      <c r="F27" s="120">
        <v>-6000</v>
      </c>
    </row>
    <row r="28" spans="4:7">
      <c r="F28" s="62">
        <f>SUM($F$25:$F$27)</f>
        <v>500</v>
      </c>
    </row>
    <row r="29" spans="4:7">
      <c r="F29" s="51"/>
    </row>
    <row r="30" spans="4:7">
      <c r="F30" s="51"/>
    </row>
    <row r="31" spans="4:7">
      <c r="F31" s="51"/>
    </row>
    <row r="32" spans="4:7">
      <c r="F32" s="51"/>
    </row>
    <row r="33" spans="6:6">
      <c r="F33" s="51"/>
    </row>
    <row r="34" spans="6:6">
      <c r="F34" s="51"/>
    </row>
    <row r="35" spans="6:6">
      <c r="F35" s="51"/>
    </row>
    <row r="36" spans="6:6">
      <c r="F36" s="51"/>
    </row>
    <row r="37" spans="6:6">
      <c r="F37" s="51"/>
    </row>
    <row r="38" spans="6:6">
      <c r="F38" s="51"/>
    </row>
    <row r="39" spans="6:6">
      <c r="F39" s="51"/>
    </row>
    <row r="40" spans="6:6">
      <c r="F40" s="51"/>
    </row>
    <row r="41" spans="6:6">
      <c r="F41" s="51"/>
    </row>
    <row r="42" spans="6:6">
      <c r="F42" s="51"/>
    </row>
    <row r="43" spans="6:6">
      <c r="F43" s="51"/>
    </row>
    <row r="44" spans="6:6">
      <c r="F44" s="51"/>
    </row>
    <row r="45" spans="6:6">
      <c r="F45" s="51"/>
    </row>
    <row r="46" spans="6:6">
      <c r="F46" s="51"/>
    </row>
    <row r="47" spans="6:6">
      <c r="F47" s="51"/>
    </row>
    <row r="48" spans="6:6">
      <c r="F48" s="51"/>
    </row>
    <row r="49" spans="6:6">
      <c r="F49" s="51"/>
    </row>
    <row r="50" spans="6:6">
      <c r="F50" s="51"/>
    </row>
    <row r="51" spans="6:6">
      <c r="F51" s="51"/>
    </row>
    <row r="52" spans="6:6">
      <c r="F52" s="51"/>
    </row>
    <row r="53" spans="6:6">
      <c r="F53" s="51"/>
    </row>
    <row r="54" spans="6:6">
      <c r="F54" s="51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0274D-F622-4016-A2EA-C41A5DC0F129}">
  <dimension ref="C2:F14"/>
  <sheetViews>
    <sheetView workbookViewId="0">
      <selection activeCell="F7" sqref="F7"/>
    </sheetView>
  </sheetViews>
  <sheetFormatPr defaultRowHeight="16.5"/>
  <cols>
    <col min="4" max="4" width="11.75" bestFit="1" customWidth="1"/>
    <col min="6" max="6" width="10.625" bestFit="1" customWidth="1"/>
  </cols>
  <sheetData>
    <row r="2" spans="3:6">
      <c r="C2" t="s">
        <v>1</v>
      </c>
    </row>
    <row r="3" spans="3:6">
      <c r="C3" t="s">
        <v>277</v>
      </c>
      <c r="D3" t="s">
        <v>482</v>
      </c>
    </row>
    <row r="4" spans="3:6">
      <c r="D4" t="s">
        <v>96</v>
      </c>
      <c r="E4" t="s">
        <v>96</v>
      </c>
      <c r="F4" t="s">
        <v>140</v>
      </c>
    </row>
    <row r="5" spans="3:6">
      <c r="D5" t="s">
        <v>481</v>
      </c>
      <c r="F5" s="51">
        <v>2000000</v>
      </c>
    </row>
    <row r="6" spans="3:6">
      <c r="D6" t="s">
        <v>483</v>
      </c>
      <c r="F6" s="51">
        <v>0</v>
      </c>
    </row>
    <row r="7" spans="3:6">
      <c r="D7" t="s">
        <v>484</v>
      </c>
      <c r="F7" s="51">
        <v>900000</v>
      </c>
    </row>
    <row r="8" spans="3:6">
      <c r="D8" t="s">
        <v>385</v>
      </c>
      <c r="E8" t="s">
        <v>485</v>
      </c>
      <c r="F8" s="120">
        <v>0</v>
      </c>
    </row>
    <row r="9" spans="3:6">
      <c r="E9" t="s">
        <v>486</v>
      </c>
      <c r="F9" s="62">
        <f>SUM($F$5:$F$7)-$F$8</f>
        <v>2900000</v>
      </c>
    </row>
    <row r="10" spans="3:6">
      <c r="F10" s="51"/>
    </row>
    <row r="11" spans="3:6">
      <c r="F11" s="51"/>
    </row>
    <row r="12" spans="3:6">
      <c r="F12" s="51"/>
    </row>
    <row r="13" spans="3:6">
      <c r="F13" s="51"/>
    </row>
    <row r="14" spans="3:6">
      <c r="F14" s="5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黃 奕捷</cp:lastModifiedBy>
  <cp:revision/>
  <dcterms:created xsi:type="dcterms:W3CDTF">2024-01-28T04:24:53Z</dcterms:created>
  <dcterms:modified xsi:type="dcterms:W3CDTF">2024-02-14T05:35:47Z</dcterms:modified>
  <cp:category/>
  <cp:contentStatus/>
</cp:coreProperties>
</file>