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comments11.xml" ContentType="application/vnd.openxmlformats-officedocument.spreadsheetml.comments+xml"/>
  <Override PartName="/xl/threadedComments/threadedComment10.xml" ContentType="application/vnd.ms-excel.threadedcomments+xml"/>
  <Override PartName="/xl/comments12.xml" ContentType="application/vnd.openxmlformats-officedocument.spreadsheetml.comments+xml"/>
  <Override PartName="/xl/threadedComments/threadedComment11.xml" ContentType="application/vnd.ms-excel.threadedcomments+xml"/>
  <Override PartName="/xl/comments13.xml" ContentType="application/vnd.openxmlformats-officedocument.spreadsheetml.comments+xml"/>
  <Override PartName="/xl/threadedComments/threadedComment12.xml" ContentType="application/vnd.ms-excel.threadedcomments+xml"/>
  <Override PartName="/xl/comments14.xml" ContentType="application/vnd.openxmlformats-officedocument.spreadsheetml.comments+xml"/>
  <Override PartName="/xl/threadedComments/threadedComment13.xml" ContentType="application/vnd.ms-excel.threadedcomments+xml"/>
  <Override PartName="/xl/comments15.xml" ContentType="application/vnd.openxmlformats-officedocument.spreadsheetml.comments+xml"/>
  <Override PartName="/xl/threadedComments/threadedComment14.xml" ContentType="application/vnd.ms-excel.threadedcomments+xml"/>
  <Override PartName="/xl/comments16.xml" ContentType="application/vnd.openxmlformats-officedocument.spreadsheetml.comments+xml"/>
  <Override PartName="/xl/threadedComments/threadedComment15.xml" ContentType="application/vnd.ms-excel.threadedcomments+xml"/>
  <Override PartName="/xl/comments17.xml" ContentType="application/vnd.openxmlformats-officedocument.spreadsheetml.comments+xml"/>
  <Override PartName="/xl/threadedComments/threadedComment16.xml" ContentType="application/vnd.ms-excel.threadedcomments+xml"/>
  <Override PartName="/xl/comments18.xml" ContentType="application/vnd.openxmlformats-officedocument.spreadsheetml.comments+xml"/>
  <Override PartName="/xl/threadedComments/threadedComment17.xml" ContentType="application/vnd.ms-excel.threadedcomments+xml"/>
  <Override PartName="/xl/comments19.xml" ContentType="application/vnd.openxmlformats-officedocument.spreadsheetml.comments+xml"/>
  <Override PartName="/xl/threadedComments/threadedComment18.xml" ContentType="application/vnd.ms-excel.threadedcomments+xml"/>
  <Override PartName="/xl/comments20.xml" ContentType="application/vnd.openxmlformats-officedocument.spreadsheetml.comments+xml"/>
  <Override PartName="/xl/threadedComments/threadedComment19.xml" ContentType="application/vnd.ms-excel.threadedcomments+xml"/>
  <Override PartName="/xl/comments21.xml" ContentType="application/vnd.openxmlformats-officedocument.spreadsheetml.comments+xml"/>
  <Override PartName="/xl/threadedComments/threadedComment20.xml" ContentType="application/vnd.ms-excel.threadedcomments+xml"/>
  <Override PartName="/xl/comments22.xml" ContentType="application/vnd.openxmlformats-officedocument.spreadsheetml.comments+xml"/>
  <Override PartName="/xl/threadedComments/threadedComment2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1"/>
  <workbookPr defaultThemeVersion="166925"/>
  <xr:revisionPtr revIDLastSave="14904" documentId="11_2F206C6948C74EE3E979BAFA89738C9863138395" xr6:coauthVersionLast="47" xr6:coauthVersionMax="47" xr10:uidLastSave="{29DB211E-D45D-492F-B511-C815052C5F6E}"/>
  <bookViews>
    <workbookView xWindow="240" yWindow="105" windowWidth="14805" windowHeight="8010" firstSheet="106" activeTab="107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3)" sheetId="92" r:id="rId64"/>
    <sheet name="A5-3 (4)" sheetId="93" r:id="rId65"/>
    <sheet name="A5-3題目和解答" sheetId="91" r:id="rId66"/>
    <sheet name="A3-3題目和解答" sheetId="89" r:id="rId67"/>
    <sheet name="A4-3題目和解答" sheetId="90" r:id="rId68"/>
    <sheet name="A5-4" sheetId="67" r:id="rId69"/>
    <sheet name="A5-5" sheetId="68" r:id="rId70"/>
    <sheet name="B5-1" sheetId="69" r:id="rId71"/>
    <sheet name="B5-2" sheetId="70" r:id="rId72"/>
    <sheet name="B5-3" sheetId="71" r:id="rId73"/>
    <sheet name="B5-4" sheetId="72" r:id="rId74"/>
    <sheet name="B5-5" sheetId="73" r:id="rId75"/>
    <sheet name="Q6-3" sheetId="97" r:id="rId76"/>
    <sheet name="Q6-4" sheetId="98" r:id="rId77"/>
    <sheet name="Q6-8" sheetId="99" r:id="rId78"/>
    <sheet name="Q6-9" sheetId="100" r:id="rId79"/>
    <sheet name="Q6-10" sheetId="101" r:id="rId80"/>
    <sheet name="A6-1" sheetId="94" r:id="rId81"/>
    <sheet name="A6-2" sheetId="95" r:id="rId82"/>
    <sheet name="A6-3" sheetId="96" r:id="rId83"/>
    <sheet name="Q6-18" sheetId="102" r:id="rId84"/>
    <sheet name="Q9-19" sheetId="110" r:id="rId85"/>
    <sheet name="Q9-20" sheetId="112" r:id="rId86"/>
    <sheet name="A9-1" sheetId="111" r:id="rId87"/>
    <sheet name="Q11-17" sheetId="107" r:id="rId88"/>
    <sheet name="Q11-18" sheetId="106" r:id="rId89"/>
    <sheet name="Q11-35" sheetId="103" r:id="rId90"/>
    <sheet name="Q12-2" sheetId="105" r:id="rId91"/>
    <sheet name="Q12-8" sheetId="104" r:id="rId92"/>
    <sheet name="Q12-15" sheetId="109" r:id="rId93"/>
    <sheet name="Q12-36" sheetId="113" r:id="rId94"/>
    <sheet name="Q12-38" sheetId="114" r:id="rId95"/>
    <sheet name="Q12-40" sheetId="108" r:id="rId96"/>
    <sheet name="Q14-15" sheetId="115" r:id="rId97"/>
    <sheet name="Q16-20" sheetId="116" r:id="rId98"/>
    <sheet name="Q17-23" sheetId="117" r:id="rId99"/>
    <sheet name="Q17-27" sheetId="118" r:id="rId100"/>
    <sheet name="Q18-9" sheetId="119" r:id="rId101"/>
    <sheet name="Q18-10" sheetId="120" r:id="rId102"/>
    <sheet name="Q18-12" sheetId="121" r:id="rId103"/>
    <sheet name="Q18-13" sheetId="122" r:id="rId104"/>
    <sheet name="Q18-14" sheetId="123" r:id="rId105"/>
    <sheet name="Q19-1" sheetId="124" r:id="rId106"/>
    <sheet name="Q19-4" sheetId="125" r:id="rId107"/>
    <sheet name="Q19-10" sheetId="126" r:id="rId108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26" l="1"/>
  <c r="H32" i="126"/>
  <c r="G32" i="126"/>
  <c r="H31" i="126"/>
  <c r="G31" i="126"/>
  <c r="H30" i="126"/>
  <c r="G30" i="126"/>
  <c r="G23" i="126"/>
  <c r="I23" i="126"/>
  <c r="H23" i="126"/>
  <c r="F23" i="126"/>
  <c r="I20" i="126"/>
  <c r="H20" i="126"/>
  <c r="G20" i="126"/>
  <c r="F20" i="126"/>
  <c r="I19" i="126"/>
  <c r="H19" i="126"/>
  <c r="G19" i="126"/>
  <c r="F19" i="126"/>
  <c r="G16" i="126"/>
  <c r="F16" i="126"/>
  <c r="H16" i="126"/>
  <c r="I16" i="126"/>
  <c r="J12" i="126"/>
  <c r="I11" i="126"/>
  <c r="J10" i="126"/>
  <c r="I9" i="126"/>
  <c r="J8" i="126"/>
  <c r="I7" i="126"/>
  <c r="J6" i="126"/>
  <c r="I5" i="126"/>
  <c r="J12" i="125"/>
  <c r="I11" i="125"/>
  <c r="J10" i="125"/>
  <c r="I9" i="125"/>
  <c r="J6" i="125"/>
  <c r="I5" i="125"/>
  <c r="I7" i="125"/>
  <c r="J8" i="125"/>
  <c r="H7" i="124"/>
  <c r="I8" i="124"/>
  <c r="Q9" i="123"/>
  <c r="P9" i="123"/>
  <c r="O9" i="123"/>
  <c r="N9" i="123"/>
  <c r="M9" i="123"/>
  <c r="Q8" i="123"/>
  <c r="P8" i="123"/>
  <c r="O8" i="123"/>
  <c r="N8" i="123"/>
  <c r="M8" i="123"/>
  <c r="P7" i="123"/>
  <c r="Q7" i="123"/>
  <c r="I10" i="123"/>
  <c r="H10" i="123"/>
  <c r="G10" i="123"/>
  <c r="F10" i="123"/>
  <c r="E10" i="123"/>
  <c r="I9" i="123"/>
  <c r="H9" i="123"/>
  <c r="G9" i="123"/>
  <c r="F9" i="123"/>
  <c r="E9" i="123"/>
  <c r="I8" i="123"/>
  <c r="H8" i="123"/>
  <c r="G8" i="123"/>
  <c r="F8" i="123"/>
  <c r="E8" i="123"/>
  <c r="H7" i="123"/>
  <c r="I7" i="123"/>
  <c r="I11" i="122"/>
  <c r="H11" i="122"/>
  <c r="G11" i="122"/>
  <c r="F11" i="122"/>
  <c r="E11" i="122"/>
  <c r="I10" i="122"/>
  <c r="H10" i="122"/>
  <c r="G10" i="122"/>
  <c r="F10" i="122"/>
  <c r="E10" i="122"/>
  <c r="I9" i="122"/>
  <c r="H9" i="122"/>
  <c r="G9" i="122"/>
  <c r="F9" i="122"/>
  <c r="E9" i="122"/>
  <c r="I8" i="122"/>
  <c r="H8" i="122"/>
  <c r="G8" i="122"/>
  <c r="F8" i="122"/>
  <c r="E8" i="122"/>
  <c r="I7" i="122"/>
  <c r="H7" i="122"/>
  <c r="F9" i="121"/>
  <c r="I17" i="121"/>
  <c r="H17" i="121"/>
  <c r="G17" i="121"/>
  <c r="F17" i="121"/>
  <c r="I16" i="121"/>
  <c r="H16" i="121"/>
  <c r="G16" i="121"/>
  <c r="F16" i="121"/>
  <c r="I15" i="121"/>
  <c r="H15" i="121"/>
  <c r="G15" i="121"/>
  <c r="F15" i="121"/>
  <c r="I14" i="121"/>
  <c r="H14" i="121"/>
  <c r="G14" i="121"/>
  <c r="F14" i="121"/>
  <c r="I13" i="121"/>
  <c r="H13" i="121"/>
  <c r="G13" i="121"/>
  <c r="F13" i="121"/>
  <c r="I12" i="121"/>
  <c r="H12" i="121"/>
  <c r="G12" i="121"/>
  <c r="F12" i="121"/>
  <c r="I11" i="121"/>
  <c r="H11" i="121"/>
  <c r="G11" i="121"/>
  <c r="F11" i="121"/>
  <c r="I10" i="121"/>
  <c r="H10" i="121"/>
  <c r="G10" i="121"/>
  <c r="F10" i="121"/>
  <c r="I9" i="121"/>
  <c r="H9" i="121"/>
  <c r="G9" i="121"/>
  <c r="I8" i="121"/>
  <c r="H8" i="121"/>
  <c r="F8" i="121"/>
  <c r="E9" i="121"/>
  <c r="E10" i="121"/>
  <c r="E11" i="121"/>
  <c r="E12" i="121"/>
  <c r="E13" i="121"/>
  <c r="E14" i="121"/>
  <c r="E15" i="121"/>
  <c r="E16" i="121"/>
  <c r="E17" i="121"/>
  <c r="G8" i="121"/>
  <c r="E8" i="121"/>
  <c r="H7" i="118"/>
  <c r="H6" i="118"/>
  <c r="H5" i="118"/>
  <c r="F9" i="117"/>
  <c r="F28" i="116"/>
  <c r="O24" i="115"/>
  <c r="J11" i="114"/>
  <c r="I11" i="114"/>
  <c r="AU13" i="110"/>
  <c r="AU9" i="110"/>
  <c r="AU10" i="110" s="1"/>
  <c r="AU14" i="110" s="1"/>
  <c r="J14" i="112"/>
  <c r="J10" i="112"/>
  <c r="F14" i="112"/>
  <c r="F10" i="112"/>
  <c r="F13" i="112"/>
  <c r="F9" i="112"/>
  <c r="T29" i="110"/>
  <c r="S29" i="110"/>
  <c r="R29" i="110"/>
  <c r="Q29" i="110"/>
  <c r="T28" i="110"/>
  <c r="S28" i="110"/>
  <c r="R28" i="110"/>
  <c r="Q28" i="110"/>
  <c r="N27" i="110"/>
  <c r="M27" i="110"/>
  <c r="Q27" i="110"/>
  <c r="T27" i="110"/>
  <c r="S27" i="110"/>
  <c r="R27" i="110"/>
  <c r="W9" i="110"/>
  <c r="V9" i="110"/>
  <c r="R8" i="110"/>
  <c r="Q8" i="110"/>
  <c r="M13" i="110"/>
  <c r="L13" i="110"/>
  <c r="J5" i="109"/>
  <c r="J6" i="109"/>
  <c r="N12" i="107"/>
  <c r="M10" i="107"/>
  <c r="N10" i="107"/>
  <c r="K9" i="106"/>
  <c r="K4" i="106"/>
  <c r="K5" i="106"/>
  <c r="K6" i="106"/>
  <c r="K7" i="106"/>
  <c r="K8" i="106"/>
  <c r="K3" i="106"/>
  <c r="D5" i="104"/>
  <c r="D4" i="104"/>
  <c r="F4" i="104"/>
  <c r="G4" i="104" s="1"/>
  <c r="F5" i="104"/>
  <c r="G5" i="104" s="1"/>
  <c r="D6" i="104" s="1"/>
  <c r="F6" i="104"/>
  <c r="F3" i="104"/>
  <c r="G3" i="104"/>
  <c r="O11" i="103"/>
  <c r="N12" i="103"/>
  <c r="N9" i="103"/>
  <c r="O8" i="103"/>
  <c r="N8" i="103"/>
  <c r="I11" i="100"/>
  <c r="I10" i="100"/>
  <c r="H9" i="100"/>
  <c r="J9" i="99"/>
  <c r="J8" i="99"/>
  <c r="J7" i="99"/>
  <c r="E16" i="97"/>
  <c r="E15" i="97"/>
  <c r="E14" i="97"/>
  <c r="E13" i="97"/>
  <c r="E12" i="97"/>
  <c r="E11" i="97"/>
  <c r="I4" i="95"/>
  <c r="I5" i="95"/>
  <c r="J6" i="95"/>
  <c r="D10" i="95"/>
  <c r="D9" i="95"/>
  <c r="D7" i="95"/>
  <c r="D8" i="95" s="1"/>
  <c r="E137" i="93"/>
  <c r="R137" i="93" s="1"/>
  <c r="D137" i="93"/>
  <c r="Q137" i="93" s="1"/>
  <c r="R136" i="93"/>
  <c r="Q136" i="93"/>
  <c r="O136" i="93"/>
  <c r="U136" i="93" s="1"/>
  <c r="N136" i="93"/>
  <c r="T136" i="93" s="1"/>
  <c r="R135" i="93"/>
  <c r="Q135" i="93"/>
  <c r="O135" i="93"/>
  <c r="U135" i="93" s="1"/>
  <c r="N135" i="93"/>
  <c r="T135" i="93" s="1"/>
  <c r="R134" i="93"/>
  <c r="Q134" i="93"/>
  <c r="O134" i="93"/>
  <c r="U134" i="93" s="1"/>
  <c r="N134" i="93"/>
  <c r="T134" i="93" s="1"/>
  <c r="R133" i="93"/>
  <c r="Q133" i="93"/>
  <c r="O133" i="93"/>
  <c r="U133" i="93" s="1"/>
  <c r="N133" i="93"/>
  <c r="T133" i="93" s="1"/>
  <c r="R132" i="93"/>
  <c r="Q132" i="93"/>
  <c r="O132" i="93"/>
  <c r="U132" i="93" s="1"/>
  <c r="N132" i="93"/>
  <c r="T132" i="93" s="1"/>
  <c r="R131" i="93"/>
  <c r="Q131" i="93"/>
  <c r="O131" i="93"/>
  <c r="U131" i="93" s="1"/>
  <c r="N131" i="93"/>
  <c r="T131" i="93" s="1"/>
  <c r="R130" i="93"/>
  <c r="Q130" i="93"/>
  <c r="O130" i="93"/>
  <c r="U130" i="93" s="1"/>
  <c r="N130" i="93"/>
  <c r="T130" i="93" s="1"/>
  <c r="R129" i="93"/>
  <c r="Q129" i="93"/>
  <c r="O129" i="93"/>
  <c r="U129" i="93" s="1"/>
  <c r="N129" i="93"/>
  <c r="T129" i="93" s="1"/>
  <c r="R128" i="93"/>
  <c r="Q128" i="93"/>
  <c r="O128" i="93"/>
  <c r="U128" i="93" s="1"/>
  <c r="N128" i="93"/>
  <c r="T128" i="93" s="1"/>
  <c r="R127" i="93"/>
  <c r="Q127" i="93"/>
  <c r="O127" i="93"/>
  <c r="U127" i="93" s="1"/>
  <c r="N127" i="93"/>
  <c r="T127" i="93" s="1"/>
  <c r="R126" i="93"/>
  <c r="Q126" i="93"/>
  <c r="O126" i="93"/>
  <c r="U126" i="93" s="1"/>
  <c r="N126" i="93"/>
  <c r="T126" i="93" s="1"/>
  <c r="R125" i="93"/>
  <c r="Q125" i="93"/>
  <c r="O125" i="93"/>
  <c r="U125" i="93" s="1"/>
  <c r="N125" i="93"/>
  <c r="T125" i="93" s="1"/>
  <c r="R124" i="93"/>
  <c r="Q124" i="93"/>
  <c r="O124" i="93"/>
  <c r="U124" i="93" s="1"/>
  <c r="N124" i="93"/>
  <c r="T124" i="93" s="1"/>
  <c r="R123" i="93"/>
  <c r="Q123" i="93"/>
  <c r="O123" i="93"/>
  <c r="U123" i="93" s="1"/>
  <c r="N123" i="93"/>
  <c r="T123" i="93" s="1"/>
  <c r="R122" i="93"/>
  <c r="Q122" i="93"/>
  <c r="O122" i="93"/>
  <c r="U122" i="93" s="1"/>
  <c r="N122" i="93"/>
  <c r="T122" i="93" s="1"/>
  <c r="R121" i="93"/>
  <c r="Q121" i="93"/>
  <c r="O121" i="93"/>
  <c r="U121" i="93" s="1"/>
  <c r="N121" i="93"/>
  <c r="T121" i="93" s="1"/>
  <c r="R120" i="93"/>
  <c r="Q120" i="93"/>
  <c r="O120" i="93"/>
  <c r="N120" i="93"/>
  <c r="K65" i="93"/>
  <c r="K64" i="93"/>
  <c r="K63" i="93"/>
  <c r="K62" i="93"/>
  <c r="K61" i="93"/>
  <c r="K60" i="93"/>
  <c r="K59" i="93"/>
  <c r="K58" i="93"/>
  <c r="K57" i="93"/>
  <c r="K56" i="93"/>
  <c r="K55" i="93"/>
  <c r="K54" i="93"/>
  <c r="K53" i="93"/>
  <c r="K52" i="93"/>
  <c r="K51" i="93"/>
  <c r="K50" i="93"/>
  <c r="K49" i="93"/>
  <c r="K66" i="93" s="1"/>
  <c r="AX34" i="93"/>
  <c r="AW34" i="93"/>
  <c r="AV34" i="93"/>
  <c r="AX33" i="93"/>
  <c r="AW33" i="93"/>
  <c r="AV33" i="93"/>
  <c r="AX32" i="93"/>
  <c r="AW32" i="93"/>
  <c r="AV32" i="93"/>
  <c r="AX31" i="93"/>
  <c r="AW31" i="93"/>
  <c r="AV31" i="93"/>
  <c r="AW30" i="93"/>
  <c r="AW29" i="93"/>
  <c r="AT29" i="93"/>
  <c r="AK28" i="93"/>
  <c r="AI28" i="93"/>
  <c r="AU27" i="93"/>
  <c r="AP27" i="93"/>
  <c r="AX27" i="93" s="1"/>
  <c r="AO27" i="93"/>
  <c r="AV27" i="93" s="1"/>
  <c r="AN27" i="93"/>
  <c r="AW27" i="93" s="1"/>
  <c r="AR27" i="93" s="1"/>
  <c r="AM27" i="93"/>
  <c r="AT27" i="93" s="1"/>
  <c r="AQ27" i="93" s="1"/>
  <c r="AU26" i="93"/>
  <c r="AP26" i="93"/>
  <c r="AX26" i="93" s="1"/>
  <c r="AO26" i="93"/>
  <c r="AV26" i="93" s="1"/>
  <c r="AN26" i="93"/>
  <c r="AW26" i="93" s="1"/>
  <c r="AR26" i="93" s="1"/>
  <c r="AM26" i="93"/>
  <c r="AT26" i="93" s="1"/>
  <c r="AQ26" i="93" s="1"/>
  <c r="AU25" i="93"/>
  <c r="AR25" i="93"/>
  <c r="AQ25" i="93"/>
  <c r="AN25" i="93"/>
  <c r="AM25" i="93"/>
  <c r="AU24" i="93"/>
  <c r="AR24" i="93"/>
  <c r="AQ24" i="93"/>
  <c r="AN24" i="93"/>
  <c r="AM24" i="93"/>
  <c r="AU23" i="93"/>
  <c r="AR23" i="93"/>
  <c r="AQ23" i="93"/>
  <c r="AN23" i="93"/>
  <c r="AM23" i="93"/>
  <c r="AU22" i="93"/>
  <c r="AN22" i="93"/>
  <c r="AM22" i="93"/>
  <c r="AR21" i="93"/>
  <c r="AQ21" i="93"/>
  <c r="AP21" i="93"/>
  <c r="AX21" i="93" s="1"/>
  <c r="AO21" i="93"/>
  <c r="AV21" i="93" s="1"/>
  <c r="AN21" i="93"/>
  <c r="AW21" i="93" s="1"/>
  <c r="AM21" i="93"/>
  <c r="AT21" i="93" s="1"/>
  <c r="AU20" i="93"/>
  <c r="AR20" i="93"/>
  <c r="AQ20" i="93"/>
  <c r="AN20" i="93"/>
  <c r="AM20" i="93"/>
  <c r="AR19" i="93"/>
  <c r="AQ19" i="93"/>
  <c r="AP19" i="93"/>
  <c r="AX19" i="93" s="1"/>
  <c r="AO19" i="93"/>
  <c r="AV19" i="93" s="1"/>
  <c r="AN19" i="93"/>
  <c r="AW19" i="93" s="1"/>
  <c r="AM19" i="93"/>
  <c r="AT19" i="93" s="1"/>
  <c r="AH19" i="93"/>
  <c r="AG19" i="93"/>
  <c r="AU18" i="93"/>
  <c r="AR18" i="93"/>
  <c r="AQ18" i="93"/>
  <c r="AN18" i="93"/>
  <c r="AM18" i="93"/>
  <c r="AU17" i="93"/>
  <c r="AR17" i="93"/>
  <c r="AQ17" i="93"/>
  <c r="AN17" i="93"/>
  <c r="AM17" i="93"/>
  <c r="AU16" i="93"/>
  <c r="AR16" i="93"/>
  <c r="AQ16" i="93"/>
  <c r="AN16" i="93"/>
  <c r="AM16" i="93"/>
  <c r="AU15" i="93"/>
  <c r="AR15" i="93"/>
  <c r="AQ15" i="93"/>
  <c r="AN15" i="93"/>
  <c r="AM15" i="93"/>
  <c r="AU14" i="93"/>
  <c r="AR14" i="93"/>
  <c r="AQ14" i="93"/>
  <c r="AN14" i="93"/>
  <c r="AM14" i="93"/>
  <c r="AU13" i="93"/>
  <c r="AP13" i="93"/>
  <c r="AX13" i="93" s="1"/>
  <c r="AO13" i="93"/>
  <c r="AV13" i="93" s="1"/>
  <c r="AN13" i="93"/>
  <c r="AW13" i="93" s="1"/>
  <c r="AR13" i="93" s="1"/>
  <c r="AM13" i="93"/>
  <c r="AT13" i="93" s="1"/>
  <c r="AQ13" i="93" s="1"/>
  <c r="AU12" i="93"/>
  <c r="AP12" i="93"/>
  <c r="AX12" i="93" s="1"/>
  <c r="AO12" i="93"/>
  <c r="AV12" i="93" s="1"/>
  <c r="AN12" i="93"/>
  <c r="AW12" i="93" s="1"/>
  <c r="AR12" i="93" s="1"/>
  <c r="AM12" i="93"/>
  <c r="AT12" i="93" s="1"/>
  <c r="AQ12" i="93" s="1"/>
  <c r="AU11" i="93"/>
  <c r="AP11" i="93"/>
  <c r="AX11" i="93" s="1"/>
  <c r="AO11" i="93"/>
  <c r="AV11" i="93" s="1"/>
  <c r="AN11" i="93"/>
  <c r="AW11" i="93" s="1"/>
  <c r="AR11" i="93" s="1"/>
  <c r="AM11" i="93"/>
  <c r="AT11" i="93" s="1"/>
  <c r="AQ11" i="93" s="1"/>
  <c r="AU10" i="93"/>
  <c r="AP10" i="93"/>
  <c r="AX10" i="93" s="1"/>
  <c r="AO10" i="93"/>
  <c r="AV10" i="93" s="1"/>
  <c r="AN10" i="93"/>
  <c r="AW10" i="93" s="1"/>
  <c r="AR10" i="93" s="1"/>
  <c r="AM10" i="93"/>
  <c r="AT10" i="93" s="1"/>
  <c r="AQ10" i="93" s="1"/>
  <c r="AU9" i="93"/>
  <c r="AP9" i="93"/>
  <c r="AO9" i="93"/>
  <c r="AN9" i="93"/>
  <c r="AM9" i="93"/>
  <c r="X121" i="92"/>
  <c r="X122" i="92"/>
  <c r="X123" i="92"/>
  <c r="X124" i="92"/>
  <c r="X125" i="92"/>
  <c r="X126" i="92"/>
  <c r="X127" i="92"/>
  <c r="X128" i="92"/>
  <c r="X129" i="92"/>
  <c r="X130" i="92"/>
  <c r="X131" i="92"/>
  <c r="X132" i="92"/>
  <c r="X133" i="92"/>
  <c r="X134" i="92"/>
  <c r="X135" i="92"/>
  <c r="X136" i="92"/>
  <c r="X137" i="92"/>
  <c r="X120" i="92"/>
  <c r="W121" i="92"/>
  <c r="W122" i="92"/>
  <c r="W123" i="92"/>
  <c r="W124" i="92"/>
  <c r="W125" i="92"/>
  <c r="W126" i="92"/>
  <c r="W127" i="92"/>
  <c r="W128" i="92"/>
  <c r="W129" i="92"/>
  <c r="W130" i="92"/>
  <c r="W131" i="92"/>
  <c r="W132" i="92"/>
  <c r="W133" i="92"/>
  <c r="W134" i="92"/>
  <c r="W135" i="92"/>
  <c r="W136" i="92"/>
  <c r="W137" i="92"/>
  <c r="W120" i="92"/>
  <c r="R121" i="92"/>
  <c r="R122" i="92"/>
  <c r="R123" i="92"/>
  <c r="R124" i="92"/>
  <c r="R125" i="92"/>
  <c r="R126" i="92"/>
  <c r="R127" i="92"/>
  <c r="R128" i="92"/>
  <c r="R129" i="92"/>
  <c r="R130" i="92"/>
  <c r="R131" i="92"/>
  <c r="R132" i="92"/>
  <c r="R133" i="92"/>
  <c r="R134" i="92"/>
  <c r="R135" i="92"/>
  <c r="R136" i="92"/>
  <c r="R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O120" i="92"/>
  <c r="N120" i="92"/>
  <c r="O137" i="92"/>
  <c r="U137" i="92" s="1"/>
  <c r="N137" i="92"/>
  <c r="T137" i="92" s="1"/>
  <c r="K65" i="92"/>
  <c r="K64" i="92"/>
  <c r="K63" i="92"/>
  <c r="K62" i="92"/>
  <c r="K61" i="92"/>
  <c r="K60" i="92"/>
  <c r="K59" i="92"/>
  <c r="K58" i="92"/>
  <c r="K57" i="92"/>
  <c r="K56" i="92"/>
  <c r="K55" i="92"/>
  <c r="K54" i="92"/>
  <c r="K53" i="92"/>
  <c r="K52" i="92"/>
  <c r="K51" i="92"/>
  <c r="K50" i="92"/>
  <c r="K49" i="92"/>
  <c r="K66" i="92" s="1"/>
  <c r="E137" i="92"/>
  <c r="R137" i="92" s="1"/>
  <c r="D137" i="92"/>
  <c r="Q137" i="92" s="1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M11" i="107" l="1"/>
  <c r="M13" i="107"/>
  <c r="G6" i="104"/>
  <c r="AM28" i="93"/>
  <c r="AT28" i="93" s="1"/>
  <c r="AT9" i="93"/>
  <c r="AN28" i="93"/>
  <c r="AW28" i="93" s="1"/>
  <c r="AW9" i="93"/>
  <c r="AV9" i="93"/>
  <c r="AX9" i="93"/>
  <c r="AT14" i="93"/>
  <c r="AO14" i="93"/>
  <c r="AW14" i="93"/>
  <c r="AP14" i="93"/>
  <c r="AT15" i="93"/>
  <c r="AO15" i="93"/>
  <c r="AV15" i="93" s="1"/>
  <c r="AW15" i="93"/>
  <c r="AP15" i="93"/>
  <c r="AX15" i="93" s="1"/>
  <c r="AT16" i="93"/>
  <c r="AO16" i="93"/>
  <c r="AV16" i="93" s="1"/>
  <c r="AW16" i="93"/>
  <c r="AP16" i="93"/>
  <c r="AX16" i="93" s="1"/>
  <c r="AT17" i="93"/>
  <c r="AO17" i="93"/>
  <c r="AV17" i="93" s="1"/>
  <c r="AW17" i="93"/>
  <c r="AP17" i="93"/>
  <c r="AX17" i="93" s="1"/>
  <c r="AT18" i="93"/>
  <c r="AO18" i="93"/>
  <c r="AV18" i="93" s="1"/>
  <c r="AW18" i="93"/>
  <c r="AP18" i="93"/>
  <c r="AX18" i="93" s="1"/>
  <c r="AT20" i="93"/>
  <c r="AO20" i="93"/>
  <c r="AV20" i="93" s="1"/>
  <c r="AW20" i="93"/>
  <c r="AP20" i="93"/>
  <c r="AX20" i="93" s="1"/>
  <c r="AT22" i="93"/>
  <c r="AO22" i="93"/>
  <c r="AV22" i="93" s="1"/>
  <c r="AQ22" i="93" s="1"/>
  <c r="AW22" i="93"/>
  <c r="AR22" i="93"/>
  <c r="AX22" i="93" s="1"/>
  <c r="AT23" i="93"/>
  <c r="AO23" i="93"/>
  <c r="AV23" i="93" s="1"/>
  <c r="AW23" i="93"/>
  <c r="AP23" i="93"/>
  <c r="AX23" i="93" s="1"/>
  <c r="AT24" i="93"/>
  <c r="AO24" i="93"/>
  <c r="AV24" i="93" s="1"/>
  <c r="AW24" i="93"/>
  <c r="AP24" i="93"/>
  <c r="AX24" i="93" s="1"/>
  <c r="AT25" i="93"/>
  <c r="AO25" i="93"/>
  <c r="AV25" i="93" s="1"/>
  <c r="AW25" i="93"/>
  <c r="AP25" i="93"/>
  <c r="AX25" i="93" s="1"/>
  <c r="N137" i="93"/>
  <c r="T137" i="93" s="1"/>
  <c r="T120" i="93"/>
  <c r="O137" i="93"/>
  <c r="U137" i="93" s="1"/>
  <c r="U120" i="93"/>
  <c r="W120" i="93"/>
  <c r="X120" i="93"/>
  <c r="W121" i="93"/>
  <c r="X121" i="93"/>
  <c r="W122" i="93"/>
  <c r="X122" i="93"/>
  <c r="W123" i="93"/>
  <c r="X123" i="93"/>
  <c r="W124" i="93"/>
  <c r="X124" i="93"/>
  <c r="W125" i="93"/>
  <c r="X125" i="93"/>
  <c r="W126" i="93"/>
  <c r="X126" i="93"/>
  <c r="W127" i="93"/>
  <c r="X127" i="93"/>
  <c r="W128" i="93"/>
  <c r="X128" i="93"/>
  <c r="W129" i="93"/>
  <c r="X129" i="93"/>
  <c r="W130" i="93"/>
  <c r="X130" i="93"/>
  <c r="W131" i="93"/>
  <c r="X131" i="93"/>
  <c r="W132" i="93"/>
  <c r="X132" i="93"/>
  <c r="W133" i="93"/>
  <c r="X133" i="93"/>
  <c r="W134" i="93"/>
  <c r="X134" i="93"/>
  <c r="W135" i="93"/>
  <c r="X135" i="93"/>
  <c r="W136" i="93"/>
  <c r="X136" i="93"/>
  <c r="W137" i="93"/>
  <c r="X137" i="93"/>
  <c r="T120" i="92"/>
  <c r="U120" i="92"/>
  <c r="T136" i="92"/>
  <c r="T135" i="92"/>
  <c r="T134" i="92"/>
  <c r="T133" i="92"/>
  <c r="T132" i="92"/>
  <c r="T131" i="92"/>
  <c r="T130" i="92"/>
  <c r="T129" i="92"/>
  <c r="T128" i="92"/>
  <c r="T127" i="92"/>
  <c r="T126" i="92"/>
  <c r="T125" i="92"/>
  <c r="T124" i="92"/>
  <c r="T123" i="92"/>
  <c r="T122" i="92"/>
  <c r="T121" i="92"/>
  <c r="U136" i="92"/>
  <c r="U135" i="92"/>
  <c r="U134" i="92"/>
  <c r="U133" i="92"/>
  <c r="U132" i="92"/>
  <c r="U131" i="92"/>
  <c r="U130" i="92"/>
  <c r="U129" i="92"/>
  <c r="U128" i="92"/>
  <c r="U127" i="92"/>
  <c r="U126" i="92"/>
  <c r="U125" i="92"/>
  <c r="U124" i="92"/>
  <c r="U123" i="92"/>
  <c r="U122" i="92"/>
  <c r="U121" i="92"/>
  <c r="AM28" i="92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R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3" l="1"/>
  <c r="AP28" i="93"/>
  <c r="AV14" i="93"/>
  <c r="AO28" i="93"/>
  <c r="AR9" i="93"/>
  <c r="AQ9" i="93"/>
  <c r="AX14" i="92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3" l="1"/>
  <c r="AO29" i="93"/>
  <c r="AV28" i="93"/>
  <c r="AP30" i="93"/>
  <c r="AX30" i="93" s="1"/>
  <c r="AX28" i="93"/>
  <c r="AP29" i="92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3" l="1"/>
  <c r="AR29" i="93"/>
  <c r="AR30" i="93" s="1"/>
  <c r="AO30" i="93"/>
  <c r="AV30" i="93" s="1"/>
  <c r="AX29" i="93"/>
  <c r="AQ29" i="93"/>
  <c r="AQ30" i="93" s="1"/>
  <c r="AV29" i="92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tc={440EC1AD-9133-4C1A-B64B-38FFDBF9B531}</author>
    <author>tc={7ECDE23B-FC30-4639-9B62-69F2DFF7F6BC}</author>
    <author>tc={DE544348-00E0-4326-B47B-CFF84C1737ED}</author>
    <author>tc={EBA6B24E-3CA0-4E79-BC58-E02927303D7C}</author>
    <author>tc={1A622B5A-126C-4537-9D98-D2967356A8B9}</author>
  </authors>
  <commentList>
    <comment ref="C3" authorId="0" shapeId="0" xr:uid="{440EC1AD-9133-4C1A-B64B-38FFDBF9B531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(Studying).docx。CH9的19題。</t>
      </text>
    </comment>
    <comment ref="O4" authorId="1" shapeId="0" xr:uid="{7ECDE23B-FC30-4639-9B62-69F2DFF7F6B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T4" authorId="2" shapeId="0" xr:uid="{DE544348-00E0-4326-B47B-CFF84C1737ED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  <comment ref="Q20" authorId="3" shapeId="0" xr:uid="{EBA6B24E-3CA0-4E79-BC58-E02927303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S20" authorId="4" shapeId="0" xr:uid="{1A622B5A-126C-4537-9D98-D2967356A8B9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tc={D9802697-BFDB-4476-AFD6-0FAA6D9EF3A5}</author>
  </authors>
  <commentList>
    <comment ref="C3" authorId="0" shapeId="0" xr:uid="{D9802697-BFDB-4476-AFD6-0FAA6D9EF3A5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(Studying).docx。CH9的20題。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tc={292C61DE-D93C-4D77-A133-651752AB9984}</author>
  </authors>
  <commentList>
    <comment ref="K9" authorId="0" shapeId="0" xr:uid="{292C61DE-D93C-4D77-A133-651752AB9984}">
      <text>
        <t>[Threaded comment]
Your version of Excel allows you to read this threaded comment; however, any edits to it will get removed if the file is opened in a newer version of Excel. Learn more: https://go.microsoft.com/fwlink/?linkid=870924
Comment:
    期末存貨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tc={B78456FF-FA2F-4143-8AFB-178C68BFD2EC}</author>
    <author>tc={F9D05D7D-128C-4E56-9275-7EB39E955679}</author>
    <author>tc={3B6C8113-ED6E-4DC2-9ECB-C6C993043A61}</author>
    <author>tc={2D1FCF36-BA95-4A0B-BD36-869E513646DD}</author>
  </authors>
  <commentList>
    <comment ref="H3" authorId="0" shapeId="0" xr:uid="{B78456FF-FA2F-4143-8AFB-178C68BFD2E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3" authorId="1" shapeId="0" xr:uid="{F9D05D7D-128C-4E56-9275-7EB39E955679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8" authorId="2" shapeId="0" xr:uid="{3B6C8113-ED6E-4DC2-9ECB-C6C99304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數值為上三項科目的數值總和</t>
      </text>
    </comment>
    <comment ref="M9" authorId="3" shapeId="0" xr:uid="{2D1FCF36-BA95-4A0B-BD36-869E513646DD}">
      <text>
        <t>[Threaded comment]
Your version of Excel allows you to read this threaded comment; however, any edits to it will get removed if the file is opened in a newer version of Excel. Learn more: https://go.microsoft.com/fwlink/?linkid=870924
Comment:
    成本率 = 可供銷售商品的成本/可供銷售商品的零售價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tc={C4F56186-D303-4132-A760-03B5963D4C53}</author>
    <author>tc={D0A40ABC-6F47-4367-9C0A-3E6D08031F71}</author>
  </authors>
  <commentList>
    <comment ref="C3" authorId="0" shapeId="0" xr:uid="{C4F56186-D303-4132-A760-03B5963D4C53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詳見，CH12 part 1 Q36。</t>
      </text>
    </comment>
    <comment ref="C4" authorId="1" shapeId="0" xr:uid="{D0A40ABC-6F47-4367-9C0A-3E6D08031F71}">
      <text>
        <t>[Threaded comment]
Your version of Excel allows you to read this threaded comment; however, any edits to it will get removed if the file is opened in a newer version of Excel. Learn more: https://go.microsoft.com/fwlink/?linkid=870924
Comment:
    想求：
甲公司可認列的商譽是多少?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tc={A2168248-DE8B-4497-B27C-93AB61B1DC48}</author>
  </authors>
  <commentList>
    <comment ref="D6" authorId="0" shapeId="0" xr:uid="{A2168248-DE8B-4497-B27C-93AB61B1DC48}">
      <text>
        <t>[Threaded comment]
Your version of Excel allows you to read this threaded comment; however, any edits to it will get removed if the file is opened in a newer version of Excel. Learn more: https://go.microsoft.com/fwlink/?linkid=870924
Comment:
    此科目的數額為題目所問的成本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tc={71C7FF9F-E798-4FC5-BC85-087B97950848}</author>
  </authors>
  <commentList>
    <comment ref="C3" authorId="0" shapeId="0" xr:uid="{71C7FF9F-E798-4FC5-BC85-087B97950848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
檔的CH17 的 part 1的第23題。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tc={855A39EA-A303-4335-B20D-E095E56EEAA9}</author>
  </authors>
  <commentList>
    <comment ref="C3" authorId="0" shapeId="0" xr:uid="{855A39EA-A303-4335-B20D-E095E56EEAA9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 accounting (studying).docx。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tc={2D142CAC-1446-4819-891D-143CF79A88EC}</author>
    <author>tc={11A3C39D-DE84-46CE-AD62-C17250D31BC8}</author>
  </authors>
  <commentList>
    <comment ref="C3" authorId="0" shapeId="0" xr:uid="{2D142CAC-1446-4819-891D-143CF79A88EC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 accounting (studying).docx。</t>
      </text>
    </comment>
    <comment ref="D3" authorId="1" shapeId="0" xr:uid="{11A3C39D-DE84-46CE-AD62-C17250D31BC8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參考，會計學課本CH18-3-6 page 510上的實例的分錄。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tc={B63C3E5C-EA71-455A-B8E0-F91F1DB64772}</author>
    <author>tc={DE84F715-F9A1-48F8-9BB3-CF2F8950C2AF}</author>
    <author>tc={48178402-FF92-4E93-BB78-BA942B4BCE24}</author>
    <author>tc={F450FA18-9665-430E-9EF0-DEF9AA556B14}</author>
    <author>tc={21F8ADCC-C263-414C-BA0A-E7ADE97ECDEE}</author>
    <author>tc={1A39ABB6-0B31-4E61-94D9-F992F6A4DEF1}</author>
    <author>tc={06A0DE42-7C21-4A0D-9063-43ADC6FAD502}</author>
    <author>tc={757A0263-CD18-41EB-BF4B-607FA95BA75C}</author>
    <author>tc={5C7914FD-E6CE-4744-8C58-26F964940E16}</author>
    <author>tc={ABD555AD-C3AB-4F26-AC1F-3F899D53EE92}</author>
    <author>tc={55C8A40F-B2CC-4E7D-BB64-38E9209A3D93}</author>
  </authors>
  <commentList>
    <comment ref="D4" authorId="0" shapeId="0" xr:uid="{B63C3E5C-EA71-455A-B8E0-F91F1DB64772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E6" authorId="1" shapeId="0" xr:uid="{DE84F715-F9A1-48F8-9BB3-CF2F8950C2AF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F6" authorId="2" shapeId="0" xr:uid="{48178402-FF92-4E93-BB78-BA942B4B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G6" authorId="3" shapeId="0" xr:uid="{F450FA18-9665-430E-9EF0-DEF9AA556B14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溢價攤銷 = 實際付現 - 利息費用</t>
      </text>
    </comment>
    <comment ref="H6" authorId="4" shapeId="0" xr:uid="{21F8ADCC-C263-414C-BA0A-E7ADE97ECDEE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溢價餘額 = 上期的溢價餘額 - 本期的溢價攤銷 
Reply:
    P.S.
本期的溢價攤銷為上個步驟所算出的結果。</t>
      </text>
    </comment>
    <comment ref="I6" authorId="5" shapeId="0" xr:uid="{1A39ABB6-0B31-4E61-94D9-F992F6A4DEF1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公司債帳面金額 = 上期的公司債帳面金額 - 本期的溢價攤銷
Reply:
    P.S.
本期的溢價攤銷為第三個步驟所算出的結果。</t>
      </text>
    </comment>
    <comment ref="B7" authorId="6" shapeId="0" xr:uid="{06A0DE42-7C21-4A0D-9063-43ADC6FAD502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(studying).docx的CH18的第12題所給的有效利率。</t>
      </text>
    </comment>
    <comment ref="H7" authorId="7" shapeId="0" xr:uid="{757A0263-CD18-41EB-BF4B-607FA95BA75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I7" authorId="8" shapeId="0" xr:uid="{5C7914FD-E6CE-4744-8C58-26F964940E16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D8" authorId="9" shapeId="0" xr:uid="{ABD555AD-C3AB-4F26-AC1F-3F899D53EE92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因為題目只要求出2020年度的利息費用，所以之後的數值有可能部會計算。
Reply:
    但不代表此表格應該長這樣，有些數值不被算而省略不寫。</t>
      </text>
    </comment>
    <comment ref="F9" authorId="10" shapeId="0" xr:uid="{55C8A40F-B2CC-4E7D-BB64-38E9209A3D93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題目所要求的。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tc={205ADBC6-149B-47F2-9E42-D4107C5AD4BE}</author>
    <author>tc={A4E9992E-E176-4A5F-A4FC-B12611BA9D39}</author>
    <author>tc={93A5F738-7627-4AA6-9B05-CB45C17703F9}</author>
    <author>tc={91C0A089-4F4E-4A7F-BA95-041AD4A622AC}</author>
    <author>tc={E2C11DD0-58BF-42D0-AB17-6E3B916B52FF}</author>
    <author>tc={15A9E86C-1DB7-4FCE-B2AE-A2108DCAD8F3}</author>
    <author>tc={875B675F-AFDA-4676-B8D4-E286CB788531}</author>
    <author>tc={C5ED0C28-59CC-44E7-8174-24B2D40A28CB}</author>
    <author>tc={5C1531C7-626F-4EE4-B157-84DCE5387045}</author>
    <author>tc={F6681416-1519-4166-9FEA-123EDEFA049D}</author>
  </authors>
  <commentList>
    <comment ref="D4" authorId="0" shapeId="0" xr:uid="{205ADBC6-149B-47F2-9E42-D4107C5AD4BE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E6" authorId="1" shapeId="0" xr:uid="{A4E9992E-E176-4A5F-A4FC-B12611BA9D39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F6" authorId="2" shapeId="0" xr:uid="{93A5F738-7627-4AA6-9B05-CB45C17703F9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G6" authorId="3" shapeId="0" xr:uid="{91C0A089-4F4E-4A7F-BA95-041AD4A622AC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折價攤銷 =  利息費用 - 實際付現</t>
      </text>
    </comment>
    <comment ref="H6" authorId="4" shapeId="0" xr:uid="{E2C11DD0-58BF-42D0-AB17-6E3B916B52FF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折價餘額 = 上期的折價餘額 - 本期的折價攤銷 
Reply:
    P.S.
本期的折價攤銷為上個步驟所算出的結果。</t>
      </text>
    </comment>
    <comment ref="I6" authorId="5" shapeId="0" xr:uid="{15A9E86C-1DB7-4FCE-B2AE-A2108DCAD8F3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公司債帳面價值 = 上期的公司債帳面價值 + 本期的折價攤銷
Reply:
    P.S.
本期的折價攤銷為第三個步驟所算出的結果。</t>
      </text>
    </comment>
    <comment ref="H7" authorId="6" shapeId="0" xr:uid="{875B675F-AFDA-4676-B8D4-E286CB788531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I7" authorId="7" shapeId="0" xr:uid="{C5ED0C28-59CC-44E7-8174-24B2D40A28CB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D8" authorId="8" shapeId="0" xr:uid="{5C1531C7-626F-4EE4-B157-84DCE5387045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因為題目只要求出2020年度的利息費用，所以之後的數值有可能部會計算。
Reply:
    但不代表此表格應該長這樣，有些數值不被算而省略不寫。</t>
      </text>
    </comment>
    <comment ref="G8" authorId="9" shapeId="0" xr:uid="{F6681416-1519-4166-9FEA-123EDEFA049D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題目所要求的。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tc={C2843E9D-75D1-4187-86BF-4AAAA304AC19}</author>
    <author>tc={190CA860-667E-4BCA-9AB1-9BC0EC079BF3}</author>
    <author>tc={9D05DDDA-A991-4689-B759-01609B76686C}</author>
    <author>tc={8BC877FC-F19D-48A4-B5F8-A035E2972AC4}</author>
    <author>tc={229A1435-EAEC-45D0-B2C0-5260F791B7F1}</author>
    <author>tc={A31BA210-1BE7-4A31-8C1F-634EF333ADDE}</author>
    <author>tc={D0FF3BBD-83C4-4C8E-9F9C-853A862A54B8}</author>
    <author>tc={B283AF4E-98D2-4600-959B-DC8082916FD3}</author>
    <author>tc={26AE523D-214E-457B-9017-239FED07D475}</author>
    <author>tc={AF50AF8B-80B9-4EAD-8951-2A39ACBB30FD}</author>
    <author>tc={C4E001F2-B720-49CA-A247-5699902AA161}</author>
    <author>tc={4E9FF8C0-54FB-44CC-9A2B-E80A09945483}</author>
    <author>tc={938EF8A0-F04C-4B12-861C-3B83166E45E4}</author>
    <author>tc={C17F294B-A231-41AD-A751-2D9B342DD0EB}</author>
    <author>tc={F43B8A13-CFA2-42CD-ABBA-D66215B1F7DC}</author>
    <author>tc={BE31FAE8-55B8-41FD-88FB-9479A6CB3C77}</author>
    <author>tc={986C04FA-C81F-44C7-95B2-F5B460D9C242}</author>
    <author>tc={71B418E6-E99B-4486-BC2C-F90A7ED8FC3E}</author>
    <author>tc={EC3DDB65-F536-4681-BD3D-E8E45ED88ED9}</author>
  </authors>
  <commentList>
    <comment ref="L3" authorId="0" shapeId="0" xr:uid="{C2843E9D-75D1-4187-86BF-4AAAA304AC19}">
      <text>
        <t>[Threaded comment]
Your version of Excel allows you to read this threaded comment; however, any edits to it will get removed if the file is opened in a newer version of Excel. Learn more: https://go.microsoft.com/fwlink/?linkid=870924
Comment:
    因應題目要求。</t>
      </text>
    </comment>
    <comment ref="D4" authorId="1" shapeId="0" xr:uid="{190CA860-667E-4BCA-9AB1-9BC0EC079BF3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L4" authorId="2" shapeId="0" xr:uid="{9D05DDDA-A991-4689-B759-01609B76686C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E6" authorId="3" shapeId="0" xr:uid="{8BC877FC-F19D-48A4-B5F8-A035E2972AC4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F6" authorId="4" shapeId="0" xr:uid="{229A1435-EAEC-45D0-B2C0-5260F791B7F1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G6" authorId="5" shapeId="0" xr:uid="{A31BA210-1BE7-4A31-8C1F-634EF333ADDE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折價攤銷 =  利息費用 - 實際付現</t>
      </text>
    </comment>
    <comment ref="H6" authorId="6" shapeId="0" xr:uid="{D0FF3BBD-83C4-4C8E-9F9C-853A862A54B8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折價餘額 = 上期的折價餘額 - 本期的折價攤銷 
Reply:
    P.S.
本期的折價攤銷為上個步驟所算出的結果。</t>
      </text>
    </comment>
    <comment ref="I6" authorId="7" shapeId="0" xr:uid="{B283AF4E-98D2-4600-959B-DC8082916FD3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公司債帳面價值 = 上期的公司債帳面價值 + 本期的折價攤銷
Reply:
    P.S.
本期的折價攤銷為第三個步驟所算出的結果。</t>
      </text>
    </comment>
    <comment ref="M6" authorId="8" shapeId="0" xr:uid="{26AE523D-214E-457B-9017-239FED07D475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N6" authorId="9" shapeId="0" xr:uid="{AF50AF8B-80B9-4EAD-8951-2A39ACBB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O6" authorId="10" shapeId="0" xr:uid="{C4E001F2-B720-49CA-A247-5699902AA161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折價攤銷 =  利息費用 - 實際付現</t>
      </text>
    </comment>
    <comment ref="P6" authorId="11" shapeId="0" xr:uid="{4E9FF8C0-54FB-44CC-9A2B-E80A09945483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折價餘額 = 上期的折價餘額 - 本期的折價攤銷 
Reply:
    P.S.
本期的折價攤銷為上個步驟所算出的結果。</t>
      </text>
    </comment>
    <comment ref="Q6" authorId="12" shapeId="0" xr:uid="{938EF8A0-F04C-4B12-861C-3B83166E45E4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公司債帳面價值 = 上期的公司債帳面價值 + 本期的折價攤銷
Reply:
    P.S.
本期的折價攤銷為第三個步驟所算出的結果。</t>
      </text>
    </comment>
    <comment ref="H7" authorId="13" shapeId="0" xr:uid="{C17F294B-A231-41AD-A751-2D9B342DD0EB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I7" authorId="14" shapeId="0" xr:uid="{F43B8A13-CFA2-42CD-ABBA-D66215B1F7D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P7" authorId="15" shapeId="0" xr:uid="{BE31FAE8-55B8-41FD-88FB-9479A6CB3C77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Q7" authorId="16" shapeId="0" xr:uid="{986C04FA-C81F-44C7-95B2-F5B460D9C242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D8" authorId="17" shapeId="0" xr:uid="{71B418E6-E99B-4486-BC2C-F90A7ED8FC3E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因為題目只要求出2020年度的利息費用，所以之後的數值有可能部會計算。
Reply:
    但不代表此表格應該長這樣，有些數值不被算而省略不寫。</t>
      </text>
    </comment>
    <comment ref="N9" authorId="18" shapeId="0" xr:uid="{EC3DDB65-F536-4681-BD3D-E8E45ED88ED9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題目所要求的。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tc={EAD38383-EB5C-447D-B311-7529EB8BA026}</author>
    <author>tc={5940ED42-0269-426C-A9E7-CA8A3D195FB6}</author>
    <author>tc={791DB369-5B2E-41CE-A770-F07A381F1CC3}</author>
    <author>tc={E6E250D6-D4F7-4693-B8C0-7995F6DD6662}</author>
  </authors>
  <commentList>
    <comment ref="F5" authorId="0" shapeId="0" xr:uid="{EAD38383-EB5C-447D-B311-7529EB8BA026}">
      <text>
        <t>[Threaded comment]
Your version of Excel allows you to read this threaded comment; however, any edits to it will get removed if the file is opened in a newer version of Excel. Learn more: https://go.microsoft.com/fwlink/?linkid=870924
Comment:
    當初甲公司買公司債的成本。</t>
      </text>
    </comment>
    <comment ref="F7" authorId="1" shapeId="0" xr:uid="{5940ED42-0269-426C-A9E7-CA8A3D195FB6}">
      <text>
        <t>[Threaded comment]
Your version of Excel allows you to read this threaded comment; however, any edits to it will get removed if the file is opened in a newer version of Excel. Learn more: https://go.microsoft.com/fwlink/?linkid=870924
Comment:
    乙公司發放給甲公司的現金股利。</t>
      </text>
    </comment>
    <comment ref="F9" authorId="2" shapeId="0" xr:uid="{791DB369-5B2E-41CE-A770-F07A381F1CC3}">
      <text>
        <t>[Threaded comment]
Your version of Excel allows you to read this threaded comment; however, any edits to it will get removed if the file is opened in a newer version of Excel. Learn more: https://go.microsoft.com/fwlink/?linkid=870924
Comment:
    當年度乙公司的淨利，按照甲公司持股比例計算。</t>
      </text>
    </comment>
    <comment ref="F11" authorId="3" shapeId="0" xr:uid="{E6E250D6-D4F7-4693-B8C0-7995F6DD6662}">
      <text>
        <t>[Threaded comment]
Your version of Excel allows you to read this threaded comment; however, any edits to it will get removed if the file is opened in a newer version of Excel. Learn more: https://go.microsoft.com/fwlink/?linkid=870924
Comment:
    當年度乙公司的綜合損益表，按照甲公司持股比例計算。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  <author>tc={B7A44D5C-E6C9-469A-9885-E630D2D0D089}</author>
    <author>tc={16CF95BD-9F68-4B88-A993-5745082502DD}</author>
    <author>tc={3262E0BF-B96D-4AF5-A9AD-CC02E3EDCE96}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B7A44D5C-E6C9-469A-9885-E630D2D0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16CF95BD-9F68-4B88-A993-5745082502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3262E0BF-B96D-4AF5-A9AD-CC02E3EDCE9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tc={B21C1172-9B1F-4066-A4A3-B5ABC655902D}</author>
    <author>tc={37EB792A-2639-4561-A575-313385C42344}</author>
    <author>tc={38D5FD98-E4E2-424A-B554-62B04CFF60CF}</author>
    <author>tc={C51CB67A-3161-470A-AA47-2F3C2952454B}</author>
    <author>tc={5E442DBC-6DBD-45E5-B3E5-777B38518E7F}</author>
    <author>tc={3F3212EA-9254-414B-9A16-E794A2D40884}</author>
    <author>tc={1D9A2D02-01C8-4450-91EA-387BCF469F5E}</author>
  </authors>
  <commentList>
    <comment ref="A2" authorId="0" shapeId="0" xr:uid="{B21C1172-9B1F-4066-A4A3-B5ABC655902D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
Reply:
    主要更正，剛剛檢討選擇題時，意外發現，累積折舊屬於資產減少，應記載於貸方。</t>
      </text>
    </comment>
    <comment ref="E2" authorId="1" shapeId="0" xr:uid="{37EB792A-2639-4561-A575-313385C42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38D5FD98-E4E2-424A-B554-62B04CFF60C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51CB67A-3161-470A-AA47-2F3C2952454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5E442DBC-6DBD-45E5-B3E5-777B38518E7F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3F3212EA-9254-414B-9A16-E794A2D40884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1D9A2D02-01C8-4450-91EA-387BCF46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tc={E38DB57D-D9F3-4B60-944E-2ACBDEE63CBF}</author>
    <author>tc={4918CD1F-A033-4363-B733-61AA30DB4233}</author>
  </authors>
  <commentList>
    <comment ref="C3" authorId="0" shapeId="0" xr:uid="{E38DB57D-D9F3-4B60-944E-2ACBDEE63CBF}">
      <text>
        <t>[Threaded comment]
Your version of Excel allows you to read this threaded comment; however, any edits to it will get removed if the file is opened in a newer version of Excel. Learn more: https://go.microsoft.com/fwlink/?linkid=870924
Comment:
    7/1賒帳65000元。
Reply:
    付款條件，2/10,1/20,N/30
Reply:
    7/6客戶退回商品共8000元。
Reply:
    7/19買方收到欠款的一半。</t>
      </text>
    </comment>
    <comment ref="C4" authorId="1" shapeId="0" xr:uid="{4918CD1F-A033-4363-B733-61AA30DB4233}">
      <text>
        <t>[Threaded comment]
Your version of Excel allows you to read this threaded comment; however, any edits to it will get removed if the file is opened in a newer version of Excel. Learn more: https://go.microsoft.com/fwlink/?linkid=870924
Comment:
    蕭貨折扣之金額?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tc={2BF7949A-E520-4B22-8B34-C6C2B631A144}</author>
    <author>tc={54C8DF78-BCF7-4F30-B2B3-06F6868CA926}</author>
    <author>tc={8CEAB13A-9878-4CE5-B35B-68A76FCB55E4}</author>
    <author>tc={2E1E66FB-CEE8-4322-9793-535FCF4E34EA}</author>
    <author>tc={E2536F55-FEB5-4C30-98C1-6A8201B4EA3E}</author>
    <author>tc={764B817D-E01A-44F6-8B13-1955C6C81B88}</author>
  </authors>
  <commentList>
    <comment ref="D10" authorId="0" shapeId="0" xr:uid="{2BF7949A-E520-4B22-8B34-C6C2B631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應收款項差額=期末應收款項-期初應收款項-已經收回的應收款項=本期銷貨淨額</t>
      </text>
    </comment>
    <comment ref="E10" authorId="1" shapeId="0" xr:uid="{54C8DF78-BCF7-4F30-B2B3-06F6868CA926}">
      <text>
        <t>[Threaded comment]
Your version of Excel allows you to read this threaded comment; however, any edits to it will get removed if the file is opened in a newer version of Excel. Learn more: https://go.microsoft.com/fwlink/?linkid=870924
Comment:
    方程式
Reply:
    期末應收帳款 - 8000 - 26000 = 30000
Reply:
    期末應收帳款 = 8000 + 26000 + 30000 = 64000</t>
      </text>
    </comment>
    <comment ref="D11" authorId="2" shapeId="0" xr:uid="{8CEAB13A-9878-4CE5-B35B-68A76FCB55E4}">
      <text>
        <t>[Threaded comment]
Your version of Excel allows you to read this threaded comment; however, any edits to it will get removed if the file is opened in a newer version of Excel. Learn more: https://go.microsoft.com/fwlink/?linkid=870924
Comment:
    銷貨成本 = 期初存貨 + 購貨 - ( 購貨退回 + 購貨折讓 + 購貨折扣 ) - 期末存貨</t>
      </text>
    </comment>
    <comment ref="D12" authorId="3" shapeId="0" xr:uid="{2E1E66FB-CEE8-4322-9793-535FCF4E34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銷貨毛利=銷貨淨額 - 銷貨成本 </t>
      </text>
    </comment>
    <comment ref="L12" authorId="4" shapeId="0" xr:uid="{E2536F55-FEB5-4C30-98C1-6A8201B4EA3E}">
      <text>
        <t>[Threaded comment]
Your version of Excel allows you to read this threaded comment; however, any edits to it will get removed if the file is opened in a newer version of Excel. Learn more: https://go.microsoft.com/fwlink/?linkid=870924
Comment:
    金額來自於E11的這個cell。</t>
      </text>
    </comment>
    <comment ref="C13" authorId="5" shapeId="0" xr:uid="{764B817D-E01A-44F6-8B13-1955C6C81B88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因為題目沒提到，所以假設商品的折扣等為零。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tc={CFFC20E6-724D-42CF-9E56-EA298CCE4715}</author>
    <author>tc={64DEB0AB-2B10-40C6-89DD-197FFD9974A2}</author>
    <author>tc={08EA928B-FC29-4A2B-93C7-D8C2AB78A100}</author>
    <author>tc={3E6ED9F6-59A9-44E1-96CF-742977B3EA74}</author>
    <author>tc={B06AEFA8-872A-401B-B9C0-ECF82E1C154A}</author>
  </authors>
  <commentList>
    <comment ref="M2" authorId="0" shapeId="0" xr:uid="{CFFC20E6-724D-42CF-9E56-EA298CCE4715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題目提到各年度有連帶關係。
Reply:
    所以，才有一些等式成立。
Reply:
    詳見，各個會計科目的註解。</t>
      </text>
    </comment>
    <comment ref="V2" authorId="1" shapeId="0" xr:uid="{64DEB0AB-2B10-40C6-89DD-197FFD9974A2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題目沒有這些欄位，但我自行增加，因為需要這些來計算題目所要求的。
Reply:
    有些欄位不求，因為沒必要。那些欄位將為空白。</t>
      </text>
    </comment>
    <comment ref="Z2" authorId="2" shapeId="0" xr:uid="{08EA928B-FC29-4A2B-93C7-D8C2AB78A100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題目未提供任何線索，所以我假設這些交易沒有折扣、折讓、回扣等。</t>
      </text>
    </comment>
    <comment ref="Q3" authorId="3" shapeId="0" xr:uid="{3E6ED9F6-59A9-44E1-96CF-742977B3EA74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18年期末存貨=19年期初存貨。</t>
      </text>
    </comment>
    <comment ref="Y3" authorId="4" shapeId="0" xr:uid="{B06AEFA8-872A-401B-B9C0-ECF82E1C15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18年銷貨淨額 = 18年銷貨
Reply:
    因為我的假設。
Reply:
    詳見假設底下的欄位。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tc={35ED09B8-8FC7-450B-B04D-AEFE9B343FBB}</author>
  </authors>
  <commentList>
    <comment ref="I8" authorId="0" shapeId="0" xr:uid="{35ED09B8-8FC7-450B-B04D-AEFE9B34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這就是題目所要求的。</t>
      </text>
    </comment>
  </commentList>
</comments>
</file>

<file path=xl/sharedStrings.xml><?xml version="1.0" encoding="utf-8"?>
<sst xmlns="http://schemas.openxmlformats.org/spreadsheetml/2006/main" count="5799" uniqueCount="534">
  <si>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</si>
  <si>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</si>
  <si>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</si>
  <si>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</si>
  <si>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</si>
  <si>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</si>
  <si>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</si>
  <si>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</si>
  <si>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</si>
  <si>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</si>
  <si>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</si>
  <si>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</si>
  <si>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</si>
  <si>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</si>
  <si>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</si>
  <si>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</si>
  <si>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</si>
  <si>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</si>
  <si>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</si>
  <si>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</si>
  <si>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</si>
  <si>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</si>
  <si>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</si>
  <si>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</si>
  <si>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</si>
  <si>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</si>
  <si>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</si>
  <si>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</si>
  <si>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</si>
  <si>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</si>
  <si>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</si>
  <si>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</si>
  <si>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</si>
  <si>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</si>
  <si>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</si>
  <si>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</si>
  <si>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</si>
  <si>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</si>
  <si>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</si>
  <si>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</si>
  <si>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</si>
  <si>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</si>
  <si>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</si>
  <si>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</si>
  <si>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</si>
  <si>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</si>
  <si>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</si>
  <si>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</si>
  <si>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</si>
  <si>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</si>
  <si>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</si>
  <si>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</si>
  <si>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</si>
  <si>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</si>
  <si>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</si>
  <si>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</si>
  <si>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</si>
  <si>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</si>
  <si>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</si>
  <si>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</si>
  <si>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</si>
  <si>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</si>
  <si>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</si>
  <si>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</si>
  <si>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</si>
  <si>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</si>
  <si>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</si>
  <si>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</si>
  <si>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</si>
  <si>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</si>
  <si>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</si>
  <si>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</si>
  <si>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</si>
  <si>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</si>
  <si>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</si>
  <si>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</si>
  <si>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</si>
  <si>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</si>
  <si>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</si>
  <si>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</si>
  <si>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</si>
  <si>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</si>
  <si>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</si>
  <si>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</si>
  <si>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</si>
  <si>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</si>
  <si>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</si>
  <si>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</si>
  <si>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</si>
  <si>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</si>
  <si>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</si>
  <si>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</si>
  <si>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</si>
  <si>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</si>
  <si>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</si>
  <si>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</si>
  <si>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</si>
  <si>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</si>
  <si>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</si>
  <si>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</si>
  <si>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</si>
  <si>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</si>
  <si>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</si>
  <si>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</si>
  <si>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</si>
  <si>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</si>
  <si>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</si>
  <si>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</si>
  <si>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</si>
  <si>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</si>
  <si>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</si>
  <si>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</si>
  <si>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</si>
  <si>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</si>
  <si>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</si>
  <si>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</si>
  <si>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</si>
  <si>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</si>
  <si>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</si>
  <si>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</si>
  <si>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</si>
  <si>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</si>
  <si>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</si>
  <si>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</si>
  <si>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</si>
  <si>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</si>
  <si>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</si>
  <si>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</si>
  <si>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</si>
  <si>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</si>
  <si>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</si>
  <si>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</si>
  <si>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</si>
  <si>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</si>
  <si>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</si>
  <si>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</si>
  <si>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</si>
  <si>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</si>
  <si>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</si>
  <si>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</si>
  <si>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</si>
  <si>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</si>
  <si>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</si>
  <si>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</si>
  <si>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</si>
  <si>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</si>
  <si>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</si>
  <si>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</si>
  <si>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</si>
  <si>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</si>
  <si>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</si>
  <si>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</si>
  <si>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</si>
  <si>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</si>
  <si>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</si>
  <si>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</si>
  <si>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</si>
  <si>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</si>
  <si>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</si>
  <si>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</si>
  <si>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</si>
  <si>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</si>
  <si>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</si>
  <si>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</si>
  <si>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</si>
  <si>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</si>
  <si>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</si>
  <si>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</si>
  <si>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</si>
  <si>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</si>
  <si>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</si>
  <si>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</si>
  <si>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</si>
  <si>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</si>
  <si>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</si>
  <si>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</si>
  <si>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</si>
  <si>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</si>
  <si>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</si>
  <si>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</si>
  <si>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</si>
  <si>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</si>
  <si>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</si>
  <si>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</si>
  <si>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</si>
  <si>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</si>
  <si>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</si>
  <si>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</si>
  <si>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</si>
  <si>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</si>
  <si>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</si>
  <si>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</si>
  <si>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</si>
  <si>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</si>
  <si>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</si>
  <si>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</si>
  <si>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</si>
  <si>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</si>
  <si>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</si>
  <si>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</si>
  <si>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</si>
  <si>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</si>
  <si>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</si>
  <si>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</si>
  <si>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</si>
  <si>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</si>
  <si>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</si>
  <si>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</si>
  <si>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</si>
  <si>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</si>
  <si>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</si>
  <si>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</si>
  <si>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</si>
  <si>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</si>
  <si>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</si>
  <si>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</si>
  <si>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</si>
  <si>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</si>
  <si>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</si>
  <si>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</si>
  <si>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</si>
  <si>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</si>
  <si>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</si>
  <si>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</si>
  <si>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</si>
  <si>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</si>
  <si>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</si>
  <si>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</si>
  <si>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</si>
  <si>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</si>
  <si>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</si>
  <si>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</si>
  <si>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</si>
  <si>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</si>
  <si>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</si>
  <si>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</si>
  <si>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</si>
  <si>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</si>
  <si>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</si>
  <si>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</si>
  <si>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</si>
  <si>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</si>
  <si>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</si>
  <si>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</si>
  <si>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</si>
  <si>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</si>
  <si>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</si>
  <si>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</si>
  <si>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</si>
  <si>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</si>
  <si>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</si>
  <si>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</si>
  <si>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</si>
  <si>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</si>
  <si>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</si>
  <si>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</si>
  <si>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</si>
  <si>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</si>
  <si>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</si>
  <si>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</si>
  <si>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</si>
  <si>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</si>
  <si>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</si>
  <si>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</si>
  <si>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</si>
  <si>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</si>
  <si>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</si>
  <si>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</si>
  <si>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</si>
  <si>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</si>
  <si>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</si>
  <si>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</si>
  <si>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</si>
  <si>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</si>
  <si>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</si>
  <si>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</si>
  <si>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</si>
  <si>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</si>
  <si>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</si>
  <si>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</si>
  <si>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</si>
  <si>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</si>
  <si>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</si>
  <si>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</si>
  <si>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</si>
  <si>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</si>
  <si>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</si>
  <si>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</si>
  <si>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</si>
  <si>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</si>
  <si>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</si>
  <si>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</si>
  <si>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</si>
  <si>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</si>
  <si>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</si>
  <si>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</si>
  <si>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</si>
  <si>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</si>
  <si>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</si>
  <si>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</si>
  <si>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</si>
  <si>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</si>
  <si>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</si>
  <si>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</si>
  <si>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</si>
  <si>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</si>
  <si>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</si>
  <si>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</si>
  <si>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</si>
  <si>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</si>
  <si>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</si>
  <si>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</si>
  <si>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</si>
  <si>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</si>
  <si>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</si>
  <si>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</si>
  <si>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</si>
  <si>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</si>
  <si>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</si>
  <si>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</si>
  <si>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</si>
  <si>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</si>
  <si>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</si>
  <si>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T字形科目金額總計</t>
  </si>
  <si>
    <t>科目金額總計</t>
  </si>
  <si>
    <t>試算表(數值版)</t>
  </si>
  <si>
    <t>試算表(公式版)</t>
  </si>
  <si>
    <t>比較</t>
  </si>
  <si>
    <t>相同</t>
  </si>
  <si>
    <t>數值</t>
  </si>
  <si>
    <t>結帳分錄和過帳</t>
  </si>
  <si>
    <t>租金費</t>
  </si>
  <si>
    <t>A4-3的題目</t>
  </si>
  <si>
    <t>A4-3的分錄</t>
  </si>
  <si>
    <t>銷貨毛利率</t>
  </si>
  <si>
    <t>銷貨總額</t>
  </si>
  <si>
    <t>銷貨運費</t>
  </si>
  <si>
    <t>銷貨退回</t>
  </si>
  <si>
    <t>銷貨折扣</t>
  </si>
  <si>
    <t>營業費用+銷貨運費</t>
  </si>
  <si>
    <t>想求</t>
  </si>
  <si>
    <t>該年度淨利</t>
  </si>
  <si>
    <t>求得</t>
  </si>
  <si>
    <t>銷貨淨額</t>
  </si>
  <si>
    <t>銷貨毛利</t>
  </si>
  <si>
    <t>營業淨利</t>
  </si>
  <si>
    <t>稅前淨利</t>
  </si>
  <si>
    <t>所得稅</t>
  </si>
  <si>
    <t>購貨</t>
  </si>
  <si>
    <t>方程式</t>
  </si>
  <si>
    <t>購貨退出</t>
  </si>
  <si>
    <t>41,800 = 期初存貨 + 45,000 - ( 800  + 0 + 400 ) + 1000 - 9000</t>
  </si>
  <si>
    <t>購貨折扣</t>
  </si>
  <si>
    <t xml:space="preserve">期初存貨 = 41,800 - ( 45,000 - ( 800  + 0 + 400 ) + 1000 - 9000 ) </t>
  </si>
  <si>
    <t>購貨運費</t>
  </si>
  <si>
    <t>期初存貨 = 6000</t>
  </si>
  <si>
    <t>銷貨成本</t>
  </si>
  <si>
    <t>期末存貨</t>
  </si>
  <si>
    <t>期初存貨</t>
  </si>
  <si>
    <t>商品定價</t>
  </si>
  <si>
    <t>商業折扣</t>
  </si>
  <si>
    <t>現金折扣</t>
  </si>
  <si>
    <t>訂貨日</t>
  </si>
  <si>
    <t>收款款項應被記載為</t>
  </si>
  <si>
    <t>鞋子收入</t>
  </si>
  <si>
    <t>付款日</t>
  </si>
  <si>
    <t>商品費用</t>
  </si>
  <si>
    <t>商品退回</t>
  </si>
  <si>
    <t>買方</t>
  </si>
  <si>
    <t>賣方</t>
  </si>
  <si>
    <t>買方購貨20000</t>
  </si>
  <si>
    <t>期初應收帳款</t>
  </si>
  <si>
    <t>銷貨</t>
  </si>
  <si>
    <t>收回之應收帳款</t>
  </si>
  <si>
    <t>賣方現金銷貨5000</t>
  </si>
  <si>
    <t>貨品費</t>
  </si>
  <si>
    <t>現金銷貨</t>
  </si>
  <si>
    <t>銷貨收入</t>
  </si>
  <si>
    <t>期末應收款項</t>
  </si>
  <si>
    <t>賣方收回應收帳款26000</t>
  </si>
  <si>
    <t>結算銷貨成本</t>
  </si>
  <si>
    <t>假設</t>
  </si>
  <si>
    <t>購貨折讓</t>
  </si>
  <si>
    <t>銷貨折讓</t>
  </si>
  <si>
    <t>購貨（銷貨）淨額的綜合損益表</t>
  </si>
  <si>
    <t>減</t>
  </si>
  <si>
    <t>銷貨退出</t>
  </si>
  <si>
    <t>購貨淨額</t>
  </si>
  <si>
    <t>加</t>
  </si>
  <si>
    <t>購貨成本</t>
  </si>
  <si>
    <t>上面分錄的綜合損益表</t>
  </si>
  <si>
    <t>商品總額</t>
  </si>
  <si>
    <t>期貨存貨</t>
  </si>
  <si>
    <t>銷貨成本的公式</t>
  </si>
  <si>
    <t>商品總額=期初存貨+購貨淨額</t>
  </si>
  <si>
    <t>商品總額=期初存貨 + 購貨淨額</t>
  </si>
  <si>
    <t>商品單價</t>
  </si>
  <si>
    <t>賒銷商品200件</t>
  </si>
  <si>
    <t>商品數量</t>
  </si>
  <si>
    <t>定價每件1000元</t>
  </si>
  <si>
    <t>折扣</t>
  </si>
  <si>
    <t>八折成交</t>
  </si>
  <si>
    <t>銷貨折扣率</t>
  </si>
  <si>
    <t>付款條件2/10,N/30</t>
  </si>
  <si>
    <t>折扣前商品費用</t>
  </si>
  <si>
    <t>折扣後商品費用</t>
  </si>
  <si>
    <t>營業</t>
  </si>
  <si>
    <t>自行新增</t>
  </si>
  <si>
    <t>毛利(損)</t>
  </si>
  <si>
    <t>費用</t>
  </si>
  <si>
    <t>淨利(損)</t>
  </si>
  <si>
    <t>綜合報表</t>
  </si>
  <si>
    <t>定額</t>
  </si>
  <si>
    <t>支出憑證</t>
  </si>
  <si>
    <t>零用金餘額</t>
  </si>
  <si>
    <t>使用</t>
  </si>
  <si>
    <t>最終的零用金餘額</t>
  </si>
  <si>
    <t>資產損益表</t>
  </si>
  <si>
    <t>銀行調節表</t>
  </si>
  <si>
    <t>編號ID</t>
  </si>
  <si>
    <t>某某公司</t>
  </si>
  <si>
    <t>第一頁</t>
  </si>
  <si>
    <t>電話費</t>
  </si>
  <si>
    <t>某年</t>
  </si>
  <si>
    <t>某某年</t>
  </si>
  <si>
    <t>借或貸</t>
  </si>
  <si>
    <t>帳上公司存款餘額</t>
  </si>
  <si>
    <t>代收票據</t>
  </si>
  <si>
    <t>(1)帳上誤記</t>
  </si>
  <si>
    <t>第二頁</t>
  </si>
  <si>
    <t>(2)票據未入帳</t>
  </si>
  <si>
    <t>正確存款餘額</t>
  </si>
  <si>
    <t>第四頁</t>
  </si>
  <si>
    <t>第五頁</t>
  </si>
  <si>
    <t>帳上銀行存款餘額</t>
  </si>
  <si>
    <t>銀行結單餘額</t>
  </si>
  <si>
    <t>(1)送存帳款</t>
  </si>
  <si>
    <t>(3)支票未兌現</t>
  </si>
  <si>
    <t>(2)代收手續費</t>
  </si>
  <si>
    <t>(4)帳上誤記</t>
  </si>
  <si>
    <t>進銷貨資料</t>
  </si>
  <si>
    <t>零售價</t>
  </si>
  <si>
    <t>存貨</t>
  </si>
  <si>
    <t>6月</t>
  </si>
  <si>
    <t>可供銷售商品</t>
  </si>
  <si>
    <t>成本率</t>
  </si>
  <si>
    <t>期末存貨的零售價</t>
  </si>
  <si>
    <t>期末存貨的成本</t>
  </si>
  <si>
    <t>第一批</t>
  </si>
  <si>
    <t>第二批</t>
  </si>
  <si>
    <t>第三批</t>
  </si>
  <si>
    <t>第四批</t>
  </si>
  <si>
    <t>本年銷貨</t>
  </si>
  <si>
    <t>原始表格</t>
  </si>
  <si>
    <t>零售法的表格</t>
  </si>
  <si>
    <t>本期購貨</t>
  </si>
  <si>
    <t>期末存貨零售業</t>
  </si>
  <si>
    <t>期末存貨成本</t>
  </si>
  <si>
    <t>本期資產</t>
  </si>
  <si>
    <t>折舊率</t>
  </si>
  <si>
    <t>折舊額</t>
  </si>
  <si>
    <t>本期剩下資產</t>
  </si>
  <si>
    <t>房地產</t>
  </si>
  <si>
    <t>房屋</t>
  </si>
  <si>
    <t>乙公司</t>
  </si>
  <si>
    <t>甲公司購買價格</t>
  </si>
  <si>
    <t>帳面金額</t>
  </si>
  <si>
    <t>公允價值</t>
  </si>
  <si>
    <t>無形資產</t>
  </si>
  <si>
    <t>交換表</t>
  </si>
  <si>
    <t>甲公司鑽探機器設備</t>
  </si>
  <si>
    <t>乙公司開採機器設備</t>
  </si>
  <si>
    <t>設備成本</t>
  </si>
  <si>
    <t>現金收(付)</t>
  </si>
  <si>
    <t>甲公司</t>
  </si>
  <si>
    <t>換入資產認列金額</t>
  </si>
  <si>
    <t>利息</t>
  </si>
  <si>
    <t>償還</t>
  </si>
  <si>
    <t>債務合計</t>
  </si>
  <si>
    <t>資本公積--庫藏股票交易</t>
  </si>
  <si>
    <t>財務報表上</t>
  </si>
  <si>
    <t>股本</t>
  </si>
  <si>
    <t>財務報表</t>
  </si>
  <si>
    <t>股本溢價</t>
  </si>
  <si>
    <t>未分配盈餘</t>
  </si>
  <si>
    <t>庫藏股票</t>
  </si>
  <si>
    <t>權益合計</t>
  </si>
  <si>
    <t>期間初</t>
  </si>
  <si>
    <t>期間末</t>
  </si>
  <si>
    <t>流通在外股數</t>
  </si>
  <si>
    <t>調整後股利率</t>
  </si>
  <si>
    <t>流通期間比例</t>
  </si>
  <si>
    <t>加權股數</t>
  </si>
  <si>
    <t>公司債折價</t>
  </si>
  <si>
    <t>應付公司債</t>
  </si>
  <si>
    <t>公司債溢價</t>
  </si>
  <si>
    <t>面額</t>
  </si>
  <si>
    <t>溢價攤銷表</t>
  </si>
  <si>
    <t>發行價格</t>
  </si>
  <si>
    <t>步驟</t>
  </si>
  <si>
    <t>票面利率</t>
  </si>
  <si>
    <t>期別</t>
  </si>
  <si>
    <t>實際付現</t>
  </si>
  <si>
    <t>溢價攤銷</t>
  </si>
  <si>
    <t>溢價餘額</t>
  </si>
  <si>
    <t>公司債帳面金額</t>
  </si>
  <si>
    <t>市場利率</t>
  </si>
  <si>
    <t>發行時</t>
  </si>
  <si>
    <t>折價攤銷表</t>
  </si>
  <si>
    <t xml:space="preserve"> 折價攤銷</t>
  </si>
  <si>
    <t>折價餘額</t>
  </si>
  <si>
    <t>公司債帳面價值</t>
  </si>
  <si>
    <t>按日期更正後</t>
  </si>
  <si>
    <t>甲公司持有股權</t>
  </si>
  <si>
    <t>淨利</t>
  </si>
  <si>
    <t>支出</t>
  </si>
  <si>
    <t>採用權益法之投資</t>
  </si>
  <si>
    <t>購入價格</t>
  </si>
  <si>
    <t>股數</t>
  </si>
  <si>
    <t>股數佔公司比</t>
  </si>
  <si>
    <t>FVTPL</t>
  </si>
  <si>
    <t>現金股利 (股)</t>
  </si>
  <si>
    <t>淨利 (股)</t>
  </si>
  <si>
    <t>股價(股)</t>
  </si>
  <si>
    <t>股利收入</t>
  </si>
  <si>
    <t>FVTPL損失</t>
  </si>
  <si>
    <t>購入成本</t>
  </si>
  <si>
    <t>持股比例</t>
  </si>
  <si>
    <t>綜合損益</t>
  </si>
  <si>
    <t>現金股利</t>
  </si>
  <si>
    <t>權益法認列之損益份額</t>
  </si>
  <si>
    <t>權益法</t>
  </si>
  <si>
    <t>T字型</t>
  </si>
  <si>
    <t>20年度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</si>
</sst>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  <numFmt numFmtId="181" formatCode="#,##0.00_ "/>
    <numFmt numFmtId="182" formatCode="m&quot;月&quot;d&quot;日&quot;"/>
    <numFmt numFmtId="183" formatCode="#,##0.000_ "/>
  </numFmts>
  <fonts count="6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  <font>
      <sz val="12"/>
      <name val="Calibri"/>
      <charset val="1"/>
    </font>
    <font>
      <sz val="11"/>
      <color rgb="FF44444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181" fontId="0" fillId="0" borderId="0" xfId="0" applyNumberFormat="1"/>
    <xf numFmtId="182" fontId="0" fillId="0" borderId="0" xfId="0" applyNumberFormat="1"/>
    <xf numFmtId="0" fontId="3" fillId="0" borderId="0" xfId="0" applyFont="1"/>
    <xf numFmtId="179" fontId="0" fillId="0" borderId="4" xfId="0" applyNumberFormat="1" applyBorder="1"/>
    <xf numFmtId="179" fontId="0" fillId="0" borderId="1" xfId="0" applyNumberFormat="1" applyBorder="1"/>
    <xf numFmtId="0" fontId="0" fillId="0" borderId="16" xfId="0" applyBorder="1"/>
    <xf numFmtId="0" fontId="5" fillId="0" borderId="0" xfId="0" applyFont="1"/>
    <xf numFmtId="179" fontId="0" fillId="0" borderId="3" xfId="0" applyNumberFormat="1" applyBorder="1"/>
    <xf numFmtId="179" fontId="0" fillId="0" borderId="10" xfId="0" applyNumberFormat="1" applyBorder="1"/>
    <xf numFmtId="176" fontId="0" fillId="0" borderId="18" xfId="0" applyNumberFormat="1" applyBorder="1"/>
    <xf numFmtId="183" fontId="0" fillId="0" borderId="0" xfId="0" applyNumberFormat="1"/>
    <xf numFmtId="183" fontId="0" fillId="2" borderId="0" xfId="0" applyNumberFormat="1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microsoft.com/office/2017/10/relationships/person" Target="persons/perso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alcChain" Target="calcChain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D9802697-BFDB-4476-AFD6-0FAA6D9EF3A5}">
    <text>詳見，Accounting (Studying).docx。CH9的20題。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K9" dT="2024-02-12T00:20:14.63" personId="{F702E3D2-4E7B-40B8-9A75-837AA64B8094}" id="{292C61DE-D93C-4D77-A133-651752AB9984}">
    <text>期末存貨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H3" dT="2024-02-06T07:18:52.11" personId="{F702E3D2-4E7B-40B8-9A75-837AA64B8094}" id="{B78456FF-FA2F-4143-8AFB-178C68BFD2EC}">
    <text>參考，CH11-3-4 page 266。</text>
  </threadedComment>
  <threadedComment ref="M3" dT="2024-02-06T07:18:52.11" personId="{F702E3D2-4E7B-40B8-9A75-837AA64B8094}" id="{F9D05D7D-128C-4E56-9275-7EB39E955679}">
    <text>參考，CH11-3-4 page 266。</text>
  </threadedComment>
  <threadedComment ref="M8" dT="2024-02-06T07:28:10.83" personId="{F702E3D2-4E7B-40B8-9A75-837AA64B8094}" id="{3B6C8113-ED6E-4DC2-9ECB-C6C993043A61}">
    <text>數值為上三項科目的數值總和</text>
  </threadedComment>
  <threadedComment ref="M9" dT="2024-02-06T07:30:07.54" personId="{F702E3D2-4E7B-40B8-9A75-837AA64B8094}" id="{2D1FCF36-BA95-4A0B-BD36-869E513646DD}">
    <text>成本率 = 可供銷售商品的成本/可供銷售商品的零售價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C3" dT="2024-02-12T12:45:56.36" personId="{F702E3D2-4E7B-40B8-9A75-837AA64B8094}" id="{C4F56186-D303-4132-A760-03B5963D4C53}">
    <text>詳見，CH12 part 1 Q36。</text>
  </threadedComment>
  <threadedComment ref="C4" dT="2024-02-12T13:08:40.34" personId="{F702E3D2-4E7B-40B8-9A75-837AA64B8094}" id="{D0A40ABC-6F47-4367-9C0A-3E6D08031F71}">
    <text>想求：
甲公司可認列的商譽是多少?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D6" dT="2024-02-12T01:32:06.60" personId="{F702E3D2-4E7B-40B8-9A75-837AA64B8094}" id="{A2168248-DE8B-4497-B27C-93AB61B1DC48}">
    <text>此科目的數額為題目所問的成本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C3" dT="2024-02-13T08:42:52.15" personId="{F702E3D2-4E7B-40B8-9A75-837AA64B8094}" id="{71C7FF9F-E798-4FC5-BC85-087B97950848}">
    <text>詳見，accounting (studying).docx
檔的CH17 的 part 1的第23題。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C3" dT="2024-02-14T08:50:26.64" personId="{F702E3D2-4E7B-40B8-9A75-837AA64B8094}" id="{855A39EA-A303-4335-B20D-E095E56EEAA9}">
    <text>詳見 accounting (studying).docx。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C3" dT="2024-02-14T10:50:45.05" personId="{F702E3D2-4E7B-40B8-9A75-837AA64B8094}" id="{2D142CAC-1446-4819-891D-143CF79A88EC}">
    <text>詳見 accounting (studying).docx。</text>
  </threadedComment>
  <threadedComment ref="D3" dT="2024-02-14T10:55:20.10" personId="{F702E3D2-4E7B-40B8-9A75-837AA64B8094}" id="{11A3C39D-DE84-46CE-AD62-C17250D31BC8}">
    <text>參考，會計學課本CH18-3-6 page 510上的實例的分錄。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D4" dT="2024-02-14T11:30:41.35" personId="{F702E3D2-4E7B-40B8-9A75-837AA64B8094}" id="{B63C3E5C-EA71-455A-B8E0-F91F1DB64772}">
    <text>溢價攤銷表的格式和計算方法，請參考會計學課本CH18-3-2 page 503上的溢價攤銷表。</text>
  </threadedComment>
  <threadedComment ref="E6" dT="2024-02-14T11:33:27.03" personId="{F702E3D2-4E7B-40B8-9A75-837AA64B8094}" id="{DE84F715-F9A1-48F8-9BB3-CF2F8950C2AF}">
    <text>(1) 實際付現 = 票面利率 * 面額</text>
  </threadedComment>
  <threadedComment ref="F6" dT="2024-02-14T11:34:46.69" personId="{F702E3D2-4E7B-40B8-9A75-837AA64B8094}" id="{48178402-FF92-4E93-BB78-BA942B4BCE24}">
    <text>(2) 利息費用 = 上期的帳面金額 * 市場利率</text>
  </threadedComment>
  <threadedComment ref="F6" dT="2024-02-14T11:35:11.44" personId="{F702E3D2-4E7B-40B8-9A75-837AA64B8094}" id="{A4EC7D17-A996-40E1-A487-FA1FBC43DEB7}" parentId="{48178402-FF92-4E93-BB78-BA942B4BCE24}">
    <text>P.S.
發行時的帳面金額 = 發行價格</text>
  </threadedComment>
  <threadedComment ref="F6" dT="2024-02-14T11:36:32.35" personId="{F702E3D2-4E7B-40B8-9A75-837AA64B8094}" id="{C8598BC5-FBA8-4539-85B7-24378E693483}" parentId="{48178402-FF92-4E93-BB78-BA942B4BCE24}">
    <text>計算發行價格：參考會計學課本的CH18-3-2 page 502和課本附表的表格及公式。</text>
  </threadedComment>
  <threadedComment ref="G6" dT="2024-02-14T11:37:32.24" personId="{F702E3D2-4E7B-40B8-9A75-837AA64B8094}" id="{F450FA18-9665-430E-9EF0-DEF9AA556B14}">
    <text>(3) 溢價攤銷 = 實際付現 - 利息費用</text>
  </threadedComment>
  <threadedComment ref="H6" dT="2024-02-14T11:38:41.82" personId="{F702E3D2-4E7B-40B8-9A75-837AA64B8094}" id="{21F8ADCC-C263-414C-BA0A-E7ADE97ECDEE}">
    <text xml:space="preserve">(4) 溢價餘額 = 上期的溢價餘額 - 本期的溢價攤銷 </text>
  </threadedComment>
  <threadedComment ref="H6" dT="2024-02-14T11:39:02.82" personId="{F702E3D2-4E7B-40B8-9A75-837AA64B8094}" id="{06971AE7-9FA4-4AF2-9B87-DFA1358A51D7}" parentId="{21F8ADCC-C263-414C-BA0A-E7ADE97ECDEE}">
    <text>P.S.
本期的溢價攤銷為上個步驟所算出的結果。</text>
  </threadedComment>
  <threadedComment ref="I6" dT="2024-02-14T11:39:56.83" personId="{F702E3D2-4E7B-40B8-9A75-837AA64B8094}" id="{1A39ABB6-0B31-4E61-94D9-F992F6A4DEF1}">
    <text>(5) 公司債帳面金額 = 上期的公司債帳面金額 - 本期的溢價攤銷</text>
  </threadedComment>
  <threadedComment ref="I6" dT="2024-02-14T11:40:30.97" personId="{F702E3D2-4E7B-40B8-9A75-837AA64B8094}" id="{947F6CB5-D556-4E66-9F9B-D2D1CDF25C9C}" parentId="{1A39ABB6-0B31-4E61-94D9-F992F6A4DEF1}">
    <text>P.S.
本期的溢價攤銷為第三個步驟所算出的結果。</text>
  </threadedComment>
  <threadedComment ref="B7" dT="2024-02-14T12:21:24.02" personId="{F702E3D2-4E7B-40B8-9A75-837AA64B8094}" id="{06A0DE42-7C21-4A0D-9063-43ADC6FAD502}">
    <text>參考，Accounting (studying).docx的CH18的第12題所給的有效利率。</text>
  </threadedComment>
  <threadedComment ref="H7" dT="2024-02-14T12:03:01.17" personId="{F702E3D2-4E7B-40B8-9A75-837AA64B8094}" id="{757A0263-CD18-41EB-BF4B-607FA95BA75C}">
    <text>參考，Accounting (studying).docx的CH18的第12題的第二部分。</text>
  </threadedComment>
  <threadedComment ref="I7" dT="2024-02-14T12:07:41.50" personId="{F702E3D2-4E7B-40B8-9A75-837AA64B8094}" id="{5C7914FD-E6CE-4744-8C58-26F964940E16}">
    <text>參考，Accounting (studying).docx的CH18的第12題的第三部分。</text>
  </threadedComment>
  <threadedComment ref="D8" dT="2024-02-14T12:23:10.51" personId="{F702E3D2-4E7B-40B8-9A75-837AA64B8094}" id="{ABD555AD-C3AB-4F26-AC1F-3F899D53EE92}">
    <text>因為題目只要求出2020年度的利息費用，所以之後的數值有可能部會計算。</text>
  </threadedComment>
  <threadedComment ref="D8" dT="2024-02-14T12:23:58.87" personId="{F702E3D2-4E7B-40B8-9A75-837AA64B8094}" id="{0829FEC0-2695-42CF-A871-4EC1864F5F6A}" parentId="{ABD555AD-C3AB-4F26-AC1F-3F899D53EE92}">
    <text>但不代表此表格應該長這樣，有些數值不被算而省略不寫。</text>
  </threadedComment>
  <threadedComment ref="F9" dT="2024-02-14T12:40:06.23" personId="{F702E3D2-4E7B-40B8-9A75-837AA64B8094}" id="{55C8A40F-B2CC-4E7D-BB64-38E9209A3D93}">
    <text>題目所要求的。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D4" dT="2024-02-14T11:30:41.35" personId="{F702E3D2-4E7B-40B8-9A75-837AA64B8094}" id="{205ADBC6-149B-47F2-9E42-D4107C5AD4BE}">
    <text>溢價攤銷表的格式和計算方法，請參考會計學課本CH18-3-2 page 503上的溢價攤銷表。</text>
  </threadedComment>
  <threadedComment ref="E6" dT="2024-02-14T11:33:27.03" personId="{F702E3D2-4E7B-40B8-9A75-837AA64B8094}" id="{A4E9992E-E176-4A5F-A4FC-B12611BA9D39}">
    <text>(1) 實際付現 = 票面利率 * 面額</text>
  </threadedComment>
  <threadedComment ref="F6" dT="2024-02-14T11:34:46.69" personId="{F702E3D2-4E7B-40B8-9A75-837AA64B8094}" id="{93A5F738-7627-4AA6-9B05-CB45C17703F9}">
    <text>(2) 利息費用 = 上期的帳面金額 * 市場利率</text>
  </threadedComment>
  <threadedComment ref="F6" dT="2024-02-14T11:35:11.44" personId="{F702E3D2-4E7B-40B8-9A75-837AA64B8094}" id="{AA5DED05-8BD6-4990-BE00-4F6AA43A10A7}" parentId="{93A5F738-7627-4AA6-9B05-CB45C17703F9}">
    <text>P.S.
發行時的帳面金額 = 發行價格</text>
  </threadedComment>
  <threadedComment ref="F6" dT="2024-02-14T11:36:32.35" personId="{F702E3D2-4E7B-40B8-9A75-837AA64B8094}" id="{B52CDE62-7C23-47B2-B27A-030287DCDECB}" parentId="{93A5F738-7627-4AA6-9B05-CB45C17703F9}">
    <text>計算發行價格：參考會計學課本的CH18-3-2 page 502和課本附表的表格及公式。</text>
  </threadedComment>
  <threadedComment ref="G6" dT="2024-02-14T11:37:32.24" personId="{F702E3D2-4E7B-40B8-9A75-837AA64B8094}" id="{91C0A089-4F4E-4A7F-BA95-041AD4A622AC}">
    <text>(3) 折價攤銷 =  利息費用 - 實際付現</text>
  </threadedComment>
  <threadedComment ref="H6" dT="2024-02-14T11:38:41.82" personId="{F702E3D2-4E7B-40B8-9A75-837AA64B8094}" id="{E2C11DD0-58BF-42D0-AB17-6E3B916B52FF}">
    <text xml:space="preserve">(4) 折價餘額 = 上期的折價餘額 - 本期的折價攤銷 </text>
  </threadedComment>
  <threadedComment ref="H6" dT="2024-02-14T11:39:02.82" personId="{F702E3D2-4E7B-40B8-9A75-837AA64B8094}" id="{920B4E78-E137-4030-B23D-812509B8C0B3}" parentId="{E2C11DD0-58BF-42D0-AB17-6E3B916B52FF}">
    <text>P.S.
本期的折價攤銷為上個步驟所算出的結果。</text>
  </threadedComment>
  <threadedComment ref="I6" dT="2024-02-14T11:39:56.83" personId="{F702E3D2-4E7B-40B8-9A75-837AA64B8094}" id="{15A9E86C-1DB7-4FCE-B2AE-A2108DCAD8F3}">
    <text>(5) 公司債帳面價值 = 上期的公司債帳面價值 + 本期的折價攤銷</text>
  </threadedComment>
  <threadedComment ref="I6" dT="2024-02-14T11:40:30.97" personId="{F702E3D2-4E7B-40B8-9A75-837AA64B8094}" id="{E5E5B060-0DAB-4E83-91CF-9A57EF695635}" parentId="{15A9E86C-1DB7-4FCE-B2AE-A2108DCAD8F3}">
    <text>P.S.
本期的折價攤銷為第三個步驟所算出的結果。</text>
  </threadedComment>
  <threadedComment ref="H7" dT="2024-02-14T12:03:01.17" personId="{F702E3D2-4E7B-40B8-9A75-837AA64B8094}" id="{875B675F-AFDA-4676-B8D4-E286CB788531}">
    <text>參考，Accounting (studying).docx的CH18的第12題的第二部分。</text>
  </threadedComment>
  <threadedComment ref="I7" dT="2024-02-14T12:07:41.50" personId="{F702E3D2-4E7B-40B8-9A75-837AA64B8094}" id="{C5ED0C28-59CC-44E7-8174-24B2D40A28CB}">
    <text>參考，Accounting (studying).docx的CH18的第12題的第三部分。</text>
  </threadedComment>
  <threadedComment ref="D8" dT="2024-02-14T12:23:10.51" personId="{F702E3D2-4E7B-40B8-9A75-837AA64B8094}" id="{5C1531C7-626F-4EE4-B157-84DCE5387045}">
    <text>因為題目只要求出2020年度的利息費用，所以之後的數值有可能部會計算。</text>
  </threadedComment>
  <threadedComment ref="D8" dT="2024-02-14T12:23:58.87" personId="{F702E3D2-4E7B-40B8-9A75-837AA64B8094}" id="{70EE0E7A-C20C-4DBA-8D8E-AEB3B180825D}" parentId="{5C1531C7-626F-4EE4-B157-84DCE5387045}">
    <text>但不代表此表格應該長這樣，有些數值不被算而省略不寫。</text>
  </threadedComment>
  <threadedComment ref="G8" dT="2024-02-14T12:55:35.83" personId="{F702E3D2-4E7B-40B8-9A75-837AA64B8094}" id="{F6681416-1519-4166-9FEA-123EDEFA049D}">
    <text>題目所要求的。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A2" dT="2024-02-03T18:19:42.34" personId="{F702E3D2-4E7B-40B8-9A75-837AA64B8094}" id="{D8FB1711-06D1-44D4-B3B4-EE0353839A31}" parentId="{34C353A3-4A3D-4BF6-A7BE-B482F619C311}">
    <text>這個錯誤的發現是來自課本的工作底稿的科目(我仔細觀察發現)</text>
  </threadedComment>
  <threadedComment ref="A2" dT="2024-02-03T18:29:58.14" personId="{F702E3D2-4E7B-40B8-9A75-837AA64B8094}" id="{FE5D0B41-08BE-4A2F-8134-1534481056A9}" parentId="{34C353A3-4A3D-4BF6-A7BE-B482F619C311}">
    <text>微小細節調整，合併儲存格和調整列寬。</text>
  </threadedComment>
  <threadedComment ref="A2" dT="2024-02-03T18:49:25.52" personId="{F702E3D2-4E7B-40B8-9A75-837AA64B8094}" id="{56327A2F-D194-45B1-901C-D23618F8710B}" parentId="{34C353A3-4A3D-4BF6-A7BE-B482F619C311}">
    <text>微小細節調整，重新計算原本T字形的總計。並記錄在表格中。開始於cell K49和I120。</text>
  </threadedComment>
  <threadedComment ref="A2" dT="2024-02-03T18:50:19.93" personId="{F702E3D2-4E7B-40B8-9A75-837AA64B8094}" id="{CF97F40E-AE0F-4DA6-9C40-5A687DD7A0A5}" parentId="{34C353A3-4A3D-4BF6-A7BE-B482F619C311}">
    <text>K49的是用公式算，則J120的就只是複製並貼上K49數值。</text>
  </threadedComment>
  <threadedComment ref="A2" dT="2024-02-03T19:05:58.82" personId="{F702E3D2-4E7B-40B8-9A75-837AA64B8094}" id="{0E9C7AB0-C15C-4ECC-9C90-70A7A473C8EC}" parentId="{34C353A3-4A3D-4BF6-A7BE-B482F619C311}">
    <text>主要更正，T字形中的應付稅捐這個科目，從一萬元更正一千元。</text>
  </threadedComment>
  <threadedComment ref="A2" dT="2024-02-03T19:08:43.15" personId="{F702E3D2-4E7B-40B8-9A75-837AA64B8094}" id="{E6B362F5-1FB2-42DA-A07A-691AA64651DA}" parentId="{34C353A3-4A3D-4BF6-A7BE-B482F619C311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  <threadedComment ref="A114" dT="2024-02-03T18:58:36.43" personId="{F702E3D2-4E7B-40B8-9A75-837AA64B8094}" id="{B7A44D5C-E6C9-469A-9885-E630D2D0D089}">
    <text>根據I120的cell，將數值複製並貼上值，然後將負數的值移動貸方。</text>
  </threadedComment>
  <threadedComment ref="K114" dT="2024-02-03T18:57:12.38" personId="{F702E3D2-4E7B-40B8-9A75-837AA64B8094}" id="{16CF95BD-9F68-4B88-A993-5745082502DD}">
    <text>根據I120的cell，並用excel的公式計算。</text>
  </threadedComment>
  <threadedComment ref="H118" dT="2024-02-03T18:46:00.96" personId="{F702E3D2-4E7B-40B8-9A75-837AA64B8094}" id="{3262E0BF-B96D-4AF5-A9AD-CC02E3EDCE96}">
    <text>原本的文字內容：T字形科目金額總計(只貼上值)</text>
  </threadedComment>
  <threadedComment ref="H118" dT="2024-02-03T18:46:28.96" personId="{F702E3D2-4E7B-40B8-9A75-837AA64B8094}" id="{D1A72220-FFE8-4066-8E45-FCC9411847AC}" parentId="{3262E0BF-B96D-4AF5-A9AD-CC02E3EDCE96}">
    <text>打算訂這樣但因為字元太長。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3" dT="2024-02-14T13:42:22.43" personId="{F702E3D2-4E7B-40B8-9A75-837AA64B8094}" id="{C2843E9D-75D1-4187-86BF-4AAAA304AC19}">
    <text>因應題目要求。</text>
  </threadedComment>
  <threadedComment ref="D4" dT="2024-02-14T11:30:41.35" personId="{F702E3D2-4E7B-40B8-9A75-837AA64B8094}" id="{190CA860-667E-4BCA-9AB1-9BC0EC079BF3}">
    <text>溢價攤銷表的格式和計算方法，請參考會計學課本CH18-3-2 page 503上的溢價攤銷表。</text>
  </threadedComment>
  <threadedComment ref="L4" dT="2024-02-14T11:30:41.35" personId="{F702E3D2-4E7B-40B8-9A75-837AA64B8094}" id="{9D05DDDA-A991-4689-B759-01609B76686C}">
    <text>溢價攤銷表的格式和計算方法，請參考會計學課本CH18-3-2 page 503上的溢價攤銷表。</text>
  </threadedComment>
  <threadedComment ref="E6" dT="2024-02-14T11:33:27.03" personId="{F702E3D2-4E7B-40B8-9A75-837AA64B8094}" id="{8BC877FC-F19D-48A4-B5F8-A035E2972AC4}">
    <text>(1) 實際付現 = 票面利率 * 面額</text>
  </threadedComment>
  <threadedComment ref="F6" dT="2024-02-14T11:34:46.69" personId="{F702E3D2-4E7B-40B8-9A75-837AA64B8094}" id="{229A1435-EAEC-45D0-B2C0-5260F791B7F1}">
    <text>(2) 利息費用 = 上期的帳面金額 * 市場利率</text>
  </threadedComment>
  <threadedComment ref="F6" dT="2024-02-14T11:35:11.44" personId="{F702E3D2-4E7B-40B8-9A75-837AA64B8094}" id="{B8B26E6C-C9EB-4157-A23F-B2A4DFE2360B}" parentId="{229A1435-EAEC-45D0-B2C0-5260F791B7F1}">
    <text>P.S.
發行時的帳面金額 = 發行價格</text>
  </threadedComment>
  <threadedComment ref="F6" dT="2024-02-14T11:36:32.35" personId="{F702E3D2-4E7B-40B8-9A75-837AA64B8094}" id="{D3B2AC9C-C4F1-4BE0-981D-F383FCEA21FA}" parentId="{229A1435-EAEC-45D0-B2C0-5260F791B7F1}">
    <text>計算發行價格：參考會計學課本的CH18-3-2 page 502和課本附表的表格及公式。</text>
  </threadedComment>
  <threadedComment ref="G6" dT="2024-02-14T11:37:32.24" personId="{F702E3D2-4E7B-40B8-9A75-837AA64B8094}" id="{A31BA210-1BE7-4A31-8C1F-634EF333ADDE}">
    <text>(3) 折價攤銷 =  利息費用 - 實際付現</text>
  </threadedComment>
  <threadedComment ref="H6" dT="2024-02-14T11:38:41.82" personId="{F702E3D2-4E7B-40B8-9A75-837AA64B8094}" id="{D0FF3BBD-83C4-4C8E-9F9C-853A862A54B8}">
    <text xml:space="preserve">(4) 折價餘額 = 上期的折價餘額 - 本期的折價攤銷 </text>
  </threadedComment>
  <threadedComment ref="H6" dT="2024-02-14T11:39:02.82" personId="{F702E3D2-4E7B-40B8-9A75-837AA64B8094}" id="{8CC898B4-85EA-426C-8332-C5C07D41269F}" parentId="{D0FF3BBD-83C4-4C8E-9F9C-853A862A54B8}">
    <text>P.S.
本期的折價攤銷為上個步驟所算出的結果。</text>
  </threadedComment>
  <threadedComment ref="I6" dT="2024-02-14T11:39:56.83" personId="{F702E3D2-4E7B-40B8-9A75-837AA64B8094}" id="{B283AF4E-98D2-4600-959B-DC8082916FD3}">
    <text>(5) 公司債帳面價值 = 上期的公司債帳面價值 + 本期的折價攤銷</text>
  </threadedComment>
  <threadedComment ref="I6" dT="2024-02-14T11:40:30.97" personId="{F702E3D2-4E7B-40B8-9A75-837AA64B8094}" id="{6F32D8CE-5CC8-462F-9F30-70C365F6FC13}" parentId="{B283AF4E-98D2-4600-959B-DC8082916FD3}">
    <text>P.S.
本期的折價攤銷為第三個步驟所算出的結果。</text>
  </threadedComment>
  <threadedComment ref="M6" dT="2024-02-14T11:33:27.03" personId="{F702E3D2-4E7B-40B8-9A75-837AA64B8094}" id="{26AE523D-214E-457B-9017-239FED07D475}">
    <text>(1) 實際付現 = 票面利率 * 面額</text>
  </threadedComment>
  <threadedComment ref="N6" dT="2024-02-14T11:34:46.69" personId="{F702E3D2-4E7B-40B8-9A75-837AA64B8094}" id="{AF50AF8B-80B9-4EAD-8951-2A39ACBB30FD}">
    <text>(2) 利息費用 = 上期的帳面金額 * 市場利率</text>
  </threadedComment>
  <threadedComment ref="N6" dT="2024-02-14T11:35:11.44" personId="{F702E3D2-4E7B-40B8-9A75-837AA64B8094}" id="{1C7232A5-E87F-4F68-92E9-D09E5D78E100}" parentId="{AF50AF8B-80B9-4EAD-8951-2A39ACBB30FD}">
    <text>P.S.
發行時的帳面金額 = 發行價格</text>
  </threadedComment>
  <threadedComment ref="N6" dT="2024-02-14T11:36:32.35" personId="{F702E3D2-4E7B-40B8-9A75-837AA64B8094}" id="{C29C5B18-BA5D-46DB-BA39-40BF1F148005}" parentId="{AF50AF8B-80B9-4EAD-8951-2A39ACBB30FD}">
    <text>計算發行價格：參考會計學課本的CH18-3-2 page 502和課本附表的表格及公式。</text>
  </threadedComment>
  <threadedComment ref="O6" dT="2024-02-14T11:37:32.24" personId="{F702E3D2-4E7B-40B8-9A75-837AA64B8094}" id="{C4E001F2-B720-49CA-A247-5699902AA161}">
    <text>(3) 折價攤銷 =  利息費用 - 實際付現</text>
  </threadedComment>
  <threadedComment ref="P6" dT="2024-02-14T11:38:41.82" personId="{F702E3D2-4E7B-40B8-9A75-837AA64B8094}" id="{4E9FF8C0-54FB-44CC-9A2B-E80A09945483}">
    <text xml:space="preserve">(4) 折價餘額 = 上期的折價餘額 - 本期的折價攤銷 </text>
  </threadedComment>
  <threadedComment ref="P6" dT="2024-02-14T11:39:02.82" personId="{F702E3D2-4E7B-40B8-9A75-837AA64B8094}" id="{414C48BA-9A49-4E4E-811A-88367463531C}" parentId="{4E9FF8C0-54FB-44CC-9A2B-E80A09945483}">
    <text>P.S.
本期的折價攤銷為上個步驟所算出的結果。</text>
  </threadedComment>
  <threadedComment ref="Q6" dT="2024-02-14T11:39:56.83" personId="{F702E3D2-4E7B-40B8-9A75-837AA64B8094}" id="{938EF8A0-F04C-4B12-861C-3B83166E45E4}">
    <text>(5) 公司債帳面價值 = 上期的公司債帳面價值 + 本期的折價攤銷</text>
  </threadedComment>
  <threadedComment ref="Q6" dT="2024-02-14T11:40:30.97" personId="{F702E3D2-4E7B-40B8-9A75-837AA64B8094}" id="{C5A87870-B57A-46FE-BEC1-8B05D6513703}" parentId="{938EF8A0-F04C-4B12-861C-3B83166E45E4}">
    <text>P.S.
本期的折價攤銷為第三個步驟所算出的結果。</text>
  </threadedComment>
  <threadedComment ref="H7" dT="2024-02-14T12:03:01.17" personId="{F702E3D2-4E7B-40B8-9A75-837AA64B8094}" id="{C17F294B-A231-41AD-A751-2D9B342DD0EB}">
    <text>參考，Accounting (studying).docx的CH18的第12題的第二部分。</text>
  </threadedComment>
  <threadedComment ref="I7" dT="2024-02-14T12:07:41.50" personId="{F702E3D2-4E7B-40B8-9A75-837AA64B8094}" id="{F43B8A13-CFA2-42CD-ABBA-D66215B1F7DC}">
    <text>參考，Accounting (studying).docx的CH18的第12題的第三部分。</text>
  </threadedComment>
  <threadedComment ref="P7" dT="2024-02-14T12:03:01.17" personId="{F702E3D2-4E7B-40B8-9A75-837AA64B8094}" id="{BE31FAE8-55B8-41FD-88FB-9479A6CB3C77}">
    <text>參考，Accounting (studying).docx的CH18的第12題的第二部分。</text>
  </threadedComment>
  <threadedComment ref="Q7" dT="2024-02-14T12:07:41.50" personId="{F702E3D2-4E7B-40B8-9A75-837AA64B8094}" id="{986C04FA-C81F-44C7-95B2-F5B460D9C242}">
    <text>參考，Accounting (studying).docx的CH18的第12題的第三部分。</text>
  </threadedComment>
  <threadedComment ref="D8" dT="2024-02-14T12:23:10.51" personId="{F702E3D2-4E7B-40B8-9A75-837AA64B8094}" id="{71B418E6-E99B-4486-BC2C-F90A7ED8FC3E}">
    <text>因為題目只要求出2020年度的利息費用，所以之後的數值有可能部會計算。</text>
  </threadedComment>
  <threadedComment ref="D8" dT="2024-02-14T12:23:58.87" personId="{F702E3D2-4E7B-40B8-9A75-837AA64B8094}" id="{85E423D1-E75F-4269-AFE4-0F16188FCEA6}" parentId="{71B418E6-E99B-4486-BC2C-F90A7ED8FC3E}">
    <text>但不代表此表格應該長這樣，有些數值不被算而省略不寫。</text>
  </threadedComment>
  <threadedComment ref="N9" dT="2024-02-14T13:44:09.06" personId="{F702E3D2-4E7B-40B8-9A75-837AA64B8094}" id="{EC3DDB65-F536-4681-BD3D-E8E45ED88ED9}">
    <text>題目所要求的。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F5" dT="2024-02-15T02:21:17.98" personId="{F702E3D2-4E7B-40B8-9A75-837AA64B8094}" id="{EAD38383-EB5C-447D-B311-7529EB8BA026}">
    <text>當初甲公司買公司債的成本。</text>
  </threadedComment>
  <threadedComment ref="F7" dT="2024-02-15T02:21:57.42" personId="{F702E3D2-4E7B-40B8-9A75-837AA64B8094}" id="{5940ED42-0269-426C-A9E7-CA8A3D195FB6}">
    <text>乙公司發放給甲公司的現金股利。</text>
  </threadedComment>
  <threadedComment ref="F9" dT="2024-02-15T02:22:54.33" personId="{F702E3D2-4E7B-40B8-9A75-837AA64B8094}" id="{791DB369-5B2E-41CE-A770-F07A381F1CC3}">
    <text>當年度乙公司的淨利，按照甲公司持股比例計算。</text>
  </threadedComment>
  <threadedComment ref="F11" dT="2024-02-15T02:23:14.77" personId="{F702E3D2-4E7B-40B8-9A75-837AA64B8094}" id="{E6E250D6-D4F7-4693-B8C0-7995F6DD6662}">
    <text>當年度乙公司的綜合損益表，按照甲公司持股比例計算。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B21C1172-9B1F-4066-A4A3-B5ABC655902D}">
    <text>跟A5-3的工作表內容不一樣，在這裡，我將物料視為收入的一種。</text>
  </threadedComment>
  <threadedComment ref="A2" dT="2024-02-03T09:31:08.17" personId="{F702E3D2-4E7B-40B8-9A75-837AA64B8094}" id="{0EF2658E-9DFF-475C-8C5B-AE89DB93F7E4}" parentId="{B21C1172-9B1F-4066-A4A3-B5ABC655902D}">
    <text>我剛剛忘了說，解答本所列的分錄跟我列的不一樣，不知是否可行？</text>
  </threadedComment>
  <threadedComment ref="A2" dT="2024-02-03T18:18:02.22" personId="{F702E3D2-4E7B-40B8-9A75-837AA64B8094}" id="{6AAAE81A-DA94-4768-AAF1-A0AD342B5FB1}" parentId="{B21C1172-9B1F-4066-A4A3-B5ABC655902D}">
    <text>再次更正</text>
  </threadedComment>
  <threadedComment ref="A2" dT="2024-02-03T18:18:56.70" personId="{F702E3D2-4E7B-40B8-9A75-837AA64B8094}" id="{36D49CC6-663F-40A5-8C68-7407A001AFA6}" parentId="{B21C1172-9B1F-4066-A4A3-B5ABC655902D}">
    <text>跟A5-3(2)不一樣，我將累積折舊列為負債</text>
  </threadedComment>
  <threadedComment ref="A2" dT="2024-02-03T18:19:42.34" personId="{F702E3D2-4E7B-40B8-9A75-837AA64B8094}" id="{798729DA-4029-47B5-9EB5-1E3FA46E04CE}" parentId="{B21C1172-9B1F-4066-A4A3-B5ABC655902D}">
    <text>這個錯誤的發現是來自課本的工作底稿的科目(我仔細觀察發現)</text>
  </threadedComment>
  <threadedComment ref="A2" dT="2024-02-03T18:29:58.14" personId="{F702E3D2-4E7B-40B8-9A75-837AA64B8094}" id="{32E067A6-CFD8-49EA-91BE-3655D102D4A3}" parentId="{B21C1172-9B1F-4066-A4A3-B5ABC655902D}">
    <text>微小細節調整，合併儲存格和調整列寬。</text>
  </threadedComment>
  <threadedComment ref="A2" dT="2024-02-03T18:49:25.52" personId="{F702E3D2-4E7B-40B8-9A75-837AA64B8094}" id="{87BB30BA-FA07-451B-B18B-234D06D6621F}" parentId="{B21C1172-9B1F-4066-A4A3-B5ABC655902D}">
    <text>微小細節調整，重新計算原本T字形的總計。並記錄在表格中。開始於cell K49和I120。</text>
  </threadedComment>
  <threadedComment ref="A2" dT="2024-02-03T18:50:19.93" personId="{F702E3D2-4E7B-40B8-9A75-837AA64B8094}" id="{8B345983-2AAF-467B-A3F1-509A6E708E3D}" parentId="{B21C1172-9B1F-4066-A4A3-B5ABC655902D}">
    <text>K49的是用公式算，則J120的就只是複製並貼上K49數值。</text>
  </threadedComment>
  <threadedComment ref="A2" dT="2024-02-03T19:05:58.82" personId="{F702E3D2-4E7B-40B8-9A75-837AA64B8094}" id="{D963009A-F0CF-45C5-A33D-2E6FA69BC355}" parentId="{B21C1172-9B1F-4066-A4A3-B5ABC655902D}">
    <text>主要更正，T字形中的應付稅捐這個科目，從一萬元更正一千元。</text>
  </threadedComment>
  <threadedComment ref="A2" dT="2024-02-03T19:08:43.15" personId="{F702E3D2-4E7B-40B8-9A75-837AA64B8094}" id="{B13E741B-C4FC-4C42-9F3D-BEB64B8C7B8C}" parentId="{B21C1172-9B1F-4066-A4A3-B5ABC655902D}">
    <text>細微增加，首先，增加一個小表格，根據I120的cell並用公式計算。其次，
用excel公式跟原本的小表格計算其相等性。</text>
  </threadedComment>
  <threadedComment ref="A2" dT="2024-02-03T20:30:13.42" personId="{F702E3D2-4E7B-40B8-9A75-837AA64B8094}" id="{94B3013D-72D5-41DF-920F-7D80FD250D3E}" parentId="{B21C1172-9B1F-4066-A4A3-B5ABC655902D}">
    <text>主要更正，剛剛檢討選擇題時，意外發現，累積折舊屬於資產減少，應記載於貸方。</text>
  </threadedComment>
  <threadedComment ref="E2" dT="2024-02-03T10:08:02.82" personId="{F702E3D2-4E7B-40B8-9A75-837AA64B8094}" id="{37EB792A-2639-4561-A575-313385C42344}">
    <text>A3-3題目和解答，詳見"A3-3題目和解答"工作表。</text>
  </threadedComment>
  <threadedComment ref="E3" dT="2024-02-03T10:08:37.95" personId="{F702E3D2-4E7B-40B8-9A75-837AA64B8094}" id="{38D5FD98-E4E2-424A-B554-62B04CFF60CF}">
    <text>A4-3題目和解答，詳見
A4-3題目和解答的工作表。</text>
  </threadedComment>
  <threadedComment ref="A30" dT="2024-02-03T09:44:28.14" personId="{F702E3D2-4E7B-40B8-9A75-837AA64B8094}" id="{C51CB67A-3161-470A-AA47-2F3C2952454B}">
    <text>對題目A4-3，我的答案。</text>
  </threadedComment>
  <threadedComment ref="A30" dT="2024-02-03T09:44:52.87" personId="{F702E3D2-4E7B-40B8-9A75-837AA64B8094}" id="{155FC2CB-74AC-4A4A-8CA9-862BDC16E6DF}" parentId="{C51CB67A-3161-470A-AA47-2F3C2952454B}">
    <text>從A30到G39。</text>
  </threadedComment>
  <threadedComment ref="A114" dT="2024-02-03T18:58:36.43" personId="{F702E3D2-4E7B-40B8-9A75-837AA64B8094}" id="{5E442DBC-6DBD-45E5-B3E5-777B38518E7F}">
    <text>根據I120的cell，將數值複製並貼上值，然後將負數的值移動貸方。</text>
  </threadedComment>
  <threadedComment ref="K114" dT="2024-02-03T18:57:12.38" personId="{F702E3D2-4E7B-40B8-9A75-837AA64B8094}" id="{3F3212EA-9254-414B-9A16-E794A2D40884}">
    <text>根據I120的cell，並用excel的公式計算。</text>
  </threadedComment>
  <threadedComment ref="H118" dT="2024-02-03T18:46:00.96" personId="{F702E3D2-4E7B-40B8-9A75-837AA64B8094}" id="{1D9A2D02-01C8-4450-91EA-387BCF469F5E}">
    <text>原本的文字內容：T字形科目金額總計(只貼上值)</text>
  </threadedComment>
  <threadedComment ref="H118" dT="2024-02-03T18:46:28.96" personId="{F702E3D2-4E7B-40B8-9A75-837AA64B8094}" id="{EF79D621-2F0D-4E49-A50E-5DD91AF3EFFA}" parentId="{1D9A2D02-01C8-4450-91EA-387BCF469F5E}">
    <text>打算訂這樣但因為字元太長。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2-04T10:19:59.71" personId="{F702E3D2-4E7B-40B8-9A75-837AA64B8094}" id="{E38DB57D-D9F3-4B60-944E-2ACBDEE63CBF}">
    <text>7/1賒帳65000元。</text>
  </threadedComment>
  <threadedComment ref="C3" dT="2024-02-04T10:20:34.93" personId="{F702E3D2-4E7B-40B8-9A75-837AA64B8094}" id="{B1973B37-4EB5-4632-84CF-B94DB75C46DC}" parentId="{E38DB57D-D9F3-4B60-944E-2ACBDEE63CBF}">
    <text>付款條件，2/10,1/20,N/30</text>
  </threadedComment>
  <threadedComment ref="C3" dT="2024-02-04T10:21:12.94" personId="{F702E3D2-4E7B-40B8-9A75-837AA64B8094}" id="{90CDC947-8E43-4DF4-9907-F847D46E9118}" parentId="{E38DB57D-D9F3-4B60-944E-2ACBDEE63CBF}">
    <text>7/6客戶退回商品共8000元。</text>
  </threadedComment>
  <threadedComment ref="C3" dT="2024-02-04T10:21:55.75" personId="{F702E3D2-4E7B-40B8-9A75-837AA64B8094}" id="{769611D6-932C-4E57-B0CF-73CA2FD83987}" parentId="{E38DB57D-D9F3-4B60-944E-2ACBDEE63CBF}">
    <text>7/19買方收到欠款的一半。</text>
  </threadedComment>
  <threadedComment ref="C4" dT="2024-02-04T10:22:26.39" personId="{F702E3D2-4E7B-40B8-9A75-837AA64B8094}" id="{4918CD1F-A033-4363-B733-61AA30DB4233}">
    <text>蕭貨折扣之金額?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0" dT="2024-02-04T10:52:21.23" personId="{F702E3D2-4E7B-40B8-9A75-837AA64B8094}" id="{2BF7949A-E520-4B22-8B34-C6C2B631A144}">
    <text>應收款項差額=期末應收款項-期初應收款項-已經收回的應收款項=本期銷貨淨額</text>
  </threadedComment>
  <threadedComment ref="E10" dT="2024-02-04T10:55:19.15" personId="{F702E3D2-4E7B-40B8-9A75-837AA64B8094}" id="{54C8DF78-BCF7-4F30-B2B3-06F6868CA926}">
    <text>方程式</text>
  </threadedComment>
  <threadedComment ref="E10" dT="2024-02-04T10:55:55.27" personId="{F702E3D2-4E7B-40B8-9A75-837AA64B8094}" id="{81F9CD07-A3A4-4002-AE83-16F62152514C}" parentId="{54C8DF78-BCF7-4F30-B2B3-06F6868CA926}">
    <text>期末應收帳款 - 8000 - 26000 = 30000</text>
  </threadedComment>
  <threadedComment ref="E10" dT="2024-02-04T10:56:37.32" personId="{F702E3D2-4E7B-40B8-9A75-837AA64B8094}" id="{05A93C1A-70B7-45C5-B7EE-B60290D09020}" parentId="{54C8DF78-BCF7-4F30-B2B3-06F6868CA926}">
    <text>期末應收帳款 = 8000 + 26000 + 30000 = 64000</text>
  </threadedComment>
  <threadedComment ref="D11" dT="2024-02-04T10:59:27.78" personId="{F702E3D2-4E7B-40B8-9A75-837AA64B8094}" id="{8CEAB13A-9878-4CE5-B35B-68A76FCB55E4}">
    <text>銷貨成本 = 期初存貨 + 購貨 - ( 購貨退回 + 購貨折讓 + 購貨折扣 ) - 期末存貨</text>
  </threadedComment>
  <threadedComment ref="D12" dT="2024-02-04T10:57:49.39" personId="{F702E3D2-4E7B-40B8-9A75-837AA64B8094}" id="{2E1E66FB-CEE8-4322-9793-535FCF4E34EA}">
    <text xml:space="preserve">銷貨毛利=銷貨淨額 - 銷貨成本 </text>
  </threadedComment>
  <threadedComment ref="L12" dT="2024-02-04T12:34:38.64" personId="{F702E3D2-4E7B-40B8-9A75-837AA64B8094}" id="{E2536F55-FEB5-4C30-98C1-6A8201B4EA3E}">
    <text>金額來自於E11的這個cell。</text>
  </threadedComment>
  <threadedComment ref="C13" dT="2024-02-04T10:51:35.33" personId="{F702E3D2-4E7B-40B8-9A75-837AA64B8094}" id="{764B817D-E01A-44F6-8B13-1955C6C81B88}">
    <text>因為題目沒提到，所以假設商品的折扣等為零。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M2" dT="2024-02-04T07:39:58.62" personId="{F702E3D2-4E7B-40B8-9A75-837AA64B8094}" id="{CFFC20E6-724D-42CF-9E56-EA298CCE4715}">
    <text>題目提到各年度有連帶關係。</text>
  </threadedComment>
  <threadedComment ref="M2" dT="2024-02-04T07:40:23.40" personId="{F702E3D2-4E7B-40B8-9A75-837AA64B8094}" id="{5F9F081E-3DC4-4493-AF38-E7FE6C4D1A44}" parentId="{CFFC20E6-724D-42CF-9E56-EA298CCE4715}">
    <text>所以，才有一些等式成立。</text>
  </threadedComment>
  <threadedComment ref="M2" dT="2024-02-04T07:40:56.41" personId="{F702E3D2-4E7B-40B8-9A75-837AA64B8094}" id="{0C5864AD-AC4C-4223-8A08-9D4FBD6C12D6}" parentId="{CFFC20E6-724D-42CF-9E56-EA298CCE4715}">
    <text>詳見，各個會計科目的註解。</text>
  </threadedComment>
  <threadedComment ref="V2" dT="2024-02-04T07:37:48.83" personId="{F702E3D2-4E7B-40B8-9A75-837AA64B8094}" id="{64DEB0AB-2B10-40C6-89DD-197FFD9974A2}">
    <text>題目沒有這些欄位，但我自行增加，因為需要這些來計算題目所要求的。</text>
  </threadedComment>
  <threadedComment ref="V2" dT="2024-02-04T07:45:43.23" personId="{F702E3D2-4E7B-40B8-9A75-837AA64B8094}" id="{50243AEB-7C8D-4F19-BCB9-9014CFB275F5}" parentId="{64DEB0AB-2B10-40C6-89DD-197FFD9974A2}">
    <text>有些欄位不求，因為沒必要。那些欄位將為空白。</text>
  </threadedComment>
  <threadedComment ref="Z2" dT="2024-02-04T07:36:32.85" personId="{F702E3D2-4E7B-40B8-9A75-837AA64B8094}" id="{08EA928B-FC29-4A2B-93C7-D8C2AB78A100}">
    <text>題目未提供任何線索，所以我假設這些交易沒有折扣、折讓、回扣等。</text>
  </threadedComment>
  <threadedComment ref="Q3" dT="2024-02-04T07:39:31.84" personId="{F702E3D2-4E7B-40B8-9A75-837AA64B8094}" id="{3E6ED9F6-59A9-44E1-96CF-742977B3EA74}">
    <text>18年期末存貨=19年期初存貨。</text>
  </threadedComment>
  <threadedComment ref="Y3" dT="2024-02-04T07:38:53.46" personId="{F702E3D2-4E7B-40B8-9A75-837AA64B8094}" id="{B06AEFA8-872A-401B-B9C0-ECF82E1C154A}">
    <text>18年銷貨淨額 = 18年銷貨</text>
  </threadedComment>
  <threadedComment ref="Y3" dT="2024-02-04T07:42:59.27" personId="{F702E3D2-4E7B-40B8-9A75-837AA64B8094}" id="{831F7E43-5B18-4990-B79E-636356C4E461}" parentId="{B06AEFA8-872A-401B-B9C0-ECF82E1C154A}">
    <text>因為我的假設。</text>
  </threadedComment>
  <threadedComment ref="Y3" dT="2024-02-04T07:43:15.27" personId="{F702E3D2-4E7B-40B8-9A75-837AA64B8094}" id="{AE0DFEFB-A357-4C81-BC03-036CC3745127}" parentId="{B06AEFA8-872A-401B-B9C0-ECF82E1C154A}">
    <text>詳見假設底下的欄位。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I8" dT="2024-02-05T15:55:09.62" personId="{F702E3D2-4E7B-40B8-9A75-837AA64B8094}" id="{35ED09B8-8FC7-450B-B04D-AEFE9B343FBB}">
    <text>這就是題目所要求的。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440EC1AD-9133-4C1A-B64B-38FFDBF9B531}">
    <text>詳見，Accounting (Studying).docx。CH9的19題。</text>
  </threadedComment>
  <threadedComment ref="O4" dT="2024-02-12T09:29:45.06" personId="{F702E3D2-4E7B-40B8-9A75-837AA64B8094}" id="{7ECDE23B-FC30-4639-9B62-69F2DFF7F6BC}">
    <text>收益 - 費用 = 淨利</text>
  </threadedComment>
  <threadedComment ref="T4" dT="2024-02-12T09:29:45.06" personId="{F702E3D2-4E7B-40B8-9A75-837AA64B8094}" id="{DE544348-00E0-4326-B47B-CFF84C1737ED}">
    <text>資產 - 負債 = 權益</text>
  </threadedComment>
  <threadedComment ref="Q20" dT="2024-02-12T09:29:45.06" personId="{F702E3D2-4E7B-40B8-9A75-837AA64B8094}" id="{EBA6B24E-3CA0-4E79-BC58-E02927303D7C}">
    <text>收益 - 費用 = 淨利</text>
  </threadedComment>
  <threadedComment ref="S20" dT="2024-02-12T09:29:45.06" personId="{F702E3D2-4E7B-40B8-9A75-837AA64B8094}" id="{1A622B5A-126C-4537-9D98-D2967356A8B9}">
    <text>資產 - 負債 = 權益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0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0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0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10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10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10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7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8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8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8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9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9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9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9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EB4A-0299-49B1-97BE-457A25CD665F}">
  <dimension ref="C3:I9"/>
  <sheetViews>
    <sheetView workbookViewId="0">
      <selection activeCell="I4" sqref="I4"/>
    </sheetView>
  </sheetViews>
  <sheetFormatPr defaultRowHeight="16.5"/>
  <cols>
    <col min="5" max="5" width="9.375" bestFit="1" customWidth="1"/>
    <col min="6" max="6" width="14" bestFit="1" customWidth="1"/>
    <col min="7" max="7" width="14" customWidth="1"/>
    <col min="8" max="8" width="14" bestFit="1" customWidth="1"/>
    <col min="9" max="9" width="9.375" bestFit="1" customWidth="1"/>
  </cols>
  <sheetData>
    <row r="3" spans="3:9">
      <c r="C3" t="s">
        <v>1</v>
      </c>
    </row>
    <row r="4" spans="3:9">
      <c r="D4" t="s">
        <v>487</v>
      </c>
      <c r="E4" t="s">
        <v>488</v>
      </c>
      <c r="F4" t="s">
        <v>489</v>
      </c>
      <c r="G4" t="s">
        <v>490</v>
      </c>
      <c r="H4" t="s">
        <v>491</v>
      </c>
      <c r="I4" t="s">
        <v>492</v>
      </c>
    </row>
    <row r="5" spans="3:9">
      <c r="D5" s="118">
        <v>45292</v>
      </c>
      <c r="E5" s="118">
        <v>45352</v>
      </c>
      <c r="F5" s="51">
        <v>1000</v>
      </c>
      <c r="H5">
        <f>1/6</f>
        <v>0.16666666666666666</v>
      </c>
      <c r="I5" s="51">
        <v>2000</v>
      </c>
    </row>
    <row r="6" spans="3:9">
      <c r="D6" s="118">
        <v>45352</v>
      </c>
      <c r="E6" s="118">
        <v>45413</v>
      </c>
      <c r="F6" s="51">
        <v>1500</v>
      </c>
      <c r="G6">
        <v>1.2</v>
      </c>
      <c r="H6" s="117">
        <f>3/12</f>
        <v>0.25</v>
      </c>
      <c r="I6" s="51">
        <v>5400</v>
      </c>
    </row>
    <row r="7" spans="3:9">
      <c r="D7" s="118">
        <v>45413</v>
      </c>
      <c r="E7" s="118">
        <v>45597</v>
      </c>
      <c r="F7" s="51">
        <v>1800</v>
      </c>
      <c r="H7" s="117">
        <f>6/12</f>
        <v>0.5</v>
      </c>
      <c r="I7" s="51">
        <v>10800</v>
      </c>
    </row>
    <row r="8" spans="3:9">
      <c r="D8" s="118">
        <v>45597</v>
      </c>
      <c r="E8" s="118">
        <v>45657</v>
      </c>
      <c r="F8" s="51">
        <v>3300</v>
      </c>
      <c r="H8" s="117">
        <v>0</v>
      </c>
      <c r="I8" s="51">
        <v>0</v>
      </c>
    </row>
    <row r="9" spans="3:9">
      <c r="D9" s="129" t="s">
        <v>107</v>
      </c>
      <c r="E9" s="129"/>
      <c r="F9" s="51">
        <v>3300</v>
      </c>
      <c r="H9" s="117">
        <v>1</v>
      </c>
      <c r="I9" s="51">
        <v>18200</v>
      </c>
    </row>
  </sheetData>
  <mergeCells count="1">
    <mergeCell ref="D9:E9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91DC-B85A-45A7-94FA-A64A193747BD}">
  <dimension ref="C3:H15"/>
  <sheetViews>
    <sheetView workbookViewId="0">
      <selection activeCell="H9" sqref="H9"/>
    </sheetView>
  </sheetViews>
  <sheetFormatPr defaultRowHeight="16.5"/>
  <cols>
    <col min="4" max="4" width="9.25" bestFit="1" customWidth="1"/>
    <col min="5" max="6" width="11.75" bestFit="1" customWidth="1"/>
    <col min="7" max="7" width="10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43709</v>
      </c>
      <c r="E6" t="s">
        <v>29</v>
      </c>
      <c r="G6" s="51">
        <v>100750</v>
      </c>
      <c r="H6" s="51"/>
    </row>
    <row r="7" spans="3:8">
      <c r="D7" s="8"/>
      <c r="E7" t="s">
        <v>493</v>
      </c>
      <c r="G7" s="51">
        <v>250</v>
      </c>
      <c r="H7" s="51"/>
    </row>
    <row r="8" spans="3:8">
      <c r="F8" t="s">
        <v>494</v>
      </c>
      <c r="G8" s="51"/>
      <c r="H8" s="51">
        <v>1000</v>
      </c>
    </row>
    <row r="9" spans="3:8">
      <c r="F9" t="s">
        <v>495</v>
      </c>
      <c r="G9" s="51"/>
      <c r="H9" s="51">
        <v>100000</v>
      </c>
    </row>
    <row r="13" spans="3:8">
      <c r="G13" s="51"/>
      <c r="H13" s="51"/>
    </row>
    <row r="14" spans="3:8">
      <c r="G14" s="51"/>
      <c r="H14" s="51"/>
    </row>
    <row r="15" spans="3:8">
      <c r="G15" s="51"/>
      <c r="H15" s="51"/>
    </row>
  </sheetData>
  <pageMargins left="0.7" right="0.7" top="0.75" bottom="0.75" header="0.3" footer="0.3"/>
  <legacy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9940-0974-43FB-BB93-AC38ACDDC523}">
  <dimension ref="C3:H22"/>
  <sheetViews>
    <sheetView workbookViewId="0">
      <selection activeCell="G7" sqref="G7"/>
    </sheetView>
  </sheetViews>
  <sheetFormatPr defaultRowHeight="16.5"/>
  <cols>
    <col min="5" max="5" width="11.75" bestFit="1" customWidth="1"/>
    <col min="7" max="7" width="9.625" bestFit="1" customWidth="1"/>
  </cols>
  <sheetData>
    <row r="3" spans="3:8">
      <c r="C3" t="s">
        <v>1</v>
      </c>
      <c r="D3" t="s">
        <v>94</v>
      </c>
    </row>
    <row r="4" spans="3:8">
      <c r="D4" t="s">
        <v>22</v>
      </c>
      <c r="E4" t="s">
        <v>96</v>
      </c>
      <c r="F4" t="s">
        <v>96</v>
      </c>
      <c r="G4" t="s">
        <v>17</v>
      </c>
      <c r="H4" t="s">
        <v>19</v>
      </c>
    </row>
    <row r="5" spans="3:8">
      <c r="D5" s="8">
        <v>42370</v>
      </c>
      <c r="E5" t="s">
        <v>494</v>
      </c>
      <c r="G5" s="51">
        <v>120000</v>
      </c>
      <c r="H5" s="51"/>
    </row>
    <row r="6" spans="3:8">
      <c r="E6" t="s">
        <v>495</v>
      </c>
      <c r="G6" s="51">
        <v>120000</v>
      </c>
      <c r="H6" s="51"/>
    </row>
    <row r="7" spans="3:8">
      <c r="G7" s="51"/>
      <c r="H7" s="51"/>
    </row>
    <row r="8" spans="3:8">
      <c r="G8" s="51"/>
      <c r="H8" s="51"/>
    </row>
    <row r="9" spans="3:8">
      <c r="G9" s="51"/>
      <c r="H9" s="51"/>
    </row>
    <row r="10" spans="3:8">
      <c r="G10" s="51"/>
      <c r="H10" s="51"/>
    </row>
    <row r="11" spans="3:8">
      <c r="G11" s="51"/>
      <c r="H11" s="51"/>
    </row>
    <row r="12" spans="3:8">
      <c r="G12" s="51"/>
      <c r="H12" s="51"/>
    </row>
    <row r="13" spans="3:8">
      <c r="G13" s="51"/>
      <c r="H13" s="51"/>
    </row>
    <row r="14" spans="3:8">
      <c r="G14" s="51"/>
      <c r="H14" s="51"/>
    </row>
    <row r="15" spans="3:8">
      <c r="G15" s="51"/>
      <c r="H15" s="51"/>
    </row>
    <row r="16" spans="3:8">
      <c r="G16" s="51"/>
      <c r="H16" s="51"/>
    </row>
    <row r="17" spans="7:8">
      <c r="G17" s="51"/>
      <c r="H17" s="51"/>
    </row>
    <row r="18" spans="7:8">
      <c r="G18" s="51"/>
      <c r="H18" s="51"/>
    </row>
    <row r="19" spans="7:8">
      <c r="G19" s="51"/>
      <c r="H19" s="51"/>
    </row>
    <row r="20" spans="7:8">
      <c r="G20" s="51"/>
      <c r="H20" s="51"/>
    </row>
    <row r="21" spans="7:8">
      <c r="G21" s="51"/>
      <c r="H21" s="51"/>
    </row>
    <row r="22" spans="7:8">
      <c r="G22" s="51"/>
      <c r="H22" s="51"/>
    </row>
  </sheetData>
  <pageMargins left="0.7" right="0.7" top="0.75" bottom="0.75" header="0.3" footer="0.3"/>
  <legacy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9D82-BF2F-4526-9192-3E03E5628FAA}">
  <dimension ref="A3:J17"/>
  <sheetViews>
    <sheetView workbookViewId="0">
      <selection activeCell="K10" sqref="K10"/>
    </sheetView>
  </sheetViews>
  <sheetFormatPr defaultRowHeight="16.5"/>
  <cols>
    <col min="5" max="5" width="10.125" bestFit="1" customWidth="1"/>
    <col min="9" max="9" width="16.25" bestFit="1" customWidth="1"/>
  </cols>
  <sheetData>
    <row r="3" spans="1:10">
      <c r="A3" t="s">
        <v>1</v>
      </c>
    </row>
    <row r="4" spans="1:10">
      <c r="A4" t="s">
        <v>496</v>
      </c>
      <c r="B4" s="51">
        <v>400000</v>
      </c>
      <c r="D4" s="129" t="s">
        <v>497</v>
      </c>
      <c r="E4" s="129"/>
      <c r="F4" s="129"/>
      <c r="G4" s="129"/>
      <c r="H4" s="129"/>
      <c r="I4" s="129"/>
      <c r="J4" s="129"/>
    </row>
    <row r="5" spans="1:10">
      <c r="A5" t="s">
        <v>498</v>
      </c>
      <c r="B5" s="51">
        <v>435000</v>
      </c>
      <c r="D5" t="s">
        <v>499</v>
      </c>
      <c r="E5">
        <v>1</v>
      </c>
      <c r="F5">
        <v>2</v>
      </c>
      <c r="G5">
        <v>3</v>
      </c>
      <c r="H5">
        <v>4</v>
      </c>
      <c r="I5">
        <v>5</v>
      </c>
    </row>
    <row r="6" spans="1:10">
      <c r="A6" t="s">
        <v>500</v>
      </c>
      <c r="B6">
        <v>0.1</v>
      </c>
      <c r="D6" t="s">
        <v>501</v>
      </c>
      <c r="E6" t="s">
        <v>502</v>
      </c>
      <c r="F6" t="s">
        <v>239</v>
      </c>
      <c r="G6" t="s">
        <v>503</v>
      </c>
      <c r="H6" t="s">
        <v>504</v>
      </c>
      <c r="I6" t="s">
        <v>505</v>
      </c>
    </row>
    <row r="7" spans="1:10">
      <c r="A7" t="s">
        <v>506</v>
      </c>
      <c r="B7">
        <v>0.08</v>
      </c>
      <c r="D7" t="s">
        <v>507</v>
      </c>
      <c r="F7" s="51"/>
      <c r="G7" s="51"/>
      <c r="H7" s="51">
        <v>35000</v>
      </c>
      <c r="I7" s="51">
        <v>435000</v>
      </c>
    </row>
    <row r="8" spans="1:10">
      <c r="D8">
        <v>1</v>
      </c>
      <c r="E8" s="51">
        <f ca="1">$B$4*$B$6</f>
        <v>40000</v>
      </c>
      <c r="F8" s="51">
        <f ca="1">$I7*$B$7</f>
        <v>34800</v>
      </c>
      <c r="G8" s="51">
        <f ca="1">$E8-$F8</f>
        <v>5200</v>
      </c>
      <c r="H8" s="51">
        <f ca="1">MAX($H7-$G8,0)</f>
        <v>29800</v>
      </c>
      <c r="I8" s="51">
        <f ca="1">$I7-$G8</f>
        <v>429800</v>
      </c>
    </row>
    <row r="9" spans="1:10">
      <c r="D9">
        <v>2</v>
      </c>
      <c r="E9" s="51">
        <f t="shared" ref="E9:E17" si="0">$B$4*$B$6</f>
        <v>40000</v>
      </c>
      <c r="F9" s="51">
        <f ca="1">$I8*$B$7</f>
        <v>34384</v>
      </c>
      <c r="G9" s="51">
        <f ca="1">$E9-$F9</f>
        <v>5616</v>
      </c>
      <c r="H9" s="51">
        <f ca="1">MAX($H8-$G9,0)</f>
        <v>24184</v>
      </c>
      <c r="I9" s="51">
        <f ca="1">$I8-$G9</f>
        <v>424184</v>
      </c>
    </row>
    <row r="10" spans="1:10">
      <c r="D10">
        <v>3</v>
      </c>
      <c r="E10" s="51">
        <f t="shared" si="0"/>
        <v>40000</v>
      </c>
      <c r="F10" s="51">
        <f ca="1">$I9*$B$7</f>
        <v>33934.720000000001</v>
      </c>
      <c r="G10" s="51">
        <f ca="1">$E10-$F10</f>
        <v>6065.2799999999988</v>
      </c>
      <c r="H10" s="51">
        <f ca="1">MAX($H9-$G10,0)</f>
        <v>18118.72</v>
      </c>
      <c r="I10" s="51">
        <f ca="1">$I9-$G10</f>
        <v>418118.72</v>
      </c>
    </row>
    <row r="11" spans="1:10">
      <c r="D11">
        <v>4</v>
      </c>
      <c r="E11" s="51">
        <f t="shared" si="0"/>
        <v>40000</v>
      </c>
      <c r="F11" s="51">
        <f ca="1">$I10*$B$7</f>
        <v>33449.497599999995</v>
      </c>
      <c r="G11" s="51">
        <f ca="1">$E11-$F11</f>
        <v>6550.5024000000049</v>
      </c>
      <c r="H11" s="51">
        <f ca="1">MAX($H10-$G11,0)</f>
        <v>11568.217599999996</v>
      </c>
      <c r="I11" s="51">
        <f ca="1">$I10-$G11</f>
        <v>411568.21759999997</v>
      </c>
    </row>
    <row r="12" spans="1:10">
      <c r="D12">
        <v>5</v>
      </c>
      <c r="E12" s="51">
        <f t="shared" si="0"/>
        <v>40000</v>
      </c>
      <c r="F12" s="51">
        <f ca="1">$I11*$B$7</f>
        <v>32925.457408000002</v>
      </c>
      <c r="G12" s="51">
        <f ca="1">$E12-$F12</f>
        <v>7074.542591999998</v>
      </c>
      <c r="H12" s="51">
        <f ca="1">MAX($H11-$G12,0)</f>
        <v>4493.6750079999983</v>
      </c>
      <c r="I12" s="51">
        <f ca="1">$I11-$G12</f>
        <v>404493.67500799999</v>
      </c>
    </row>
    <row r="13" spans="1:10">
      <c r="D13">
        <v>6</v>
      </c>
      <c r="E13" s="51">
        <f t="shared" si="0"/>
        <v>40000</v>
      </c>
      <c r="F13" s="51">
        <f ca="1">$I12*$B$7</f>
        <v>32359.494000639999</v>
      </c>
      <c r="G13" s="51">
        <f ca="1">$E13-$F13</f>
        <v>7640.5059993600007</v>
      </c>
      <c r="H13" s="51">
        <f ca="1">MAX($H12-$G13,0)</f>
        <v>0</v>
      </c>
      <c r="I13" s="51">
        <f ca="1">$I12-$G13</f>
        <v>396853.16900863999</v>
      </c>
    </row>
    <row r="14" spans="1:10">
      <c r="D14">
        <v>7</v>
      </c>
      <c r="E14" s="51">
        <f t="shared" si="0"/>
        <v>40000</v>
      </c>
      <c r="F14" s="51">
        <f ca="1">$I13*$B$7</f>
        <v>31748.2535206912</v>
      </c>
      <c r="G14" s="51">
        <f ca="1">$E14-$F14</f>
        <v>8251.7464793088002</v>
      </c>
      <c r="H14" s="51">
        <f ca="1">MAX($H13-$G14,0)</f>
        <v>0</v>
      </c>
      <c r="I14" s="51">
        <f ca="1">$I13-$G14</f>
        <v>388601.42252933118</v>
      </c>
    </row>
    <row r="15" spans="1:10">
      <c r="D15">
        <v>8</v>
      </c>
      <c r="E15" s="51">
        <f t="shared" si="0"/>
        <v>40000</v>
      </c>
      <c r="F15" s="51">
        <f ca="1">$I14*$B$7</f>
        <v>31088.113802346496</v>
      </c>
      <c r="G15" s="51">
        <f ca="1">$E15-$F15</f>
        <v>8911.8861976535045</v>
      </c>
      <c r="H15" s="51">
        <f ca="1">MAX($H14-$G15,0)</f>
        <v>0</v>
      </c>
      <c r="I15" s="51">
        <f ca="1">$I14-$G15</f>
        <v>379689.53633167769</v>
      </c>
    </row>
    <row r="16" spans="1:10">
      <c r="D16">
        <v>9</v>
      </c>
      <c r="E16" s="51">
        <f t="shared" si="0"/>
        <v>40000</v>
      </c>
      <c r="F16" s="51">
        <f ca="1">$I15*$B$7</f>
        <v>30375.162906534217</v>
      </c>
      <c r="G16" s="51">
        <f ca="1">$E16-$F16</f>
        <v>9624.8370934657833</v>
      </c>
      <c r="H16" s="51">
        <f ca="1">MAX($H15-$G16,0)</f>
        <v>0</v>
      </c>
      <c r="I16" s="51">
        <f ca="1">$I15-$G16</f>
        <v>370064.69923821191</v>
      </c>
    </row>
    <row r="17" spans="4:9">
      <c r="D17">
        <v>10</v>
      </c>
      <c r="E17" s="51">
        <f t="shared" si="0"/>
        <v>40000</v>
      </c>
      <c r="F17" s="51">
        <f ca="1">$I16*$B$7</f>
        <v>29605.175939056953</v>
      </c>
      <c r="G17" s="51">
        <f ca="1">$E17-$F17</f>
        <v>10394.824060943047</v>
      </c>
      <c r="H17" s="51">
        <f ca="1">MAX($H16-$G17,0)</f>
        <v>0</v>
      </c>
      <c r="I17" s="51">
        <f ca="1">$I16-$G17</f>
        <v>359669.87517726887</v>
      </c>
    </row>
  </sheetData>
  <mergeCells count="1">
    <mergeCell ref="D4:J4"/>
  </mergeCells>
  <pageMargins left="0.7" right="0.7" top="0.75" bottom="0.75" header="0.3" footer="0.3"/>
  <legacy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621F-D56C-4BF8-8D43-A93BA59ED7CF}">
  <dimension ref="A3:J11"/>
  <sheetViews>
    <sheetView workbookViewId="0">
      <selection activeCell="H7" sqref="H7"/>
    </sheetView>
  </sheetViews>
  <sheetFormatPr defaultRowHeight="16.5"/>
  <cols>
    <col min="2" max="2" width="9.625" bestFit="1" customWidth="1"/>
    <col min="5" max="5" width="10.125" bestFit="1" customWidth="1"/>
    <col min="7" max="7" width="10.125" bestFit="1" customWidth="1"/>
    <col min="9" max="9" width="16.25" bestFit="1" customWidth="1"/>
  </cols>
  <sheetData>
    <row r="3" spans="1:10">
      <c r="A3" t="s">
        <v>1</v>
      </c>
    </row>
    <row r="4" spans="1:10">
      <c r="A4" t="s">
        <v>496</v>
      </c>
      <c r="B4" s="51">
        <v>1000000</v>
      </c>
      <c r="D4" s="129" t="s">
        <v>508</v>
      </c>
      <c r="E4" s="129"/>
      <c r="F4" s="129"/>
      <c r="G4" s="129"/>
      <c r="H4" s="129"/>
      <c r="I4" s="129"/>
      <c r="J4" s="129"/>
    </row>
    <row r="5" spans="1:10">
      <c r="A5" t="s">
        <v>498</v>
      </c>
      <c r="B5" s="51">
        <v>940000</v>
      </c>
      <c r="D5" t="s">
        <v>499</v>
      </c>
      <c r="E5">
        <v>1</v>
      </c>
      <c r="F5">
        <v>2</v>
      </c>
      <c r="G5">
        <v>3</v>
      </c>
      <c r="H5">
        <v>4</v>
      </c>
      <c r="I5">
        <v>5</v>
      </c>
    </row>
    <row r="6" spans="1:10">
      <c r="A6" t="s">
        <v>500</v>
      </c>
      <c r="B6">
        <v>0.1</v>
      </c>
      <c r="D6" t="s">
        <v>501</v>
      </c>
      <c r="E6" t="s">
        <v>502</v>
      </c>
      <c r="F6" t="s">
        <v>239</v>
      </c>
      <c r="G6" t="s">
        <v>509</v>
      </c>
      <c r="H6" t="s">
        <v>510</v>
      </c>
      <c r="I6" t="s">
        <v>511</v>
      </c>
    </row>
    <row r="7" spans="1:10">
      <c r="A7" t="s">
        <v>506</v>
      </c>
      <c r="B7">
        <v>0.12</v>
      </c>
      <c r="D7" t="s">
        <v>507</v>
      </c>
      <c r="F7" s="51"/>
      <c r="G7" s="51"/>
      <c r="H7" s="51">
        <f ca="1">$B$4-$I$7</f>
        <v>60000</v>
      </c>
      <c r="I7" s="51">
        <f ca="1">$B$5</f>
        <v>940000</v>
      </c>
    </row>
    <row r="8" spans="1:10">
      <c r="D8">
        <v>1</v>
      </c>
      <c r="E8" s="51">
        <f ca="1">$B$4*$B$6</f>
        <v>100000</v>
      </c>
      <c r="F8" s="51">
        <f ca="1">$I7*$B$7</f>
        <v>112800</v>
      </c>
      <c r="G8" s="51">
        <f ca="1">$F8-$E8</f>
        <v>12800</v>
      </c>
      <c r="H8" s="51">
        <f ca="1">MAX($H7-$G8,0)</f>
        <v>47200</v>
      </c>
      <c r="I8" s="51">
        <f ca="1">$I7+$G8</f>
        <v>952800</v>
      </c>
    </row>
    <row r="9" spans="1:10">
      <c r="D9">
        <v>2</v>
      </c>
      <c r="E9" s="51">
        <f ca="1">$B$4*$B$6</f>
        <v>100000</v>
      </c>
      <c r="F9" s="51">
        <f ca="1">$I8*$B$7</f>
        <v>114336</v>
      </c>
      <c r="G9" s="51">
        <f ca="1">$F9-$E9</f>
        <v>14336</v>
      </c>
      <c r="H9" s="51">
        <f ca="1">MAX($H8-$G9,0)</f>
        <v>32864</v>
      </c>
      <c r="I9" s="51">
        <f ca="1">$I8+$G9</f>
        <v>967136</v>
      </c>
    </row>
    <row r="10" spans="1:10">
      <c r="D10">
        <v>3</v>
      </c>
      <c r="E10" s="51">
        <f ca="1">$B$4*$B$6</f>
        <v>100000</v>
      </c>
      <c r="F10" s="51">
        <f ca="1">$I9*$B$7</f>
        <v>116056.31999999999</v>
      </c>
      <c r="G10" s="51">
        <f ca="1">$F10-$E10</f>
        <v>16056.319999999992</v>
      </c>
      <c r="H10" s="51">
        <f ca="1">MAX($H9-$G10,0)</f>
        <v>16807.680000000008</v>
      </c>
      <c r="I10" s="51">
        <f ca="1">$I9+$G10</f>
        <v>983192.32</v>
      </c>
    </row>
    <row r="11" spans="1:10">
      <c r="D11">
        <v>4</v>
      </c>
      <c r="E11" s="51">
        <f ca="1">$B$4*$B$6</f>
        <v>100000</v>
      </c>
      <c r="F11" s="51">
        <f ca="1">$I10*$B$7</f>
        <v>117983.07839999998</v>
      </c>
      <c r="G11" s="51">
        <f ca="1">$F11-$E11</f>
        <v>17983.078399999984</v>
      </c>
      <c r="H11" s="51">
        <f ca="1">MAX($H10-$G11,0)</f>
        <v>0</v>
      </c>
      <c r="I11" s="51">
        <f ca="1">$I10+$G11</f>
        <v>1001175.3983999999</v>
      </c>
    </row>
  </sheetData>
  <mergeCells count="1">
    <mergeCell ref="D4:J4"/>
  </mergeCells>
  <pageMargins left="0.7" right="0.7" top="0.75" bottom="0.75" header="0.3" footer="0.3"/>
  <legacy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A83B-1AFF-4893-AA72-E06AE5FB188A}">
  <dimension ref="A3:R10"/>
  <sheetViews>
    <sheetView topLeftCell="C1" workbookViewId="0">
      <selection activeCell="N13" sqref="N13"/>
    </sheetView>
  </sheetViews>
  <sheetFormatPr defaultRowHeight="16.5"/>
  <cols>
    <col min="2" max="2" width="9.625" bestFit="1" customWidth="1"/>
    <col min="5" max="5" width="10.125" bestFit="1" customWidth="1"/>
    <col min="7" max="7" width="10.125" bestFit="1" customWidth="1"/>
    <col min="8" max="8" width="9.625" bestFit="1" customWidth="1"/>
    <col min="9" max="9" width="16.25" bestFit="1" customWidth="1"/>
    <col min="12" max="12" width="10.125" bestFit="1" customWidth="1"/>
    <col min="13" max="13" width="13.25" bestFit="1" customWidth="1"/>
    <col min="15" max="15" width="10.125" bestFit="1" customWidth="1"/>
    <col min="17" max="17" width="16.25" bestFit="1" customWidth="1"/>
  </cols>
  <sheetData>
    <row r="3" spans="1:18">
      <c r="A3" t="s">
        <v>1</v>
      </c>
      <c r="L3" s="129" t="s">
        <v>512</v>
      </c>
      <c r="M3" s="129"/>
      <c r="N3" s="129"/>
      <c r="O3" s="129"/>
      <c r="P3" s="129"/>
      <c r="Q3" s="129"/>
      <c r="R3" s="129"/>
    </row>
    <row r="4" spans="1:18">
      <c r="A4" t="s">
        <v>496</v>
      </c>
      <c r="B4" s="51">
        <v>2000000</v>
      </c>
      <c r="D4" s="129" t="s">
        <v>508</v>
      </c>
      <c r="E4" s="129"/>
      <c r="F4" s="129"/>
      <c r="G4" s="129"/>
      <c r="H4" s="129"/>
      <c r="I4" s="129"/>
      <c r="J4" s="129"/>
      <c r="L4" s="129" t="s">
        <v>508</v>
      </c>
      <c r="M4" s="129"/>
      <c r="N4" s="129"/>
      <c r="O4" s="129"/>
      <c r="P4" s="129"/>
      <c r="Q4" s="129"/>
      <c r="R4" s="129"/>
    </row>
    <row r="5" spans="1:18">
      <c r="A5" t="s">
        <v>498</v>
      </c>
      <c r="B5" s="51">
        <v>1898485</v>
      </c>
      <c r="D5" t="s">
        <v>499</v>
      </c>
      <c r="E5">
        <v>1</v>
      </c>
      <c r="F5">
        <v>2</v>
      </c>
      <c r="G5">
        <v>3</v>
      </c>
      <c r="H5">
        <v>4</v>
      </c>
      <c r="I5">
        <v>5</v>
      </c>
      <c r="L5" t="s">
        <v>499</v>
      </c>
      <c r="M5">
        <v>1</v>
      </c>
      <c r="N5">
        <v>2</v>
      </c>
      <c r="O5">
        <v>3</v>
      </c>
      <c r="P5">
        <v>4</v>
      </c>
      <c r="Q5">
        <v>5</v>
      </c>
    </row>
    <row r="6" spans="1:18">
      <c r="A6" t="s">
        <v>500</v>
      </c>
      <c r="B6">
        <v>0.08</v>
      </c>
      <c r="D6" t="s">
        <v>501</v>
      </c>
      <c r="E6" t="s">
        <v>502</v>
      </c>
      <c r="F6" t="s">
        <v>239</v>
      </c>
      <c r="G6" t="s">
        <v>509</v>
      </c>
      <c r="H6" t="s">
        <v>510</v>
      </c>
      <c r="I6" t="s">
        <v>511</v>
      </c>
      <c r="L6" t="s">
        <v>501</v>
      </c>
      <c r="M6" t="s">
        <v>502</v>
      </c>
      <c r="N6" t="s">
        <v>239</v>
      </c>
      <c r="O6" t="s">
        <v>509</v>
      </c>
      <c r="P6" t="s">
        <v>510</v>
      </c>
      <c r="Q6" t="s">
        <v>511</v>
      </c>
    </row>
    <row r="7" spans="1:18">
      <c r="A7" t="s">
        <v>506</v>
      </c>
      <c r="B7">
        <v>0.1</v>
      </c>
      <c r="D7" t="s">
        <v>507</v>
      </c>
      <c r="F7" s="51"/>
      <c r="G7" s="51"/>
      <c r="H7" s="51">
        <f ca="1">$B$4-$I$7</f>
        <v>101515</v>
      </c>
      <c r="I7" s="51">
        <f ca="1">$B$5</f>
        <v>1898485</v>
      </c>
      <c r="L7" t="s">
        <v>507</v>
      </c>
      <c r="N7" s="51"/>
      <c r="O7" s="51"/>
      <c r="P7" s="51">
        <f ca="1">$B$4-$Q$7</f>
        <v>101515</v>
      </c>
      <c r="Q7" s="51">
        <f ca="1">$B$5</f>
        <v>1898485</v>
      </c>
    </row>
    <row r="8" spans="1:18">
      <c r="D8">
        <v>1</v>
      </c>
      <c r="E8" s="51">
        <f ca="1">$B$4*$B$6</f>
        <v>160000</v>
      </c>
      <c r="F8" s="51">
        <f ca="1">$I7*$B$7</f>
        <v>189848.5</v>
      </c>
      <c r="G8" s="51">
        <f ca="1">$F8-$E8</f>
        <v>29848.5</v>
      </c>
      <c r="H8" s="51">
        <f ca="1">MAX($H7-$G8,0)</f>
        <v>71666.5</v>
      </c>
      <c r="I8" s="51">
        <f ca="1">$I7+$G8</f>
        <v>1928333.5</v>
      </c>
      <c r="L8" s="8">
        <v>44074</v>
      </c>
      <c r="M8" s="51">
        <f ca="1">$B$4*$B$6</f>
        <v>160000</v>
      </c>
      <c r="N8" s="51">
        <f ca="1">$Q7*$B$7</f>
        <v>189848.5</v>
      </c>
      <c r="O8" s="51">
        <f ca="1">$N8-$M8</f>
        <v>29848.5</v>
      </c>
      <c r="P8" s="51">
        <f ca="1">MAX($P7-$O8,0)</f>
        <v>71666.5</v>
      </c>
      <c r="Q8" s="51">
        <f ca="1">$Q7+$P8</f>
        <v>1970151.5</v>
      </c>
    </row>
    <row r="9" spans="1:18">
      <c r="D9">
        <v>2</v>
      </c>
      <c r="E9" s="51">
        <f ca="1">$B$4*$B$6</f>
        <v>160000</v>
      </c>
      <c r="F9" s="51">
        <f ca="1">$I8*$B$7</f>
        <v>192833.35</v>
      </c>
      <c r="G9" s="51">
        <f ca="1">$F9-$E9</f>
        <v>32833.350000000006</v>
      </c>
      <c r="H9" s="51">
        <f ca="1">MAX($H8-$G9,0)</f>
        <v>38833.149999999994</v>
      </c>
      <c r="I9" s="51">
        <f ca="1">$I8+$G9</f>
        <v>1961166.85</v>
      </c>
      <c r="L9" s="8">
        <v>44196</v>
      </c>
      <c r="M9" s="51">
        <f ca="1">$B$4*$B$6*DATEDIF($L8,$L9,"M")/6</f>
        <v>106666.66666666667</v>
      </c>
      <c r="N9" s="51">
        <f ca="1">$Q8*$B$7*DATEDIF($L8,$L9,"M")/6</f>
        <v>131343.43333333335</v>
      </c>
      <c r="O9" s="51">
        <f ca="1">$N9-$M9</f>
        <v>24676.766666666677</v>
      </c>
      <c r="P9" s="51">
        <f ca="1">MAX($P8-$O9,0)</f>
        <v>46989.733333333323</v>
      </c>
      <c r="Q9" s="51">
        <f ca="1">$Q8+$P9</f>
        <v>2017141.2333333334</v>
      </c>
    </row>
    <row r="10" spans="1:18">
      <c r="D10">
        <v>3</v>
      </c>
      <c r="E10" s="51">
        <f ca="1">$B$4*$B$6</f>
        <v>160000</v>
      </c>
      <c r="F10" s="51">
        <f ca="1">$I9*$B$7</f>
        <v>196116.68500000003</v>
      </c>
      <c r="G10" s="51">
        <f ca="1">$F10-$E10</f>
        <v>36116.685000000027</v>
      </c>
      <c r="H10" s="51">
        <f ca="1">MAX($H9-$G10,0)</f>
        <v>2716.4649999999674</v>
      </c>
      <c r="I10" s="51">
        <f ca="1">$I9+$G10</f>
        <v>1997283.5350000001</v>
      </c>
    </row>
  </sheetData>
  <mergeCells count="3">
    <mergeCell ref="D4:J4"/>
    <mergeCell ref="L4:R4"/>
    <mergeCell ref="L3:R3"/>
  </mergeCells>
  <pageMargins left="0.7" right="0.7" top="0.75" bottom="0.75" header="0.3" footer="0.3"/>
  <legacy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7DF1-0D25-4F9E-B400-425EFE4C805B}">
  <dimension ref="A2:I15"/>
  <sheetViews>
    <sheetView workbookViewId="0">
      <selection activeCell="H8" sqref="H8"/>
    </sheetView>
  </sheetViews>
  <sheetFormatPr defaultRowHeight="16.5"/>
  <cols>
    <col min="2" max="2" width="16.25" bestFit="1" customWidth="1"/>
    <col min="7" max="7" width="18.5" bestFit="1" customWidth="1"/>
    <col min="8" max="8" width="9.25" bestFit="1" customWidth="1"/>
    <col min="9" max="9" width="10.125" bestFit="1" customWidth="1"/>
  </cols>
  <sheetData>
    <row r="2" spans="1:9">
      <c r="A2" t="s">
        <v>1</v>
      </c>
    </row>
    <row r="3" spans="1:9">
      <c r="A3" t="s">
        <v>277</v>
      </c>
      <c r="B3" t="s">
        <v>513</v>
      </c>
      <c r="C3">
        <v>0.35</v>
      </c>
      <c r="E3" t="s">
        <v>94</v>
      </c>
    </row>
    <row r="4" spans="1:9">
      <c r="E4" t="s">
        <v>22</v>
      </c>
      <c r="F4" t="s">
        <v>96</v>
      </c>
      <c r="G4" t="s">
        <v>96</v>
      </c>
      <c r="H4" t="s">
        <v>17</v>
      </c>
      <c r="I4" t="s">
        <v>19</v>
      </c>
    </row>
    <row r="5" spans="1:9">
      <c r="G5" t="s">
        <v>514</v>
      </c>
      <c r="H5" s="17"/>
      <c r="I5" s="17">
        <v>128000</v>
      </c>
    </row>
    <row r="6" spans="1:9">
      <c r="F6" t="s">
        <v>515</v>
      </c>
      <c r="H6" s="17">
        <v>60000</v>
      </c>
      <c r="I6" s="17"/>
    </row>
    <row r="7" spans="1:9">
      <c r="F7" t="s">
        <v>29</v>
      </c>
      <c r="H7" s="17">
        <f ca="1">$I$8</f>
        <v>23800</v>
      </c>
      <c r="I7" s="17"/>
    </row>
    <row r="8" spans="1:9">
      <c r="G8" t="s">
        <v>516</v>
      </c>
      <c r="H8" s="17"/>
      <c r="I8" s="17">
        <f ca="1">($I$5-$H$6)*$C$3</f>
        <v>23800</v>
      </c>
    </row>
    <row r="12" spans="1:9">
      <c r="H12" s="17"/>
      <c r="I12" s="17"/>
    </row>
    <row r="13" spans="1:9">
      <c r="H13" s="17"/>
      <c r="I13" s="17"/>
    </row>
    <row r="14" spans="1:9">
      <c r="H14" s="17"/>
      <c r="I14" s="17"/>
    </row>
    <row r="15" spans="1:9">
      <c r="H15" s="17"/>
      <c r="I15" s="17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FC2A-26A4-490E-BD16-DFA46BB6D820}">
  <dimension ref="B2:J15"/>
  <sheetViews>
    <sheetView workbookViewId="0">
      <selection activeCell="J13" sqref="J13"/>
    </sheetView>
  </sheetViews>
  <sheetFormatPr defaultRowHeight="16.5"/>
  <cols>
    <col min="3" max="3" width="14" bestFit="1" customWidth="1"/>
    <col min="4" max="4" width="10.125" bestFit="1" customWidth="1"/>
    <col min="6" max="6" width="10.125" bestFit="1" customWidth="1"/>
    <col min="7" max="7" width="11.5" bestFit="1" customWidth="1"/>
    <col min="8" max="8" width="12" bestFit="1" customWidth="1"/>
    <col min="9" max="9" width="13.25" bestFit="1" customWidth="1"/>
    <col min="10" max="10" width="11.625" bestFit="1" customWidth="1"/>
  </cols>
  <sheetData>
    <row r="2" spans="2:10">
      <c r="B2" t="s">
        <v>1</v>
      </c>
    </row>
    <row r="3" spans="2:10">
      <c r="B3" t="s">
        <v>277</v>
      </c>
      <c r="C3" t="s">
        <v>517</v>
      </c>
      <c r="D3" s="51">
        <v>200000</v>
      </c>
      <c r="F3" t="s">
        <v>94</v>
      </c>
    </row>
    <row r="4" spans="2:10">
      <c r="C4" t="s">
        <v>518</v>
      </c>
      <c r="D4" s="51">
        <v>4000</v>
      </c>
      <c r="F4" t="s">
        <v>22</v>
      </c>
      <c r="G4" t="s">
        <v>96</v>
      </c>
      <c r="H4" t="s">
        <v>96</v>
      </c>
      <c r="I4" t="s">
        <v>17</v>
      </c>
      <c r="J4" t="s">
        <v>19</v>
      </c>
    </row>
    <row r="5" spans="2:10">
      <c r="C5" t="s">
        <v>519</v>
      </c>
      <c r="D5">
        <v>0.01</v>
      </c>
      <c r="F5" s="8">
        <v>43922</v>
      </c>
      <c r="G5" t="s">
        <v>520</v>
      </c>
      <c r="I5" s="51">
        <f ca="1">$D$3</f>
        <v>200000</v>
      </c>
      <c r="J5" s="51"/>
    </row>
    <row r="6" spans="2:10">
      <c r="C6" t="s">
        <v>521</v>
      </c>
      <c r="D6" s="51">
        <v>1</v>
      </c>
      <c r="H6" t="s">
        <v>29</v>
      </c>
      <c r="I6" s="51"/>
      <c r="J6" s="51">
        <f ca="1">$I$5</f>
        <v>200000</v>
      </c>
    </row>
    <row r="7" spans="2:10">
      <c r="C7" t="s">
        <v>522</v>
      </c>
      <c r="D7" s="51">
        <v>2</v>
      </c>
      <c r="F7" s="8">
        <v>44044</v>
      </c>
      <c r="G7" t="s">
        <v>29</v>
      </c>
      <c r="I7" s="51">
        <f ca="1">$J$8</f>
        <v>4000</v>
      </c>
      <c r="J7" s="51"/>
    </row>
    <row r="8" spans="2:10">
      <c r="C8" t="s">
        <v>523</v>
      </c>
      <c r="D8">
        <v>48</v>
      </c>
      <c r="H8" t="s">
        <v>524</v>
      </c>
      <c r="I8" s="51"/>
      <c r="J8" s="51">
        <f ca="1">$D$4*$D$6</f>
        <v>4000</v>
      </c>
    </row>
    <row r="9" spans="2:10">
      <c r="F9" s="8">
        <v>44196</v>
      </c>
      <c r="G9" t="s">
        <v>525</v>
      </c>
      <c r="I9" s="51">
        <f ca="1">$I$5-$J$8*$D$8</f>
        <v>8000</v>
      </c>
      <c r="J9" s="51"/>
    </row>
    <row r="10" spans="2:10">
      <c r="H10" t="s">
        <v>520</v>
      </c>
      <c r="I10" s="51"/>
      <c r="J10" s="51">
        <f ca="1">$I$9</f>
        <v>8000</v>
      </c>
    </row>
    <row r="11" spans="2:10">
      <c r="F11" s="8">
        <v>44196</v>
      </c>
      <c r="G11" t="s">
        <v>29</v>
      </c>
      <c r="I11" s="51">
        <f ca="1">$D$8*$D$4</f>
        <v>192000</v>
      </c>
      <c r="J11" s="51"/>
    </row>
    <row r="12" spans="2:10">
      <c r="H12" t="s">
        <v>520</v>
      </c>
      <c r="I12" s="51"/>
      <c r="J12" s="51">
        <f ca="1">$I$11</f>
        <v>192000</v>
      </c>
    </row>
    <row r="13" spans="2:10">
      <c r="I13" s="51"/>
      <c r="J13" s="51"/>
    </row>
    <row r="14" spans="2:10">
      <c r="I14" s="51"/>
      <c r="J14" s="51"/>
    </row>
    <row r="15" spans="2:10">
      <c r="I15" s="51"/>
      <c r="J15" s="51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5017-BE20-45BA-A5CC-7927CE023071}">
  <dimension ref="B3:J33"/>
  <sheetViews>
    <sheetView tabSelected="1" topLeftCell="D12" workbookViewId="0">
      <selection activeCell="G33" sqref="G32:G33"/>
    </sheetView>
  </sheetViews>
  <sheetFormatPr defaultRowHeight="16.5"/>
  <cols>
    <col min="4" max="4" width="10.125" bestFit="1" customWidth="1"/>
    <col min="6" max="8" width="22.875" bestFit="1" customWidth="1"/>
  </cols>
  <sheetData>
    <row r="3" spans="2:10">
      <c r="B3" t="s">
        <v>1</v>
      </c>
      <c r="F3" t="s">
        <v>94</v>
      </c>
    </row>
    <row r="4" spans="2:10">
      <c r="B4" t="s">
        <v>277</v>
      </c>
      <c r="C4" t="s">
        <v>526</v>
      </c>
      <c r="D4" s="51">
        <v>500000</v>
      </c>
      <c r="F4" t="s">
        <v>22</v>
      </c>
      <c r="G4" t="s">
        <v>96</v>
      </c>
      <c r="H4" t="s">
        <v>96</v>
      </c>
      <c r="I4" t="s">
        <v>17</v>
      </c>
      <c r="J4" t="s">
        <v>19</v>
      </c>
    </row>
    <row r="5" spans="2:10">
      <c r="C5" t="s">
        <v>527</v>
      </c>
      <c r="D5" s="117">
        <v>0.3</v>
      </c>
      <c r="F5" s="8">
        <v>43831</v>
      </c>
      <c r="G5" t="s">
        <v>516</v>
      </c>
      <c r="I5" s="51">
        <f ca="1">$D$4</f>
        <v>500000</v>
      </c>
      <c r="J5" s="51"/>
    </row>
    <row r="6" spans="2:10">
      <c r="C6" t="s">
        <v>14</v>
      </c>
      <c r="D6" s="51">
        <v>100000</v>
      </c>
      <c r="H6" t="s">
        <v>29</v>
      </c>
      <c r="I6" s="51"/>
      <c r="J6" s="51">
        <f ca="1">$I$5</f>
        <v>500000</v>
      </c>
    </row>
    <row r="7" spans="2:10">
      <c r="C7" t="s">
        <v>528</v>
      </c>
      <c r="D7" s="51">
        <v>-20000</v>
      </c>
      <c r="F7" s="8">
        <v>44196</v>
      </c>
      <c r="G7" t="s">
        <v>29</v>
      </c>
      <c r="I7" s="51">
        <f ca="1">$D$8*$D$5</f>
        <v>3000</v>
      </c>
      <c r="J7" s="51"/>
    </row>
    <row r="8" spans="2:10">
      <c r="C8" t="s">
        <v>529</v>
      </c>
      <c r="D8" s="51">
        <v>10000</v>
      </c>
      <c r="H8" t="s">
        <v>516</v>
      </c>
      <c r="I8" s="51"/>
      <c r="J8" s="51">
        <f ca="1">$I$7</f>
        <v>3000</v>
      </c>
    </row>
    <row r="9" spans="2:10">
      <c r="F9" t="s">
        <v>142</v>
      </c>
      <c r="G9" t="s">
        <v>516</v>
      </c>
      <c r="I9" s="51">
        <f ca="1">$D$6*$D$5</f>
        <v>30000</v>
      </c>
      <c r="J9" s="51"/>
    </row>
    <row r="10" spans="2:10">
      <c r="H10" t="s">
        <v>530</v>
      </c>
      <c r="I10" s="51"/>
      <c r="J10" s="51">
        <f ca="1">$I$9</f>
        <v>30000</v>
      </c>
    </row>
    <row r="11" spans="2:10">
      <c r="F11" t="s">
        <v>142</v>
      </c>
      <c r="G11" t="s">
        <v>530</v>
      </c>
      <c r="I11" s="51">
        <f ca="1">ABS($D$7)*$D$5</f>
        <v>6000</v>
      </c>
      <c r="J11" s="51"/>
    </row>
    <row r="12" spans="2:10">
      <c r="H12" t="s">
        <v>516</v>
      </c>
      <c r="J12" s="51">
        <f ca="1">$I$11</f>
        <v>6000</v>
      </c>
    </row>
    <row r="13" spans="2:10">
      <c r="B13" t="s">
        <v>381</v>
      </c>
      <c r="C13" t="s">
        <v>531</v>
      </c>
    </row>
    <row r="14" spans="2:10">
      <c r="F14" t="s">
        <v>532</v>
      </c>
    </row>
    <row r="15" spans="2:10">
      <c r="F15" s="11" t="s">
        <v>96</v>
      </c>
      <c r="G15" s="11" t="s">
        <v>29</v>
      </c>
      <c r="H15" s="11"/>
      <c r="I15" s="11"/>
    </row>
    <row r="16" spans="2:10">
      <c r="F16" s="8">
        <f ca="1">$F$7</f>
        <v>44196</v>
      </c>
      <c r="G16" s="124">
        <f ca="1">$I$7</f>
        <v>3000</v>
      </c>
      <c r="H16" s="8">
        <f ca="1">$F$5</f>
        <v>43831</v>
      </c>
      <c r="I16" s="51">
        <f ca="1">$J$6</f>
        <v>500000</v>
      </c>
    </row>
    <row r="17" spans="6:9">
      <c r="G17" s="136"/>
    </row>
    <row r="18" spans="6:9">
      <c r="F18" s="11" t="s">
        <v>96</v>
      </c>
      <c r="G18" s="11" t="s">
        <v>516</v>
      </c>
      <c r="H18" s="11"/>
      <c r="I18" s="11"/>
    </row>
    <row r="19" spans="6:9">
      <c r="F19" s="8">
        <f ca="1">$F$5</f>
        <v>43831</v>
      </c>
      <c r="G19" s="124">
        <f ca="1">$I$5</f>
        <v>500000</v>
      </c>
      <c r="H19" s="8">
        <f ca="1">$F$7</f>
        <v>44196</v>
      </c>
      <c r="I19" s="51">
        <f ca="1">$J$8</f>
        <v>3000</v>
      </c>
    </row>
    <row r="20" spans="6:9">
      <c r="F20" s="8">
        <f ca="1">$F$7</f>
        <v>44196</v>
      </c>
      <c r="G20" s="124">
        <f ca="1">$I$9</f>
        <v>30000</v>
      </c>
      <c r="H20" s="8">
        <f ca="1">$F$7</f>
        <v>44196</v>
      </c>
      <c r="I20" s="51">
        <f ca="1">$J$12</f>
        <v>6000</v>
      </c>
    </row>
    <row r="22" spans="6:9">
      <c r="F22" s="11" t="s">
        <v>96</v>
      </c>
      <c r="G22" s="11" t="s">
        <v>530</v>
      </c>
      <c r="H22" s="11"/>
      <c r="I22" s="11"/>
    </row>
    <row r="23" spans="6:9">
      <c r="F23" s="8">
        <f>$F$7</f>
        <v>44196</v>
      </c>
      <c r="G23" s="124">
        <f ca="1">$I$11</f>
        <v>6000</v>
      </c>
      <c r="H23" s="8">
        <f ca="1">$F$7</f>
        <v>44196</v>
      </c>
      <c r="I23" s="51">
        <f ca="1">$J$10</f>
        <v>30000</v>
      </c>
    </row>
    <row r="25" spans="6:9">
      <c r="F25" t="s">
        <v>108</v>
      </c>
    </row>
    <row r="26" spans="6:9">
      <c r="F26" t="s">
        <v>420</v>
      </c>
    </row>
    <row r="27" spans="6:9">
      <c r="F27" t="s">
        <v>108</v>
      </c>
    </row>
    <row r="28" spans="6:9">
      <c r="F28" t="s">
        <v>533</v>
      </c>
      <c r="G28" s="129" t="s">
        <v>140</v>
      </c>
      <c r="H28" s="129"/>
    </row>
    <row r="29" spans="6:9">
      <c r="F29" t="s">
        <v>96</v>
      </c>
      <c r="G29" t="s">
        <v>17</v>
      </c>
      <c r="H29" t="s">
        <v>19</v>
      </c>
    </row>
    <row r="30" spans="6:9">
      <c r="F30" t="s">
        <v>29</v>
      </c>
      <c r="G30" s="51" t="str">
        <f ca="1">IF((SUM($G$16)-SUM($I$16))&gt;0,(SUM($G$16)-SUM($I$16)),"")</f>
        <v/>
      </c>
      <c r="H30" s="51">
        <f ca="1">IF(-(SUM($G$16)-SUM($I$16))&gt;0,-(SUM($G$16)-SUM($I$16)),"")</f>
        <v>497000</v>
      </c>
    </row>
    <row r="31" spans="6:9">
      <c r="F31" t="s">
        <v>516</v>
      </c>
      <c r="G31" s="51">
        <f ca="1">IF((SUM($G$19:$G$20)-SUM($I$19:$I$20))&gt;0,(SUM($G$19:$G$20)-SUM($I$19:$I$20)),"")</f>
        <v>521000</v>
      </c>
      <c r="H31" s="51" t="str">
        <f ca="1">IF(-(SUM($G$19:$G$20)-SUM($I$19:$I$20))&gt;0,-(SUM($G$19:$G$20)-SUM($I$19:$I$20)),"")</f>
        <v/>
      </c>
    </row>
    <row r="32" spans="6:9">
      <c r="F32" t="s">
        <v>530</v>
      </c>
      <c r="G32" s="51" t="str">
        <f ca="1">IF((SUM($G$23)-SUM($I$23))&gt;0,(SUM($G$23)-SUM($I$23)),"")</f>
        <v/>
      </c>
      <c r="H32" s="51">
        <f ca="1">IF(-(SUM($G$23)-SUM($I$23))&gt;0,-(SUM($G$23)-SUM($I$23)),"")</f>
        <v>24000</v>
      </c>
    </row>
    <row r="33" spans="6:8">
      <c r="F33" t="s">
        <v>107</v>
      </c>
      <c r="G33" s="51">
        <f ca="1">SUM(G30,G32)</f>
        <v>0</v>
      </c>
      <c r="H33" s="51"/>
    </row>
  </sheetData>
  <mergeCells count="1">
    <mergeCell ref="G28:H28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workbookViewId="0">
      <selection activeCell="A2" sqref="A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0" t="s">
        <v>108</v>
      </c>
      <c r="AH7" s="131"/>
      <c r="AI7" s="130" t="s">
        <v>261</v>
      </c>
      <c r="AJ7" s="132"/>
      <c r="AK7" s="132"/>
      <c r="AL7" s="131"/>
      <c r="AM7" s="130" t="s">
        <v>314</v>
      </c>
      <c r="AN7" s="131"/>
      <c r="AO7" s="130" t="s">
        <v>315</v>
      </c>
      <c r="AP7" s="131"/>
      <c r="AQ7" s="130" t="s">
        <v>316</v>
      </c>
      <c r="AR7" s="13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0" t="s">
        <v>96</v>
      </c>
      <c r="AF8" s="13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78" t="s">
        <v>243</v>
      </c>
      <c r="AF22" s="92"/>
      <c r="AG22" s="49"/>
      <c r="AH22" s="92"/>
      <c r="AI22" s="93"/>
      <c r="AJ22" s="49"/>
      <c r="AK22" s="93">
        <v>1000</v>
      </c>
      <c r="AL22" s="92">
        <v>12</v>
      </c>
      <c r="AM22" s="94" t="str">
        <f t="shared" si="0"/>
        <v/>
      </c>
      <c r="AN22" s="94">
        <f t="shared" si="1"/>
        <v>1000</v>
      </c>
      <c r="AO22" s="94" t="str">
        <f t="shared" si="2"/>
        <v/>
      </c>
      <c r="AP22" s="49"/>
      <c r="AQ22" s="94" t="str">
        <f t="shared" si="4"/>
        <v/>
      </c>
      <c r="AR22" s="94">
        <f t="shared" si="3"/>
        <v>1000</v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270400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9" t="s">
        <v>323</v>
      </c>
      <c r="K47" s="12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2</v>
      </c>
      <c r="C102" s="49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9" t="s">
        <v>325</v>
      </c>
      <c r="B114" s="129"/>
      <c r="K114" s="129" t="s">
        <v>326</v>
      </c>
      <c r="L114" s="12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9" t="s">
        <v>323</v>
      </c>
      <c r="I118" s="129"/>
      <c r="M118" t="s">
        <v>158</v>
      </c>
      <c r="Q118" s="129" t="s">
        <v>325</v>
      </c>
      <c r="R118" s="129"/>
      <c r="T118" s="129" t="s">
        <v>326</v>
      </c>
      <c r="U118" s="12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Q137" si="13">IF(D121&lt;&gt;"",D121,0)</f>
        <v>20000</v>
      </c>
      <c r="R121">
        <f t="shared" ref="R121:R137" si="14">IF(E121&lt;&gt;"",E121,0)</f>
        <v>0</v>
      </c>
      <c r="T121">
        <f t="shared" ref="T121:T137" si="15">IF(N121&lt;&gt;"",N121,0)</f>
        <v>20000</v>
      </c>
      <c r="U121">
        <f t="shared" ref="U121:U137" si="16">IF(O121&lt;&gt;"",O121,0)</f>
        <v>0</v>
      </c>
      <c r="W121" t="b">
        <f t="shared" ref="W121:W137" si="17">IF(Q121=T121,TRUE,FALSE)</f>
        <v>1</v>
      </c>
      <c r="X121" t="b">
        <f t="shared" ref="X121:X137" si="18">IF(R121=U121,TRUE,FALSE)</f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4"/>
        <v>0</v>
      </c>
      <c r="T122">
        <f t="shared" si="15"/>
        <v>14000</v>
      </c>
      <c r="U122">
        <f t="shared" si="16"/>
        <v>0</v>
      </c>
      <c r="W122" t="b">
        <f t="shared" si="17"/>
        <v>1</v>
      </c>
      <c r="X122" t="b">
        <f t="shared" si="18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4"/>
        <v>0</v>
      </c>
      <c r="T123">
        <f t="shared" si="15"/>
        <v>0</v>
      </c>
      <c r="U123">
        <f t="shared" si="16"/>
        <v>0</v>
      </c>
      <c r="W123" t="b">
        <f t="shared" si="17"/>
        <v>1</v>
      </c>
      <c r="X123" t="b">
        <f t="shared" si="18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4"/>
        <v>8000</v>
      </c>
      <c r="T124">
        <f t="shared" si="15"/>
        <v>0</v>
      </c>
      <c r="U124">
        <f t="shared" si="16"/>
        <v>8000</v>
      </c>
      <c r="W124" t="b">
        <f t="shared" si="17"/>
        <v>1</v>
      </c>
      <c r="X124" t="b">
        <f t="shared" si="18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4"/>
        <v>1000</v>
      </c>
      <c r="T125">
        <f t="shared" si="15"/>
        <v>0</v>
      </c>
      <c r="U125">
        <f t="shared" si="16"/>
        <v>1000</v>
      </c>
      <c r="W125" t="b">
        <f t="shared" si="17"/>
        <v>1</v>
      </c>
      <c r="X125" t="b">
        <f t="shared" si="18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4"/>
        <v>200000</v>
      </c>
      <c r="T126">
        <f t="shared" si="15"/>
        <v>0</v>
      </c>
      <c r="U126">
        <f t="shared" si="16"/>
        <v>200000</v>
      </c>
      <c r="W126" t="b">
        <f t="shared" si="17"/>
        <v>1</v>
      </c>
      <c r="X126" t="b">
        <f t="shared" si="18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4"/>
        <v>70000</v>
      </c>
      <c r="T127">
        <f t="shared" si="15"/>
        <v>0</v>
      </c>
      <c r="U127">
        <f t="shared" si="16"/>
        <v>70000</v>
      </c>
      <c r="W127" t="b">
        <f t="shared" si="17"/>
        <v>1</v>
      </c>
      <c r="X127" t="b">
        <f t="shared" si="18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4"/>
        <v>0</v>
      </c>
      <c r="T128">
        <f t="shared" si="15"/>
        <v>90000</v>
      </c>
      <c r="U128">
        <f t="shared" si="16"/>
        <v>0</v>
      </c>
      <c r="W128" t="b">
        <f t="shared" si="17"/>
        <v>1</v>
      </c>
      <c r="X128" t="b">
        <f t="shared" si="18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4"/>
        <v>0</v>
      </c>
      <c r="T129">
        <f t="shared" si="15"/>
        <v>1200</v>
      </c>
      <c r="U129">
        <f t="shared" si="16"/>
        <v>0</v>
      </c>
      <c r="W129" t="b">
        <f t="shared" si="17"/>
        <v>1</v>
      </c>
      <c r="X129" t="b">
        <f t="shared" si="18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4"/>
        <v>0</v>
      </c>
      <c r="T130">
        <f t="shared" si="15"/>
        <v>25000</v>
      </c>
      <c r="U130">
        <f t="shared" si="16"/>
        <v>0</v>
      </c>
      <c r="W130" t="b">
        <f t="shared" si="17"/>
        <v>1</v>
      </c>
      <c r="X130" t="b">
        <f t="shared" si="18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4"/>
        <v>0</v>
      </c>
      <c r="T131">
        <f t="shared" si="15"/>
        <v>400</v>
      </c>
      <c r="U131">
        <f t="shared" si="16"/>
        <v>0</v>
      </c>
      <c r="W131" t="b">
        <f t="shared" si="17"/>
        <v>1</v>
      </c>
      <c r="X131" t="b">
        <f t="shared" si="18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4"/>
        <v>0</v>
      </c>
      <c r="T132">
        <f t="shared" si="15"/>
        <v>10000</v>
      </c>
      <c r="U132">
        <f t="shared" si="16"/>
        <v>0</v>
      </c>
      <c r="W132" t="b">
        <f t="shared" si="17"/>
        <v>1</v>
      </c>
      <c r="X132" t="b">
        <f t="shared" si="18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4"/>
        <v>0</v>
      </c>
      <c r="T133">
        <f t="shared" si="15"/>
        <v>1000</v>
      </c>
      <c r="U133">
        <f t="shared" si="16"/>
        <v>0</v>
      </c>
      <c r="W133" t="b">
        <f t="shared" si="17"/>
        <v>1</v>
      </c>
      <c r="X133" t="b">
        <f t="shared" si="18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4"/>
        <v>1000</v>
      </c>
      <c r="T134">
        <f t="shared" si="15"/>
        <v>0</v>
      </c>
      <c r="U134">
        <f t="shared" si="16"/>
        <v>1000</v>
      </c>
      <c r="W134" t="b">
        <f t="shared" si="17"/>
        <v>1</v>
      </c>
      <c r="X134" t="b">
        <f t="shared" si="18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4"/>
        <v>0</v>
      </c>
      <c r="T135">
        <f t="shared" si="15"/>
        <v>1800</v>
      </c>
      <c r="U135">
        <f t="shared" si="16"/>
        <v>0</v>
      </c>
      <c r="W135" t="b">
        <f t="shared" si="17"/>
        <v>1</v>
      </c>
      <c r="X135" t="b">
        <f t="shared" si="18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4"/>
        <v>0</v>
      </c>
      <c r="T136">
        <f t="shared" si="15"/>
        <v>1000</v>
      </c>
      <c r="U136">
        <f t="shared" si="16"/>
        <v>0</v>
      </c>
      <c r="W136" t="b">
        <f t="shared" si="17"/>
        <v>1</v>
      </c>
      <c r="X136" t="b">
        <f t="shared" si="18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4"/>
        <v>280000</v>
      </c>
      <c r="T137">
        <f t="shared" si="15"/>
        <v>280000</v>
      </c>
      <c r="U137">
        <f t="shared" si="16"/>
        <v>280000</v>
      </c>
      <c r="W137" t="b">
        <f t="shared" si="17"/>
        <v>1</v>
      </c>
      <c r="X137" t="b">
        <f t="shared" si="18"/>
        <v>1</v>
      </c>
    </row>
  </sheetData>
  <sheetProtection formatColumns="0"/>
  <protectedRanges>
    <protectedRange sqref="AU13:AU14 AU22 AU26" name="範圍1"/>
  </protectedRanges>
  <mergeCells count="12">
    <mergeCell ref="T118:U118"/>
    <mergeCell ref="AO7:AP7"/>
    <mergeCell ref="AM7:AN7"/>
    <mergeCell ref="AQ7:AR7"/>
    <mergeCell ref="AI7:AL7"/>
    <mergeCell ref="AG7:AH7"/>
    <mergeCell ref="AE8:AF8"/>
    <mergeCell ref="J47:K47"/>
    <mergeCell ref="H118:I118"/>
    <mergeCell ref="A114:B114"/>
    <mergeCell ref="K114:L114"/>
    <mergeCell ref="Q118:R118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465-F56D-4EAD-814C-8B6ED3A4796D}">
  <dimension ref="A1:BF137"/>
  <sheetViews>
    <sheetView topLeftCell="A24" workbookViewId="0">
      <selection activeCell="E34" sqref="E34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0" t="s">
        <v>108</v>
      </c>
      <c r="AH7" s="131"/>
      <c r="AI7" s="130" t="s">
        <v>261</v>
      </c>
      <c r="AJ7" s="132"/>
      <c r="AK7" s="132"/>
      <c r="AL7" s="131"/>
      <c r="AM7" s="130" t="s">
        <v>314</v>
      </c>
      <c r="AN7" s="131"/>
      <c r="AO7" s="130" t="s">
        <v>315</v>
      </c>
      <c r="AP7" s="131"/>
      <c r="AQ7" s="130" t="s">
        <v>316</v>
      </c>
      <c r="AR7" s="13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0" t="s">
        <v>96</v>
      </c>
      <c r="AF8" s="13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1</v>
      </c>
      <c r="AE22" s="77" t="s">
        <v>243</v>
      </c>
      <c r="AF22" s="89"/>
      <c r="AG22" s="6"/>
      <c r="AH22" s="89"/>
      <c r="AI22" s="90"/>
      <c r="AJ22" s="6"/>
      <c r="AK22" s="90">
        <v>1000</v>
      </c>
      <c r="AL22" s="89">
        <v>12</v>
      </c>
      <c r="AM22" s="87" t="str">
        <f t="shared" si="0"/>
        <v/>
      </c>
      <c r="AN22" s="87">
        <f t="shared" si="1"/>
        <v>1000</v>
      </c>
      <c r="AO22" s="87" t="str">
        <f t="shared" si="2"/>
        <v/>
      </c>
      <c r="AP22" s="6"/>
      <c r="AQ22" s="87" t="str">
        <f t="shared" si="4"/>
        <v/>
      </c>
      <c r="AR22" s="87" t="str">
        <f t="shared" si="3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269400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9" t="s">
        <v>323</v>
      </c>
      <c r="K47" s="12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1</v>
      </c>
      <c r="C102" s="6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9" t="s">
        <v>325</v>
      </c>
      <c r="B114" s="129"/>
      <c r="K114" s="129" t="s">
        <v>326</v>
      </c>
      <c r="L114" s="12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9" t="s">
        <v>323</v>
      </c>
      <c r="I118" s="129"/>
      <c r="M118" t="s">
        <v>158</v>
      </c>
      <c r="Q118" s="129" t="s">
        <v>325</v>
      </c>
      <c r="R118" s="129"/>
      <c r="T118" s="129" t="s">
        <v>326</v>
      </c>
      <c r="U118" s="12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R137" si="13">IF(D121&lt;&gt;"",D121,0)</f>
        <v>20000</v>
      </c>
      <c r="R121">
        <f t="shared" si="13"/>
        <v>0</v>
      </c>
      <c r="T121">
        <f t="shared" ref="T121:U137" si="14">IF(N121&lt;&gt;"",N121,0)</f>
        <v>20000</v>
      </c>
      <c r="U121">
        <f t="shared" si="14"/>
        <v>0</v>
      </c>
      <c r="W121" t="b">
        <f t="shared" ref="W121:X137" si="15">IF(Q121=T121,TRUE,FALSE)</f>
        <v>1</v>
      </c>
      <c r="X121" t="b">
        <f t="shared" si="15"/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3"/>
        <v>0</v>
      </c>
      <c r="T122">
        <f t="shared" si="14"/>
        <v>14000</v>
      </c>
      <c r="U122">
        <f t="shared" si="14"/>
        <v>0</v>
      </c>
      <c r="W122" t="b">
        <f t="shared" si="15"/>
        <v>1</v>
      </c>
      <c r="X122" t="b">
        <f t="shared" si="15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3"/>
        <v>0</v>
      </c>
      <c r="T123">
        <f t="shared" si="14"/>
        <v>0</v>
      </c>
      <c r="U123">
        <f t="shared" si="14"/>
        <v>0</v>
      </c>
      <c r="W123" t="b">
        <f t="shared" si="15"/>
        <v>1</v>
      </c>
      <c r="X123" t="b">
        <f t="shared" si="15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3"/>
        <v>8000</v>
      </c>
      <c r="T124">
        <f t="shared" si="14"/>
        <v>0</v>
      </c>
      <c r="U124">
        <f t="shared" si="14"/>
        <v>8000</v>
      </c>
      <c r="W124" t="b">
        <f t="shared" si="15"/>
        <v>1</v>
      </c>
      <c r="X124" t="b">
        <f t="shared" si="15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3"/>
        <v>1000</v>
      </c>
      <c r="T125">
        <f t="shared" si="14"/>
        <v>0</v>
      </c>
      <c r="U125">
        <f t="shared" si="14"/>
        <v>1000</v>
      </c>
      <c r="W125" t="b">
        <f t="shared" si="15"/>
        <v>1</v>
      </c>
      <c r="X125" t="b">
        <f t="shared" si="15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3"/>
        <v>200000</v>
      </c>
      <c r="T126">
        <f t="shared" si="14"/>
        <v>0</v>
      </c>
      <c r="U126">
        <f t="shared" si="14"/>
        <v>200000</v>
      </c>
      <c r="W126" t="b">
        <f t="shared" si="15"/>
        <v>1</v>
      </c>
      <c r="X126" t="b">
        <f t="shared" si="15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3"/>
        <v>70000</v>
      </c>
      <c r="T127">
        <f t="shared" si="14"/>
        <v>0</v>
      </c>
      <c r="U127">
        <f t="shared" si="14"/>
        <v>70000</v>
      </c>
      <c r="W127" t="b">
        <f t="shared" si="15"/>
        <v>1</v>
      </c>
      <c r="X127" t="b">
        <f t="shared" si="15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3"/>
        <v>0</v>
      </c>
      <c r="T128">
        <f t="shared" si="14"/>
        <v>90000</v>
      </c>
      <c r="U128">
        <f t="shared" si="14"/>
        <v>0</v>
      </c>
      <c r="W128" t="b">
        <f t="shared" si="15"/>
        <v>1</v>
      </c>
      <c r="X128" t="b">
        <f t="shared" si="15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3"/>
        <v>0</v>
      </c>
      <c r="T129">
        <f t="shared" si="14"/>
        <v>1200</v>
      </c>
      <c r="U129">
        <f t="shared" si="14"/>
        <v>0</v>
      </c>
      <c r="W129" t="b">
        <f t="shared" si="15"/>
        <v>1</v>
      </c>
      <c r="X129" t="b">
        <f t="shared" si="15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3"/>
        <v>0</v>
      </c>
      <c r="T130">
        <f t="shared" si="14"/>
        <v>25000</v>
      </c>
      <c r="U130">
        <f t="shared" si="14"/>
        <v>0</v>
      </c>
      <c r="W130" t="b">
        <f t="shared" si="15"/>
        <v>1</v>
      </c>
      <c r="X130" t="b">
        <f t="shared" si="15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3"/>
        <v>0</v>
      </c>
      <c r="T131">
        <f t="shared" si="14"/>
        <v>400</v>
      </c>
      <c r="U131">
        <f t="shared" si="14"/>
        <v>0</v>
      </c>
      <c r="W131" t="b">
        <f t="shared" si="15"/>
        <v>1</v>
      </c>
      <c r="X131" t="b">
        <f t="shared" si="15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3"/>
        <v>0</v>
      </c>
      <c r="T132">
        <f t="shared" si="14"/>
        <v>10000</v>
      </c>
      <c r="U132">
        <f t="shared" si="14"/>
        <v>0</v>
      </c>
      <c r="W132" t="b">
        <f t="shared" si="15"/>
        <v>1</v>
      </c>
      <c r="X132" t="b">
        <f t="shared" si="15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3"/>
        <v>0</v>
      </c>
      <c r="T133">
        <f t="shared" si="14"/>
        <v>1000</v>
      </c>
      <c r="U133">
        <f t="shared" si="14"/>
        <v>0</v>
      </c>
      <c r="W133" t="b">
        <f t="shared" si="15"/>
        <v>1</v>
      </c>
      <c r="X133" t="b">
        <f t="shared" si="15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3"/>
        <v>1000</v>
      </c>
      <c r="T134">
        <f t="shared" si="14"/>
        <v>0</v>
      </c>
      <c r="U134">
        <f t="shared" si="14"/>
        <v>1000</v>
      </c>
      <c r="W134" t="b">
        <f t="shared" si="15"/>
        <v>1</v>
      </c>
      <c r="X134" t="b">
        <f t="shared" si="15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3"/>
        <v>0</v>
      </c>
      <c r="T135">
        <f t="shared" si="14"/>
        <v>1800</v>
      </c>
      <c r="U135">
        <f t="shared" si="14"/>
        <v>0</v>
      </c>
      <c r="W135" t="b">
        <f t="shared" si="15"/>
        <v>1</v>
      </c>
      <c r="X135" t="b">
        <f t="shared" si="15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3"/>
        <v>0</v>
      </c>
      <c r="T136">
        <f t="shared" si="14"/>
        <v>1000</v>
      </c>
      <c r="U136">
        <f t="shared" si="14"/>
        <v>0</v>
      </c>
      <c r="W136" t="b">
        <f t="shared" si="15"/>
        <v>1</v>
      </c>
      <c r="X136" t="b">
        <f t="shared" si="15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3"/>
        <v>280000</v>
      </c>
      <c r="T137">
        <f t="shared" si="14"/>
        <v>280000</v>
      </c>
      <c r="U137">
        <f t="shared" si="14"/>
        <v>280000</v>
      </c>
      <c r="W137" t="b">
        <f t="shared" si="15"/>
        <v>1</v>
      </c>
      <c r="X137" t="b">
        <f t="shared" si="15"/>
        <v>1</v>
      </c>
    </row>
  </sheetData>
  <sheetProtection formatColumns="0"/>
  <protectedRanges>
    <protectedRange sqref="AU13:AU14 AU22 AU26" name="範圍1"/>
  </protectedRanges>
  <mergeCells count="12">
    <mergeCell ref="J47:K47"/>
    <mergeCell ref="A114:B114"/>
    <mergeCell ref="K114:L114"/>
    <mergeCell ref="H118:I118"/>
    <mergeCell ref="Q118:R118"/>
    <mergeCell ref="AQ7:AR7"/>
    <mergeCell ref="AE8:AF8"/>
    <mergeCell ref="T118:U118"/>
    <mergeCell ref="AG7:AH7"/>
    <mergeCell ref="AI7:AL7"/>
    <mergeCell ref="AM7:AN7"/>
    <mergeCell ref="AO7:AP7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330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331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332</v>
      </c>
      <c r="H1" t="s">
        <v>333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02F6-C39F-4EDD-8BDC-131126C68BF9}">
  <dimension ref="C2:E16"/>
  <sheetViews>
    <sheetView workbookViewId="0">
      <selection activeCell="E16" sqref="E16"/>
    </sheetView>
  </sheetViews>
  <sheetFormatPr defaultRowHeight="16.5"/>
  <cols>
    <col min="4" max="4" width="19.5" bestFit="1" customWidth="1"/>
    <col min="5" max="5" width="10.625" bestFit="1" customWidth="1"/>
  </cols>
  <sheetData>
    <row r="2" spans="3:5">
      <c r="C2" t="s">
        <v>1</v>
      </c>
    </row>
    <row r="3" spans="3:5">
      <c r="C3" t="s">
        <v>277</v>
      </c>
      <c r="D3" t="s">
        <v>334</v>
      </c>
      <c r="E3" s="117">
        <v>0.2</v>
      </c>
    </row>
    <row r="4" spans="3:5">
      <c r="D4" t="s">
        <v>335</v>
      </c>
      <c r="E4" s="117">
        <v>500000</v>
      </c>
    </row>
    <row r="5" spans="3:5">
      <c r="D5" t="s">
        <v>336</v>
      </c>
      <c r="E5" s="117">
        <v>2500</v>
      </c>
    </row>
    <row r="6" spans="3:5">
      <c r="D6" t="s">
        <v>337</v>
      </c>
      <c r="E6" s="117">
        <v>2500</v>
      </c>
    </row>
    <row r="7" spans="3:5">
      <c r="D7" t="s">
        <v>338</v>
      </c>
      <c r="E7" s="117">
        <v>2500</v>
      </c>
    </row>
    <row r="8" spans="3:5">
      <c r="D8" t="s">
        <v>339</v>
      </c>
      <c r="E8" s="117">
        <v>45000</v>
      </c>
    </row>
    <row r="9" spans="3:5">
      <c r="D9" t="s">
        <v>239</v>
      </c>
      <c r="E9" s="117">
        <v>2000</v>
      </c>
    </row>
    <row r="10" spans="3:5">
      <c r="C10" t="s">
        <v>340</v>
      </c>
      <c r="D10" t="s">
        <v>341</v>
      </c>
      <c r="E10" s="117"/>
    </row>
    <row r="11" spans="3:5">
      <c r="C11" t="s">
        <v>342</v>
      </c>
      <c r="D11" t="s">
        <v>343</v>
      </c>
      <c r="E11" s="117">
        <f>$E$4-(SUM($E$5:$E$7))</f>
        <v>492500</v>
      </c>
    </row>
    <row r="12" spans="3:5">
      <c r="D12" t="s">
        <v>344</v>
      </c>
      <c r="E12">
        <f>$E$11*$E$3</f>
        <v>98500</v>
      </c>
    </row>
    <row r="13" spans="3:5">
      <c r="D13" t="s">
        <v>345</v>
      </c>
      <c r="E13" s="117">
        <f>$E$12-$E$8</f>
        <v>53500</v>
      </c>
    </row>
    <row r="14" spans="3:5">
      <c r="D14" t="s">
        <v>346</v>
      </c>
      <c r="E14" s="117">
        <f>$E$13</f>
        <v>53500</v>
      </c>
    </row>
    <row r="15" spans="3:5">
      <c r="D15" t="s">
        <v>347</v>
      </c>
      <c r="E15" s="117">
        <f>$E$9</f>
        <v>2000</v>
      </c>
    </row>
    <row r="16" spans="3:5">
      <c r="D16" t="s">
        <v>341</v>
      </c>
      <c r="E16" s="117">
        <f>$E$14-$E$15</f>
        <v>51500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CAFB-A371-4F39-8861-3F7DBAD7188B}">
  <dimension ref="C2:G20"/>
  <sheetViews>
    <sheetView workbookViewId="0">
      <selection activeCell="E9" sqref="E9"/>
    </sheetView>
  </sheetViews>
  <sheetFormatPr defaultRowHeight="16.5"/>
  <cols>
    <col min="5" max="5" width="9.625" bestFit="1" customWidth="1"/>
    <col min="7" max="7" width="57.875" bestFit="1" customWidth="1"/>
  </cols>
  <sheetData>
    <row r="2" spans="3:7">
      <c r="C2" t="s">
        <v>1</v>
      </c>
    </row>
    <row r="3" spans="3:7">
      <c r="C3" t="s">
        <v>277</v>
      </c>
      <c r="D3" t="s">
        <v>348</v>
      </c>
      <c r="E3" s="117">
        <v>45000</v>
      </c>
      <c r="G3" t="s">
        <v>349</v>
      </c>
    </row>
    <row r="4" spans="3:7">
      <c r="D4" t="s">
        <v>350</v>
      </c>
      <c r="E4" s="117">
        <v>800</v>
      </c>
      <c r="G4" t="s">
        <v>351</v>
      </c>
    </row>
    <row r="5" spans="3:7">
      <c r="D5" t="s">
        <v>352</v>
      </c>
      <c r="E5" s="117">
        <v>400</v>
      </c>
      <c r="G5" t="s">
        <v>353</v>
      </c>
    </row>
    <row r="6" spans="3:7">
      <c r="D6" t="s">
        <v>354</v>
      </c>
      <c r="E6" s="117">
        <v>1000</v>
      </c>
      <c r="G6" t="s">
        <v>355</v>
      </c>
    </row>
    <row r="7" spans="3:7">
      <c r="D7" t="s">
        <v>356</v>
      </c>
      <c r="E7" s="117">
        <v>41800</v>
      </c>
    </row>
    <row r="8" spans="3:7">
      <c r="D8" t="s">
        <v>357</v>
      </c>
      <c r="E8" s="117">
        <v>9000</v>
      </c>
    </row>
    <row r="9" spans="3:7">
      <c r="C9" t="s">
        <v>340</v>
      </c>
      <c r="D9" t="s">
        <v>358</v>
      </c>
      <c r="E9" s="117">
        <v>6000</v>
      </c>
    </row>
    <row r="10" spans="3:7">
      <c r="E10" s="117"/>
    </row>
    <row r="11" spans="3:7">
      <c r="E11" s="117"/>
    </row>
    <row r="12" spans="3:7">
      <c r="E12" s="117"/>
    </row>
    <row r="13" spans="3:7">
      <c r="E13" s="117"/>
    </row>
    <row r="14" spans="3:7">
      <c r="E14" s="117"/>
    </row>
    <row r="15" spans="3:7">
      <c r="E15" s="117"/>
    </row>
    <row r="16" spans="3:7">
      <c r="E16" s="117"/>
    </row>
    <row r="17" spans="5:5">
      <c r="E17" s="117"/>
    </row>
    <row r="18" spans="5:5">
      <c r="E18" s="117"/>
    </row>
    <row r="19" spans="5:5">
      <c r="E19" s="117"/>
    </row>
    <row r="20" spans="5:5">
      <c r="E20" s="11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C92B-9053-4F46-B9A4-6BF87E205F4D}">
  <dimension ref="C2:K10"/>
  <sheetViews>
    <sheetView topLeftCell="C1" workbookViewId="0">
      <selection activeCell="G3" sqref="G3"/>
    </sheetView>
  </sheetViews>
  <sheetFormatPr defaultRowHeight="16.5"/>
  <cols>
    <col min="3" max="3" width="14" bestFit="1" customWidth="1"/>
    <col min="4" max="4" width="20.625" bestFit="1" customWidth="1"/>
    <col min="5" max="5" width="10.625" bestFit="1" customWidth="1"/>
    <col min="7" max="7" width="14" bestFit="1" customWidth="1"/>
    <col min="9" max="9" width="14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359</v>
      </c>
      <c r="E3" s="117">
        <v>1200</v>
      </c>
      <c r="G3" t="s">
        <v>94</v>
      </c>
    </row>
    <row r="4" spans="3:11">
      <c r="D4" s="118" t="s">
        <v>360</v>
      </c>
      <c r="E4" s="117">
        <v>0.1</v>
      </c>
      <c r="G4" t="s">
        <v>22</v>
      </c>
      <c r="H4" s="129" t="s">
        <v>96</v>
      </c>
      <c r="I4" s="129"/>
      <c r="J4" t="s">
        <v>17</v>
      </c>
      <c r="K4" t="s">
        <v>19</v>
      </c>
    </row>
    <row r="5" spans="3:11">
      <c r="D5" t="s">
        <v>361</v>
      </c>
      <c r="E5" s="117">
        <v>0.05</v>
      </c>
      <c r="G5" t="s">
        <v>362</v>
      </c>
      <c r="H5" t="s">
        <v>30</v>
      </c>
      <c r="J5" s="117">
        <v>1200</v>
      </c>
    </row>
    <row r="6" spans="3:11">
      <c r="C6" t="s">
        <v>340</v>
      </c>
      <c r="D6" t="s">
        <v>363</v>
      </c>
      <c r="E6" s="117"/>
      <c r="I6" t="s">
        <v>364</v>
      </c>
      <c r="K6" s="117">
        <v>1200</v>
      </c>
    </row>
    <row r="7" spans="3:11">
      <c r="G7" t="s">
        <v>365</v>
      </c>
      <c r="H7" s="118" t="s">
        <v>360</v>
      </c>
      <c r="J7" s="117">
        <f>$J$5*$E$4</f>
        <v>120</v>
      </c>
    </row>
    <row r="8" spans="3:11">
      <c r="H8" t="s">
        <v>361</v>
      </c>
      <c r="J8" s="117">
        <f>($J$5-$J$7)*$E$5</f>
        <v>54</v>
      </c>
    </row>
    <row r="9" spans="3:11">
      <c r="H9" t="s">
        <v>29</v>
      </c>
      <c r="J9" s="117">
        <f>$J$5-$J$7-$J$8</f>
        <v>1026</v>
      </c>
    </row>
    <row r="10" spans="3:11">
      <c r="I10" t="s">
        <v>30</v>
      </c>
      <c r="K10" s="117">
        <v>1200</v>
      </c>
    </row>
  </sheetData>
  <mergeCells count="1">
    <mergeCell ref="H4:I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E68-743C-496E-A9BC-12770F85AB75}">
  <dimension ref="C2:I11"/>
  <sheetViews>
    <sheetView workbookViewId="0">
      <selection activeCell="M14" sqref="M14"/>
    </sheetView>
  </sheetViews>
  <sheetFormatPr defaultRowHeight="16.5"/>
  <cols>
    <col min="5" max="5" width="9.25" bestFit="1" customWidth="1"/>
    <col min="8" max="9" width="9.625" bestFit="1" customWidth="1"/>
  </cols>
  <sheetData>
    <row r="2" spans="3:9">
      <c r="C2" t="s">
        <v>1</v>
      </c>
      <c r="E2" t="s">
        <v>5</v>
      </c>
    </row>
    <row r="3" spans="3:9">
      <c r="C3" t="s">
        <v>277</v>
      </c>
      <c r="E3" t="s">
        <v>94</v>
      </c>
    </row>
    <row r="4" spans="3:9">
      <c r="C4" t="s">
        <v>340</v>
      </c>
      <c r="E4" t="s">
        <v>22</v>
      </c>
      <c r="F4" s="129" t="s">
        <v>96</v>
      </c>
      <c r="G4" s="129"/>
      <c r="H4" t="s">
        <v>17</v>
      </c>
      <c r="I4" t="s">
        <v>19</v>
      </c>
    </row>
    <row r="5" spans="3:9">
      <c r="E5" s="8">
        <v>44013</v>
      </c>
      <c r="F5" t="s">
        <v>366</v>
      </c>
      <c r="H5" s="51">
        <v>65000</v>
      </c>
      <c r="I5" s="51"/>
    </row>
    <row r="6" spans="3:9">
      <c r="G6" t="s">
        <v>93</v>
      </c>
      <c r="H6" s="51"/>
      <c r="I6" s="51">
        <v>65000</v>
      </c>
    </row>
    <row r="7" spans="3:9">
      <c r="E7" s="8">
        <v>44018</v>
      </c>
      <c r="F7" t="s">
        <v>93</v>
      </c>
      <c r="H7" s="51">
        <v>8000</v>
      </c>
      <c r="I7" s="51"/>
    </row>
    <row r="8" spans="3:9">
      <c r="G8" t="s">
        <v>367</v>
      </c>
      <c r="H8" s="51"/>
      <c r="I8" s="51">
        <v>8000</v>
      </c>
    </row>
    <row r="9" spans="3:9">
      <c r="E9" s="8">
        <v>44031</v>
      </c>
      <c r="F9" t="s">
        <v>93</v>
      </c>
      <c r="H9" s="51">
        <f>($H$5-$H$7)/2</f>
        <v>28500</v>
      </c>
      <c r="I9" s="51"/>
    </row>
    <row r="10" spans="3:9">
      <c r="G10" t="s">
        <v>338</v>
      </c>
      <c r="H10" s="51"/>
      <c r="I10" s="51">
        <f>$H$9*0.01</f>
        <v>285</v>
      </c>
    </row>
    <row r="11" spans="3:9">
      <c r="G11" t="s">
        <v>29</v>
      </c>
      <c r="H11" s="51"/>
      <c r="I11" s="51">
        <f>$H$9-$I$10</f>
        <v>28215</v>
      </c>
    </row>
  </sheetData>
  <mergeCells count="1">
    <mergeCell ref="F4:G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954D-889C-486D-B875-FD18EEFEEBF6}">
  <dimension ref="C1:R40"/>
  <sheetViews>
    <sheetView topLeftCell="C1" workbookViewId="0">
      <selection activeCell="L12" sqref="L12"/>
    </sheetView>
  </sheetViews>
  <sheetFormatPr defaultRowHeight="16.5"/>
  <cols>
    <col min="4" max="4" width="16.25" bestFit="1" customWidth="1"/>
    <col min="5" max="5" width="9.625" bestFit="1" customWidth="1"/>
    <col min="7" max="7" width="11.75" bestFit="1" customWidth="1"/>
    <col min="8" max="8" width="23.75" bestFit="1" customWidth="1"/>
    <col min="9" max="9" width="10.125" bestFit="1" customWidth="1"/>
    <col min="12" max="13" width="9.625" bestFit="1" customWidth="1"/>
    <col min="14" max="14" width="10.125" bestFit="1" customWidth="1"/>
    <col min="17" max="18" width="9.625" bestFit="1" customWidth="1"/>
  </cols>
  <sheetData>
    <row r="1" spans="3:18">
      <c r="G1" t="s">
        <v>5</v>
      </c>
    </row>
    <row r="2" spans="3:18">
      <c r="C2" t="s">
        <v>1</v>
      </c>
      <c r="G2" t="s">
        <v>94</v>
      </c>
    </row>
    <row r="3" spans="3:18">
      <c r="C3" t="s">
        <v>277</v>
      </c>
      <c r="D3" t="s">
        <v>348</v>
      </c>
      <c r="E3" s="51">
        <v>20000</v>
      </c>
      <c r="G3" t="s">
        <v>368</v>
      </c>
      <c r="N3" t="s">
        <v>369</v>
      </c>
    </row>
    <row r="4" spans="3:18">
      <c r="D4" t="s">
        <v>358</v>
      </c>
      <c r="E4" s="51">
        <v>12000</v>
      </c>
      <c r="G4" t="s">
        <v>20</v>
      </c>
      <c r="H4" t="s">
        <v>206</v>
      </c>
      <c r="I4" t="s">
        <v>22</v>
      </c>
      <c r="J4" t="s">
        <v>96</v>
      </c>
      <c r="K4" t="s">
        <v>96</v>
      </c>
      <c r="L4" t="s">
        <v>17</v>
      </c>
      <c r="M4" t="s">
        <v>19</v>
      </c>
      <c r="N4" t="s">
        <v>22</v>
      </c>
      <c r="O4" t="s">
        <v>96</v>
      </c>
      <c r="P4" t="s">
        <v>96</v>
      </c>
      <c r="Q4" t="s">
        <v>17</v>
      </c>
      <c r="R4" t="s">
        <v>19</v>
      </c>
    </row>
    <row r="5" spans="3:18">
      <c r="D5" t="s">
        <v>357</v>
      </c>
      <c r="E5" s="51">
        <v>11000</v>
      </c>
      <c r="G5">
        <v>1</v>
      </c>
      <c r="H5" t="s">
        <v>370</v>
      </c>
      <c r="I5" s="8">
        <v>43831</v>
      </c>
      <c r="J5" t="s">
        <v>348</v>
      </c>
      <c r="L5" s="51">
        <v>20000</v>
      </c>
      <c r="M5" s="51"/>
      <c r="N5" s="51">
        <v>43831</v>
      </c>
      <c r="O5" s="51" t="s">
        <v>30</v>
      </c>
      <c r="P5" s="51"/>
      <c r="Q5" s="51">
        <v>8000</v>
      </c>
      <c r="R5" s="51"/>
    </row>
    <row r="6" spans="3:18">
      <c r="D6" t="s">
        <v>344</v>
      </c>
      <c r="E6" s="51">
        <v>9000</v>
      </c>
      <c r="K6" t="s">
        <v>93</v>
      </c>
      <c r="L6" s="51"/>
      <c r="M6" s="51">
        <v>8000</v>
      </c>
      <c r="N6" s="51"/>
      <c r="O6" s="51" t="s">
        <v>29</v>
      </c>
      <c r="P6" s="51"/>
      <c r="Q6" s="51">
        <v>14000</v>
      </c>
      <c r="R6" s="51"/>
    </row>
    <row r="7" spans="3:18">
      <c r="D7" t="s">
        <v>371</v>
      </c>
      <c r="E7" s="51">
        <v>8000</v>
      </c>
      <c r="K7" t="s">
        <v>29</v>
      </c>
      <c r="L7" s="51"/>
      <c r="M7" s="51">
        <v>14000</v>
      </c>
      <c r="N7" s="51"/>
      <c r="O7" s="51"/>
      <c r="P7" s="51" t="s">
        <v>372</v>
      </c>
      <c r="Q7" s="51"/>
      <c r="R7" s="51">
        <v>20000</v>
      </c>
    </row>
    <row r="8" spans="3:18">
      <c r="D8" t="s">
        <v>373</v>
      </c>
      <c r="E8" s="51">
        <v>26000</v>
      </c>
      <c r="G8">
        <v>2</v>
      </c>
      <c r="H8" t="s">
        <v>374</v>
      </c>
      <c r="I8" s="8">
        <v>44196</v>
      </c>
      <c r="J8" t="s">
        <v>375</v>
      </c>
      <c r="L8" s="51">
        <v>5000</v>
      </c>
      <c r="M8" s="51"/>
      <c r="N8" s="51">
        <v>44196</v>
      </c>
      <c r="O8" s="51" t="s">
        <v>29</v>
      </c>
      <c r="P8" s="51"/>
      <c r="Q8" s="51">
        <v>5000</v>
      </c>
      <c r="R8" s="51"/>
    </row>
    <row r="9" spans="3:18">
      <c r="D9" t="s">
        <v>376</v>
      </c>
      <c r="E9" s="51">
        <v>5000</v>
      </c>
      <c r="K9" t="s">
        <v>29</v>
      </c>
      <c r="L9" s="51"/>
      <c r="M9" s="51">
        <v>5000</v>
      </c>
      <c r="N9" s="51"/>
      <c r="O9" s="51"/>
      <c r="P9" s="51" t="s">
        <v>377</v>
      </c>
      <c r="Q9" s="51"/>
      <c r="R9" s="51">
        <v>5000</v>
      </c>
    </row>
    <row r="10" spans="3:18">
      <c r="C10" t="s">
        <v>340</v>
      </c>
      <c r="D10" t="s">
        <v>378</v>
      </c>
      <c r="E10" s="51">
        <v>64000</v>
      </c>
      <c r="G10">
        <v>3</v>
      </c>
      <c r="H10" t="s">
        <v>379</v>
      </c>
      <c r="I10" s="8">
        <v>44196</v>
      </c>
      <c r="J10" t="s">
        <v>93</v>
      </c>
      <c r="L10" s="51">
        <v>26000</v>
      </c>
      <c r="M10" s="51"/>
      <c r="N10" s="51">
        <v>44196</v>
      </c>
      <c r="O10" s="51" t="s">
        <v>29</v>
      </c>
      <c r="P10" s="51"/>
      <c r="Q10" s="51">
        <v>26000</v>
      </c>
      <c r="R10" s="51"/>
    </row>
    <row r="11" spans="3:18">
      <c r="C11" t="s">
        <v>342</v>
      </c>
      <c r="D11" t="s">
        <v>356</v>
      </c>
      <c r="E11" s="51">
        <v>21000</v>
      </c>
      <c r="K11" t="s">
        <v>29</v>
      </c>
      <c r="L11" s="51"/>
      <c r="M11" s="51">
        <v>26000</v>
      </c>
      <c r="N11" s="51"/>
      <c r="O11" s="51"/>
      <c r="P11" s="51" t="s">
        <v>30</v>
      </c>
      <c r="Q11" s="51"/>
      <c r="R11" s="51">
        <v>26000</v>
      </c>
    </row>
    <row r="12" spans="3:18">
      <c r="D12" t="s">
        <v>343</v>
      </c>
      <c r="E12" s="51">
        <v>30000</v>
      </c>
      <c r="G12">
        <v>4</v>
      </c>
      <c r="H12" t="s">
        <v>380</v>
      </c>
      <c r="I12" s="8">
        <v>44196</v>
      </c>
      <c r="J12" s="51" t="s">
        <v>356</v>
      </c>
      <c r="L12" s="51">
        <v>21000</v>
      </c>
      <c r="M12" s="51"/>
      <c r="N12" s="51">
        <v>44196</v>
      </c>
      <c r="O12" s="51"/>
      <c r="P12" s="51" t="s">
        <v>356</v>
      </c>
      <c r="Q12" s="51"/>
      <c r="R12" s="51"/>
    </row>
    <row r="13" spans="3:18">
      <c r="C13" t="s">
        <v>381</v>
      </c>
      <c r="D13" t="s">
        <v>350</v>
      </c>
      <c r="E13">
        <v>0</v>
      </c>
      <c r="J13" t="s">
        <v>350</v>
      </c>
      <c r="L13" s="51">
        <v>0</v>
      </c>
      <c r="M13" s="51"/>
      <c r="N13" s="51"/>
      <c r="O13" s="51"/>
      <c r="P13" s="51" t="s">
        <v>337</v>
      </c>
      <c r="Q13" s="51"/>
      <c r="R13" s="51">
        <v>0</v>
      </c>
    </row>
    <row r="14" spans="3:18">
      <c r="D14" t="s">
        <v>382</v>
      </c>
      <c r="E14">
        <v>0</v>
      </c>
      <c r="J14" t="s">
        <v>382</v>
      </c>
      <c r="L14" s="51">
        <v>0</v>
      </c>
      <c r="M14" s="51"/>
      <c r="N14" s="51"/>
      <c r="O14" s="51"/>
      <c r="P14" s="51" t="s">
        <v>383</v>
      </c>
      <c r="Q14" s="51"/>
      <c r="R14" s="51">
        <v>0</v>
      </c>
    </row>
    <row r="15" spans="3:18">
      <c r="D15" t="s">
        <v>352</v>
      </c>
      <c r="E15">
        <v>0</v>
      </c>
      <c r="J15" t="s">
        <v>352</v>
      </c>
      <c r="L15" s="51">
        <v>0</v>
      </c>
      <c r="M15" s="51"/>
      <c r="N15" s="51"/>
      <c r="O15" s="51"/>
      <c r="P15" s="51" t="s">
        <v>338</v>
      </c>
      <c r="Q15" s="51"/>
      <c r="R15" s="51">
        <v>0</v>
      </c>
    </row>
    <row r="16" spans="3:18">
      <c r="K16" t="s">
        <v>358</v>
      </c>
      <c r="L16" s="51"/>
      <c r="M16" s="51">
        <v>12000</v>
      </c>
      <c r="N16" s="51"/>
      <c r="O16" s="51" t="s">
        <v>358</v>
      </c>
      <c r="P16" s="51"/>
      <c r="Q16" s="51">
        <v>12000</v>
      </c>
      <c r="R16" s="51"/>
    </row>
    <row r="17" spans="7:18">
      <c r="K17" t="s">
        <v>348</v>
      </c>
      <c r="L17" s="51"/>
      <c r="M17" s="51">
        <v>20000</v>
      </c>
      <c r="N17" s="51"/>
      <c r="O17" s="51" t="s">
        <v>372</v>
      </c>
      <c r="P17" s="51"/>
      <c r="Q17" s="51">
        <v>20000</v>
      </c>
      <c r="R17" s="51"/>
    </row>
    <row r="18" spans="7:18">
      <c r="K18" t="s">
        <v>354</v>
      </c>
      <c r="L18" s="51"/>
      <c r="M18" s="51">
        <v>0</v>
      </c>
      <c r="N18" s="51"/>
      <c r="O18" s="51" t="s">
        <v>336</v>
      </c>
      <c r="P18" s="51"/>
      <c r="Q18" s="51">
        <v>0</v>
      </c>
      <c r="R18" s="51"/>
    </row>
    <row r="19" spans="7:18">
      <c r="J19" t="s">
        <v>357</v>
      </c>
      <c r="L19" s="51">
        <v>11000</v>
      </c>
      <c r="M19" s="51"/>
      <c r="N19" s="51"/>
      <c r="O19" s="51"/>
      <c r="P19" s="51" t="s">
        <v>357</v>
      </c>
      <c r="Q19" s="51"/>
      <c r="R19" s="51">
        <v>11000</v>
      </c>
    </row>
    <row r="20" spans="7:18">
      <c r="K20" t="s">
        <v>356</v>
      </c>
      <c r="L20" s="51"/>
      <c r="M20" s="51">
        <v>11000</v>
      </c>
      <c r="N20" s="51"/>
      <c r="O20" s="51" t="s">
        <v>356</v>
      </c>
      <c r="P20" s="51"/>
      <c r="Q20" s="51">
        <v>11000</v>
      </c>
      <c r="R20" s="51"/>
    </row>
    <row r="21" spans="7:18">
      <c r="L21" s="51"/>
      <c r="M21" s="51"/>
      <c r="N21" s="51"/>
      <c r="O21" s="51"/>
      <c r="P21" s="51"/>
      <c r="Q21" s="51"/>
      <c r="R21" s="51"/>
    </row>
    <row r="22" spans="7:18">
      <c r="G22" s="129" t="s">
        <v>384</v>
      </c>
      <c r="H22" s="129"/>
      <c r="L22" s="51"/>
      <c r="M22" s="51"/>
      <c r="N22" s="51"/>
      <c r="O22" s="51"/>
      <c r="P22" s="51"/>
      <c r="Q22" s="51"/>
      <c r="R22" s="51"/>
    </row>
    <row r="23" spans="7:18">
      <c r="G23" t="s">
        <v>368</v>
      </c>
      <c r="L23" s="51"/>
      <c r="M23" s="51"/>
      <c r="N23" s="51" t="s">
        <v>369</v>
      </c>
      <c r="O23" s="51"/>
      <c r="P23" s="51"/>
      <c r="Q23" s="51"/>
      <c r="R23" s="51"/>
    </row>
    <row r="24" spans="7:18">
      <c r="G24" t="s">
        <v>20</v>
      </c>
      <c r="H24" t="s">
        <v>206</v>
      </c>
      <c r="I24" t="s">
        <v>22</v>
      </c>
      <c r="J24" t="s">
        <v>96</v>
      </c>
      <c r="K24" t="s">
        <v>96</v>
      </c>
      <c r="L24" s="51" t="s">
        <v>17</v>
      </c>
      <c r="M24" s="51" t="s">
        <v>19</v>
      </c>
      <c r="N24" s="51" t="s">
        <v>22</v>
      </c>
      <c r="O24" s="51" t="s">
        <v>96</v>
      </c>
      <c r="P24" s="51" t="s">
        <v>96</v>
      </c>
      <c r="Q24" s="51" t="s">
        <v>17</v>
      </c>
      <c r="R24" s="51" t="s">
        <v>19</v>
      </c>
    </row>
    <row r="25" spans="7:18">
      <c r="I25" s="8">
        <v>44135</v>
      </c>
      <c r="J25" t="s">
        <v>348</v>
      </c>
      <c r="L25" s="51"/>
      <c r="M25" s="51">
        <v>20000</v>
      </c>
      <c r="N25" s="51"/>
      <c r="O25" s="51"/>
      <c r="P25" s="51" t="s">
        <v>372</v>
      </c>
      <c r="Q25" s="51"/>
      <c r="R25" s="51">
        <v>20000</v>
      </c>
    </row>
    <row r="26" spans="7:18">
      <c r="J26" t="s">
        <v>385</v>
      </c>
      <c r="K26" t="s">
        <v>350</v>
      </c>
      <c r="L26" s="51">
        <v>0</v>
      </c>
      <c r="M26" s="51"/>
      <c r="N26" s="51"/>
      <c r="O26" s="51" t="s">
        <v>385</v>
      </c>
      <c r="P26" s="51" t="s">
        <v>386</v>
      </c>
      <c r="Q26" s="51">
        <v>0</v>
      </c>
      <c r="R26" s="51"/>
    </row>
    <row r="27" spans="7:18">
      <c r="K27" t="s">
        <v>382</v>
      </c>
      <c r="L27" s="51">
        <v>0</v>
      </c>
      <c r="M27" s="51"/>
      <c r="N27" s="51"/>
      <c r="O27" s="51"/>
      <c r="P27" s="51" t="s">
        <v>383</v>
      </c>
      <c r="Q27" s="51">
        <v>0</v>
      </c>
      <c r="R27" s="51"/>
    </row>
    <row r="28" spans="7:18">
      <c r="K28" t="s">
        <v>352</v>
      </c>
      <c r="L28" s="51">
        <v>0</v>
      </c>
      <c r="M28" s="120">
        <v>0</v>
      </c>
      <c r="N28" s="51"/>
      <c r="O28" s="51"/>
      <c r="P28" s="51" t="s">
        <v>338</v>
      </c>
      <c r="Q28" s="120">
        <v>0</v>
      </c>
      <c r="R28" s="120">
        <v>0</v>
      </c>
    </row>
    <row r="29" spans="7:18">
      <c r="J29" t="s">
        <v>387</v>
      </c>
      <c r="L29" s="51"/>
      <c r="M29" s="51">
        <v>20000</v>
      </c>
      <c r="N29" s="51"/>
      <c r="O29" s="51" t="s">
        <v>343</v>
      </c>
      <c r="P29" s="51"/>
      <c r="Q29" s="51"/>
      <c r="R29" s="51">
        <v>20000</v>
      </c>
    </row>
    <row r="30" spans="7:18">
      <c r="J30" t="s">
        <v>388</v>
      </c>
      <c r="K30" t="s">
        <v>354</v>
      </c>
      <c r="L30" s="51"/>
      <c r="M30" s="120">
        <v>0</v>
      </c>
      <c r="N30" s="51"/>
      <c r="O30" s="51"/>
      <c r="P30" s="51"/>
      <c r="Q30" s="51"/>
      <c r="R30" s="51"/>
    </row>
    <row r="31" spans="7:18">
      <c r="J31" t="s">
        <v>389</v>
      </c>
      <c r="L31" s="51"/>
      <c r="M31" s="51">
        <v>20000</v>
      </c>
      <c r="N31" s="51"/>
      <c r="O31" s="51"/>
      <c r="P31" s="51"/>
      <c r="Q31" s="51"/>
      <c r="R31" s="51"/>
    </row>
    <row r="32" spans="7:18">
      <c r="L32" s="51"/>
      <c r="M32" s="51"/>
      <c r="N32" s="51"/>
      <c r="O32" s="51"/>
      <c r="P32" s="51"/>
      <c r="Q32" s="51"/>
      <c r="R32" s="51"/>
    </row>
    <row r="33" spans="7:18">
      <c r="G33" s="129" t="s">
        <v>390</v>
      </c>
      <c r="H33" s="129"/>
      <c r="L33" s="51"/>
      <c r="M33" s="51"/>
      <c r="N33" s="51"/>
      <c r="O33" s="51"/>
      <c r="P33" s="51"/>
      <c r="Q33" s="51"/>
      <c r="R33" s="51"/>
    </row>
    <row r="34" spans="7:18">
      <c r="G34" t="s">
        <v>368</v>
      </c>
      <c r="L34" s="51"/>
      <c r="M34" s="51"/>
      <c r="N34" s="51"/>
      <c r="O34" s="51"/>
      <c r="P34" s="51"/>
      <c r="Q34" s="51"/>
      <c r="R34" s="51"/>
    </row>
    <row r="35" spans="7:18">
      <c r="G35" t="s">
        <v>20</v>
      </c>
      <c r="H35" t="s">
        <v>206</v>
      </c>
      <c r="I35" t="s">
        <v>22</v>
      </c>
      <c r="J35" t="s">
        <v>96</v>
      </c>
      <c r="K35" t="s">
        <v>96</v>
      </c>
      <c r="L35" s="51" t="s">
        <v>17</v>
      </c>
      <c r="M35" s="51" t="s">
        <v>19</v>
      </c>
      <c r="N35" s="51"/>
      <c r="O35" s="51"/>
      <c r="P35" s="51"/>
      <c r="Q35" s="51"/>
      <c r="R35" s="51"/>
    </row>
    <row r="36" spans="7:18">
      <c r="I36" s="8">
        <v>44135</v>
      </c>
      <c r="J36" t="s">
        <v>358</v>
      </c>
      <c r="L36" s="51"/>
      <c r="M36" s="51">
        <v>12000</v>
      </c>
      <c r="N36" s="51"/>
      <c r="O36" s="51"/>
      <c r="P36" s="51"/>
      <c r="Q36" s="51"/>
      <c r="R36" s="51"/>
    </row>
    <row r="37" spans="7:18">
      <c r="J37" t="s">
        <v>388</v>
      </c>
      <c r="K37" s="119" t="s">
        <v>389</v>
      </c>
      <c r="L37" s="51"/>
      <c r="M37" s="120">
        <v>20000</v>
      </c>
      <c r="N37" s="51"/>
      <c r="O37" s="51"/>
      <c r="P37" s="51"/>
      <c r="Q37" s="51"/>
      <c r="R37" s="51"/>
    </row>
    <row r="38" spans="7:18">
      <c r="J38" t="s">
        <v>391</v>
      </c>
      <c r="L38" s="51"/>
      <c r="M38" s="51">
        <v>32000</v>
      </c>
      <c r="N38" s="51"/>
      <c r="O38" s="51"/>
      <c r="P38" s="51"/>
      <c r="Q38" s="51"/>
      <c r="R38" s="51"/>
    </row>
    <row r="39" spans="7:18">
      <c r="J39" t="s">
        <v>385</v>
      </c>
      <c r="K39" t="s">
        <v>392</v>
      </c>
      <c r="L39" s="51"/>
      <c r="M39" s="120">
        <v>11000</v>
      </c>
      <c r="N39" s="51"/>
      <c r="O39" s="51"/>
      <c r="P39" s="51"/>
      <c r="Q39" s="51"/>
      <c r="R39" s="51"/>
    </row>
    <row r="40" spans="7:18">
      <c r="J40" t="s">
        <v>356</v>
      </c>
      <c r="L40" s="51"/>
      <c r="M40" s="51">
        <v>21000</v>
      </c>
      <c r="N40" s="51"/>
      <c r="O40" s="51"/>
      <c r="P40" s="51"/>
      <c r="Q40" s="51"/>
      <c r="R40" s="51"/>
    </row>
  </sheetData>
  <mergeCells count="2">
    <mergeCell ref="G22:H22"/>
    <mergeCell ref="G33:H33"/>
  </mergeCells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F0E4-1437-4BCB-88B7-63D370BE8DC4}">
  <dimension ref="A2:O11"/>
  <sheetViews>
    <sheetView workbookViewId="0">
      <selection activeCell="A14" sqref="A14"/>
    </sheetView>
  </sheetViews>
  <sheetFormatPr defaultRowHeight="16.5"/>
  <cols>
    <col min="1" max="1" width="16.25" bestFit="1" customWidth="1"/>
    <col min="2" max="2" width="10.125" bestFit="1" customWidth="1"/>
    <col min="17" max="17" width="15.125" bestFit="1" customWidth="1"/>
  </cols>
  <sheetData>
    <row r="2" spans="1:15">
      <c r="A2" t="s">
        <v>266</v>
      </c>
    </row>
    <row r="3" spans="1:15">
      <c r="A3" t="s">
        <v>393</v>
      </c>
    </row>
    <row r="4" spans="1:15" ht="33.75">
      <c r="A4" s="116" t="s">
        <v>394</v>
      </c>
      <c r="C4" t="s">
        <v>1</v>
      </c>
      <c r="J4" t="s">
        <v>5</v>
      </c>
    </row>
    <row r="5" spans="1:15" ht="33.75">
      <c r="A5" s="116" t="s">
        <v>395</v>
      </c>
      <c r="C5" t="s">
        <v>343</v>
      </c>
      <c r="D5" s="55">
        <v>100000</v>
      </c>
      <c r="F5" s="55">
        <v>180000</v>
      </c>
      <c r="G5" s="55">
        <v>140000</v>
      </c>
      <c r="H5" s="55">
        <v>120000</v>
      </c>
      <c r="J5" t="s">
        <v>343</v>
      </c>
      <c r="K5" s="55">
        <v>100000</v>
      </c>
      <c r="L5" s="55">
        <v>180000</v>
      </c>
      <c r="M5" s="55">
        <v>180000</v>
      </c>
      <c r="N5" s="55">
        <v>140000</v>
      </c>
      <c r="O5" s="55">
        <v>120000</v>
      </c>
    </row>
    <row r="6" spans="1:15" ht="33.75">
      <c r="A6" s="116" t="s">
        <v>395</v>
      </c>
      <c r="C6" t="s">
        <v>358</v>
      </c>
      <c r="D6" s="55">
        <v>30000</v>
      </c>
      <c r="E6" s="55">
        <v>40000</v>
      </c>
      <c r="G6" s="55">
        <v>30000</v>
      </c>
      <c r="J6" t="s">
        <v>358</v>
      </c>
      <c r="K6" s="55">
        <v>30000</v>
      </c>
      <c r="L6" s="55">
        <v>40000</v>
      </c>
      <c r="M6" s="55">
        <v>70000</v>
      </c>
      <c r="N6" s="55">
        <v>30000</v>
      </c>
      <c r="O6" s="55">
        <v>50000</v>
      </c>
    </row>
    <row r="7" spans="1:15" ht="33.75">
      <c r="A7" s="116" t="s">
        <v>395</v>
      </c>
      <c r="C7" t="s">
        <v>387</v>
      </c>
      <c r="D7" s="55">
        <v>60000</v>
      </c>
      <c r="F7" s="55">
        <v>120000</v>
      </c>
      <c r="G7" s="55">
        <v>80000</v>
      </c>
      <c r="H7" s="55">
        <v>110000</v>
      </c>
      <c r="J7" t="s">
        <v>387</v>
      </c>
      <c r="K7" s="55">
        <v>60000</v>
      </c>
      <c r="L7" s="55">
        <v>130000</v>
      </c>
      <c r="M7" s="55">
        <v>120000</v>
      </c>
      <c r="N7" s="55">
        <v>80000</v>
      </c>
      <c r="O7" s="55">
        <v>110000</v>
      </c>
    </row>
    <row r="8" spans="1:15" ht="33.75">
      <c r="A8" s="116" t="s">
        <v>395</v>
      </c>
      <c r="C8" t="s">
        <v>391</v>
      </c>
      <c r="F8" s="55">
        <v>190000</v>
      </c>
      <c r="J8" t="s">
        <v>391</v>
      </c>
      <c r="K8" s="55">
        <v>90000</v>
      </c>
      <c r="L8" s="55">
        <v>170000</v>
      </c>
      <c r="M8" s="55">
        <v>190000</v>
      </c>
      <c r="N8" s="55">
        <v>110000</v>
      </c>
      <c r="O8" s="55">
        <v>160000</v>
      </c>
    </row>
    <row r="9" spans="1:15" ht="33.75">
      <c r="A9" s="116" t="s">
        <v>395</v>
      </c>
      <c r="C9" t="s">
        <v>357</v>
      </c>
      <c r="D9" s="55">
        <v>24000</v>
      </c>
      <c r="E9" s="55">
        <v>30000</v>
      </c>
      <c r="H9" s="55">
        <v>70000</v>
      </c>
      <c r="J9" t="s">
        <v>357</v>
      </c>
      <c r="K9" s="55">
        <v>24000</v>
      </c>
      <c r="L9" s="55">
        <v>30000</v>
      </c>
      <c r="M9" s="55">
        <v>40000</v>
      </c>
      <c r="N9" s="55">
        <v>20000</v>
      </c>
      <c r="O9" s="55">
        <v>70000</v>
      </c>
    </row>
    <row r="10" spans="1:15">
      <c r="C10" t="s">
        <v>356</v>
      </c>
      <c r="E10" s="55">
        <v>140000</v>
      </c>
      <c r="J10" t="s">
        <v>356</v>
      </c>
      <c r="K10" s="55">
        <v>66000</v>
      </c>
      <c r="L10" s="55">
        <v>140000</v>
      </c>
      <c r="M10" s="55">
        <v>150000</v>
      </c>
      <c r="N10" s="55">
        <v>90000</v>
      </c>
      <c r="O10" s="55">
        <v>90000</v>
      </c>
    </row>
    <row r="11" spans="1:15">
      <c r="C11" t="s">
        <v>344</v>
      </c>
      <c r="E11" s="55">
        <v>40000</v>
      </c>
      <c r="F11" s="55">
        <v>30000</v>
      </c>
      <c r="G11" s="55">
        <v>50000</v>
      </c>
      <c r="H11" s="55">
        <v>30000</v>
      </c>
      <c r="J11" t="s">
        <v>344</v>
      </c>
      <c r="K11" s="55">
        <v>34000</v>
      </c>
      <c r="L11" s="55">
        <v>40000</v>
      </c>
      <c r="M11" s="55">
        <v>30000</v>
      </c>
      <c r="N11" s="55">
        <v>50000</v>
      </c>
      <c r="O11" s="55">
        <v>30000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6332-44DA-4258-BB33-8601CC4AF7AC}">
  <dimension ref="A1:J11"/>
  <sheetViews>
    <sheetView workbookViewId="0">
      <selection activeCell="L9" sqref="L9"/>
    </sheetView>
  </sheetViews>
  <sheetFormatPr defaultRowHeight="16.5"/>
  <cols>
    <col min="1" max="1" width="18" bestFit="1" customWidth="1"/>
    <col min="3" max="3" width="16.25" bestFit="1" customWidth="1"/>
    <col min="4" max="4" width="10.625" bestFit="1" customWidth="1"/>
    <col min="6" max="6" width="10.125" bestFit="1" customWidth="1"/>
    <col min="9" max="10" width="10.625" bestFit="1" customWidth="1"/>
  </cols>
  <sheetData>
    <row r="1" spans="1:10">
      <c r="A1" t="s">
        <v>1</v>
      </c>
    </row>
    <row r="2" spans="1:10">
      <c r="A2" t="s">
        <v>277</v>
      </c>
      <c r="F2" t="s">
        <v>105</v>
      </c>
    </row>
    <row r="3" spans="1:10">
      <c r="A3" s="8">
        <v>44114</v>
      </c>
      <c r="C3" t="s">
        <v>396</v>
      </c>
      <c r="D3" s="43">
        <v>200</v>
      </c>
      <c r="F3" t="s">
        <v>22</v>
      </c>
      <c r="G3" s="115" t="s">
        <v>96</v>
      </c>
      <c r="H3" s="115"/>
      <c r="I3" t="s">
        <v>17</v>
      </c>
      <c r="J3" t="s">
        <v>19</v>
      </c>
    </row>
    <row r="4" spans="1:10">
      <c r="A4" t="s">
        <v>397</v>
      </c>
      <c r="C4" t="s">
        <v>398</v>
      </c>
      <c r="D4" s="43">
        <v>1000</v>
      </c>
      <c r="F4" s="8">
        <v>44124</v>
      </c>
      <c r="G4" t="s">
        <v>29</v>
      </c>
      <c r="I4" s="55">
        <f>$D$8-$D$9</f>
        <v>128000</v>
      </c>
      <c r="J4" s="55"/>
    </row>
    <row r="5" spans="1:10">
      <c r="A5" t="s">
        <v>399</v>
      </c>
      <c r="C5" t="s">
        <v>400</v>
      </c>
      <c r="D5" s="43">
        <v>0.2</v>
      </c>
      <c r="G5" t="s">
        <v>338</v>
      </c>
      <c r="I5" s="55">
        <f>$D$8*$D$6</f>
        <v>32000</v>
      </c>
      <c r="J5" s="55"/>
    </row>
    <row r="6" spans="1:10">
      <c r="A6" t="s">
        <v>401</v>
      </c>
      <c r="C6" t="s">
        <v>402</v>
      </c>
      <c r="D6" s="43">
        <v>0.2</v>
      </c>
      <c r="H6" t="s">
        <v>30</v>
      </c>
      <c r="I6" s="55"/>
      <c r="J6" s="55">
        <f>$D$7*(1-$D$5)</f>
        <v>160000</v>
      </c>
    </row>
    <row r="7" spans="1:10">
      <c r="A7" t="s">
        <v>403</v>
      </c>
      <c r="C7" t="s">
        <v>404</v>
      </c>
      <c r="D7" s="43">
        <f>$D$3*$D$4</f>
        <v>200000</v>
      </c>
    </row>
    <row r="8" spans="1:10">
      <c r="C8" t="s">
        <v>405</v>
      </c>
      <c r="D8" s="43">
        <f>$D$7*(1-$D$5)</f>
        <v>160000</v>
      </c>
    </row>
    <row r="9" spans="1:10">
      <c r="A9" t="s">
        <v>340</v>
      </c>
      <c r="C9" t="s">
        <v>338</v>
      </c>
      <c r="D9" s="43">
        <f>$D$8*$D$6</f>
        <v>32000</v>
      </c>
    </row>
    <row r="10" spans="1:10">
      <c r="A10" s="8">
        <v>44124</v>
      </c>
      <c r="C10" t="s">
        <v>29</v>
      </c>
      <c r="D10" s="43">
        <f>$D$8-$D$9</f>
        <v>128000</v>
      </c>
    </row>
    <row r="11" spans="1:10">
      <c r="A11" t="s">
        <v>94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6BC8-C1F3-47E2-A6C3-0C488E808FB1}">
  <dimension ref="C1:AE6"/>
  <sheetViews>
    <sheetView topLeftCell="M1" workbookViewId="0">
      <selection activeCell="N10" sqref="N10"/>
    </sheetView>
  </sheetViews>
  <sheetFormatPr defaultRowHeight="16.5"/>
  <cols>
    <col min="14" max="14" width="9.625" bestFit="1" customWidth="1"/>
    <col min="16" max="19" width="9.625" bestFit="1" customWidth="1"/>
    <col min="21" max="21" width="9.5" bestFit="1" customWidth="1"/>
    <col min="22" max="25" width="9.625" bestFit="1" customWidth="1"/>
  </cols>
  <sheetData>
    <row r="1" spans="3:31">
      <c r="C1" t="s">
        <v>1</v>
      </c>
      <c r="M1" t="s">
        <v>5</v>
      </c>
    </row>
    <row r="2" spans="3:31">
      <c r="M2" t="s">
        <v>42</v>
      </c>
      <c r="S2" t="s">
        <v>372</v>
      </c>
      <c r="T2" t="s">
        <v>406</v>
      </c>
      <c r="U2" t="s">
        <v>406</v>
      </c>
      <c r="V2" t="s">
        <v>407</v>
      </c>
      <c r="Z2" t="s">
        <v>381</v>
      </c>
    </row>
    <row r="3" spans="3:31">
      <c r="C3" t="s">
        <v>42</v>
      </c>
      <c r="D3" t="s">
        <v>372</v>
      </c>
      <c r="E3" t="s">
        <v>358</v>
      </c>
      <c r="F3" t="s">
        <v>348</v>
      </c>
      <c r="G3" t="s">
        <v>357</v>
      </c>
      <c r="H3" t="s">
        <v>356</v>
      </c>
      <c r="I3" t="s">
        <v>408</v>
      </c>
      <c r="J3" t="s">
        <v>409</v>
      </c>
      <c r="K3" t="s">
        <v>410</v>
      </c>
      <c r="N3" t="s">
        <v>372</v>
      </c>
      <c r="O3" t="s">
        <v>358</v>
      </c>
      <c r="P3" t="s">
        <v>348</v>
      </c>
      <c r="Q3" t="s">
        <v>357</v>
      </c>
      <c r="R3" t="s">
        <v>356</v>
      </c>
      <c r="S3" t="s">
        <v>408</v>
      </c>
      <c r="T3" t="s">
        <v>409</v>
      </c>
      <c r="U3" t="s">
        <v>410</v>
      </c>
      <c r="V3" t="s">
        <v>391</v>
      </c>
      <c r="W3" t="s">
        <v>389</v>
      </c>
      <c r="X3" t="s">
        <v>387</v>
      </c>
      <c r="Y3" t="s">
        <v>343</v>
      </c>
      <c r="Z3" t="s">
        <v>337</v>
      </c>
      <c r="AA3" t="s">
        <v>383</v>
      </c>
      <c r="AB3" t="s">
        <v>338</v>
      </c>
      <c r="AC3" t="s">
        <v>350</v>
      </c>
      <c r="AD3" t="s">
        <v>382</v>
      </c>
      <c r="AE3" t="s">
        <v>352</v>
      </c>
    </row>
    <row r="4" spans="3:31">
      <c r="C4">
        <v>18</v>
      </c>
      <c r="E4">
        <v>4000</v>
      </c>
      <c r="G4">
        <v>2800</v>
      </c>
      <c r="H4">
        <v>12000</v>
      </c>
      <c r="I4">
        <v>11200</v>
      </c>
      <c r="K4">
        <v>4600</v>
      </c>
      <c r="M4">
        <v>18</v>
      </c>
      <c r="N4" s="51">
        <v>23200</v>
      </c>
      <c r="O4" s="51">
        <v>4000</v>
      </c>
      <c r="P4" s="51">
        <v>10800</v>
      </c>
      <c r="Q4" s="51">
        <v>2800</v>
      </c>
      <c r="R4" s="51">
        <v>12000</v>
      </c>
      <c r="S4" s="51">
        <v>11200</v>
      </c>
      <c r="T4" s="51">
        <v>6600</v>
      </c>
      <c r="U4" s="51">
        <v>4600</v>
      </c>
      <c r="V4" s="51">
        <v>14800</v>
      </c>
      <c r="W4" s="51"/>
      <c r="X4" s="51">
        <v>10800</v>
      </c>
      <c r="Y4" s="51">
        <v>23200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3:31">
      <c r="C5">
        <v>19</v>
      </c>
      <c r="D5">
        <v>25400</v>
      </c>
      <c r="F5">
        <v>14000</v>
      </c>
      <c r="J5">
        <v>4500</v>
      </c>
      <c r="K5">
        <v>4200</v>
      </c>
      <c r="M5">
        <v>19</v>
      </c>
      <c r="N5" s="51">
        <v>25400</v>
      </c>
      <c r="O5" s="51">
        <v>2800</v>
      </c>
      <c r="P5" s="51">
        <v>14000</v>
      </c>
      <c r="Q5" s="51">
        <v>100</v>
      </c>
      <c r="R5" s="51">
        <v>16700</v>
      </c>
      <c r="S5" s="51">
        <v>8700</v>
      </c>
      <c r="T5" s="51">
        <v>4500</v>
      </c>
      <c r="U5" s="51">
        <v>4200</v>
      </c>
      <c r="V5" s="51"/>
      <c r="W5" s="51">
        <v>18200</v>
      </c>
      <c r="X5" s="51"/>
      <c r="Y5" s="51">
        <v>25400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>
      <c r="C6">
        <v>20</v>
      </c>
      <c r="G6">
        <v>17000</v>
      </c>
      <c r="H6">
        <v>10000</v>
      </c>
      <c r="I6">
        <v>4000</v>
      </c>
      <c r="J6">
        <v>5600</v>
      </c>
      <c r="M6">
        <v>20</v>
      </c>
      <c r="N6" s="51">
        <v>14000</v>
      </c>
      <c r="O6" s="51">
        <v>100</v>
      </c>
      <c r="P6" s="51">
        <v>26900</v>
      </c>
      <c r="Q6" s="51">
        <v>17000</v>
      </c>
      <c r="R6" s="51">
        <v>10000</v>
      </c>
      <c r="S6" s="51">
        <v>4000</v>
      </c>
      <c r="T6" s="51">
        <v>5600</v>
      </c>
      <c r="U6" s="51">
        <v>-1600</v>
      </c>
      <c r="V6" s="51">
        <v>27000</v>
      </c>
      <c r="W6" s="51"/>
      <c r="X6" s="51"/>
      <c r="Y6" s="51">
        <v>14000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EE38-CB64-49A7-B51D-8EC0337B253E}">
  <dimension ref="G2:I9"/>
  <sheetViews>
    <sheetView workbookViewId="0">
      <selection activeCell="G12" sqref="G12"/>
    </sheetView>
  </sheetViews>
  <sheetFormatPr defaultRowHeight="16.5"/>
  <cols>
    <col min="7" max="7" width="18.5" bestFit="1" customWidth="1"/>
  </cols>
  <sheetData>
    <row r="2" spans="7:9">
      <c r="G2" t="s">
        <v>5</v>
      </c>
    </row>
    <row r="3" spans="7:9">
      <c r="G3" t="s">
        <v>411</v>
      </c>
    </row>
    <row r="4" spans="7:9">
      <c r="G4" t="s">
        <v>96</v>
      </c>
      <c r="H4" t="s">
        <v>96</v>
      </c>
      <c r="I4" t="s">
        <v>163</v>
      </c>
    </row>
    <row r="5" spans="7:9">
      <c r="G5" t="s">
        <v>412</v>
      </c>
      <c r="I5">
        <v>5000</v>
      </c>
    </row>
    <row r="6" spans="7:9">
      <c r="G6" t="s">
        <v>385</v>
      </c>
      <c r="H6" t="s">
        <v>413</v>
      </c>
      <c r="I6">
        <v>4650</v>
      </c>
    </row>
    <row r="7" spans="7:9">
      <c r="G7" t="s">
        <v>414</v>
      </c>
      <c r="I7">
        <v>350</v>
      </c>
    </row>
    <row r="8" spans="7:9">
      <c r="G8" t="s">
        <v>415</v>
      </c>
      <c r="H8" t="s">
        <v>29</v>
      </c>
      <c r="I8">
        <v>300</v>
      </c>
    </row>
    <row r="9" spans="7:9">
      <c r="G9" t="s">
        <v>416</v>
      </c>
      <c r="I9">
        <v>50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CF56-3D19-4025-A991-69CFA3EB7189}">
  <dimension ref="C3:AY36"/>
  <sheetViews>
    <sheetView topLeftCell="AM1" workbookViewId="0">
      <selection activeCell="AU7" sqref="AU7"/>
    </sheetView>
  </sheetViews>
  <sheetFormatPr defaultRowHeight="16.5"/>
  <cols>
    <col min="7" max="8" width="9.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  <col min="44" max="44" width="18.5" bestFit="1" customWidth="1"/>
    <col min="45" max="45" width="14.25" bestFit="1" customWidth="1"/>
  </cols>
  <sheetData>
    <row r="3" spans="3:51">
      <c r="C3" t="s">
        <v>1</v>
      </c>
    </row>
    <row r="4" spans="3:51">
      <c r="D4" t="s">
        <v>94</v>
      </c>
      <c r="J4" t="s">
        <v>108</v>
      </c>
      <c r="O4" t="s">
        <v>315</v>
      </c>
      <c r="T4" t="s">
        <v>417</v>
      </c>
      <c r="AG4" t="s">
        <v>129</v>
      </c>
      <c r="AR4" t="s">
        <v>418</v>
      </c>
    </row>
    <row r="5" spans="3:51">
      <c r="D5" t="s">
        <v>419</v>
      </c>
      <c r="E5" t="s">
        <v>96</v>
      </c>
      <c r="F5" t="s">
        <v>96</v>
      </c>
      <c r="G5" t="s">
        <v>17</v>
      </c>
      <c r="H5" t="s">
        <v>19</v>
      </c>
      <c r="J5" t="s">
        <v>420</v>
      </c>
      <c r="O5" t="s">
        <v>96</v>
      </c>
      <c r="P5" t="s">
        <v>96</v>
      </c>
      <c r="Q5" t="s">
        <v>17</v>
      </c>
      <c r="R5" t="s">
        <v>19</v>
      </c>
      <c r="T5" t="s">
        <v>96</v>
      </c>
      <c r="U5" t="s">
        <v>96</v>
      </c>
      <c r="V5" t="s">
        <v>17</v>
      </c>
      <c r="W5" t="s">
        <v>19</v>
      </c>
      <c r="AG5" t="s">
        <v>29</v>
      </c>
      <c r="AN5" t="s">
        <v>421</v>
      </c>
      <c r="AR5" s="129" t="s">
        <v>420</v>
      </c>
      <c r="AS5" s="129"/>
      <c r="AT5" s="129"/>
      <c r="AU5" s="129"/>
    </row>
    <row r="6" spans="3:51">
      <c r="D6">
        <v>1</v>
      </c>
      <c r="E6" t="s">
        <v>422</v>
      </c>
      <c r="G6" s="51">
        <v>2700</v>
      </c>
      <c r="H6" s="51"/>
      <c r="J6" t="s">
        <v>423</v>
      </c>
      <c r="O6" t="s">
        <v>101</v>
      </c>
      <c r="R6" s="51">
        <v>8000</v>
      </c>
      <c r="T6" t="s">
        <v>29</v>
      </c>
      <c r="V6" s="51">
        <v>30000</v>
      </c>
      <c r="AG6" s="129" t="s">
        <v>423</v>
      </c>
      <c r="AH6" s="129"/>
      <c r="AR6" s="135" t="s">
        <v>424</v>
      </c>
      <c r="AS6" s="135"/>
      <c r="AT6" s="135"/>
      <c r="AU6" s="135"/>
      <c r="AV6" s="8"/>
      <c r="AW6" s="8"/>
      <c r="AX6" s="8"/>
      <c r="AY6" s="8"/>
    </row>
    <row r="7" spans="3:51">
      <c r="F7" t="s">
        <v>103</v>
      </c>
      <c r="G7" s="51"/>
      <c r="H7" s="51">
        <v>2700</v>
      </c>
      <c r="J7" t="s">
        <v>96</v>
      </c>
      <c r="K7" t="s">
        <v>96</v>
      </c>
      <c r="L7" t="s">
        <v>17</v>
      </c>
      <c r="M7" t="s">
        <v>19</v>
      </c>
      <c r="O7" t="s">
        <v>422</v>
      </c>
      <c r="Q7" s="51">
        <v>7200</v>
      </c>
      <c r="T7" t="s">
        <v>103</v>
      </c>
      <c r="W7" s="51">
        <v>7200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  <c r="AR7" t="s">
        <v>426</v>
      </c>
      <c r="AT7" s="17"/>
      <c r="AU7" s="28">
        <v>85000</v>
      </c>
    </row>
    <row r="8" spans="3:51">
      <c r="D8">
        <v>2</v>
      </c>
      <c r="E8" t="s">
        <v>422</v>
      </c>
      <c r="G8" s="51">
        <v>4500</v>
      </c>
      <c r="H8" s="51"/>
      <c r="J8" t="s">
        <v>29</v>
      </c>
      <c r="L8" s="51">
        <v>30000</v>
      </c>
      <c r="M8" s="51"/>
      <c r="P8" t="s">
        <v>107</v>
      </c>
      <c r="Q8" s="51">
        <f>SUM(Q6:Q7)</f>
        <v>7200</v>
      </c>
      <c r="R8" s="51">
        <f>SUM(R6:R7)</f>
        <v>8000</v>
      </c>
      <c r="T8" t="s">
        <v>427</v>
      </c>
      <c r="W8" s="51">
        <v>22000</v>
      </c>
      <c r="AK8" s="51">
        <v>30000</v>
      </c>
      <c r="AM8" t="s">
        <v>141</v>
      </c>
      <c r="AN8" s="51">
        <v>30000</v>
      </c>
      <c r="AR8" t="s">
        <v>388</v>
      </c>
      <c r="AS8" t="s">
        <v>428</v>
      </c>
      <c r="AT8" s="17">
        <v>4500</v>
      </c>
      <c r="AU8" s="28"/>
    </row>
    <row r="9" spans="3:51">
      <c r="F9" t="s">
        <v>103</v>
      </c>
      <c r="G9" s="51"/>
      <c r="H9" s="51">
        <v>4500</v>
      </c>
      <c r="J9" t="s">
        <v>103</v>
      </c>
      <c r="L9" s="51"/>
      <c r="M9" s="51">
        <v>7200</v>
      </c>
      <c r="U9" t="s">
        <v>107</v>
      </c>
      <c r="V9" s="51">
        <f>SUM(V6:V8)</f>
        <v>30000</v>
      </c>
      <c r="W9" s="51">
        <f>SUM(W6:W8)</f>
        <v>29200</v>
      </c>
      <c r="AT9" s="17"/>
      <c r="AU9" s="28">
        <f>SUM($AT$8:$AT$9)</f>
        <v>4500</v>
      </c>
    </row>
    <row r="10" spans="3:51">
      <c r="D10">
        <v>3</v>
      </c>
      <c r="E10" t="s">
        <v>29</v>
      </c>
      <c r="G10" s="51">
        <v>30000</v>
      </c>
      <c r="H10" s="51"/>
      <c r="J10" t="s">
        <v>427</v>
      </c>
      <c r="L10" s="51"/>
      <c r="M10" s="51">
        <v>22000</v>
      </c>
      <c r="AG10" t="s">
        <v>103</v>
      </c>
      <c r="AN10" t="s">
        <v>429</v>
      </c>
      <c r="AT10" s="25"/>
      <c r="AU10" s="27">
        <f>SUM($AU$7,$AU$9)</f>
        <v>89500</v>
      </c>
    </row>
    <row r="11" spans="3:51">
      <c r="F11" t="s">
        <v>427</v>
      </c>
      <c r="G11" s="51"/>
      <c r="H11" s="51">
        <v>30000</v>
      </c>
      <c r="J11" t="s">
        <v>101</v>
      </c>
      <c r="L11" s="51"/>
      <c r="M11" s="51">
        <v>8000</v>
      </c>
      <c r="AG11" s="129" t="s">
        <v>423</v>
      </c>
      <c r="AH11" s="129"/>
      <c r="AT11" s="17"/>
      <c r="AU11" s="28"/>
    </row>
    <row r="12" spans="3:51">
      <c r="D12">
        <v>4</v>
      </c>
      <c r="E12" t="s">
        <v>427</v>
      </c>
      <c r="G12" s="51">
        <v>8000</v>
      </c>
      <c r="H12" s="51"/>
      <c r="J12" t="s">
        <v>422</v>
      </c>
      <c r="L12" s="51">
        <v>7200</v>
      </c>
      <c r="M12" s="51"/>
      <c r="AG12" t="s">
        <v>132</v>
      </c>
      <c r="AH12" t="s">
        <v>133</v>
      </c>
      <c r="AI12" t="s">
        <v>137</v>
      </c>
      <c r="AJ12" t="s">
        <v>138</v>
      </c>
      <c r="AK12" t="s">
        <v>135</v>
      </c>
      <c r="AL12" s="123" t="s">
        <v>136</v>
      </c>
      <c r="AM12" t="s">
        <v>425</v>
      </c>
      <c r="AN12" t="s">
        <v>140</v>
      </c>
      <c r="AR12" t="s">
        <v>385</v>
      </c>
      <c r="AS12" t="s">
        <v>430</v>
      </c>
      <c r="AT12" s="17">
        <v>550</v>
      </c>
      <c r="AU12" s="28"/>
    </row>
    <row r="13" spans="3:51">
      <c r="F13" t="s">
        <v>101</v>
      </c>
      <c r="G13" s="51"/>
      <c r="H13" s="51">
        <v>8000</v>
      </c>
      <c r="K13" t="s">
        <v>107</v>
      </c>
      <c r="L13" s="51">
        <f>SUM(L$8:L$12)</f>
        <v>37200</v>
      </c>
      <c r="M13" s="51">
        <f>SUM(M$8:M$12)</f>
        <v>37200</v>
      </c>
      <c r="AL13" s="51">
        <v>7200</v>
      </c>
      <c r="AM13" t="s">
        <v>150</v>
      </c>
      <c r="AN13" s="51">
        <v>7200</v>
      </c>
      <c r="AT13" s="17"/>
      <c r="AU13" s="28">
        <f>SUM($AT$12:$AT$13)</f>
        <v>550</v>
      </c>
    </row>
    <row r="14" spans="3:51">
      <c r="AR14" t="s">
        <v>431</v>
      </c>
      <c r="AT14" s="25"/>
      <c r="AU14" s="126">
        <f>$AU$10-$AU$13</f>
        <v>88950</v>
      </c>
    </row>
    <row r="15" spans="3:51">
      <c r="D15" t="s">
        <v>105</v>
      </c>
      <c r="AG15" t="s">
        <v>427</v>
      </c>
      <c r="AN15" t="s">
        <v>291</v>
      </c>
    </row>
    <row r="16" spans="3:51">
      <c r="D16" t="s">
        <v>96</v>
      </c>
      <c r="E16" t="s">
        <v>29</v>
      </c>
      <c r="AG16" s="129" t="s">
        <v>423</v>
      </c>
      <c r="AH16" s="129"/>
    </row>
    <row r="17" spans="4:40">
      <c r="D17" t="s">
        <v>419</v>
      </c>
      <c r="E17" t="s">
        <v>17</v>
      </c>
      <c r="F17" t="s">
        <v>419</v>
      </c>
      <c r="G17" t="s">
        <v>19</v>
      </c>
      <c r="J17" t="s">
        <v>307</v>
      </c>
      <c r="AG17" t="s">
        <v>132</v>
      </c>
      <c r="AH17" t="s">
        <v>133</v>
      </c>
      <c r="AI17" t="s">
        <v>137</v>
      </c>
      <c r="AJ17" t="s">
        <v>138</v>
      </c>
      <c r="AK17" t="s">
        <v>135</v>
      </c>
      <c r="AL17" s="123" t="s">
        <v>136</v>
      </c>
      <c r="AM17" t="s">
        <v>425</v>
      </c>
      <c r="AN17" t="s">
        <v>140</v>
      </c>
    </row>
    <row r="18" spans="4:40">
      <c r="D18">
        <v>3</v>
      </c>
      <c r="E18" s="51">
        <v>30000</v>
      </c>
      <c r="J18" t="s">
        <v>420</v>
      </c>
      <c r="AL18" s="51">
        <v>22000</v>
      </c>
      <c r="AM18" t="s">
        <v>150</v>
      </c>
      <c r="AN18" s="51">
        <v>22000</v>
      </c>
    </row>
    <row r="19" spans="4:40">
      <c r="J19" t="s">
        <v>424</v>
      </c>
    </row>
    <row r="20" spans="4:40">
      <c r="D20" t="s">
        <v>96</v>
      </c>
      <c r="E20" t="s">
        <v>103</v>
      </c>
      <c r="J20" s="133" t="s">
        <v>96</v>
      </c>
      <c r="K20" s="132" t="s">
        <v>108</v>
      </c>
      <c r="L20" s="131"/>
      <c r="M20" s="132" t="s">
        <v>261</v>
      </c>
      <c r="N20" s="131"/>
      <c r="O20" s="132" t="s">
        <v>314</v>
      </c>
      <c r="P20" s="131"/>
      <c r="Q20" s="132" t="s">
        <v>315</v>
      </c>
      <c r="R20" s="131"/>
      <c r="S20" s="132" t="s">
        <v>417</v>
      </c>
      <c r="T20" s="131"/>
      <c r="AG20" t="s">
        <v>427</v>
      </c>
      <c r="AN20" t="s">
        <v>432</v>
      </c>
    </row>
    <row r="21" spans="4:40">
      <c r="D21" t="s">
        <v>419</v>
      </c>
      <c r="E21" t="s">
        <v>17</v>
      </c>
      <c r="F21" t="s">
        <v>419</v>
      </c>
      <c r="G21" t="s">
        <v>19</v>
      </c>
      <c r="J21" s="134"/>
      <c r="K21" s="48" t="s">
        <v>17</v>
      </c>
      <c r="L21" s="48" t="s">
        <v>19</v>
      </c>
      <c r="M21" s="48" t="s">
        <v>17</v>
      </c>
      <c r="N21" s="48" t="s">
        <v>19</v>
      </c>
      <c r="O21" s="48" t="s">
        <v>17</v>
      </c>
      <c r="P21" s="48" t="s">
        <v>19</v>
      </c>
      <c r="Q21" s="48" t="s">
        <v>17</v>
      </c>
      <c r="R21" s="48" t="s">
        <v>19</v>
      </c>
      <c r="S21" s="48" t="s">
        <v>17</v>
      </c>
      <c r="T21" s="48" t="s">
        <v>19</v>
      </c>
      <c r="AG21" s="129" t="s">
        <v>423</v>
      </c>
      <c r="AH21" s="129"/>
    </row>
    <row r="22" spans="4:40">
      <c r="F22">
        <v>1</v>
      </c>
      <c r="G22" s="51">
        <v>2700</v>
      </c>
      <c r="J22" s="46" t="s">
        <v>29</v>
      </c>
      <c r="K22" s="51">
        <v>30000</v>
      </c>
      <c r="L22" s="124"/>
      <c r="M22" s="51"/>
      <c r="N22" s="124"/>
      <c r="O22" s="51">
        <v>30000</v>
      </c>
      <c r="P22" s="124"/>
      <c r="R22" s="5"/>
      <c r="S22" s="51">
        <v>30000</v>
      </c>
      <c r="T22" s="5"/>
      <c r="AG22" t="s">
        <v>132</v>
      </c>
      <c r="AH22" t="s">
        <v>133</v>
      </c>
      <c r="AI22" t="s">
        <v>137</v>
      </c>
      <c r="AJ22" t="s">
        <v>138</v>
      </c>
      <c r="AK22" t="s">
        <v>135</v>
      </c>
      <c r="AL22" s="123" t="s">
        <v>136</v>
      </c>
      <c r="AM22" t="s">
        <v>425</v>
      </c>
      <c r="AN22" t="s">
        <v>140</v>
      </c>
    </row>
    <row r="23" spans="4:40">
      <c r="F23">
        <v>2</v>
      </c>
      <c r="G23" s="51">
        <v>4500</v>
      </c>
      <c r="J23" s="46" t="s">
        <v>103</v>
      </c>
      <c r="K23" s="51"/>
      <c r="L23" s="124">
        <v>2700</v>
      </c>
      <c r="M23" s="51"/>
      <c r="N23" s="124">
        <v>4500</v>
      </c>
      <c r="O23" s="51"/>
      <c r="P23" s="124">
        <v>7200</v>
      </c>
      <c r="R23" s="5"/>
      <c r="T23" s="124">
        <v>7200</v>
      </c>
      <c r="AL23" s="51">
        <v>8000</v>
      </c>
      <c r="AM23" t="s">
        <v>150</v>
      </c>
      <c r="AN23" s="51">
        <v>8000</v>
      </c>
    </row>
    <row r="24" spans="4:40">
      <c r="J24" s="46" t="s">
        <v>427</v>
      </c>
      <c r="K24" s="51"/>
      <c r="L24" s="124">
        <v>22000</v>
      </c>
      <c r="M24" s="51"/>
      <c r="N24" s="124"/>
      <c r="O24" s="51"/>
      <c r="P24" s="124">
        <v>22000</v>
      </c>
      <c r="R24" s="5"/>
      <c r="T24" s="124">
        <v>22000</v>
      </c>
    </row>
    <row r="25" spans="4:40">
      <c r="D25" t="s">
        <v>96</v>
      </c>
      <c r="E25" t="s">
        <v>427</v>
      </c>
      <c r="J25" s="46" t="s">
        <v>101</v>
      </c>
      <c r="K25" s="51"/>
      <c r="L25" s="124">
        <v>8000</v>
      </c>
      <c r="M25" s="51"/>
      <c r="N25" s="124"/>
      <c r="O25" s="51"/>
      <c r="P25" s="124">
        <v>8000</v>
      </c>
      <c r="R25" s="124">
        <v>8000</v>
      </c>
      <c r="T25" s="5"/>
      <c r="AG25" t="s">
        <v>422</v>
      </c>
      <c r="AN25" t="s">
        <v>433</v>
      </c>
    </row>
    <row r="26" spans="4:40">
      <c r="D26" t="s">
        <v>419</v>
      </c>
      <c r="E26" t="s">
        <v>17</v>
      </c>
      <c r="F26" t="s">
        <v>419</v>
      </c>
      <c r="G26" t="s">
        <v>19</v>
      </c>
      <c r="J26" s="46" t="s">
        <v>422</v>
      </c>
      <c r="K26" s="120">
        <v>2700</v>
      </c>
      <c r="L26" s="125"/>
      <c r="M26" s="120">
        <v>4500</v>
      </c>
      <c r="N26" s="125"/>
      <c r="O26" s="120">
        <v>7200</v>
      </c>
      <c r="P26" s="125"/>
      <c r="Q26" s="120">
        <v>7200</v>
      </c>
      <c r="R26" s="48"/>
      <c r="S26" s="11"/>
      <c r="T26" s="48"/>
      <c r="AG26" s="129" t="s">
        <v>423</v>
      </c>
      <c r="AH26" s="129"/>
    </row>
    <row r="27" spans="4:40">
      <c r="D27">
        <v>4</v>
      </c>
      <c r="E27" s="51">
        <v>8000</v>
      </c>
      <c r="F27">
        <v>3</v>
      </c>
      <c r="G27" s="51">
        <v>30000</v>
      </c>
      <c r="J27" s="46" t="s">
        <v>107</v>
      </c>
      <c r="K27" s="62">
        <v>37200</v>
      </c>
      <c r="L27" s="75">
        <v>37200</v>
      </c>
      <c r="M27" s="62">
        <f>SUM(M22:M26)</f>
        <v>4500</v>
      </c>
      <c r="N27" s="75">
        <f>SUM(N22:N26)</f>
        <v>4500</v>
      </c>
      <c r="O27" s="62">
        <v>37200</v>
      </c>
      <c r="P27" s="75">
        <v>37200</v>
      </c>
      <c r="Q27" s="51">
        <f>SUM(Q22:Q26)</f>
        <v>7200</v>
      </c>
      <c r="R27" s="124">
        <f>SUM(R22:R26)</f>
        <v>8000</v>
      </c>
      <c r="S27" s="51">
        <f>SUM(S22:S26)</f>
        <v>30000</v>
      </c>
      <c r="T27" s="124">
        <f>SUM(T22:T26)</f>
        <v>29200</v>
      </c>
      <c r="AG27" t="s">
        <v>132</v>
      </c>
      <c r="AH27" t="s">
        <v>133</v>
      </c>
      <c r="AI27" t="s">
        <v>137</v>
      </c>
      <c r="AJ27" t="s">
        <v>138</v>
      </c>
      <c r="AK27" t="s">
        <v>135</v>
      </c>
      <c r="AL27" s="123" t="s">
        <v>136</v>
      </c>
      <c r="AM27" t="s">
        <v>425</v>
      </c>
      <c r="AN27" t="s">
        <v>140</v>
      </c>
    </row>
    <row r="28" spans="4:40">
      <c r="J28" s="46"/>
      <c r="L28" s="5"/>
      <c r="N28" s="5"/>
      <c r="P28" s="5"/>
      <c r="Q28" s="120">
        <f>IF($Q$27-$R$27&lt;0,-($Q$27-$R$27),"")</f>
        <v>800</v>
      </c>
      <c r="R28" s="48" t="str">
        <f>IF(-($Q$27-$R$27)&lt;0,($Q$27-$R$27),"")</f>
        <v/>
      </c>
      <c r="S28" s="11" t="str">
        <f>IF($S$27-$T$27&lt;0,($S$27-$T$27),"")</f>
        <v/>
      </c>
      <c r="T28" s="125">
        <f>IF(-($S$27-$T$27)&lt;0,($S$27-$T$27),"")</f>
        <v>800</v>
      </c>
      <c r="AK28" s="51">
        <v>7200</v>
      </c>
      <c r="AM28" t="s">
        <v>141</v>
      </c>
      <c r="AN28" s="51">
        <v>7200</v>
      </c>
    </row>
    <row r="29" spans="4:40">
      <c r="D29" t="s">
        <v>96</v>
      </c>
      <c r="E29" t="s">
        <v>101</v>
      </c>
      <c r="J29" s="59" t="s">
        <v>107</v>
      </c>
      <c r="K29" s="11"/>
      <c r="L29" s="48"/>
      <c r="M29" s="11"/>
      <c r="N29" s="48"/>
      <c r="O29" s="11"/>
      <c r="P29" s="48"/>
      <c r="Q29" s="62">
        <f>SUM(Q27:Q28)</f>
        <v>8000</v>
      </c>
      <c r="R29" s="75">
        <f>SUM(R27:R28)</f>
        <v>8000</v>
      </c>
      <c r="S29" s="62">
        <f>SUM(S27:S28)</f>
        <v>30000</v>
      </c>
      <c r="T29" s="75">
        <f>SUM(T27:T28)</f>
        <v>30000</v>
      </c>
    </row>
    <row r="30" spans="4:40">
      <c r="D30" t="s">
        <v>419</v>
      </c>
      <c r="E30" t="s">
        <v>17</v>
      </c>
      <c r="F30" t="s">
        <v>419</v>
      </c>
      <c r="G30" t="s">
        <v>19</v>
      </c>
    </row>
    <row r="31" spans="4:40">
      <c r="F31">
        <v>4</v>
      </c>
      <c r="G31" s="51">
        <v>8000</v>
      </c>
    </row>
    <row r="33" spans="4:7">
      <c r="D33" t="s">
        <v>96</v>
      </c>
      <c r="E33" t="s">
        <v>422</v>
      </c>
    </row>
    <row r="34" spans="4:7">
      <c r="D34" t="s">
        <v>419</v>
      </c>
      <c r="E34" t="s">
        <v>17</v>
      </c>
      <c r="F34" t="s">
        <v>419</v>
      </c>
      <c r="G34" t="s">
        <v>19</v>
      </c>
    </row>
    <row r="35" spans="4:7">
      <c r="D35">
        <v>1</v>
      </c>
      <c r="E35" s="51">
        <v>2700</v>
      </c>
    </row>
    <row r="36" spans="4:7">
      <c r="D36">
        <v>2</v>
      </c>
      <c r="E36" s="51">
        <v>4500</v>
      </c>
    </row>
  </sheetData>
  <mergeCells count="13">
    <mergeCell ref="AR5:AU5"/>
    <mergeCell ref="AR6:AU6"/>
    <mergeCell ref="AG26:AH26"/>
    <mergeCell ref="M20:N20"/>
    <mergeCell ref="O20:P20"/>
    <mergeCell ref="Q20:R20"/>
    <mergeCell ref="S20:T20"/>
    <mergeCell ref="K20:L20"/>
    <mergeCell ref="J20:J21"/>
    <mergeCell ref="AG6:AH6"/>
    <mergeCell ref="AG11:AH11"/>
    <mergeCell ref="AG16:AH16"/>
    <mergeCell ref="AG21:AH21"/>
  </mergeCells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0B08-A25B-4C32-A934-46BC57433D3A}">
  <dimension ref="C3:AN30"/>
  <sheetViews>
    <sheetView workbookViewId="0">
      <selection activeCell="D17" sqref="D17"/>
    </sheetView>
  </sheetViews>
  <sheetFormatPr defaultRowHeight="16.5"/>
  <cols>
    <col min="3" max="3" width="18.5" bestFit="1" customWidth="1"/>
    <col min="4" max="4" width="14.25" bestFit="1" customWidth="1"/>
    <col min="5" max="5" width="9.625" bestFit="1" customWidth="1"/>
    <col min="6" max="6" width="10.625" bestFit="1" customWidth="1"/>
    <col min="7" max="7" width="14" bestFit="1" customWidth="1"/>
    <col min="8" max="8" width="14.25" bestFit="1" customWidth="1"/>
    <col min="10" max="10" width="10.1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</cols>
  <sheetData>
    <row r="3" spans="3:40">
      <c r="C3" t="s">
        <v>1</v>
      </c>
    </row>
    <row r="4" spans="3:40">
      <c r="C4" t="s">
        <v>418</v>
      </c>
      <c r="AG4" t="s">
        <v>129</v>
      </c>
    </row>
    <row r="5" spans="3:40">
      <c r="C5" s="129" t="s">
        <v>420</v>
      </c>
      <c r="D5" s="129"/>
      <c r="E5" s="129"/>
      <c r="F5" s="129"/>
      <c r="G5" s="129"/>
      <c r="H5" s="129"/>
      <c r="I5" s="129"/>
      <c r="J5" s="129"/>
      <c r="AG5" t="s">
        <v>29</v>
      </c>
      <c r="AN5" t="s">
        <v>421</v>
      </c>
    </row>
    <row r="6" spans="3:40">
      <c r="C6" s="135">
        <v>44043</v>
      </c>
      <c r="D6" s="135"/>
      <c r="E6" s="135"/>
      <c r="F6" s="135"/>
      <c r="G6" s="135"/>
      <c r="H6" s="135"/>
      <c r="I6" s="135"/>
      <c r="J6" s="135"/>
      <c r="AG6" s="129" t="s">
        <v>423</v>
      </c>
      <c r="AH6" s="129"/>
    </row>
    <row r="7" spans="3:40">
      <c r="C7" t="s">
        <v>434</v>
      </c>
      <c r="E7" s="17"/>
      <c r="F7" s="28">
        <v>655710</v>
      </c>
      <c r="G7" t="s">
        <v>435</v>
      </c>
      <c r="I7" s="51"/>
      <c r="J7" s="51">
        <v>653900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</row>
    <row r="8" spans="3:40">
      <c r="C8" t="s">
        <v>388</v>
      </c>
      <c r="D8" t="s">
        <v>436</v>
      </c>
      <c r="E8" s="17">
        <v>15300</v>
      </c>
      <c r="F8" s="28"/>
      <c r="G8" t="s">
        <v>388</v>
      </c>
      <c r="I8" s="51"/>
      <c r="J8" s="51"/>
      <c r="AK8" s="51">
        <v>30000</v>
      </c>
      <c r="AM8" t="s">
        <v>141</v>
      </c>
      <c r="AN8" s="51">
        <v>30000</v>
      </c>
    </row>
    <row r="9" spans="3:40">
      <c r="D9" t="s">
        <v>437</v>
      </c>
      <c r="E9" s="17">
        <v>14130</v>
      </c>
      <c r="F9" s="28">
        <f>SUM($E$8:$E$9)</f>
        <v>29430</v>
      </c>
      <c r="I9" s="51"/>
      <c r="J9" s="51"/>
    </row>
    <row r="10" spans="3:40">
      <c r="E10" s="25"/>
      <c r="F10" s="27">
        <f>SUM($F$7,$F$9)</f>
        <v>685140</v>
      </c>
      <c r="I10" s="121"/>
      <c r="J10" s="121">
        <f>SUM($J$7)</f>
        <v>653900</v>
      </c>
    </row>
    <row r="11" spans="3:40">
      <c r="E11" s="17"/>
      <c r="F11" s="28"/>
      <c r="I11" s="51"/>
      <c r="J11" s="51"/>
    </row>
    <row r="12" spans="3:40">
      <c r="C12" t="s">
        <v>385</v>
      </c>
      <c r="D12" t="s">
        <v>438</v>
      </c>
      <c r="E12" s="17">
        <v>550</v>
      </c>
      <c r="F12" s="28"/>
      <c r="G12" t="s">
        <v>385</v>
      </c>
      <c r="I12" s="51"/>
      <c r="J12" s="51"/>
      <c r="AG12" t="s">
        <v>103</v>
      </c>
      <c r="AN12" t="s">
        <v>429</v>
      </c>
    </row>
    <row r="13" spans="3:40">
      <c r="D13" t="s">
        <v>439</v>
      </c>
      <c r="E13" s="17">
        <v>90</v>
      </c>
      <c r="F13" s="28">
        <f>SUM($E$12:$E$13)</f>
        <v>640</v>
      </c>
      <c r="I13" s="51"/>
      <c r="J13" s="51"/>
      <c r="AG13" s="129" t="s">
        <v>423</v>
      </c>
      <c r="AH13" s="129"/>
    </row>
    <row r="14" spans="3:40">
      <c r="C14" t="s">
        <v>431</v>
      </c>
      <c r="E14" s="25"/>
      <c r="F14" s="126">
        <f>$F$10-$F$13</f>
        <v>684500</v>
      </c>
      <c r="G14" t="s">
        <v>431</v>
      </c>
      <c r="I14" s="121"/>
      <c r="J14" s="64">
        <f>$J$10</f>
        <v>653900</v>
      </c>
      <c r="AG14" t="s">
        <v>132</v>
      </c>
      <c r="AH14" t="s">
        <v>133</v>
      </c>
      <c r="AI14" t="s">
        <v>137</v>
      </c>
      <c r="AJ14" t="s">
        <v>138</v>
      </c>
      <c r="AK14" t="s">
        <v>135</v>
      </c>
      <c r="AL14" s="123" t="s">
        <v>136</v>
      </c>
      <c r="AM14" t="s">
        <v>425</v>
      </c>
      <c r="AN14" t="s">
        <v>140</v>
      </c>
    </row>
    <row r="15" spans="3:40">
      <c r="AL15" s="51">
        <v>7200</v>
      </c>
      <c r="AM15" t="s">
        <v>150</v>
      </c>
      <c r="AN15" s="51">
        <v>7200</v>
      </c>
    </row>
    <row r="17" spans="33:40">
      <c r="AG17" t="s">
        <v>427</v>
      </c>
      <c r="AN17" t="s">
        <v>291</v>
      </c>
    </row>
    <row r="18" spans="33:40">
      <c r="AG18" s="129" t="s">
        <v>423</v>
      </c>
      <c r="AH18" s="129"/>
    </row>
    <row r="19" spans="33:40">
      <c r="AG19" t="s">
        <v>132</v>
      </c>
      <c r="AH19" t="s">
        <v>133</v>
      </c>
      <c r="AI19" t="s">
        <v>137</v>
      </c>
      <c r="AJ19" t="s">
        <v>138</v>
      </c>
      <c r="AK19" t="s">
        <v>135</v>
      </c>
      <c r="AL19" s="123" t="s">
        <v>136</v>
      </c>
      <c r="AM19" t="s">
        <v>425</v>
      </c>
      <c r="AN19" t="s">
        <v>140</v>
      </c>
    </row>
    <row r="20" spans="33:40">
      <c r="AL20" s="51">
        <v>22000</v>
      </c>
      <c r="AM20" t="s">
        <v>150</v>
      </c>
      <c r="AN20" s="51">
        <v>22000</v>
      </c>
    </row>
    <row r="22" spans="33:40">
      <c r="AG22" t="s">
        <v>427</v>
      </c>
      <c r="AN22" t="s">
        <v>432</v>
      </c>
    </row>
    <row r="23" spans="33:40">
      <c r="AG23" s="129" t="s">
        <v>423</v>
      </c>
      <c r="AH23" s="129"/>
    </row>
    <row r="24" spans="33:40">
      <c r="AG24" t="s">
        <v>132</v>
      </c>
      <c r="AH24" t="s">
        <v>133</v>
      </c>
      <c r="AI24" t="s">
        <v>137</v>
      </c>
      <c r="AJ24" t="s">
        <v>138</v>
      </c>
      <c r="AK24" t="s">
        <v>135</v>
      </c>
      <c r="AL24" s="123" t="s">
        <v>136</v>
      </c>
      <c r="AM24" t="s">
        <v>425</v>
      </c>
      <c r="AN24" t="s">
        <v>140</v>
      </c>
    </row>
    <row r="25" spans="33:40">
      <c r="AL25" s="51">
        <v>8000</v>
      </c>
      <c r="AM25" t="s">
        <v>150</v>
      </c>
      <c r="AN25" s="51">
        <v>8000</v>
      </c>
    </row>
    <row r="27" spans="33:40">
      <c r="AG27" t="s">
        <v>422</v>
      </c>
      <c r="AN27" t="s">
        <v>433</v>
      </c>
    </row>
    <row r="28" spans="33:40">
      <c r="AG28" s="129" t="s">
        <v>423</v>
      </c>
      <c r="AH28" s="129"/>
    </row>
    <row r="29" spans="33:40">
      <c r="AG29" t="s">
        <v>132</v>
      </c>
      <c r="AH29" t="s">
        <v>133</v>
      </c>
      <c r="AI29" t="s">
        <v>137</v>
      </c>
      <c r="AJ29" t="s">
        <v>138</v>
      </c>
      <c r="AK29" t="s">
        <v>135</v>
      </c>
      <c r="AL29" s="123" t="s">
        <v>136</v>
      </c>
      <c r="AM29" t="s">
        <v>425</v>
      </c>
      <c r="AN29" t="s">
        <v>140</v>
      </c>
    </row>
    <row r="30" spans="33:40">
      <c r="AK30" s="51">
        <v>7200</v>
      </c>
      <c r="AM30" t="s">
        <v>141</v>
      </c>
      <c r="AN30" s="51">
        <v>7200</v>
      </c>
    </row>
  </sheetData>
  <mergeCells count="7">
    <mergeCell ref="AG28:AH28"/>
    <mergeCell ref="C5:J5"/>
    <mergeCell ref="C6:J6"/>
    <mergeCell ref="AG6:AH6"/>
    <mergeCell ref="AG13:AH13"/>
    <mergeCell ref="AG18:AH18"/>
    <mergeCell ref="AG23:AH23"/>
  </mergeCells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5885-B258-4885-9F9D-3262A10E939C}">
  <dimension ref="C3"/>
  <sheetViews>
    <sheetView workbookViewId="0">
      <selection activeCell="C3" sqref="C3"/>
    </sheetView>
  </sheetViews>
  <sheetFormatPr defaultRowHeight="16.5"/>
  <sheetData>
    <row r="3" spans="3:3">
      <c r="C3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B042-E599-4AD3-8150-2E3F592FD5F3}">
  <dimension ref="C2:N13"/>
  <sheetViews>
    <sheetView topLeftCell="I1" workbookViewId="0">
      <selection activeCell="Q2" sqref="Q2:U9"/>
    </sheetView>
  </sheetViews>
  <sheetFormatPr defaultRowHeight="16.5"/>
  <cols>
    <col min="3" max="3" width="11.75" bestFit="1" customWidth="1"/>
    <col min="6" max="7" width="10.125" bestFit="1" customWidth="1"/>
    <col min="10" max="10" width="11.75" bestFit="1" customWidth="1"/>
    <col min="12" max="12" width="18.5" bestFit="1" customWidth="1"/>
    <col min="17" max="17" width="11.75" bestFit="1" customWidth="1"/>
  </cols>
  <sheetData>
    <row r="2" spans="3:14">
      <c r="C2" t="s">
        <v>1</v>
      </c>
      <c r="J2" t="s">
        <v>5</v>
      </c>
    </row>
    <row r="4" spans="3:14">
      <c r="C4" t="s">
        <v>440</v>
      </c>
      <c r="F4" t="s">
        <v>299</v>
      </c>
      <c r="G4" t="s">
        <v>441</v>
      </c>
      <c r="J4" t="s">
        <v>440</v>
      </c>
      <c r="M4" t="s">
        <v>299</v>
      </c>
      <c r="N4" t="s">
        <v>441</v>
      </c>
    </row>
    <row r="5" spans="3:14">
      <c r="D5" s="118">
        <v>45444</v>
      </c>
      <c r="E5" t="s">
        <v>442</v>
      </c>
      <c r="F5" s="51">
        <v>24000</v>
      </c>
      <c r="G5" s="51">
        <v>34280</v>
      </c>
      <c r="K5" s="118">
        <v>45444</v>
      </c>
      <c r="L5" t="s">
        <v>442</v>
      </c>
      <c r="M5" s="51">
        <v>24000</v>
      </c>
      <c r="N5" s="51">
        <v>34280</v>
      </c>
    </row>
    <row r="6" spans="3:14">
      <c r="D6" t="s">
        <v>443</v>
      </c>
      <c r="E6" t="s">
        <v>348</v>
      </c>
      <c r="F6" s="51">
        <v>246000</v>
      </c>
      <c r="G6" s="51">
        <v>365720</v>
      </c>
      <c r="K6" t="s">
        <v>443</v>
      </c>
      <c r="L6" t="s">
        <v>348</v>
      </c>
      <c r="M6" s="51">
        <v>246000</v>
      </c>
      <c r="N6" s="51">
        <v>365720</v>
      </c>
    </row>
    <row r="7" spans="3:14">
      <c r="E7" t="s">
        <v>354</v>
      </c>
      <c r="F7" s="51">
        <v>10000</v>
      </c>
      <c r="G7" s="51"/>
      <c r="L7" t="s">
        <v>354</v>
      </c>
      <c r="M7" s="51">
        <v>-10000</v>
      </c>
      <c r="N7" s="51"/>
    </row>
    <row r="8" spans="3:14">
      <c r="E8" t="s">
        <v>372</v>
      </c>
      <c r="F8" s="51"/>
      <c r="G8" s="51">
        <v>300000</v>
      </c>
      <c r="L8" t="s">
        <v>372</v>
      </c>
      <c r="M8" s="51"/>
      <c r="N8" s="51">
        <v>300000</v>
      </c>
    </row>
    <row r="9" spans="3:14">
      <c r="E9" t="s">
        <v>337</v>
      </c>
      <c r="F9" s="51"/>
      <c r="G9" s="51">
        <v>10000</v>
      </c>
      <c r="L9" t="s">
        <v>337</v>
      </c>
      <c r="M9" s="51"/>
      <c r="N9" s="51">
        <v>-10000</v>
      </c>
    </row>
    <row r="10" spans="3:14">
      <c r="L10" t="s">
        <v>444</v>
      </c>
      <c r="M10" s="64">
        <f>SUM(M5:M9)</f>
        <v>260000</v>
      </c>
      <c r="N10" s="64">
        <f>SUM(N5:N9)</f>
        <v>690000</v>
      </c>
    </row>
    <row r="11" spans="3:14">
      <c r="L11" t="s">
        <v>445</v>
      </c>
      <c r="M11">
        <f>M10/N10</f>
        <v>0.37681159420289856</v>
      </c>
    </row>
    <row r="12" spans="3:14">
      <c r="L12" t="s">
        <v>446</v>
      </c>
      <c r="N12" s="64">
        <f>N10-(N8+N9)</f>
        <v>400000</v>
      </c>
    </row>
    <row r="13" spans="3:14">
      <c r="L13" t="s">
        <v>447</v>
      </c>
      <c r="M13" s="122">
        <f>$N12*$M11</f>
        <v>150724.63768115942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5300-C713-43D5-9E3C-ADAE2D1014F0}">
  <dimension ref="C2:K9"/>
  <sheetViews>
    <sheetView workbookViewId="0">
      <selection activeCell="K9" sqref="K9"/>
    </sheetView>
  </sheetViews>
  <sheetFormatPr defaultRowHeight="16.5"/>
  <cols>
    <col min="4" max="4" width="9.25" bestFit="1" customWidth="1"/>
    <col min="11" max="11" width="10.125" bestFit="1" customWidth="1"/>
  </cols>
  <sheetData>
    <row r="2" spans="3:11">
      <c r="C2" t="s">
        <v>1</v>
      </c>
      <c r="H2" t="s">
        <v>5</v>
      </c>
    </row>
    <row r="3" spans="3:11">
      <c r="C3" s="118">
        <v>45292</v>
      </c>
      <c r="D3" s="51">
        <v>5000</v>
      </c>
      <c r="E3" s="117">
        <v>3</v>
      </c>
      <c r="H3" s="118">
        <v>45292</v>
      </c>
      <c r="I3" s="51">
        <v>5000</v>
      </c>
      <c r="J3" s="117">
        <v>3</v>
      </c>
      <c r="K3" s="51">
        <f>$I3*$J3</f>
        <v>15000</v>
      </c>
    </row>
    <row r="4" spans="3:11">
      <c r="C4" t="s">
        <v>448</v>
      </c>
      <c r="D4" s="51">
        <v>8000</v>
      </c>
      <c r="E4" s="117">
        <v>3.25</v>
      </c>
      <c r="H4" t="s">
        <v>448</v>
      </c>
      <c r="I4" s="51">
        <v>8000</v>
      </c>
      <c r="J4" s="117">
        <v>3.25</v>
      </c>
      <c r="K4" s="51">
        <f t="shared" ref="K4:K8" si="0">$I4*$J4</f>
        <v>26000</v>
      </c>
    </row>
    <row r="5" spans="3:11">
      <c r="C5" t="s">
        <v>449</v>
      </c>
      <c r="D5" s="51">
        <v>10000</v>
      </c>
      <c r="E5" s="117">
        <v>3.5</v>
      </c>
      <c r="H5" t="s">
        <v>449</v>
      </c>
      <c r="I5" s="51">
        <v>10000</v>
      </c>
      <c r="J5" s="117">
        <v>3.5</v>
      </c>
      <c r="K5" s="51">
        <f t="shared" si="0"/>
        <v>35000</v>
      </c>
    </row>
    <row r="6" spans="3:11">
      <c r="C6" t="s">
        <v>450</v>
      </c>
      <c r="D6" s="51">
        <v>6000</v>
      </c>
      <c r="E6" s="117">
        <v>3.65</v>
      </c>
      <c r="H6" t="s">
        <v>450</v>
      </c>
      <c r="I6" s="51">
        <v>6000</v>
      </c>
      <c r="J6" s="117">
        <v>3.65</v>
      </c>
      <c r="K6" s="51">
        <f t="shared" si="0"/>
        <v>21900</v>
      </c>
    </row>
    <row r="7" spans="3:11">
      <c r="C7" t="s">
        <v>451</v>
      </c>
      <c r="D7" s="51">
        <v>9000</v>
      </c>
      <c r="E7" s="117">
        <v>3.9</v>
      </c>
      <c r="H7" t="s">
        <v>451</v>
      </c>
      <c r="I7" s="51">
        <v>9000</v>
      </c>
      <c r="J7" s="117">
        <v>3.9</v>
      </c>
      <c r="K7" s="51">
        <f t="shared" si="0"/>
        <v>35100</v>
      </c>
    </row>
    <row r="8" spans="3:11">
      <c r="C8" t="s">
        <v>452</v>
      </c>
      <c r="D8" s="51">
        <v>28000</v>
      </c>
      <c r="E8" s="117">
        <v>5</v>
      </c>
      <c r="H8" t="s">
        <v>452</v>
      </c>
      <c r="I8" s="51">
        <v>28000</v>
      </c>
      <c r="J8" s="117">
        <v>5</v>
      </c>
      <c r="K8" s="51">
        <f t="shared" si="0"/>
        <v>140000</v>
      </c>
    </row>
    <row r="9" spans="3:11">
      <c r="H9" t="s">
        <v>107</v>
      </c>
      <c r="K9" s="51">
        <f>SUM($K4:$K7)</f>
        <v>118000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CC90-FCA2-49EA-95E9-69DCA491AD6B}">
  <dimension ref="C2:O12"/>
  <sheetViews>
    <sheetView topLeftCell="D1" workbookViewId="0">
      <selection activeCell="O12" sqref="O12"/>
    </sheetView>
  </sheetViews>
  <sheetFormatPr defaultRowHeight="16.5"/>
  <cols>
    <col min="4" max="5" width="12.25" bestFit="1" customWidth="1"/>
    <col min="8" max="8" width="16.25" bestFit="1" customWidth="1"/>
    <col min="13" max="13" width="16.25" bestFit="1" customWidth="1"/>
    <col min="14" max="15" width="12.25" bestFit="1" customWidth="1"/>
  </cols>
  <sheetData>
    <row r="2" spans="3:15">
      <c r="C2" t="s">
        <v>1</v>
      </c>
      <c r="L2" t="s">
        <v>5</v>
      </c>
    </row>
    <row r="3" spans="3:15">
      <c r="C3" t="s">
        <v>453</v>
      </c>
      <c r="H3" t="s">
        <v>454</v>
      </c>
      <c r="M3" t="s">
        <v>454</v>
      </c>
    </row>
    <row r="4" spans="3:15">
      <c r="D4" t="s">
        <v>299</v>
      </c>
      <c r="E4" t="s">
        <v>441</v>
      </c>
      <c r="I4" t="s">
        <v>299</v>
      </c>
      <c r="J4" t="s">
        <v>441</v>
      </c>
      <c r="N4" t="s">
        <v>299</v>
      </c>
      <c r="O4" t="s">
        <v>441</v>
      </c>
    </row>
    <row r="5" spans="3:15">
      <c r="C5" t="s">
        <v>358</v>
      </c>
      <c r="D5" s="51">
        <v>20000</v>
      </c>
      <c r="E5" s="51">
        <v>80000</v>
      </c>
      <c r="H5" t="s">
        <v>358</v>
      </c>
      <c r="I5" s="51">
        <v>20000</v>
      </c>
      <c r="J5" s="51">
        <v>80000</v>
      </c>
      <c r="M5" t="s">
        <v>358</v>
      </c>
      <c r="N5" s="51">
        <v>20000</v>
      </c>
      <c r="O5" s="51">
        <v>80000</v>
      </c>
    </row>
    <row r="6" spans="3:15">
      <c r="C6" t="s">
        <v>455</v>
      </c>
      <c r="D6" s="51">
        <v>1647000</v>
      </c>
      <c r="E6" s="51">
        <v>5400000</v>
      </c>
      <c r="H6" t="s">
        <v>455</v>
      </c>
      <c r="I6" s="51">
        <v>1647000</v>
      </c>
      <c r="J6" s="51">
        <v>5400000</v>
      </c>
      <c r="M6" t="s">
        <v>455</v>
      </c>
      <c r="N6" s="51">
        <v>1647000</v>
      </c>
      <c r="O6" s="51">
        <v>5400000</v>
      </c>
    </row>
    <row r="7" spans="3:15">
      <c r="C7" t="s">
        <v>354</v>
      </c>
      <c r="D7" s="51">
        <v>13000</v>
      </c>
      <c r="E7" s="51"/>
      <c r="H7" t="s">
        <v>354</v>
      </c>
      <c r="I7" s="51">
        <v>13000</v>
      </c>
      <c r="J7" s="51"/>
      <c r="M7" t="s">
        <v>354</v>
      </c>
      <c r="N7" s="51">
        <v>13000</v>
      </c>
      <c r="O7" s="51"/>
    </row>
    <row r="8" spans="3:15">
      <c r="C8" t="s">
        <v>343</v>
      </c>
      <c r="D8" s="51"/>
      <c r="E8" s="51">
        <v>5850000</v>
      </c>
      <c r="H8" t="s">
        <v>444</v>
      </c>
      <c r="I8" s="51"/>
      <c r="M8" t="s">
        <v>444</v>
      </c>
      <c r="N8" s="64">
        <f>SUM(N5:N7)</f>
        <v>1680000</v>
      </c>
      <c r="O8" s="121">
        <f>SUM(O5:O7)</f>
        <v>5480000</v>
      </c>
    </row>
    <row r="9" spans="3:15">
      <c r="H9" t="s">
        <v>445</v>
      </c>
      <c r="M9" t="s">
        <v>445</v>
      </c>
      <c r="N9" s="117">
        <f>$N$8/$O$8</f>
        <v>0.30656934306569344</v>
      </c>
      <c r="O9" s="117"/>
    </row>
    <row r="10" spans="3:15">
      <c r="H10" t="s">
        <v>343</v>
      </c>
      <c r="J10" s="51">
        <v>5850000</v>
      </c>
      <c r="M10" t="s">
        <v>343</v>
      </c>
      <c r="N10" s="51"/>
      <c r="O10" s="51">
        <v>5850000</v>
      </c>
    </row>
    <row r="11" spans="3:15">
      <c r="H11" t="s">
        <v>456</v>
      </c>
      <c r="M11" t="s">
        <v>357</v>
      </c>
      <c r="N11" s="51"/>
      <c r="O11" s="51">
        <f>$O$8-$O$10</f>
        <v>-370000</v>
      </c>
    </row>
    <row r="12" spans="3:15">
      <c r="H12" t="s">
        <v>457</v>
      </c>
      <c r="M12" t="s">
        <v>457</v>
      </c>
      <c r="N12" s="51">
        <f>$O$11*$N$9</f>
        <v>-113430.65693430658</v>
      </c>
      <c r="O12" s="51"/>
    </row>
  </sheetData>
  <pageMargins left="0.7" right="0.7" top="0.75" bottom="0.75" header="0.3" footer="0.3"/>
  <legacy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7870-F12E-46B0-A86A-FE474AD50FD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D4C2-537D-4F66-A4CC-00FF3AC7FB13}">
  <dimension ref="C2:G6"/>
  <sheetViews>
    <sheetView workbookViewId="0">
      <selection activeCell="C2" sqref="C2:G6"/>
    </sheetView>
  </sheetViews>
  <sheetFormatPr defaultRowHeight="16.5"/>
  <cols>
    <col min="4" max="4" width="9.625" bestFit="1" customWidth="1"/>
    <col min="6" max="6" width="9.625" bestFit="1" customWidth="1"/>
    <col min="7" max="7" width="14" bestFit="1" customWidth="1"/>
  </cols>
  <sheetData>
    <row r="2" spans="3:7">
      <c r="C2" t="s">
        <v>42</v>
      </c>
      <c r="D2" t="s">
        <v>458</v>
      </c>
      <c r="E2" t="s">
        <v>459</v>
      </c>
      <c r="F2" t="s">
        <v>460</v>
      </c>
      <c r="G2" t="s">
        <v>461</v>
      </c>
    </row>
    <row r="3" spans="3:7">
      <c r="C3">
        <v>20</v>
      </c>
      <c r="D3" s="51">
        <v>80000</v>
      </c>
      <c r="E3" s="117">
        <v>0.2</v>
      </c>
      <c r="F3" s="51">
        <f>$D3*$E3</f>
        <v>16000</v>
      </c>
      <c r="G3" s="51">
        <f>$D3-$F3</f>
        <v>64000</v>
      </c>
    </row>
    <row r="4" spans="3:7">
      <c r="C4">
        <v>21</v>
      </c>
      <c r="D4" s="51">
        <f>$G3</f>
        <v>64000</v>
      </c>
      <c r="E4" s="117">
        <v>0.2</v>
      </c>
      <c r="F4" s="51">
        <f t="shared" ref="F4:F6" si="0">$D4*$E4</f>
        <v>12800</v>
      </c>
      <c r="G4" s="51">
        <f t="shared" ref="G4:G6" si="1">$D4-$F4</f>
        <v>51200</v>
      </c>
    </row>
    <row r="5" spans="3:7">
      <c r="C5">
        <v>22</v>
      </c>
      <c r="D5" s="51">
        <f t="shared" ref="D5:D6" si="2">$G4</f>
        <v>51200</v>
      </c>
      <c r="E5" s="117">
        <v>0.2</v>
      </c>
      <c r="F5" s="51">
        <f t="shared" si="0"/>
        <v>10240</v>
      </c>
      <c r="G5" s="51">
        <f t="shared" si="1"/>
        <v>40960</v>
      </c>
    </row>
    <row r="6" spans="3:7">
      <c r="C6">
        <v>23</v>
      </c>
      <c r="D6" s="51">
        <f t="shared" si="2"/>
        <v>40960</v>
      </c>
      <c r="E6" s="117">
        <v>0.2</v>
      </c>
      <c r="F6" s="51">
        <f t="shared" si="0"/>
        <v>8192</v>
      </c>
      <c r="G6" s="51">
        <f t="shared" si="1"/>
        <v>32768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EF6F-D0CD-4E16-9778-2B7D76592133}">
  <dimension ref="C2:K7"/>
  <sheetViews>
    <sheetView workbookViewId="0">
      <selection activeCell="J8" sqref="J8"/>
    </sheetView>
  </sheetViews>
  <sheetFormatPr defaultRowHeight="16.5"/>
  <cols>
    <col min="5" max="5" width="12.25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462</v>
      </c>
      <c r="E3" s="51">
        <v>8385000</v>
      </c>
      <c r="G3" t="s">
        <v>94</v>
      </c>
    </row>
    <row r="4" spans="3:11">
      <c r="D4" t="s">
        <v>463</v>
      </c>
      <c r="E4" s="51">
        <v>6000000</v>
      </c>
      <c r="G4" t="s">
        <v>22</v>
      </c>
      <c r="H4" t="s">
        <v>96</v>
      </c>
      <c r="I4" t="s">
        <v>96</v>
      </c>
      <c r="J4" t="s">
        <v>17</v>
      </c>
      <c r="K4" t="s">
        <v>19</v>
      </c>
    </row>
    <row r="5" spans="3:11">
      <c r="D5" t="s">
        <v>81</v>
      </c>
      <c r="E5" s="51">
        <v>4000000</v>
      </c>
      <c r="H5" t="s">
        <v>463</v>
      </c>
      <c r="J5" s="51">
        <f>$K$7*$E4/($E$4+$E$5)</f>
        <v>5031000</v>
      </c>
      <c r="K5" s="51"/>
    </row>
    <row r="6" spans="3:11">
      <c r="H6" t="s">
        <v>81</v>
      </c>
      <c r="J6" s="51">
        <f>$K$7*$E5/($E$4+$E$5)</f>
        <v>3354000</v>
      </c>
      <c r="K6" s="51"/>
    </row>
    <row r="7" spans="3:11">
      <c r="I7" t="s">
        <v>462</v>
      </c>
      <c r="J7" s="51"/>
      <c r="K7" s="51">
        <v>8385000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CE5C-60C3-484E-86F5-A0E539942817}">
  <dimension ref="C3:F14"/>
  <sheetViews>
    <sheetView workbookViewId="0">
      <selection activeCell="F5" sqref="F5"/>
    </sheetView>
  </sheetViews>
  <sheetFormatPr defaultRowHeight="16.5"/>
  <cols>
    <col min="3" max="3" width="11.75" bestFit="1" customWidth="1"/>
    <col min="5" max="5" width="16.25" bestFit="1" customWidth="1"/>
    <col min="6" max="6" width="20.625" bestFit="1" customWidth="1"/>
  </cols>
  <sheetData>
    <row r="3" spans="3:6">
      <c r="C3" t="s">
        <v>1</v>
      </c>
    </row>
    <row r="4" spans="3:6">
      <c r="C4" t="s">
        <v>340</v>
      </c>
      <c r="E4" t="s">
        <v>23</v>
      </c>
      <c r="F4" t="s">
        <v>464</v>
      </c>
    </row>
    <row r="5" spans="3:6">
      <c r="E5" t="s">
        <v>465</v>
      </c>
      <c r="F5" s="51">
        <v>3300000</v>
      </c>
    </row>
    <row r="6" spans="3:6">
      <c r="E6" t="s">
        <v>466</v>
      </c>
      <c r="F6" s="51">
        <v>3800000</v>
      </c>
    </row>
    <row r="7" spans="3:6">
      <c r="E7" t="s">
        <v>467</v>
      </c>
      <c r="F7" s="51">
        <v>4300000</v>
      </c>
    </row>
    <row r="9" spans="3:6">
      <c r="E9" t="s">
        <v>27</v>
      </c>
      <c r="F9" t="s">
        <v>464</v>
      </c>
    </row>
    <row r="10" spans="3:6">
      <c r="E10" t="s">
        <v>466</v>
      </c>
      <c r="F10" s="51">
        <v>1800000</v>
      </c>
    </row>
    <row r="11" spans="3:6">
      <c r="E11" t="s">
        <v>467</v>
      </c>
      <c r="F11" s="51">
        <v>1800000</v>
      </c>
    </row>
    <row r="13" spans="3:6">
      <c r="E13" t="s">
        <v>468</v>
      </c>
      <c r="F13" t="s">
        <v>464</v>
      </c>
    </row>
    <row r="14" spans="3:6">
      <c r="E14" t="s">
        <v>467</v>
      </c>
      <c r="F14" s="51">
        <v>200000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7107-C1C1-4CE3-9CB7-A5D41A379EAD}">
  <dimension ref="D3:J11"/>
  <sheetViews>
    <sheetView topLeftCell="B1" workbookViewId="0">
      <selection activeCell="D4" sqref="D4:F8"/>
    </sheetView>
  </sheetViews>
  <sheetFormatPr defaultRowHeight="16.5"/>
  <cols>
    <col min="4" max="4" width="11" bestFit="1" customWidth="1"/>
    <col min="5" max="6" width="20.625" bestFit="1" customWidth="1"/>
    <col min="8" max="8" width="18.5" bestFit="1" customWidth="1"/>
    <col min="9" max="10" width="20.625" bestFit="1" customWidth="1"/>
  </cols>
  <sheetData>
    <row r="3" spans="4:10">
      <c r="D3" t="s">
        <v>1</v>
      </c>
      <c r="H3" t="s">
        <v>5</v>
      </c>
    </row>
    <row r="4" spans="4:10">
      <c r="D4" t="s">
        <v>469</v>
      </c>
      <c r="E4" t="s">
        <v>470</v>
      </c>
      <c r="F4" t="s">
        <v>471</v>
      </c>
      <c r="H4" t="s">
        <v>469</v>
      </c>
      <c r="I4" t="s">
        <v>470</v>
      </c>
      <c r="J4" t="s">
        <v>471</v>
      </c>
    </row>
    <row r="5" spans="4:10">
      <c r="D5" t="s">
        <v>472</v>
      </c>
      <c r="E5" s="51">
        <v>1600000</v>
      </c>
      <c r="F5" s="51">
        <v>1000000</v>
      </c>
      <c r="H5" t="s">
        <v>472</v>
      </c>
      <c r="I5" s="51">
        <v>1600000</v>
      </c>
      <c r="J5" s="51">
        <v>1000000</v>
      </c>
    </row>
    <row r="6" spans="4:10">
      <c r="D6" t="s">
        <v>258</v>
      </c>
      <c r="E6" s="51">
        <v>800000</v>
      </c>
      <c r="F6" s="51">
        <v>500000</v>
      </c>
      <c r="H6" t="s">
        <v>258</v>
      </c>
      <c r="I6" s="51">
        <v>800000</v>
      </c>
      <c r="J6" s="51">
        <v>500000</v>
      </c>
    </row>
    <row r="7" spans="4:10">
      <c r="D7" t="s">
        <v>473</v>
      </c>
      <c r="E7" s="51">
        <v>230000</v>
      </c>
      <c r="F7" s="51">
        <v>-230000</v>
      </c>
      <c r="H7" t="s">
        <v>473</v>
      </c>
      <c r="I7" s="51">
        <v>230000</v>
      </c>
      <c r="J7" s="51">
        <v>-230000</v>
      </c>
    </row>
    <row r="8" spans="4:10">
      <c r="D8" t="s">
        <v>467</v>
      </c>
      <c r="E8" s="51">
        <v>880000</v>
      </c>
      <c r="F8" s="51">
        <v>650000</v>
      </c>
      <c r="H8" t="s">
        <v>467</v>
      </c>
      <c r="I8" s="51">
        <v>880000</v>
      </c>
      <c r="J8" s="51">
        <v>650000</v>
      </c>
    </row>
    <row r="10" spans="4:10">
      <c r="I10" t="s">
        <v>474</v>
      </c>
      <c r="J10" t="s">
        <v>464</v>
      </c>
    </row>
    <row r="11" spans="4:10">
      <c r="H11" t="s">
        <v>475</v>
      </c>
      <c r="I11" s="51">
        <f>I5+I7</f>
        <v>1830000</v>
      </c>
      <c r="J11" s="51">
        <f>J5+J7</f>
        <v>770000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931C-6301-485F-8816-6647BD6733E2}">
  <dimension ref="B2:F8"/>
  <sheetViews>
    <sheetView workbookViewId="0">
      <selection activeCell="G15" sqref="G15"/>
    </sheetView>
  </sheetViews>
  <sheetFormatPr defaultRowHeight="16.5"/>
  <cols>
    <col min="5" max="6" width="10.125" bestFit="1" customWidth="1"/>
  </cols>
  <sheetData>
    <row r="2" spans="2:6">
      <c r="B2" t="s">
        <v>5</v>
      </c>
    </row>
    <row r="3" spans="2:6">
      <c r="B3" t="s">
        <v>94</v>
      </c>
    </row>
    <row r="4" spans="2:6">
      <c r="B4" t="s">
        <v>22</v>
      </c>
      <c r="C4" t="s">
        <v>96</v>
      </c>
      <c r="D4" t="s">
        <v>96</v>
      </c>
      <c r="E4" t="s">
        <v>17</v>
      </c>
      <c r="F4" t="s">
        <v>19</v>
      </c>
    </row>
    <row r="5" spans="2:6">
      <c r="B5" s="8">
        <v>43831</v>
      </c>
      <c r="C5" t="s">
        <v>52</v>
      </c>
      <c r="E5" s="51">
        <v>300000</v>
      </c>
      <c r="F5" s="51"/>
    </row>
    <row r="6" spans="2:6">
      <c r="D6" t="s">
        <v>171</v>
      </c>
      <c r="E6" s="51"/>
      <c r="F6" s="51">
        <v>260000</v>
      </c>
    </row>
    <row r="7" spans="2:6">
      <c r="D7" t="s">
        <v>29</v>
      </c>
      <c r="E7" s="51"/>
      <c r="F7" s="51">
        <v>40000</v>
      </c>
    </row>
    <row r="8" spans="2:6">
      <c r="E8" s="51"/>
      <c r="F8" s="51"/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3095-3DCD-4338-BA65-0B977353EC09}">
  <dimension ref="C2:O24"/>
  <sheetViews>
    <sheetView topLeftCell="D3" workbookViewId="0">
      <selection activeCell="O24" sqref="O24"/>
    </sheetView>
  </sheetViews>
  <sheetFormatPr defaultRowHeight="16.5"/>
  <cols>
    <col min="4" max="4" width="9.25" bestFit="1" customWidth="1"/>
    <col min="7" max="8" width="10.125" bestFit="1" customWidth="1"/>
    <col min="10" max="10" width="10.125" bestFit="1" customWidth="1"/>
    <col min="13" max="13" width="10.625" bestFit="1" customWidth="1"/>
    <col min="14" max="15" width="11.625" bestFit="1" customWidth="1"/>
  </cols>
  <sheetData>
    <row r="2" spans="3:15">
      <c r="C2" t="s">
        <v>1</v>
      </c>
    </row>
    <row r="3" spans="3:15">
      <c r="J3" t="s">
        <v>316</v>
      </c>
    </row>
    <row r="4" spans="3:15">
      <c r="J4" t="s">
        <v>22</v>
      </c>
      <c r="K4" t="s">
        <v>96</v>
      </c>
      <c r="L4" t="s">
        <v>96</v>
      </c>
      <c r="M4" t="s">
        <v>17</v>
      </c>
      <c r="N4" t="s">
        <v>19</v>
      </c>
      <c r="O4" t="s">
        <v>93</v>
      </c>
    </row>
    <row r="5" spans="3:15">
      <c r="J5" s="8">
        <v>43831</v>
      </c>
      <c r="K5" t="s">
        <v>139</v>
      </c>
      <c r="M5" s="127"/>
      <c r="N5" s="127">
        <v>100000</v>
      </c>
      <c r="O5" s="127">
        <v>100000</v>
      </c>
    </row>
    <row r="6" spans="3:15">
      <c r="J6" s="8">
        <v>44012</v>
      </c>
      <c r="K6" t="s">
        <v>388</v>
      </c>
      <c r="L6" t="s">
        <v>476</v>
      </c>
      <c r="M6" s="127"/>
      <c r="N6" s="127">
        <v>5000</v>
      </c>
      <c r="O6" s="127">
        <v>5000</v>
      </c>
    </row>
    <row r="7" spans="3:15">
      <c r="J7" s="8">
        <v>44012</v>
      </c>
      <c r="K7" t="s">
        <v>385</v>
      </c>
      <c r="L7" t="s">
        <v>477</v>
      </c>
      <c r="M7" s="127">
        <v>19702</v>
      </c>
      <c r="N7" s="127"/>
    </row>
    <row r="8" spans="3:15">
      <c r="L8" t="s">
        <v>478</v>
      </c>
      <c r="M8" s="127"/>
      <c r="N8" s="127">
        <v>85928</v>
      </c>
      <c r="O8" s="127"/>
    </row>
    <row r="9" spans="3:15">
      <c r="J9" s="8">
        <v>44196</v>
      </c>
      <c r="K9" t="s">
        <v>388</v>
      </c>
      <c r="L9" t="s">
        <v>476</v>
      </c>
      <c r="M9" s="127"/>
      <c r="N9" s="127">
        <v>4296.3999999999996</v>
      </c>
      <c r="O9" s="127">
        <v>4296.3999999999996</v>
      </c>
    </row>
    <row r="10" spans="3:15">
      <c r="J10" s="8">
        <v>44196</v>
      </c>
      <c r="K10" t="s">
        <v>385</v>
      </c>
      <c r="L10" t="s">
        <v>477</v>
      </c>
      <c r="M10" s="127">
        <v>19702</v>
      </c>
      <c r="N10" s="127"/>
    </row>
    <row r="11" spans="3:15">
      <c r="G11" s="51"/>
      <c r="H11" s="51"/>
      <c r="L11" t="s">
        <v>478</v>
      </c>
      <c r="M11" s="127"/>
      <c r="N11" s="127">
        <v>70522.399999999994</v>
      </c>
    </row>
    <row r="12" spans="3:15">
      <c r="G12" s="51"/>
      <c r="H12" s="51"/>
      <c r="J12" s="8">
        <v>44377</v>
      </c>
      <c r="K12" t="s">
        <v>388</v>
      </c>
      <c r="L12" t="s">
        <v>476</v>
      </c>
      <c r="M12" s="127"/>
      <c r="N12" s="127">
        <v>3526.12</v>
      </c>
      <c r="O12" s="127">
        <v>3526.12</v>
      </c>
    </row>
    <row r="13" spans="3:15">
      <c r="G13" s="51"/>
      <c r="H13" s="51"/>
      <c r="J13" s="8">
        <v>44377</v>
      </c>
      <c r="K13" t="s">
        <v>385</v>
      </c>
      <c r="L13" t="s">
        <v>477</v>
      </c>
      <c r="M13" s="127">
        <v>19702</v>
      </c>
      <c r="N13" s="127"/>
    </row>
    <row r="14" spans="3:15">
      <c r="G14" s="51"/>
      <c r="H14" s="51"/>
      <c r="L14" t="s">
        <v>478</v>
      </c>
      <c r="M14" s="127"/>
      <c r="N14" s="127">
        <v>54346.52</v>
      </c>
    </row>
    <row r="15" spans="3:15">
      <c r="J15" s="8">
        <v>44561</v>
      </c>
      <c r="K15" t="s">
        <v>388</v>
      </c>
      <c r="L15" t="s">
        <v>476</v>
      </c>
      <c r="M15" s="127"/>
      <c r="N15" s="127">
        <v>2717.326</v>
      </c>
      <c r="O15" s="127">
        <v>2717.326</v>
      </c>
    </row>
    <row r="16" spans="3:15">
      <c r="J16" s="8">
        <v>44561</v>
      </c>
      <c r="K16" t="s">
        <v>385</v>
      </c>
      <c r="L16" t="s">
        <v>477</v>
      </c>
      <c r="M16" s="127">
        <v>19702</v>
      </c>
      <c r="N16" s="127"/>
    </row>
    <row r="17" spans="10:15">
      <c r="L17" t="s">
        <v>478</v>
      </c>
      <c r="M17" s="127"/>
      <c r="N17" s="127">
        <v>37361.845999999998</v>
      </c>
    </row>
    <row r="18" spans="10:15">
      <c r="J18" s="8">
        <v>44742</v>
      </c>
      <c r="K18" t="s">
        <v>388</v>
      </c>
      <c r="L18" t="s">
        <v>476</v>
      </c>
      <c r="M18" s="127"/>
      <c r="N18" s="127">
        <v>1868.0923</v>
      </c>
      <c r="O18" s="127">
        <v>1868.0923</v>
      </c>
    </row>
    <row r="19" spans="10:15">
      <c r="J19" s="8">
        <v>44742</v>
      </c>
      <c r="K19" t="s">
        <v>385</v>
      </c>
      <c r="L19" t="s">
        <v>477</v>
      </c>
      <c r="M19" s="127">
        <v>19702</v>
      </c>
      <c r="N19" s="127"/>
    </row>
    <row r="20" spans="10:15">
      <c r="L20" t="s">
        <v>478</v>
      </c>
      <c r="M20" s="127"/>
      <c r="N20" s="127">
        <v>19527.938300000002</v>
      </c>
      <c r="O20" s="127">
        <v>19527.938300000002</v>
      </c>
    </row>
    <row r="21" spans="10:15">
      <c r="J21" s="8">
        <v>44926</v>
      </c>
      <c r="K21" t="s">
        <v>388</v>
      </c>
      <c r="L21" t="s">
        <v>476</v>
      </c>
      <c r="M21" s="127"/>
      <c r="N21" s="127">
        <v>976.39691500000004</v>
      </c>
    </row>
    <row r="22" spans="10:15">
      <c r="J22" s="8">
        <v>44926</v>
      </c>
      <c r="K22" t="s">
        <v>385</v>
      </c>
      <c r="L22" t="s">
        <v>477</v>
      </c>
      <c r="M22" s="128">
        <v>20504.334914999999</v>
      </c>
      <c r="N22" s="127"/>
    </row>
    <row r="23" spans="10:15">
      <c r="L23" t="s">
        <v>478</v>
      </c>
      <c r="M23" s="127"/>
      <c r="N23" s="128">
        <v>0</v>
      </c>
    </row>
    <row r="24" spans="10:15">
      <c r="L24" t="s">
        <v>107</v>
      </c>
      <c r="O24" s="127">
        <f>SUM($O$6:$O$23)</f>
        <v>36935.876600000003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5544-2F30-4227-94F0-D399CE92CE1F}">
  <dimension ref="C3:H54"/>
  <sheetViews>
    <sheetView topLeftCell="A10" workbookViewId="0">
      <selection activeCell="D32" sqref="D32"/>
    </sheetView>
  </sheetViews>
  <sheetFormatPr defaultRowHeight="16.5"/>
  <cols>
    <col min="4" max="6" width="24.25" bestFit="1" customWidth="1"/>
    <col min="7" max="8" width="9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44105</v>
      </c>
      <c r="E6" t="s">
        <v>479</v>
      </c>
      <c r="G6" s="51">
        <v>15000</v>
      </c>
      <c r="H6" s="51"/>
    </row>
    <row r="7" spans="3:8">
      <c r="F7" t="s">
        <v>29</v>
      </c>
      <c r="G7" s="51"/>
      <c r="H7" s="51">
        <v>15000</v>
      </c>
    </row>
    <row r="8" spans="3:8">
      <c r="D8" s="8">
        <v>44150</v>
      </c>
      <c r="E8" t="s">
        <v>29</v>
      </c>
      <c r="G8" s="51">
        <v>8500</v>
      </c>
      <c r="H8" s="51"/>
    </row>
    <row r="9" spans="3:8">
      <c r="F9" t="s">
        <v>479</v>
      </c>
      <c r="G9" s="51"/>
      <c r="H9" s="51">
        <v>8500</v>
      </c>
    </row>
    <row r="10" spans="3:8">
      <c r="D10" s="8">
        <v>44181</v>
      </c>
      <c r="E10" t="s">
        <v>29</v>
      </c>
      <c r="G10" s="51">
        <v>6000</v>
      </c>
      <c r="H10" s="51"/>
    </row>
    <row r="11" spans="3:8">
      <c r="F11" t="s">
        <v>479</v>
      </c>
      <c r="G11" s="51"/>
      <c r="H11" s="51">
        <v>6000</v>
      </c>
    </row>
    <row r="13" spans="3:8">
      <c r="D13" t="s">
        <v>105</v>
      </c>
    </row>
    <row r="14" spans="3:8">
      <c r="D14" s="11" t="s">
        <v>96</v>
      </c>
      <c r="E14" s="11" t="s">
        <v>29</v>
      </c>
      <c r="F14" s="11"/>
      <c r="G14" s="11"/>
    </row>
    <row r="15" spans="3:8">
      <c r="E15" s="124"/>
      <c r="F15" s="8">
        <v>44105</v>
      </c>
      <c r="G15" s="51">
        <v>15000</v>
      </c>
    </row>
    <row r="16" spans="3:8">
      <c r="D16" s="8">
        <v>44150</v>
      </c>
      <c r="E16" s="124">
        <v>8500</v>
      </c>
      <c r="G16" s="51"/>
    </row>
    <row r="17" spans="4:7">
      <c r="D17" s="8">
        <v>44181</v>
      </c>
      <c r="E17" s="124">
        <v>6000</v>
      </c>
      <c r="G17" s="51"/>
    </row>
    <row r="19" spans="4:7">
      <c r="D19" s="11" t="s">
        <v>96</v>
      </c>
      <c r="E19" s="11" t="s">
        <v>479</v>
      </c>
      <c r="F19" s="11"/>
      <c r="G19" s="11"/>
    </row>
    <row r="20" spans="4:7">
      <c r="D20" s="8">
        <v>44105</v>
      </c>
      <c r="E20" s="124">
        <v>15000</v>
      </c>
      <c r="F20" s="8"/>
      <c r="G20" s="51"/>
    </row>
    <row r="21" spans="4:7">
      <c r="D21" s="8"/>
      <c r="E21" s="124"/>
      <c r="F21" s="8">
        <v>44150</v>
      </c>
      <c r="G21" s="51">
        <v>8500</v>
      </c>
    </row>
    <row r="22" spans="4:7">
      <c r="D22" s="8"/>
      <c r="E22" s="124"/>
      <c r="F22" s="8">
        <v>44181</v>
      </c>
      <c r="G22" s="51">
        <v>6000</v>
      </c>
    </row>
    <row r="23" spans="4:7">
      <c r="D23" t="s">
        <v>480</v>
      </c>
    </row>
    <row r="24" spans="4:7">
      <c r="D24" s="11" t="s">
        <v>96</v>
      </c>
      <c r="E24" s="11"/>
      <c r="F24" s="11" t="s">
        <v>140</v>
      </c>
    </row>
    <row r="25" spans="4:7">
      <c r="D25" t="s">
        <v>481</v>
      </c>
      <c r="F25" s="51">
        <v>15000</v>
      </c>
    </row>
    <row r="26" spans="4:7">
      <c r="D26" t="s">
        <v>479</v>
      </c>
      <c r="F26" s="51">
        <v>-8500</v>
      </c>
    </row>
    <row r="27" spans="4:7">
      <c r="D27" t="s">
        <v>479</v>
      </c>
      <c r="F27" s="120">
        <v>-6000</v>
      </c>
    </row>
    <row r="28" spans="4:7">
      <c r="F28" s="62">
        <f>SUM($F$25:$F$27)</f>
        <v>500</v>
      </c>
    </row>
    <row r="29" spans="4:7">
      <c r="F29" s="51"/>
    </row>
    <row r="30" spans="4:7">
      <c r="F30" s="51"/>
    </row>
    <row r="31" spans="4:7">
      <c r="F31" s="51"/>
    </row>
    <row r="32" spans="4:7">
      <c r="F32" s="51"/>
    </row>
    <row r="33" spans="6:6">
      <c r="F33" s="51"/>
    </row>
    <row r="34" spans="6:6">
      <c r="F34" s="51"/>
    </row>
    <row r="35" spans="6:6">
      <c r="F35" s="51"/>
    </row>
    <row r="36" spans="6:6">
      <c r="F36" s="51"/>
    </row>
    <row r="37" spans="6:6">
      <c r="F37" s="51"/>
    </row>
    <row r="38" spans="6:6">
      <c r="F38" s="51"/>
    </row>
    <row r="39" spans="6:6">
      <c r="F39" s="51"/>
    </row>
    <row r="40" spans="6:6">
      <c r="F40" s="51"/>
    </row>
    <row r="41" spans="6:6">
      <c r="F41" s="51"/>
    </row>
    <row r="42" spans="6:6">
      <c r="F42" s="51"/>
    </row>
    <row r="43" spans="6:6">
      <c r="F43" s="51"/>
    </row>
    <row r="44" spans="6:6">
      <c r="F44" s="51"/>
    </row>
    <row r="45" spans="6:6">
      <c r="F45" s="51"/>
    </row>
    <row r="46" spans="6:6">
      <c r="F46" s="51"/>
    </row>
    <row r="47" spans="6:6">
      <c r="F47" s="51"/>
    </row>
    <row r="48" spans="6:6">
      <c r="F48" s="51"/>
    </row>
    <row r="49" spans="6:6">
      <c r="F49" s="51"/>
    </row>
    <row r="50" spans="6:6">
      <c r="F50" s="51"/>
    </row>
    <row r="51" spans="6:6">
      <c r="F51" s="51"/>
    </row>
    <row r="52" spans="6:6">
      <c r="F52" s="51"/>
    </row>
    <row r="53" spans="6:6">
      <c r="F53" s="51"/>
    </row>
    <row r="54" spans="6:6">
      <c r="F54" s="51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274D-F622-4016-A2EA-C41A5DC0F129}">
  <dimension ref="C2:F14"/>
  <sheetViews>
    <sheetView workbookViewId="0">
      <selection activeCell="F7" sqref="F7"/>
    </sheetView>
  </sheetViews>
  <sheetFormatPr defaultRowHeight="16.5"/>
  <cols>
    <col min="4" max="4" width="11.75" bestFit="1" customWidth="1"/>
    <col min="6" max="6" width="10.625" bestFit="1" customWidth="1"/>
  </cols>
  <sheetData>
    <row r="2" spans="3:6">
      <c r="C2" t="s">
        <v>1</v>
      </c>
    </row>
    <row r="3" spans="3:6">
      <c r="C3" t="s">
        <v>277</v>
      </c>
      <c r="D3" t="s">
        <v>482</v>
      </c>
    </row>
    <row r="4" spans="3:6">
      <c r="D4" t="s">
        <v>96</v>
      </c>
      <c r="E4" t="s">
        <v>96</v>
      </c>
      <c r="F4" t="s">
        <v>140</v>
      </c>
    </row>
    <row r="5" spans="3:6">
      <c r="D5" t="s">
        <v>481</v>
      </c>
      <c r="F5" s="51">
        <v>2000000</v>
      </c>
    </row>
    <row r="6" spans="3:6">
      <c r="D6" t="s">
        <v>483</v>
      </c>
      <c r="F6" s="51">
        <v>0</v>
      </c>
    </row>
    <row r="7" spans="3:6">
      <c r="D7" t="s">
        <v>484</v>
      </c>
      <c r="F7" s="51">
        <v>900000</v>
      </c>
    </row>
    <row r="8" spans="3:6">
      <c r="D8" t="s">
        <v>385</v>
      </c>
      <c r="E8" t="s">
        <v>485</v>
      </c>
      <c r="F8" s="120">
        <v>0</v>
      </c>
    </row>
    <row r="9" spans="3:6">
      <c r="E9" t="s">
        <v>486</v>
      </c>
      <c r="F9" s="62">
        <f>SUM($F$5:$F$7)-$F$8</f>
        <v>2900000</v>
      </c>
    </row>
    <row r="10" spans="3:6">
      <c r="F10" s="51"/>
    </row>
    <row r="11" spans="3:6">
      <c r="F11" s="51"/>
    </row>
    <row r="12" spans="3:6">
      <c r="F12" s="51"/>
    </row>
    <row r="13" spans="3:6">
      <c r="F13" s="51"/>
    </row>
    <row r="14" spans="3:6">
      <c r="F14" s="5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2024-02-15T02:51:40Z</dcterms:modified>
  <cp:category/>
  <cp:contentStatus/>
</cp:coreProperties>
</file>