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comments12.xml" ContentType="application/vnd.openxmlformats-officedocument.spreadsheetml.comments+xml"/>
  <Override PartName="/xl/threadedComments/threadedComment11.xml" ContentType="application/vnd.ms-excel.threadedcomments+xml"/>
  <Override PartName="/xl/comments13.xml" ContentType="application/vnd.openxmlformats-officedocument.spreadsheetml.comments+xml"/>
  <Override PartName="/xl/threadedComments/threadedComment12.xml" ContentType="application/vnd.ms-excel.threadedcomments+xml"/>
  <Override PartName="/xl/comments14.xml" ContentType="application/vnd.openxmlformats-officedocument.spreadsheetml.comments+xml"/>
  <Override PartName="/xl/threadedComments/threadedComment13.xml" ContentType="application/vnd.ms-excel.threadedcomments+xml"/>
  <Override PartName="/xl/comments15.xml" ContentType="application/vnd.openxmlformats-officedocument.spreadsheetml.comments+xml"/>
  <Override PartName="/xl/threadedComments/threadedComment14.xml" ContentType="application/vnd.ms-excel.threadedcomments+xml"/>
  <Override PartName="/xl/comments16.xml" ContentType="application/vnd.openxmlformats-officedocument.spreadsheetml.comments+xml"/>
  <Override PartName="/xl/threadedComments/threadedComment15.xml" ContentType="application/vnd.ms-excel.threadedcomments+xml"/>
  <Override PartName="/xl/comments17.xml" ContentType="application/vnd.openxmlformats-officedocument.spreadsheetml.comments+xml"/>
  <Override PartName="/xl/threadedComments/threadedComment16.xml" ContentType="application/vnd.ms-excel.threadedcomments+xml"/>
  <Override PartName="/xl/comments18.xml" ContentType="application/vnd.openxmlformats-officedocument.spreadsheetml.comments+xml"/>
  <Override PartName="/xl/threadedComments/threadedComment17.xml" ContentType="application/vnd.ms-excel.threadedcomments+xml"/>
  <Override PartName="/xl/drawings/drawing3.xml" ContentType="application/vnd.openxmlformats-officedocument.drawing+xml"/>
  <Override PartName="/xl/comments19.xml" ContentType="application/vnd.openxmlformats-officedocument.spreadsheetml.comments+xml"/>
  <Override PartName="/xl/threadedComments/threadedComment18.xml" ContentType="application/vnd.ms-excel.threadedcomments+xml"/>
  <Override PartName="/xl/drawings/drawing4.xml" ContentType="application/vnd.openxmlformats-officedocument.drawing+xml"/>
  <Override PartName="/xl/comments20.xml" ContentType="application/vnd.openxmlformats-officedocument.spreadsheetml.comments+xml"/>
  <Override PartName="/xl/threadedComments/threadedComment19.xml" ContentType="application/vnd.ms-excel.threadedcomments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4175" documentId="11_2F206C6948C74EE3E979BAFA89738C9863138395" xr6:coauthVersionLast="47" xr6:coauthVersionMax="47" xr10:uidLastSave="{23ADDA60-545F-4183-9DC6-68839A088F51}"/>
  <bookViews>
    <workbookView xWindow="240" yWindow="105" windowWidth="14805" windowHeight="8010" firstSheet="100" activeTab="100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  <sheet name="Q6-18" sheetId="102" r:id="rId84"/>
    <sheet name="Q9-19" sheetId="110" r:id="rId85"/>
    <sheet name="Q9-20" sheetId="112" r:id="rId86"/>
    <sheet name="A9-1" sheetId="111" r:id="rId87"/>
    <sheet name="Q11-17" sheetId="107" r:id="rId88"/>
    <sheet name="Q11-18" sheetId="106" r:id="rId89"/>
    <sheet name="Q11-35" sheetId="103" r:id="rId90"/>
    <sheet name="Q12-2" sheetId="105" r:id="rId91"/>
    <sheet name="Q12-8" sheetId="104" r:id="rId92"/>
    <sheet name="Q12-15" sheetId="109" r:id="rId93"/>
    <sheet name="Q12-36" sheetId="113" r:id="rId94"/>
    <sheet name="Q12-38" sheetId="114" r:id="rId95"/>
    <sheet name="Q12-40" sheetId="108" r:id="rId96"/>
    <sheet name="Q14-15" sheetId="115" r:id="rId97"/>
    <sheet name="Q16-20" sheetId="116" r:id="rId98"/>
    <sheet name="Q17-23" sheetId="117" r:id="rId99"/>
    <sheet name="Q17-27" sheetId="118" r:id="rId100"/>
    <sheet name="Q18-3" sheetId="119" r:id="rId101"/>
    <sheet name="Q18-3-2" sheetId="120" r:id="rId102"/>
    <sheet name="Q18-3-3" sheetId="121" r:id="rId103"/>
    <sheet name="Q18-3-4" sheetId="122" r:id="rId10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22" l="1"/>
  <c r="G12" i="122"/>
  <c r="H11" i="122"/>
  <c r="G9" i="122"/>
  <c r="G10" i="122" s="1"/>
  <c r="H8" i="122"/>
  <c r="H14" i="121"/>
  <c r="G12" i="121"/>
  <c r="H11" i="121"/>
  <c r="G9" i="121"/>
  <c r="G10" i="121" s="1"/>
  <c r="H8" i="121"/>
  <c r="H14" i="120"/>
  <c r="G13" i="120"/>
  <c r="G12" i="120"/>
  <c r="H11" i="120"/>
  <c r="G9" i="120"/>
  <c r="G10" i="120"/>
  <c r="H8" i="120"/>
  <c r="G10" i="119"/>
  <c r="H11" i="119"/>
  <c r="G9" i="119"/>
  <c r="H8" i="119"/>
  <c r="H7" i="118"/>
  <c r="H6" i="118"/>
  <c r="H5" i="118"/>
  <c r="F9" i="117"/>
  <c r="F28" i="116"/>
  <c r="O24" i="115"/>
  <c r="J11" i="114"/>
  <c r="I11" i="114"/>
  <c r="AU13" i="110"/>
  <c r="AU9" i="110"/>
  <c r="AU10" i="110" s="1"/>
  <c r="AU14" i="110" s="1"/>
  <c r="J14" i="112"/>
  <c r="J10" i="112"/>
  <c r="F14" i="112"/>
  <c r="F10" i="112"/>
  <c r="F13" i="112"/>
  <c r="F9" i="112"/>
  <c r="T29" i="110"/>
  <c r="S29" i="110"/>
  <c r="R29" i="110"/>
  <c r="Q29" i="110"/>
  <c r="T28" i="110"/>
  <c r="S28" i="110"/>
  <c r="R28" i="110"/>
  <c r="Q28" i="110"/>
  <c r="N27" i="110"/>
  <c r="M27" i="110"/>
  <c r="Q27" i="110"/>
  <c r="T27" i="110"/>
  <c r="S27" i="110"/>
  <c r="R27" i="110"/>
  <c r="W9" i="110"/>
  <c r="V9" i="110"/>
  <c r="R8" i="110"/>
  <c r="Q8" i="110"/>
  <c r="M13" i="110"/>
  <c r="L13" i="110"/>
  <c r="J5" i="109"/>
  <c r="J6" i="109"/>
  <c r="N12" i="107"/>
  <c r="M10" i="107"/>
  <c r="N10" i="107"/>
  <c r="K9" i="106"/>
  <c r="K4" i="106"/>
  <c r="K5" i="106"/>
  <c r="K6" i="106"/>
  <c r="K7" i="106"/>
  <c r="K8" i="106"/>
  <c r="K3" i="106"/>
  <c r="D5" i="104"/>
  <c r="D4" i="104"/>
  <c r="F4" i="104"/>
  <c r="G4" i="104" s="1"/>
  <c r="F5" i="104"/>
  <c r="G5" i="104" s="1"/>
  <c r="D6" i="104" s="1"/>
  <c r="F6" i="104"/>
  <c r="F3" i="104"/>
  <c r="G3" i="104"/>
  <c r="O11" i="103"/>
  <c r="N12" i="103"/>
  <c r="N9" i="103"/>
  <c r="O8" i="103"/>
  <c r="N8" i="103"/>
  <c r="I11" i="100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G13" i="122" l="1"/>
  <c r="G13" i="121"/>
  <c r="M11" i="107"/>
  <c r="M13" i="107"/>
  <c r="G6" i="104"/>
  <c r="AM28" i="93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tc={440EC1AD-9133-4C1A-B64B-38FFDBF9B531}</author>
    <author>tc={7ECDE23B-FC30-4639-9B62-69F2DFF7F6BC}</author>
    <author>tc={DE544348-00E0-4326-B47B-CFF84C1737ED}</author>
    <author>tc={EBA6B24E-3CA0-4E79-BC58-E02927303D7C}</author>
    <author>tc={1A622B5A-126C-4537-9D98-D2967356A8B9}</author>
  </authors>
  <commentList>
    <comment ref="C3" authorId="0" shapeId="0" xr:uid="{440EC1AD-9133-4C1A-B64B-38FFDBF9B531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(Studying).docx。CH9的19題。</t>
      </text>
    </comment>
    <comment ref="O4" authorId="1" shapeId="0" xr:uid="{7ECDE23B-FC30-4639-9B62-69F2DFF7F6B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T4" authorId="2" shapeId="0" xr:uid="{DE544348-00E0-4326-B47B-CFF84C1737ED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  <comment ref="Q20" authorId="3" shapeId="0" xr:uid="{EBA6B24E-3CA0-4E79-BC58-E02927303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收益 - 費用 = 淨利</t>
      </text>
    </comment>
    <comment ref="S20" authorId="4" shapeId="0" xr:uid="{1A622B5A-126C-4537-9D98-D2967356A8B9}">
      <text>
        <t>[Threaded comment]
Your version of Excel allows you to read this threaded comment; however, any edits to it will get removed if the file is opened in a newer version of Excel. Learn more: https://go.microsoft.com/fwlink/?linkid=870924
Comment:
    資產 - 負債 = 權益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tc={D9802697-BFDB-4476-AFD6-0FAA6D9EF3A5}</author>
  </authors>
  <commentList>
    <comment ref="C3" authorId="0" shapeId="0" xr:uid="{D9802697-BFDB-4476-AFD6-0FAA6D9EF3A5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(Studying).docx。CH9的20題。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tc={292C61DE-D93C-4D77-A133-651752AB9984}</author>
  </authors>
  <commentList>
    <comment ref="K9" authorId="0" shapeId="0" xr:uid="{292C61DE-D93C-4D77-A133-651752AB9984}">
      <text>
        <t>[Threaded comment]
Your version of Excel allows you to read this threaded comment; however, any edits to it will get removed if the file is opened in a newer version of Excel. Learn more: https://go.microsoft.com/fwlink/?linkid=870924
Comment:
    期末存貨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tc={B78456FF-FA2F-4143-8AFB-178C68BFD2EC}</author>
    <author>tc={F9D05D7D-128C-4E56-9275-7EB39E955679}</author>
    <author>tc={3B6C8113-ED6E-4DC2-9ECB-C6C993043A61}</author>
    <author>tc={2D1FCF36-BA95-4A0B-BD36-869E513646DD}</author>
  </authors>
  <commentList>
    <comment ref="H3" authorId="0" shapeId="0" xr:uid="{B78456FF-FA2F-4143-8AFB-178C68BFD2EC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3" authorId="1" shapeId="0" xr:uid="{F9D05D7D-128C-4E56-9275-7EB39E955679}">
      <text>
        <t>[Threaded comment]
Your version of Excel allows you to read this threaded comment; however, any edits to it will get removed if the file is opened in a newer version of Excel. Learn more: https://go.microsoft.com/fwlink/?linkid=870924
Comment:
    參考，CH11-3-4 page 266。</t>
      </text>
    </comment>
    <comment ref="M8" authorId="2" shapeId="0" xr:uid="{3B6C8113-ED6E-4DC2-9ECB-C6C9930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數值為上三項科目的數值總和</t>
      </text>
    </comment>
    <comment ref="M9" authorId="3" shapeId="0" xr:uid="{2D1FCF36-BA95-4A0B-BD36-869E513646DD}">
      <text>
        <t>[Threaded comment]
Your version of Excel allows you to read this threaded comment; however, any edits to it will get removed if the file is opened in a newer version of Excel. Learn more: https://go.microsoft.com/fwlink/?linkid=870924
Comment:
    成本率 = 可供銷售商品的成本/可供銷售商品的零售價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tc={C4F56186-D303-4132-A760-03B5963D4C53}</author>
    <author>tc={D0A40ABC-6F47-4367-9C0A-3E6D08031F71}</author>
  </authors>
  <commentList>
    <comment ref="C3" authorId="0" shapeId="0" xr:uid="{C4F56186-D303-4132-A760-03B5963D4C53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詳見，CH12 part 1 Q36。</t>
      </text>
    </comment>
    <comment ref="C4" authorId="1" shapeId="0" xr:uid="{D0A40ABC-6F47-4367-9C0A-3E6D08031F71}">
      <text>
        <t>[Threaded comment]
Your version of Excel allows you to read this threaded comment; however, any edits to it will get removed if the file is opened in a newer version of Excel. Learn more: https://go.microsoft.com/fwlink/?linkid=870924
Comment:
    想求：
甲公司可認列的商譽是多少?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tc={A2168248-DE8B-4497-B27C-93AB61B1DC48}</author>
  </authors>
  <commentList>
    <comment ref="D6" authorId="0" shapeId="0" xr:uid="{A2168248-DE8B-4497-B27C-93AB61B1DC48}">
      <text>
        <t>[Threaded comment]
Your version of Excel allows you to read this threaded comment; however, any edits to it will get removed if the file is opened in a newer version of Excel. Learn more: https://go.microsoft.com/fwlink/?linkid=870924
Comment:
    此科目的數額為題目所問的成本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tc={71C7FF9F-E798-4FC5-BC85-087B97950848}</author>
  </authors>
  <commentList>
    <comment ref="C3" authorId="0" shapeId="0" xr:uid="{71C7FF9F-E798-4FC5-BC85-087B97950848}">
      <text>
        <t>[Threaded comment]
Your version of Excel allows you to read this threaded comment; however, any edits to it will get removed if the file is opened in a newer version of Excel. Learn more: https://go.microsoft.com/fwlink/?linkid=870924
Comment:
    詳見，accounting (studying).docx
檔的CH17 的 part 1的第23題。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tc={DE0146A6-D370-4EB3-A584-9CC5150EF5BA}</author>
  </authors>
  <commentList>
    <comment ref="G6" authorId="0" shapeId="0" xr:uid="{DE0146A6-D370-4EB3-A584-9CC5150E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根據題目給的購入公司債價格。
Reply:
    五年期。
Reply:
    票面利率7%。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tc={4A99945B-2909-4CC5-8171-687DCF2900B9}</author>
  </authors>
  <commentList>
    <comment ref="G6" authorId="0" shapeId="0" xr:uid="{4A99945B-2909-4CC5-8171-687DCF2900B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根據題目給的購入公司債價格。
Reply:
    五年期。
Reply:
    票面利率7%。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tc={AD066488-ACF2-42F4-9FEC-70333CC9E9DD}</author>
  </authors>
  <commentList>
    <comment ref="G6" authorId="0" shapeId="0" xr:uid="{AD066488-ACF2-42F4-9FEC-70333CC9E9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根據題目給的票面利率、市場利率和會計學課本的附表一和附表二所計算出的發行價格。
Reply:
    五年期。
Reply:
    票面利率7%。
Reply:
    發行價格 = 200,000.8
Reply:
    計算過程見旁邊的圖。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tc={A70A48F5-C10C-4011-9EB6-416D8C967936}</author>
    <author>tc={812B22EB-9658-412D-9656-CC156169A555}</author>
    <author>tc={8535B5DB-4A19-48A0-B997-053C627EED93}</author>
    <author>tc={69C635D0-9183-4A8D-A4D4-2D7321005CDF}</author>
  </authors>
  <commentList>
    <comment ref="J3" authorId="0" shapeId="0" xr:uid="{A70A48F5-C10C-4011-9EB6-416D8C967936}">
      <text>
        <t>[Threaded comment]
Your version of Excel allows you to read this threaded comment; however, any edits to it will get removed if the file is opened in a newer version of Excel. Learn more: https://go.microsoft.com/fwlink/?linkid=870924
Comment:
    一元年金現值
Reply:
    為紅色底線上數字</t>
      </text>
    </comment>
    <comment ref="G6" authorId="1" shapeId="0" xr:uid="{812B22EB-9658-412D-9656-CC156169A555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根據題目給的票面利率、市場利率計算出發行價格。
Reply:
    10年期。
Reply:
    票面利率7% / 2。
Reply:
    發行價格 = 28,952.303973697484849388786480081
Reply:
    計算過程見旁邊的圖。
Reply:
    一元年金現值如圖一和其註解。
Reply:
    一元現值如圖二和其註解。
Reply:
    發行價格如圖三和其註解。</t>
      </text>
    </comment>
    <comment ref="J18" authorId="2" shapeId="0" xr:uid="{8535B5DB-4A19-48A0-B997-053C627EED93}">
      <text>
        <t>[Threaded comment]
Your version of Excel allows you to read this threaded comment; however, any edits to it will get removed if the file is opened in a newer version of Excel. Learn more: https://go.microsoft.com/fwlink/?linkid=870924
Comment:
    一元值值</t>
      </text>
    </comment>
    <comment ref="J23" authorId="3" shapeId="0" xr:uid="{69C635D0-9183-4A8D-A4D4-2D7321005CDF}">
      <text>
        <t>[Threaded comment]
Your version of Excel allows you to read this threaded comment; however, any edits to it will get removed if the file is opened in a newer version of Excel. Learn more: https://go.microsoft.com/fwlink/?linkid=870924
Comment:
    發行價格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tc={35ED09B8-8FC7-450B-B04D-AEFE9B343FBB}</author>
  </authors>
  <commentList>
    <comment ref="I8" authorId="0" shapeId="0" xr:uid="{35ED09B8-8FC7-450B-B04D-AEFE9B34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這就是題目所要求的。</t>
      </text>
    </comment>
  </commentList>
</comments>
</file>

<file path=xl/sharedStrings.xml><?xml version="1.0" encoding="utf-8"?>
<sst xmlns="http://schemas.openxmlformats.org/spreadsheetml/2006/main" count="5712" uniqueCount="498">
  <si>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</si>
  <si>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</si>
  <si>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</si>
  <si>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</si>
  <si>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</si>
  <si>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</si>
  <si>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</si>
  <si>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</si>
  <si>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</si>
  <si>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</si>
  <si>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</si>
  <si>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</si>
  <si>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</si>
  <si>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</si>
  <si>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</si>
  <si>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</si>
  <si>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</si>
  <si>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</si>
  <si>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</si>
  <si>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</si>
  <si>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</si>
  <si>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</si>
  <si>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</si>
  <si>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</si>
  <si>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</si>
  <si>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</si>
  <si>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</si>
  <si>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</si>
  <si>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</si>
  <si>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</si>
  <si>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</si>
  <si>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</si>
  <si>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</si>
  <si>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</si>
  <si>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</si>
  <si>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</si>
  <si>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</si>
  <si>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</si>
  <si>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</si>
  <si>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</si>
  <si>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</si>
  <si>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</si>
  <si>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</si>
  <si>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</si>
  <si>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</si>
  <si>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</si>
  <si>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</si>
  <si>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</si>
  <si>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</si>
  <si>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</si>
  <si>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</si>
  <si>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</si>
  <si>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</si>
  <si>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</si>
  <si>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</si>
  <si>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</si>
  <si>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</si>
  <si>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</si>
  <si>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</si>
  <si>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</si>
  <si>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</si>
  <si>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</si>
  <si>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</si>
  <si>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</si>
  <si>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</si>
  <si>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</si>
  <si>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</si>
  <si>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</si>
  <si>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</si>
  <si>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</si>
  <si>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</si>
  <si>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</si>
  <si>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</si>
  <si>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</si>
  <si>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</si>
  <si>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</si>
  <si>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</si>
  <si>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</si>
  <si>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</si>
  <si>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</si>
  <si>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</si>
  <si>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</si>
  <si>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</si>
  <si>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</si>
  <si>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</si>
  <si>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</si>
  <si>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</si>
  <si>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</si>
  <si>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</si>
  <si>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</si>
  <si>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</si>
  <si>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</si>
  <si>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</si>
  <si>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</si>
  <si>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</si>
  <si>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</si>
  <si>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</si>
  <si>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</si>
  <si>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</si>
  <si>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</si>
  <si>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</si>
  <si>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</si>
  <si>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</si>
  <si>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</si>
  <si>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</si>
  <si>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</si>
  <si>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</si>
  <si>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</si>
  <si>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</si>
  <si>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</si>
  <si>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</si>
  <si>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</si>
  <si>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</si>
  <si>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</si>
  <si>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</si>
  <si>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</si>
  <si>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</si>
  <si>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</si>
  <si>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</si>
  <si>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</si>
  <si>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</si>
  <si>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</si>
  <si>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</si>
  <si>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</si>
  <si>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</si>
  <si>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</si>
  <si>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</si>
  <si>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</si>
  <si>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</si>
  <si>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</si>
  <si>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</si>
  <si>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</si>
  <si>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</si>
  <si>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</si>
  <si>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</si>
  <si>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</si>
  <si>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</si>
  <si>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</si>
  <si>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</si>
  <si>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</si>
  <si>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</si>
  <si>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</si>
  <si>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</si>
  <si>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</si>
  <si>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</si>
  <si>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</si>
  <si>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</si>
  <si>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</si>
  <si>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</si>
  <si>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</si>
  <si>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</si>
  <si>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</si>
  <si>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</si>
  <si>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</si>
  <si>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</si>
  <si>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</si>
  <si>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</si>
  <si>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</si>
  <si>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</si>
  <si>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</si>
  <si>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</si>
  <si>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</si>
  <si>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</si>
  <si>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</si>
  <si>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</si>
  <si>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</si>
  <si>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</si>
  <si>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</si>
  <si>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</si>
  <si>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</si>
  <si>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</si>
  <si>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</si>
  <si>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</si>
  <si>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</si>
  <si>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</si>
  <si>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</si>
  <si>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</si>
  <si>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</si>
  <si>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</si>
  <si>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</si>
  <si>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</si>
  <si>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</si>
  <si>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</si>
  <si>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</si>
  <si>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</si>
  <si>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</si>
  <si>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</si>
  <si>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</si>
  <si>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</si>
  <si>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</si>
  <si>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</si>
  <si>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</si>
  <si>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</si>
  <si>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</si>
  <si>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</si>
  <si>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</si>
  <si>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</si>
  <si>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</si>
  <si>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</si>
  <si>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</si>
  <si>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</si>
  <si>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</si>
  <si>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</si>
  <si>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</si>
  <si>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</si>
  <si>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</si>
  <si>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</si>
  <si>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</si>
  <si>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</si>
  <si>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</si>
  <si>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</si>
  <si>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</si>
  <si>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</si>
  <si>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</si>
  <si>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</si>
  <si>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</si>
  <si>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</si>
  <si>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</si>
  <si>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</si>
  <si>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</si>
  <si>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</si>
  <si>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</si>
  <si>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</si>
  <si>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</si>
  <si>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</si>
  <si>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</si>
  <si>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</si>
  <si>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</si>
  <si>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</si>
  <si>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</si>
  <si>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</si>
  <si>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</si>
  <si>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</si>
  <si>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</si>
  <si>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</si>
  <si>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</si>
  <si>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</si>
  <si>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</si>
  <si>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</si>
  <si>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</si>
  <si>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</si>
  <si>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</si>
  <si>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</si>
  <si>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</si>
  <si>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</si>
  <si>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</si>
  <si>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</si>
  <si>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</si>
  <si>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</si>
  <si>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</si>
  <si>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</si>
  <si>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</si>
  <si>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</si>
  <si>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</si>
  <si>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</si>
  <si>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</si>
  <si>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</si>
  <si>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</si>
  <si>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</si>
  <si>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</si>
  <si>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</si>
  <si>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</si>
  <si>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</si>
  <si>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</si>
  <si>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</si>
  <si>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</si>
  <si>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</si>
  <si>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</si>
  <si>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</si>
  <si>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</si>
  <si>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</si>
  <si>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</si>
  <si>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</si>
  <si>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</si>
  <si>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</si>
  <si>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</si>
  <si>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</si>
  <si>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</si>
  <si>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</si>
  <si>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</si>
  <si>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</si>
  <si>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</si>
  <si>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</si>
  <si>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</si>
  <si>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</si>
  <si>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</si>
  <si>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</si>
  <si>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</si>
  <si>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</si>
  <si>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</si>
  <si>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</si>
  <si>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</si>
  <si>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</si>
  <si>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</si>
  <si>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</si>
  <si>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</si>
  <si>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</si>
  <si>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</si>
  <si>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</si>
  <si>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</si>
  <si>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</si>
  <si>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</si>
  <si>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</si>
  <si>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</si>
  <si>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</si>
  <si>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</si>
  <si>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</si>
  <si>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</si>
  <si>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</si>
  <si>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</si>
  <si>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</si>
  <si>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</si>
  <si>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</si>
  <si>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</si>
  <si>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</si>
  <si>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</si>
  <si>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</si>
  <si>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</si>
  <si>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</si>
  <si>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</si>
  <si>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</si>
  <si>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</si>
  <si>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</si>
  <si>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</si>
  <si>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</si>
  <si>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</si>
  <si>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</si>
  <si>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</si>
  <si>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</si>
  <si>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</si>
  <si>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</si>
  <si>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</si>
  <si>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</si>
  <si>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</si>
  <si>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</si>
  <si>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</si>
  <si>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</si>
  <si>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</si>
  <si>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</si>
  <si>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</si>
  <si>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</si>
  <si>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</si>
  <si>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</si>
  <si>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</si>
  <si>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</si>
  <si>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</si>
  <si>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</si>
  <si>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</si>
  <si>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</si>
  <si>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</si>
  <si>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</si>
  <si>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</si>
  <si>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</si>
  <si>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</si>
  <si>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</si>
  <si>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</si>
  <si>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</si>
  <si>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</si>
  <si>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</si>
  <si>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</si>
  <si>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</si>
  <si>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</si>
  <si>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</si>
  <si>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</si>
  <si>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</si>
  <si>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</si>
  <si>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</si>
  <si>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</si>
  <si>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</si>
  <si>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</si>
  <si>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</si>
  <si>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</si>
  <si>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</si>
  <si>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</si>
  <si>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</si>
  <si>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</si>
  <si>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</si>
  <si>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</si>
  <si>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</si>
  <si>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</si>
  <si>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</si>
  <si>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</si>
  <si>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</si>
  <si>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</si>
  <si>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</si>
  <si>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</si>
  <si>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</si>
  <si>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</si>
  <si>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</si>
  <si>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</si>
  <si>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</si>
  <si>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</si>
  <si>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</si>
  <si>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</si>
  <si>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</si>
  <si>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</si>
  <si>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</si>
  <si>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</si>
  <si>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</si>
  <si>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</si>
  <si>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</si>
  <si>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</si>
  <si>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</si>
  <si>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</si>
  <si>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</si>
  <si>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</si>
  <si>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</si>
  <si>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</si>
  <si>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</si>
  <si>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</si>
  <si>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</si>
  <si>
    <t>綜合報表</t>
  </si>
  <si>
    <t>定額</t>
  </si>
  <si>
    <t>支出憑證</t>
  </si>
  <si>
    <t>零用金餘額</t>
  </si>
  <si>
    <t>使用</t>
  </si>
  <si>
    <t>最終的零用金餘額</t>
  </si>
  <si>
    <t>資產損益表</t>
  </si>
  <si>
    <t>銀行調節表</t>
  </si>
  <si>
    <t>編號ID</t>
  </si>
  <si>
    <t>某某公司</t>
  </si>
  <si>
    <t>第一頁</t>
  </si>
  <si>
    <t>電話費</t>
  </si>
  <si>
    <t>某年</t>
  </si>
  <si>
    <t>某某年</t>
  </si>
  <si>
    <t>借或貸</t>
  </si>
  <si>
    <t>帳上公司存款餘額</t>
  </si>
  <si>
    <t>代收票據</t>
  </si>
  <si>
    <t>(1)帳上誤記</t>
  </si>
  <si>
    <t>第二頁</t>
  </si>
  <si>
    <t>(2)票據未入帳</t>
  </si>
  <si>
    <t>正確存款餘額</t>
  </si>
  <si>
    <t>第四頁</t>
  </si>
  <si>
    <t>第五頁</t>
  </si>
  <si>
    <t>帳上銀行存款餘額</t>
  </si>
  <si>
    <t>銀行結單餘額</t>
  </si>
  <si>
    <t>(1)送存帳款</t>
  </si>
  <si>
    <t>(3)支票未兌現</t>
  </si>
  <si>
    <t>(2)代收手續費</t>
  </si>
  <si>
    <t>(4)帳上誤記</t>
  </si>
  <si>
    <t>進銷貨資料</t>
  </si>
  <si>
    <t>零售價</t>
  </si>
  <si>
    <t>存貨</t>
  </si>
  <si>
    <t>6月</t>
  </si>
  <si>
    <t>可供銷售商品</t>
  </si>
  <si>
    <t>成本率</t>
  </si>
  <si>
    <t>期末存貨的零售價</t>
  </si>
  <si>
    <t>期末存貨的成本</t>
  </si>
  <si>
    <t>第一批</t>
  </si>
  <si>
    <t>第二批</t>
  </si>
  <si>
    <t>第三批</t>
  </si>
  <si>
    <t>第四批</t>
  </si>
  <si>
    <t>本年銷貨</t>
  </si>
  <si>
    <t>原始表格</t>
  </si>
  <si>
    <t>零售法的表格</t>
  </si>
  <si>
    <t>本期購貨</t>
  </si>
  <si>
    <t>期末存貨零售業</t>
  </si>
  <si>
    <t>期末存貨成本</t>
  </si>
  <si>
    <t>本期資產</t>
  </si>
  <si>
    <t>折舊率</t>
  </si>
  <si>
    <t>折舊額</t>
  </si>
  <si>
    <t>本期剩下資產</t>
  </si>
  <si>
    <t>房地產</t>
  </si>
  <si>
    <t>房屋</t>
  </si>
  <si>
    <t>乙公司</t>
  </si>
  <si>
    <t>甲公司購買價格</t>
  </si>
  <si>
    <t>帳面金額</t>
  </si>
  <si>
    <t>公允價值</t>
  </si>
  <si>
    <t>無形資產</t>
  </si>
  <si>
    <t>交換表</t>
  </si>
  <si>
    <t>甲公司鑽探機器設備</t>
  </si>
  <si>
    <t>乙公司開採機器設備</t>
  </si>
  <si>
    <t>設備成本</t>
  </si>
  <si>
    <t>現金收(付)</t>
  </si>
  <si>
    <t>甲公司</t>
  </si>
  <si>
    <t>換入資產認列金額</t>
  </si>
  <si>
    <t>利息</t>
  </si>
  <si>
    <t>償還</t>
  </si>
  <si>
    <t>債務合計</t>
  </si>
  <si>
    <t>資本公積--庫藏股票交易</t>
  </si>
  <si>
    <t>財務報表上</t>
  </si>
  <si>
    <t>股本</t>
  </si>
  <si>
    <t>財務報表</t>
  </si>
  <si>
    <t>股本溢價</t>
  </si>
  <si>
    <t>未分配盈餘</t>
  </si>
  <si>
    <t>庫藏股票</t>
  </si>
  <si>
    <t>權益合計</t>
  </si>
  <si>
    <t>期間初</t>
  </si>
  <si>
    <t>期間末</t>
  </si>
  <si>
    <t>流通在外股數</t>
  </si>
  <si>
    <t>調整後股利率</t>
  </si>
  <si>
    <t>流通期間比例</t>
  </si>
  <si>
    <t>加權股數</t>
  </si>
  <si>
    <t>應付公司債</t>
  </si>
  <si>
    <t>公司債溢價</t>
  </si>
  <si>
    <t>圖一</t>
  </si>
  <si>
    <t>圖二</t>
  </si>
  <si>
    <t>圖三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</si>
</sst>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  <numFmt numFmtId="183" formatCode="#,##0.000_ "/>
  </numFmts>
  <fonts count="6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  <font>
      <sz val="11"/>
      <color rgb="FF44444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3" fillId="0" borderId="0" xfId="0" applyFont="1"/>
    <xf numFmtId="179" fontId="0" fillId="0" borderId="4" xfId="0" applyNumberFormat="1" applyBorder="1"/>
    <xf numFmtId="179" fontId="0" fillId="0" borderId="1" xfId="0" applyNumberFormat="1" applyBorder="1"/>
    <xf numFmtId="0" fontId="0" fillId="0" borderId="16" xfId="0" applyBorder="1"/>
    <xf numFmtId="0" fontId="5" fillId="0" borderId="0" xfId="0" applyFont="1"/>
    <xf numFmtId="179" fontId="0" fillId="0" borderId="3" xfId="0" applyNumberFormat="1" applyBorder="1"/>
    <xf numFmtId="179" fontId="0" fillId="0" borderId="10" xfId="0" applyNumberFormat="1" applyBorder="1"/>
    <xf numFmtId="176" fontId="0" fillId="0" borderId="18" xfId="0" applyNumberFormat="1" applyBorder="1"/>
    <xf numFmtId="183" fontId="0" fillId="0" borderId="0" xfId="0" applyNumberFormat="1"/>
    <xf numFmtId="183" fontId="0" fillId="2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microsoft.com/office/2017/10/relationships/person" Target="persons/person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2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1</xdr:row>
      <xdr:rowOff>76200</xdr:rowOff>
    </xdr:from>
    <xdr:to>
      <xdr:col>14</xdr:col>
      <xdr:colOff>123825</xdr:colOff>
      <xdr:row>9</xdr:row>
      <xdr:rowOff>95250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3FA66D8-C183-6464-30DC-44ABA3470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285750"/>
          <a:ext cx="3971925" cy="1695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3</xdr:row>
      <xdr:rowOff>28575</xdr:rowOff>
    </xdr:from>
    <xdr:to>
      <xdr:col>14</xdr:col>
      <xdr:colOff>66675</xdr:colOff>
      <xdr:row>16</xdr:row>
      <xdr:rowOff>38100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DFA12D4-4138-1340-55BD-6A1C1AA17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657225"/>
          <a:ext cx="3457575" cy="27336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18</xdr:row>
      <xdr:rowOff>114300</xdr:rowOff>
    </xdr:from>
    <xdr:to>
      <xdr:col>15</xdr:col>
      <xdr:colOff>466725</xdr:colOff>
      <xdr:row>21</xdr:row>
      <xdr:rowOff>76200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7820371-62BB-3C21-48A8-01B92BC6DF1C}"/>
            </a:ext>
            <a:ext uri="{147F2762-F138-4A5C-976F-8EAC2B608ADB}">
              <a16:predDERef xmlns:a16="http://schemas.microsoft.com/office/drawing/2014/main" pred="{0DFA12D4-4138-1340-55BD-6A1C1AA17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0375" y="3886200"/>
          <a:ext cx="4572000" cy="59055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23</xdr:row>
      <xdr:rowOff>47625</xdr:rowOff>
    </xdr:from>
    <xdr:to>
      <xdr:col>15</xdr:col>
      <xdr:colOff>457200</xdr:colOff>
      <xdr:row>25</xdr:row>
      <xdr:rowOff>66675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B120E41-AB02-0CC6-70AD-3D881B3FCB45}"/>
            </a:ext>
            <a:ext uri="{147F2762-F138-4A5C-976F-8EAC2B608ADB}">
              <a16:predDERef xmlns:a16="http://schemas.microsoft.com/office/drawing/2014/main" pred="{77820371-62BB-3C21-48A8-01B92BC6D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0375" y="4867275"/>
          <a:ext cx="4562475" cy="438150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</xdr:row>
      <xdr:rowOff>133350</xdr:rowOff>
    </xdr:from>
    <xdr:to>
      <xdr:col>13</xdr:col>
      <xdr:colOff>314325</xdr:colOff>
      <xdr:row>9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" name="">
              <a:extLst>
                <a:ext uri="{FF2B5EF4-FFF2-40B4-BE49-F238E27FC236}">
                  <a16:creationId xmlns:a16="http://schemas.microsoft.com/office/drawing/2014/main" id="{6ABC310F-BCCE-44B1-8FB6-41E4E162DAF8}"/>
                </a:ext>
                <a:ext uri="{147F2762-F138-4A5C-976F-8EAC2B608ADB}">
                  <a16:predDERef xmlns:a16="http://schemas.microsoft.com/office/drawing/2014/main" pred="{0B120E41-AB02-0CC6-70AD-3D881B3FCB45}"/>
                </a:ext>
              </a:extLst>
            </xdr14:cNvPr>
            <xdr14:cNvContentPartPr/>
          </xdr14:nvContentPartPr>
          <xdr14:nvPr macro=""/>
          <xdr14:xfrm>
            <a:off x="7000875" y="1600200"/>
            <a:ext cx="2857500" cy="323850"/>
          </xdr14:xfrm>
        </xdr:contentPart>
      </mc:Choice>
      <mc:Fallback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6ABC310F-BCCE-44B1-8FB6-41E4E162DAF8}"/>
                </a:ext>
                <a:ext uri="{147F2762-F138-4A5C-976F-8EAC2B608ADB}">
                  <a16:predDERef xmlns:a16="http://schemas.microsoft.com/office/drawing/2014/main" pred="{0B120E41-AB02-0CC6-70AD-3D881B3FCB4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982872" y="1582390"/>
              <a:ext cx="2893147" cy="35983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18076 4440 16383 0 0,'4'3'0'0'0,"4"6"0"0"0,5 0 0 0 0,4 3 0 0 0,2 3 0 0 0,6-2 0 0 0,-2 2 0 0 0,2-3 0 0 0,1 1 0 0 0,-1-3 0 0 0,3-2 0 0 0,1 1 0 0 0,-2-1 0 0 0,-2-2 0 0 0,-1-2 0 0 0,6-2 0 0 0,1-1 0 0 0,3 0 0 0 0,3-2 0 0 0,6 1 0 0 0,6 0 0 0 0,2-1 0 0 0,4 1 0 0 0,-2 0 0 0 0,6 0 0 0 0,0-4 0 0 0,4-1 0 0 0,-2 1 0 0 0,-3 0 0 0 0,-5 2 0 0 0,-4 0 0 0 0,-4-2 0 0 0,-1-2 0 0 0,-2 2 0 0 0,-4 0 0 0 0,-1-2 0 0 0,0-4 0 0 0,-3 0 0 0 0,-3 2 0 0 0,-3 2 0 0 0,-4 2 0 0 0,-1 1 0 0 0,-1 2 0 0 0,-2 1 0 0 0,1 0 0 0 0,3 1 0 0 0,1-1 0 0 0,1 1 0 0 0,-2-1 0 0 0,7 0 0 0 0,8 0 0 0 0,2 0 0 0 0,4 0 0 0 0,2 0 0 0 0,-3 0 0 0 0,1 0 0 0 0,8 0 0 0 0,-2 0 0 0 0,-3 0 0 0 0,-1 0 0 0 0,1 0 0 0 0,8 0 0 0 0,0 4 0 0 0,-1 1 0 0 0,1-1 0 0 0,1 0 0 0 0,-2 2 0 0 0,-2 0 0 0 0,3 3 0 0 0,7 0 0 0 0,-3-2 0 0 0,-2 2 0 0 0,0-1 0 0 0,-5-1 0 0 0,1 1 0 0 0,4-1 0 0 0,-2-1 0 0 0,1-2 0 0 0,1-1 0 0 0,-5 2 0 0 0,-1 4 0 0 0,-6 0 0 0 0,-4-1 0 0 0,-1 1 0 0 0,-1 0 0 0 0,-3-2 0 0 0,-5 1 0 0 0,-4 0 0 0 0,4-2 0 0 0,1 2 0 0 0,-3-1 0 0 0,2-1 0 0 0,-2-2 0 0 0,-2-1 0 0 0,2-2 0 0 0,-2 3 0 0 0,-1 1 0 0 0,2 3 0 0 0,0 0 0 0 0,-2 2 0 0 0,-2 0 0 0 0,2-2 0 0 0,4-3 0 0 0,0-1 0 0 0,-2-2 0 0 0,2 2 0 0 0,-1 1 0 0 0,5-1 0 0 0,11-1 0 0 0,-2 3 0 0 0,2 0 0 0 0,-3 3 0 0 0,-2-1 0 0 0,-4 0 0 0 0,-1-3 0 0 0,0-2 0 0 0,2-1 0 0 0,1-1 0 0 0,1 2 0 0 0,-2 5 0 0 0,3 1 0 0 0,1 3 0 0 0,2-1 0 0 0,-4-3 0 0 0,-1-2 0 0 0,-4-2 0 0 0,-4-2 0 0 0,0 2 0 0 0,-2 1 0 0 0,5 3 0 0 0,4 0 0 0 0,-1 2 0 0 0,4 0 0 0 0,-1-2 0 0 0,-1-3 0 0 0,1 2 0 0 0,-3 0 0 0 0,-1-2 0 0 0,1 2 0 0 0,-2 0 0 0 0,3-1 0 0 0,0 2 0 0 0,-4-1 0 0 0,-4-1 0 0 0,-3-2 0 0 0,0-1 0 0 0,0-2 0 0 0,-1 0 0 0 0,-2 2 0 0 0,-1 2 0 0 0,0 3 0 0 0,2 0 0 0 0,0-1 0 0 0,5-2 0 0 0,3 2 0 0 0,-1 0 0 0 0,3-2 0 0 0,-2-1 0 0 0,-3-2 0 0 0,-3 0 0 0 0,-2-2 0 0 0,-2 0 0 0 0,-1 0 0 0 0,-1 0 0 0 0,0-1 0 0 0,-1 1 0 0 0,1 0 0 0 0,0 0 0 0 0,-1 0 0 0 0,1 0 0 0 0,4 0 0 0 0,5 0 0 0 0,0 0 0 0 0,0 0 0 0 0,-3 0 0 0 0,-2 0 0 0 0,-1 0 0 0 0,2 0 0 0 0,-3 3 0 0 0,1 2 0 0 0,1 0 0 0 0,3-1 0 0 0,4-2 0 0 0,3 0 0 0 0,4 2 0 0 0,-2 1 0 0 0,-3 0 0 0 0,-4-2 0 0 0,0 3 0 0 0,2 1 0 0 0,0-2 0 0 0,-3 2 0 0 0,2 1 0 0 0,5-2 0 0 0,1-2 0 0 0,2 2 0 0 0,0 1 0 0 0,-2 2 0 0 0,-4-1 0 0 0,3-1 0 0 0,-4 2 0 0 0,-4-1 0 0 0,0-2 0 0 0,-1-2 0 0 0,2-1 0 0 0,0 2 0 0 0,2 0 0 0 0,0 3 0 0 0,-3 0 0 0 0,-2-1 0 0 0,-1 2 0 0 0,-2-1 0 0 0,2-2 0 0 0,5-1 0 0 0,0-3 0 0 0,-1 0 0 0 0,-2 2 0 0 0,-2 1 0 0 0,2-1 0 0 0,0-1 0 0 0,-1-1 0 0 0,-1 0 0 0 0,-2-2 0 0 0,-1 1 0 0 0,0-1 0 0 0,-1-1 0 0 0,0 1 0 0 0,0 0 0 0 0,0 0 0 0 0,0 0 0 0 0,-3 0 0 0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D9802697-BFDB-4476-AFD6-0FAA6D9EF3A5}">
    <text>詳見，Accounting (Studying).docx。CH9的20題。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9" dT="2024-02-12T00:20:14.63" personId="{F702E3D2-4E7B-40B8-9A75-837AA64B8094}" id="{292C61DE-D93C-4D77-A133-651752AB9984}">
    <text>期末存貨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H3" dT="2024-02-06T07:18:52.11" personId="{F702E3D2-4E7B-40B8-9A75-837AA64B8094}" id="{B78456FF-FA2F-4143-8AFB-178C68BFD2EC}">
    <text>參考，CH11-3-4 page 266。</text>
  </threadedComment>
  <threadedComment ref="M3" dT="2024-02-06T07:18:52.11" personId="{F702E3D2-4E7B-40B8-9A75-837AA64B8094}" id="{F9D05D7D-128C-4E56-9275-7EB39E955679}">
    <text>參考，CH11-3-4 page 266。</text>
  </threadedComment>
  <threadedComment ref="M8" dT="2024-02-06T07:28:10.83" personId="{F702E3D2-4E7B-40B8-9A75-837AA64B8094}" id="{3B6C8113-ED6E-4DC2-9ECB-C6C993043A61}">
    <text>數值為上三項科目的數值總和</text>
  </threadedComment>
  <threadedComment ref="M9" dT="2024-02-06T07:30:07.54" personId="{F702E3D2-4E7B-40B8-9A75-837AA64B8094}" id="{2D1FCF36-BA95-4A0B-BD36-869E513646DD}">
    <text>成本率 = 可供銷售商品的成本/可供銷售商品的零售價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3" dT="2024-02-12T12:45:56.36" personId="{F702E3D2-4E7B-40B8-9A75-837AA64B8094}" id="{C4F56186-D303-4132-A760-03B5963D4C53}">
    <text>詳見，CH12 part 1 Q36。</text>
  </threadedComment>
  <threadedComment ref="C4" dT="2024-02-12T13:08:40.34" personId="{F702E3D2-4E7B-40B8-9A75-837AA64B8094}" id="{D0A40ABC-6F47-4367-9C0A-3E6D08031F71}">
    <text>想求：
甲公司可認列的商譽是多少?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D6" dT="2024-02-12T01:32:06.60" personId="{F702E3D2-4E7B-40B8-9A75-837AA64B8094}" id="{A2168248-DE8B-4497-B27C-93AB61B1DC48}">
    <text>此科目的數額為題目所問的成本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3" dT="2024-02-13T08:42:52.15" personId="{F702E3D2-4E7B-40B8-9A75-837AA64B8094}" id="{71C7FF9F-E798-4FC5-BC85-087B97950848}">
    <text>詳見，accounting (studying).docx
檔的CH17 的 part 1的第23題。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G6" dT="2024-02-14T06:17:22.61" personId="{F702E3D2-4E7B-40B8-9A75-837AA64B8094}" id="{DE0146A6-D370-4EB3-A584-9CC5150EF5BA}">
    <text>根據題目給的購入公司債價格。</text>
  </threadedComment>
  <threadedComment ref="G6" dT="2024-02-14T06:43:24.86" personId="{F702E3D2-4E7B-40B8-9A75-837AA64B8094}" id="{F5AF050E-D63E-4A05-A3BF-E7FB2BFF080A}" parentId="{DE0146A6-D370-4EB3-A584-9CC5150EF5BA}">
    <text>五年期。</text>
  </threadedComment>
  <threadedComment ref="G6" dT="2024-02-14T06:43:30.46" personId="{F702E3D2-4E7B-40B8-9A75-837AA64B8094}" id="{B28EA0EB-EF50-442B-AAFC-29C961F70666}" parentId="{DE0146A6-D370-4EB3-A584-9CC5150EF5BA}">
    <text>票面利率7%。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G6" dT="2024-02-14T06:17:45.22" personId="{F702E3D2-4E7B-40B8-9A75-837AA64B8094}" id="{4A99945B-2909-4CC5-8171-687DCF2900B9}">
    <text>根據題目給的購入公司債價格。</text>
  </threadedComment>
  <threadedComment ref="G6" dT="2024-02-14T06:43:02.61" personId="{F702E3D2-4E7B-40B8-9A75-837AA64B8094}" id="{69CDAA13-7008-4801-BEC1-EFE58697BEA8}" parentId="{4A99945B-2909-4CC5-8171-687DCF2900B9}">
    <text>五年期。</text>
  </threadedComment>
  <threadedComment ref="G6" dT="2024-02-14T06:43:06.16" personId="{F702E3D2-4E7B-40B8-9A75-837AA64B8094}" id="{E0B8ECED-C5AD-42BD-9A13-E9FFF7FC0C92}" parentId="{4A99945B-2909-4CC5-8171-687DCF2900B9}">
    <text>票面利率7%。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G6" dT="2024-02-14T06:19:18.21" personId="{F702E3D2-4E7B-40B8-9A75-837AA64B8094}" id="{AD066488-ACF2-42F4-9FEC-70333CC9E9DD}">
    <text>根據題目給的票面利率、市場利率和會計學課本的附表一和附表二所計算出的發行價格。</text>
  </threadedComment>
  <threadedComment ref="G6" dT="2024-02-14T06:19:47.47" personId="{F702E3D2-4E7B-40B8-9A75-837AA64B8094}" id="{D6617201-1153-473E-898D-EE066C99BB9D}" parentId="{AD066488-ACF2-42F4-9FEC-70333CC9E9DD}">
    <text>五年期。</text>
  </threadedComment>
  <threadedComment ref="G6" dT="2024-02-14T06:20:04.38" personId="{F702E3D2-4E7B-40B8-9A75-837AA64B8094}" id="{8152571B-0AC4-4774-842D-8A6B6118F23A}" parentId="{AD066488-ACF2-42F4-9FEC-70333CC9E9DD}">
    <text>票面利率7%。</text>
  </threadedComment>
  <threadedComment ref="G6" dT="2024-02-14T06:20:23.60" personId="{F702E3D2-4E7B-40B8-9A75-837AA64B8094}" id="{AC8F232A-D30B-4955-B28E-793127BD02F9}" parentId="{AD066488-ACF2-42F4-9FEC-70333CC9E9DD}">
    <text>發行價格 = 200,000.8</text>
  </threadedComment>
  <threadedComment ref="G6" dT="2024-02-14T06:23:16.59" personId="{F702E3D2-4E7B-40B8-9A75-837AA64B8094}" id="{E0909267-7E37-4024-A46B-AADDF82566CC}" parentId="{AD066488-ACF2-42F4-9FEC-70333CC9E9DD}">
    <text>計算過程見旁邊的圖。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J3" dT="2024-02-14T06:38:38.65" personId="{F702E3D2-4E7B-40B8-9A75-837AA64B8094}" id="{A70A48F5-C10C-4011-9EB6-416D8C967936}">
    <text>一元年金現值</text>
  </threadedComment>
  <threadedComment ref="J3" dT="2024-02-14T06:39:07.75" personId="{F702E3D2-4E7B-40B8-9A75-837AA64B8094}" id="{E055A2C2-AF7C-4C8C-8251-5590592127D8}" parentId="{A70A48F5-C10C-4011-9EB6-416D8C967936}">
    <text>為紅色底線上數字</text>
  </threadedComment>
  <threadedComment ref="G6" dT="2024-02-14T06:19:18.21" personId="{F702E3D2-4E7B-40B8-9A75-837AA64B8094}" id="{812B22EB-9658-412D-9656-CC156169A555}">
    <text>根據題目給的票面利率、市場利率計算出發行價格。</text>
  </threadedComment>
  <threadedComment ref="G6" dT="2024-02-14T06:19:47.47" personId="{F702E3D2-4E7B-40B8-9A75-837AA64B8094}" id="{0EED7166-A7C7-4123-B7BC-6986099A969D}" parentId="{812B22EB-9658-412D-9656-CC156169A555}">
    <text>10年期。</text>
  </threadedComment>
  <threadedComment ref="G6" dT="2024-02-14T06:20:04.38" personId="{F702E3D2-4E7B-40B8-9A75-837AA64B8094}" id="{290AFC4E-3E44-41F5-A3C3-DEFAA8C291F7}" parentId="{812B22EB-9658-412D-9656-CC156169A555}">
    <text>票面利率7% / 2。</text>
  </threadedComment>
  <threadedComment ref="G6" dT="2024-02-14T06:20:23.60" personId="{F702E3D2-4E7B-40B8-9A75-837AA64B8094}" id="{09DF28A3-F7F1-43ED-846A-13CD9691D158}" parentId="{812B22EB-9658-412D-9656-CC156169A555}">
    <text>發行價格 = 28,952.303973697484849388786480081</text>
  </threadedComment>
  <threadedComment ref="G6" dT="2024-02-14T06:23:16.59" personId="{F702E3D2-4E7B-40B8-9A75-837AA64B8094}" id="{B5E76F9E-B168-426F-8404-F6D68F02B884}" parentId="{812B22EB-9658-412D-9656-CC156169A555}">
    <text>計算過程見旁邊的圖。</text>
  </threadedComment>
  <threadedComment ref="G6" dT="2024-02-14T06:40:54.34" personId="{F702E3D2-4E7B-40B8-9A75-837AA64B8094}" id="{6FD54516-60AE-42E5-B9B3-3F542A51FC94}" parentId="{812B22EB-9658-412D-9656-CC156169A555}">
    <text>一元年金現值如圖一和其註解。</text>
  </threadedComment>
  <threadedComment ref="G6" dT="2024-02-14T06:41:05.16" personId="{F702E3D2-4E7B-40B8-9A75-837AA64B8094}" id="{EB0F2DA4-D1D8-48C0-B182-4DA593B903B1}" parentId="{812B22EB-9658-412D-9656-CC156169A555}">
    <text>一元現值如圖二和其註解。</text>
  </threadedComment>
  <threadedComment ref="G6" dT="2024-02-14T06:41:20.13" personId="{F702E3D2-4E7B-40B8-9A75-837AA64B8094}" id="{5AD4BD83-0C7C-4ECA-B89E-4CCF5540D952}" parentId="{812B22EB-9658-412D-9656-CC156169A555}">
    <text>發行價格如圖三和其註解。</text>
  </threadedComment>
  <threadedComment ref="J18" dT="2024-02-14T06:38:11.79" personId="{F702E3D2-4E7B-40B8-9A75-837AA64B8094}" id="{8535B5DB-4A19-48A0-B997-053C627EED93}">
    <text>一元值值</text>
  </threadedComment>
  <threadedComment ref="J23" dT="2024-02-14T06:37:35.52" personId="{F702E3D2-4E7B-40B8-9A75-837AA64B8094}" id="{69C635D0-9183-4A8D-A4D4-2D7321005CDF}">
    <text>發行價格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I8" dT="2024-02-05T15:55:09.62" personId="{F702E3D2-4E7B-40B8-9A75-837AA64B8094}" id="{35ED09B8-8FC7-450B-B04D-AEFE9B343FBB}">
    <text>這就是題目所要求的。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3" dT="2024-02-12T08:49:46.37" personId="{F702E3D2-4E7B-40B8-9A75-837AA64B8094}" id="{440EC1AD-9133-4C1A-B64B-38FFDBF9B531}">
    <text>詳見，Accounting (Studying).docx。CH9的19題。</text>
  </threadedComment>
  <threadedComment ref="O4" dT="2024-02-12T09:29:45.06" personId="{F702E3D2-4E7B-40B8-9A75-837AA64B8094}" id="{7ECDE23B-FC30-4639-9B62-69F2DFF7F6BC}">
    <text>收益 - 費用 = 淨利</text>
  </threadedComment>
  <threadedComment ref="T4" dT="2024-02-12T09:29:45.06" personId="{F702E3D2-4E7B-40B8-9A75-837AA64B8094}" id="{DE544348-00E0-4326-B47B-CFF84C1737ED}">
    <text>資產 - 負債 = 權益</text>
  </threadedComment>
  <threadedComment ref="Q20" dT="2024-02-12T09:29:45.06" personId="{F702E3D2-4E7B-40B8-9A75-837AA64B8094}" id="{EBA6B24E-3CA0-4E79-BC58-E02927303D7C}">
    <text>收益 - 費用 = 淨利</text>
  </threadedComment>
  <threadedComment ref="S20" dT="2024-02-12T09:29:45.06" personId="{F702E3D2-4E7B-40B8-9A75-837AA64B8094}" id="{1A622B5A-126C-4537-9D98-D2967356A8B9}">
    <text>資產 - 負債 = 權益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0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8.xm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9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8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8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8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9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9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9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9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EB4A-0299-49B1-97BE-457A25CD665F}">
  <dimension ref="C3:I9"/>
  <sheetViews>
    <sheetView workbookViewId="0">
      <selection activeCell="I4" sqref="I4"/>
    </sheetView>
  </sheetViews>
  <sheetFormatPr defaultRowHeight="16.5"/>
  <cols>
    <col min="5" max="5" width="9.375" bestFit="1" customWidth="1"/>
    <col min="6" max="6" width="14" bestFit="1" customWidth="1"/>
    <col min="7" max="7" width="14" customWidth="1"/>
    <col min="8" max="8" width="14" bestFit="1" customWidth="1"/>
    <col min="9" max="9" width="9.375" bestFit="1" customWidth="1"/>
  </cols>
  <sheetData>
    <row r="3" spans="3:9">
      <c r="C3" t="s">
        <v>1</v>
      </c>
    </row>
    <row r="4" spans="3:9">
      <c r="D4" t="s">
        <v>487</v>
      </c>
      <c r="E4" t="s">
        <v>488</v>
      </c>
      <c r="F4" t="s">
        <v>489</v>
      </c>
      <c r="G4" t="s">
        <v>490</v>
      </c>
      <c r="H4" t="s">
        <v>491</v>
      </c>
      <c r="I4" t="s">
        <v>492</v>
      </c>
    </row>
    <row r="5" spans="3:9">
      <c r="D5" s="118">
        <v>45292</v>
      </c>
      <c r="E5" s="118">
        <v>45352</v>
      </c>
      <c r="F5" s="51">
        <v>1000</v>
      </c>
      <c r="H5">
        <f>1/6</f>
        <v>0.16666666666666666</v>
      </c>
      <c r="I5" s="51">
        <v>2000</v>
      </c>
    </row>
    <row r="6" spans="3:9">
      <c r="D6" s="118">
        <v>45352</v>
      </c>
      <c r="E6" s="118">
        <v>45413</v>
      </c>
      <c r="F6" s="51">
        <v>1500</v>
      </c>
      <c r="G6">
        <v>1.2</v>
      </c>
      <c r="H6" s="117">
        <f>3/12</f>
        <v>0.25</v>
      </c>
      <c r="I6" s="51">
        <v>5400</v>
      </c>
    </row>
    <row r="7" spans="3:9">
      <c r="D7" s="118">
        <v>45413</v>
      </c>
      <c r="E7" s="118">
        <v>45597</v>
      </c>
      <c r="F7" s="51">
        <v>1800</v>
      </c>
      <c r="H7" s="117">
        <f>6/12</f>
        <v>0.5</v>
      </c>
      <c r="I7" s="51">
        <v>10800</v>
      </c>
    </row>
    <row r="8" spans="3:9">
      <c r="D8" s="118">
        <v>45597</v>
      </c>
      <c r="E8" s="118">
        <v>45657</v>
      </c>
      <c r="F8" s="51">
        <v>3300</v>
      </c>
      <c r="H8" s="117">
        <v>0</v>
      </c>
      <c r="I8" s="51">
        <v>0</v>
      </c>
    </row>
    <row r="9" spans="3:9">
      <c r="D9" s="129" t="s">
        <v>107</v>
      </c>
      <c r="E9" s="129"/>
      <c r="F9" s="51">
        <v>3300</v>
      </c>
      <c r="H9" s="117">
        <v>1</v>
      </c>
      <c r="I9" s="51">
        <v>18200</v>
      </c>
    </row>
  </sheetData>
  <mergeCells count="1">
    <mergeCell ref="D9:E9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91DC-B85A-45A7-94FA-A64A193747BD}">
  <dimension ref="C3:H14"/>
  <sheetViews>
    <sheetView tabSelected="1" workbookViewId="0">
      <selection activeCell="G6" sqref="G6"/>
    </sheetView>
  </sheetViews>
  <sheetFormatPr defaultRowHeight="16.5"/>
  <cols>
    <col min="4" max="4" width="9.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43647</v>
      </c>
      <c r="E6" t="s">
        <v>29</v>
      </c>
      <c r="G6" s="51">
        <v>208424</v>
      </c>
      <c r="H6" s="51"/>
    </row>
    <row r="7" spans="3:8">
      <c r="F7" t="s">
        <v>493</v>
      </c>
      <c r="G7" s="51"/>
      <c r="H7" s="51">
        <v>200000</v>
      </c>
    </row>
    <row r="8" spans="3:8">
      <c r="F8" t="s">
        <v>494</v>
      </c>
      <c r="G8" s="51"/>
      <c r="H8" s="51">
        <f>$G$6-$H$7</f>
        <v>8424</v>
      </c>
    </row>
    <row r="9" spans="3:8">
      <c r="D9" s="8">
        <v>44012</v>
      </c>
      <c r="E9" t="s">
        <v>239</v>
      </c>
      <c r="G9" s="51">
        <f>$H$7*0.06</f>
        <v>12000</v>
      </c>
      <c r="H9" s="51"/>
    </row>
    <row r="10" spans="3:8">
      <c r="E10" t="s">
        <v>494</v>
      </c>
      <c r="G10" s="51">
        <f>$H$11-$G$9</f>
        <v>2000.0000000000018</v>
      </c>
      <c r="H10" s="51"/>
    </row>
    <row r="11" spans="3:8">
      <c r="F11" t="s">
        <v>29</v>
      </c>
      <c r="G11" s="51"/>
      <c r="H11" s="51">
        <f>$H$7*0.07</f>
        <v>14000.000000000002</v>
      </c>
    </row>
    <row r="12" spans="3:8">
      <c r="G12" s="51"/>
      <c r="H12" s="51"/>
    </row>
    <row r="13" spans="3:8">
      <c r="G13" s="51"/>
      <c r="H13" s="51"/>
    </row>
    <row r="14" spans="3:8">
      <c r="G14" s="51"/>
      <c r="H14" s="51"/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3FC1-F1F2-4B5D-A98D-B5351E3EB2D7}">
  <dimension ref="C3:H14"/>
  <sheetViews>
    <sheetView workbookViewId="0">
      <selection activeCell="G6" sqref="G6"/>
    </sheetView>
  </sheetViews>
  <sheetFormatPr defaultRowHeight="16.5"/>
  <cols>
    <col min="4" max="4" width="10.1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43647</v>
      </c>
      <c r="E6" t="s">
        <v>29</v>
      </c>
      <c r="G6" s="51">
        <v>208424</v>
      </c>
      <c r="H6" s="51"/>
    </row>
    <row r="7" spans="3:8">
      <c r="F7" t="s">
        <v>493</v>
      </c>
      <c r="G7" s="51"/>
      <c r="H7" s="51">
        <v>200000</v>
      </c>
    </row>
    <row r="8" spans="3:8">
      <c r="F8" t="s">
        <v>494</v>
      </c>
      <c r="G8" s="51"/>
      <c r="H8" s="51">
        <f>$G$6-$H$7</f>
        <v>8424</v>
      </c>
    </row>
    <row r="9" spans="3:8">
      <c r="D9" s="8">
        <v>43830</v>
      </c>
      <c r="E9" t="s">
        <v>239</v>
      </c>
      <c r="G9" s="51">
        <f>$H$7*0.06/2</f>
        <v>6000</v>
      </c>
      <c r="H9" s="51"/>
    </row>
    <row r="10" spans="3:8">
      <c r="E10" t="s">
        <v>494</v>
      </c>
      <c r="G10" s="51">
        <f>$H$11-$G$9</f>
        <v>1000.0000000000009</v>
      </c>
      <c r="H10" s="51"/>
    </row>
    <row r="11" spans="3:8">
      <c r="F11" t="s">
        <v>29</v>
      </c>
      <c r="G11" s="51"/>
      <c r="H11" s="51">
        <f>$H$7*0.07/2</f>
        <v>7000.0000000000009</v>
      </c>
    </row>
    <row r="12" spans="3:8">
      <c r="D12" s="8">
        <v>43983</v>
      </c>
      <c r="E12" t="s">
        <v>239</v>
      </c>
      <c r="G12" s="51">
        <f>$H$7*0.06/2</f>
        <v>6000</v>
      </c>
      <c r="H12" s="51"/>
    </row>
    <row r="13" spans="3:8">
      <c r="E13" t="s">
        <v>494</v>
      </c>
      <c r="G13" s="51">
        <f>$H$11-$G$9</f>
        <v>1000.0000000000009</v>
      </c>
      <c r="H13" s="51"/>
    </row>
    <row r="14" spans="3:8">
      <c r="F14" t="s">
        <v>29</v>
      </c>
      <c r="G14" s="51"/>
      <c r="H14" s="51">
        <f>$H$7*0.07/2</f>
        <v>7000.0000000000009</v>
      </c>
    </row>
  </sheetData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62B7-8751-4BCF-865A-DC1358C7B49E}">
  <dimension ref="C3:H14"/>
  <sheetViews>
    <sheetView workbookViewId="0">
      <selection activeCell="G6" sqref="G6"/>
    </sheetView>
  </sheetViews>
  <sheetFormatPr defaultRowHeight="16.5"/>
  <cols>
    <col min="4" max="4" width="10.125" bestFit="1" customWidth="1"/>
    <col min="5" max="6" width="11.75" bestFit="1" customWidth="1"/>
    <col min="7" max="7" width="10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43647</v>
      </c>
      <c r="E6" t="s">
        <v>29</v>
      </c>
      <c r="G6" s="43">
        <v>200000.8</v>
      </c>
      <c r="H6" s="51"/>
    </row>
    <row r="7" spans="3:8">
      <c r="F7" t="s">
        <v>493</v>
      </c>
      <c r="G7" s="51"/>
      <c r="H7" s="51">
        <v>200000</v>
      </c>
    </row>
    <row r="8" spans="3:8">
      <c r="F8" t="s">
        <v>494</v>
      </c>
      <c r="G8" s="51"/>
      <c r="H8" s="117">
        <f>$G$6-$H$7</f>
        <v>0.79999999998835847</v>
      </c>
    </row>
    <row r="9" spans="3:8">
      <c r="D9" s="8">
        <v>43830</v>
      </c>
      <c r="E9" t="s">
        <v>239</v>
      </c>
      <c r="G9" s="51">
        <f>$H$7*0.06/2</f>
        <v>6000</v>
      </c>
      <c r="H9" s="51"/>
    </row>
    <row r="10" spans="3:8">
      <c r="E10" t="s">
        <v>494</v>
      </c>
      <c r="G10" s="51">
        <f>$H$11-$G$9</f>
        <v>1000.0000000000009</v>
      </c>
      <c r="H10" s="51"/>
    </row>
    <row r="11" spans="3:8">
      <c r="F11" t="s">
        <v>29</v>
      </c>
      <c r="G11" s="51"/>
      <c r="H11" s="51">
        <f>$H$7*0.07/2</f>
        <v>7000.0000000000009</v>
      </c>
    </row>
    <row r="12" spans="3:8">
      <c r="D12" s="8">
        <v>43983</v>
      </c>
      <c r="E12" t="s">
        <v>239</v>
      </c>
      <c r="G12" s="51">
        <f>$H$7*0.06/2</f>
        <v>6000</v>
      </c>
      <c r="H12" s="51"/>
    </row>
    <row r="13" spans="3:8">
      <c r="E13" t="s">
        <v>494</v>
      </c>
      <c r="G13" s="51">
        <f>$H$11-$G$9</f>
        <v>1000.0000000000009</v>
      </c>
      <c r="H13" s="51"/>
    </row>
    <row r="14" spans="3:8">
      <c r="F14" t="s">
        <v>29</v>
      </c>
      <c r="G14" s="51"/>
      <c r="H14" s="51">
        <f>$H$7*0.07/2</f>
        <v>7000.0000000000009</v>
      </c>
    </row>
  </sheetData>
  <pageMargins left="0.7" right="0.7" top="0.75" bottom="0.75" header="0.3" footer="0.3"/>
  <drawing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44D7-040E-4BD0-AB14-AD1AD01CCAAD}">
  <dimension ref="C3:J23"/>
  <sheetViews>
    <sheetView workbookViewId="0">
      <selection activeCell="G6" sqref="G6"/>
    </sheetView>
  </sheetViews>
  <sheetFormatPr defaultRowHeight="16.5"/>
  <cols>
    <col min="4" max="4" width="10.125" bestFit="1" customWidth="1"/>
    <col min="5" max="6" width="11.75" bestFit="1" customWidth="1"/>
    <col min="7" max="7" width="10.625" bestFit="1" customWidth="1"/>
    <col min="8" max="8" width="11.375" bestFit="1" customWidth="1"/>
  </cols>
  <sheetData>
    <row r="3" spans="3:10">
      <c r="C3" t="s">
        <v>1</v>
      </c>
      <c r="J3" t="s">
        <v>495</v>
      </c>
    </row>
    <row r="4" spans="3:10">
      <c r="D4" t="s">
        <v>94</v>
      </c>
    </row>
    <row r="5" spans="3:10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10">
      <c r="D6" s="8">
        <v>43647</v>
      </c>
      <c r="E6" t="s">
        <v>29</v>
      </c>
      <c r="G6" s="43">
        <v>28952.303973697399</v>
      </c>
      <c r="H6" s="51"/>
    </row>
    <row r="7" spans="3:10">
      <c r="F7" t="s">
        <v>493</v>
      </c>
      <c r="G7" s="51"/>
      <c r="H7" s="51">
        <v>200000</v>
      </c>
    </row>
    <row r="8" spans="3:10">
      <c r="F8" t="s">
        <v>494</v>
      </c>
      <c r="G8" s="51"/>
      <c r="H8" s="117">
        <f>$G$6-$H$7</f>
        <v>-171047.69602630261</v>
      </c>
    </row>
    <row r="9" spans="3:10">
      <c r="D9" s="8">
        <v>43830</v>
      </c>
      <c r="E9" t="s">
        <v>239</v>
      </c>
      <c r="G9" s="51">
        <f>$H$7*0.06/2</f>
        <v>6000</v>
      </c>
      <c r="H9" s="51"/>
    </row>
    <row r="10" spans="3:10">
      <c r="E10" t="s">
        <v>494</v>
      </c>
      <c r="G10" s="51">
        <f>$H$11-$G$9</f>
        <v>1000.0000000000009</v>
      </c>
      <c r="H10" s="51"/>
    </row>
    <row r="11" spans="3:10">
      <c r="F11" t="s">
        <v>29</v>
      </c>
      <c r="G11" s="51"/>
      <c r="H11" s="51">
        <f>$H$7*0.07/2</f>
        <v>7000.0000000000009</v>
      </c>
    </row>
    <row r="12" spans="3:10">
      <c r="D12" s="8">
        <v>43983</v>
      </c>
      <c r="E12" t="s">
        <v>239</v>
      </c>
      <c r="G12" s="51">
        <f>$H$7*0.06/2</f>
        <v>6000</v>
      </c>
      <c r="H12" s="51"/>
    </row>
    <row r="13" spans="3:10">
      <c r="E13" t="s">
        <v>494</v>
      </c>
      <c r="G13" s="51">
        <f>$H$11-$G$9</f>
        <v>1000.0000000000009</v>
      </c>
      <c r="H13" s="51"/>
    </row>
    <row r="14" spans="3:10">
      <c r="F14" t="s">
        <v>29</v>
      </c>
      <c r="G14" s="51"/>
      <c r="H14" s="51">
        <f>$H$7*0.07/2</f>
        <v>7000.0000000000009</v>
      </c>
    </row>
    <row r="18" spans="10:10">
      <c r="J18" t="s">
        <v>496</v>
      </c>
    </row>
    <row r="23" spans="10:10">
      <c r="J23" t="s">
        <v>497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H118:I118"/>
    <mergeCell ref="A114:B114"/>
    <mergeCell ref="K114:L114"/>
    <mergeCell ref="Q118:R118"/>
    <mergeCell ref="T118:U118"/>
    <mergeCell ref="AO7:AP7"/>
    <mergeCell ref="AM7:AN7"/>
    <mergeCell ref="AQ7:AR7"/>
    <mergeCell ref="AI7:AL7"/>
    <mergeCell ref="AG7:AH7"/>
    <mergeCell ref="AE8:AF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30" t="s">
        <v>108</v>
      </c>
      <c r="AH7" s="131"/>
      <c r="AI7" s="130" t="s">
        <v>261</v>
      </c>
      <c r="AJ7" s="132"/>
      <c r="AK7" s="132"/>
      <c r="AL7" s="131"/>
      <c r="AM7" s="130" t="s">
        <v>314</v>
      </c>
      <c r="AN7" s="131"/>
      <c r="AO7" s="130" t="s">
        <v>315</v>
      </c>
      <c r="AP7" s="131"/>
      <c r="AQ7" s="130" t="s">
        <v>316</v>
      </c>
      <c r="AR7" s="13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30" t="s">
        <v>96</v>
      </c>
      <c r="AF8" s="13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29" t="s">
        <v>323</v>
      </c>
      <c r="K47" s="12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29" t="s">
        <v>325</v>
      </c>
      <c r="B114" s="129"/>
      <c r="K114" s="129" t="s">
        <v>326</v>
      </c>
      <c r="L114" s="12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29" t="s">
        <v>323</v>
      </c>
      <c r="I118" s="129"/>
      <c r="M118" t="s">
        <v>158</v>
      </c>
      <c r="Q118" s="129" t="s">
        <v>325</v>
      </c>
      <c r="R118" s="129"/>
      <c r="T118" s="129" t="s">
        <v>326</v>
      </c>
      <c r="U118" s="12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AQ7:AR7"/>
    <mergeCell ref="AE8:AF8"/>
    <mergeCell ref="T118:U118"/>
    <mergeCell ref="AG7:AH7"/>
    <mergeCell ref="AI7:AL7"/>
    <mergeCell ref="AM7:AN7"/>
    <mergeCell ref="AO7:AP7"/>
    <mergeCell ref="J47:K47"/>
    <mergeCell ref="A114:B114"/>
    <mergeCell ref="K114:L114"/>
    <mergeCell ref="H118:I118"/>
    <mergeCell ref="Q118:R118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29" t="s">
        <v>96</v>
      </c>
      <c r="I4" s="129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29" t="s">
        <v>96</v>
      </c>
      <c r="G4" s="129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29" t="s">
        <v>384</v>
      </c>
      <c r="H22" s="129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0">
        <v>0</v>
      </c>
      <c r="N28" s="51"/>
      <c r="O28" s="51"/>
      <c r="P28" s="51" t="s">
        <v>338</v>
      </c>
      <c r="Q28" s="120">
        <v>0</v>
      </c>
      <c r="R28" s="120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0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29" t="s">
        <v>390</v>
      </c>
      <c r="H33" s="129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19" t="s">
        <v>389</v>
      </c>
      <c r="L37" s="51"/>
      <c r="M37" s="120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0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EE38-CB64-49A7-B51D-8EC0337B253E}">
  <dimension ref="G2:I9"/>
  <sheetViews>
    <sheetView workbookViewId="0">
      <selection activeCell="G12" sqref="G12"/>
    </sheetView>
  </sheetViews>
  <sheetFormatPr defaultRowHeight="16.5"/>
  <cols>
    <col min="7" max="7" width="18.5" bestFit="1" customWidth="1"/>
  </cols>
  <sheetData>
    <row r="2" spans="7:9">
      <c r="G2" t="s">
        <v>5</v>
      </c>
    </row>
    <row r="3" spans="7:9">
      <c r="G3" t="s">
        <v>411</v>
      </c>
    </row>
    <row r="4" spans="7:9">
      <c r="G4" t="s">
        <v>96</v>
      </c>
      <c r="H4" t="s">
        <v>96</v>
      </c>
      <c r="I4" t="s">
        <v>163</v>
      </c>
    </row>
    <row r="5" spans="7:9">
      <c r="G5" t="s">
        <v>412</v>
      </c>
      <c r="I5">
        <v>5000</v>
      </c>
    </row>
    <row r="6" spans="7:9">
      <c r="G6" t="s">
        <v>385</v>
      </c>
      <c r="H6" t="s">
        <v>413</v>
      </c>
      <c r="I6">
        <v>4650</v>
      </c>
    </row>
    <row r="7" spans="7:9">
      <c r="G7" t="s">
        <v>414</v>
      </c>
      <c r="I7">
        <v>350</v>
      </c>
    </row>
    <row r="8" spans="7:9">
      <c r="G8" t="s">
        <v>415</v>
      </c>
      <c r="H8" t="s">
        <v>29</v>
      </c>
      <c r="I8">
        <v>300</v>
      </c>
    </row>
    <row r="9" spans="7:9">
      <c r="G9" t="s">
        <v>416</v>
      </c>
      <c r="I9">
        <v>50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F56-3D19-4025-A991-69CFA3EB7189}">
  <dimension ref="C3:AY36"/>
  <sheetViews>
    <sheetView topLeftCell="AM1" workbookViewId="0">
      <selection activeCell="AU7" sqref="AU7"/>
    </sheetView>
  </sheetViews>
  <sheetFormatPr defaultRowHeight="16.5"/>
  <cols>
    <col min="7" max="8" width="9.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  <col min="44" max="44" width="18.5" bestFit="1" customWidth="1"/>
    <col min="45" max="45" width="14.25" bestFit="1" customWidth="1"/>
  </cols>
  <sheetData>
    <row r="3" spans="3:51">
      <c r="C3" t="s">
        <v>1</v>
      </c>
    </row>
    <row r="4" spans="3:51">
      <c r="D4" t="s">
        <v>94</v>
      </c>
      <c r="J4" t="s">
        <v>108</v>
      </c>
      <c r="O4" t="s">
        <v>315</v>
      </c>
      <c r="T4" t="s">
        <v>417</v>
      </c>
      <c r="AG4" t="s">
        <v>129</v>
      </c>
      <c r="AR4" t="s">
        <v>418</v>
      </c>
    </row>
    <row r="5" spans="3:51">
      <c r="D5" t="s">
        <v>419</v>
      </c>
      <c r="E5" t="s">
        <v>96</v>
      </c>
      <c r="F5" t="s">
        <v>96</v>
      </c>
      <c r="G5" t="s">
        <v>17</v>
      </c>
      <c r="H5" t="s">
        <v>19</v>
      </c>
      <c r="J5" t="s">
        <v>420</v>
      </c>
      <c r="O5" t="s">
        <v>96</v>
      </c>
      <c r="P5" t="s">
        <v>96</v>
      </c>
      <c r="Q5" t="s">
        <v>17</v>
      </c>
      <c r="R5" t="s">
        <v>19</v>
      </c>
      <c r="T5" t="s">
        <v>96</v>
      </c>
      <c r="U5" t="s">
        <v>96</v>
      </c>
      <c r="V5" t="s">
        <v>17</v>
      </c>
      <c r="W5" t="s">
        <v>19</v>
      </c>
      <c r="AG5" t="s">
        <v>29</v>
      </c>
      <c r="AN5" t="s">
        <v>421</v>
      </c>
      <c r="AR5" s="129" t="s">
        <v>420</v>
      </c>
      <c r="AS5" s="129"/>
      <c r="AT5" s="129"/>
      <c r="AU5" s="129"/>
    </row>
    <row r="6" spans="3:51">
      <c r="D6">
        <v>1</v>
      </c>
      <c r="E6" t="s">
        <v>422</v>
      </c>
      <c r="G6" s="51">
        <v>2700</v>
      </c>
      <c r="H6" s="51"/>
      <c r="J6" t="s">
        <v>423</v>
      </c>
      <c r="O6" t="s">
        <v>101</v>
      </c>
      <c r="R6" s="51">
        <v>8000</v>
      </c>
      <c r="T6" t="s">
        <v>29</v>
      </c>
      <c r="V6" s="51">
        <v>30000</v>
      </c>
      <c r="AG6" s="129" t="s">
        <v>423</v>
      </c>
      <c r="AH6" s="129"/>
      <c r="AR6" s="133" t="s">
        <v>424</v>
      </c>
      <c r="AS6" s="133"/>
      <c r="AT6" s="133"/>
      <c r="AU6" s="133"/>
      <c r="AV6" s="8"/>
      <c r="AW6" s="8"/>
      <c r="AX6" s="8"/>
      <c r="AY6" s="8"/>
    </row>
    <row r="7" spans="3:51">
      <c r="F7" t="s">
        <v>103</v>
      </c>
      <c r="G7" s="51"/>
      <c r="H7" s="51">
        <v>2700</v>
      </c>
      <c r="J7" t="s">
        <v>96</v>
      </c>
      <c r="K7" t="s">
        <v>96</v>
      </c>
      <c r="L7" t="s">
        <v>17</v>
      </c>
      <c r="M7" t="s">
        <v>19</v>
      </c>
      <c r="O7" t="s">
        <v>422</v>
      </c>
      <c r="Q7" s="51">
        <v>7200</v>
      </c>
      <c r="T7" t="s">
        <v>103</v>
      </c>
      <c r="W7" s="51">
        <v>7200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  <c r="AR7" t="s">
        <v>426</v>
      </c>
      <c r="AT7" s="17"/>
      <c r="AU7" s="28">
        <v>85000</v>
      </c>
    </row>
    <row r="8" spans="3:51">
      <c r="D8">
        <v>2</v>
      </c>
      <c r="E8" t="s">
        <v>422</v>
      </c>
      <c r="G8" s="51">
        <v>4500</v>
      </c>
      <c r="H8" s="51"/>
      <c r="J8" t="s">
        <v>29</v>
      </c>
      <c r="L8" s="51">
        <v>30000</v>
      </c>
      <c r="M8" s="51"/>
      <c r="P8" t="s">
        <v>107</v>
      </c>
      <c r="Q8" s="51">
        <f>SUM(Q6:Q7)</f>
        <v>7200</v>
      </c>
      <c r="R8" s="51">
        <f>SUM(R6:R7)</f>
        <v>8000</v>
      </c>
      <c r="T8" t="s">
        <v>427</v>
      </c>
      <c r="W8" s="51">
        <v>22000</v>
      </c>
      <c r="AK8" s="51">
        <v>30000</v>
      </c>
      <c r="AM8" t="s">
        <v>141</v>
      </c>
      <c r="AN8" s="51">
        <v>30000</v>
      </c>
      <c r="AR8" t="s">
        <v>388</v>
      </c>
      <c r="AS8" t="s">
        <v>428</v>
      </c>
      <c r="AT8" s="17">
        <v>4500</v>
      </c>
      <c r="AU8" s="28"/>
    </row>
    <row r="9" spans="3:51">
      <c r="F9" t="s">
        <v>103</v>
      </c>
      <c r="G9" s="51"/>
      <c r="H9" s="51">
        <v>4500</v>
      </c>
      <c r="J9" t="s">
        <v>103</v>
      </c>
      <c r="L9" s="51"/>
      <c r="M9" s="51">
        <v>7200</v>
      </c>
      <c r="U9" t="s">
        <v>107</v>
      </c>
      <c r="V9" s="51">
        <f>SUM(V6:V8)</f>
        <v>30000</v>
      </c>
      <c r="W9" s="51">
        <f>SUM(W6:W8)</f>
        <v>29200</v>
      </c>
      <c r="AT9" s="17"/>
      <c r="AU9" s="28">
        <f>SUM($AT$8:$AT$9)</f>
        <v>4500</v>
      </c>
    </row>
    <row r="10" spans="3:51">
      <c r="D10">
        <v>3</v>
      </c>
      <c r="E10" t="s">
        <v>29</v>
      </c>
      <c r="G10" s="51">
        <v>30000</v>
      </c>
      <c r="H10" s="51"/>
      <c r="J10" t="s">
        <v>427</v>
      </c>
      <c r="L10" s="51"/>
      <c r="M10" s="51">
        <v>22000</v>
      </c>
      <c r="AG10" t="s">
        <v>103</v>
      </c>
      <c r="AN10" t="s">
        <v>429</v>
      </c>
      <c r="AT10" s="25"/>
      <c r="AU10" s="27">
        <f>SUM($AU$7,$AU$9)</f>
        <v>89500</v>
      </c>
    </row>
    <row r="11" spans="3:51">
      <c r="F11" t="s">
        <v>427</v>
      </c>
      <c r="G11" s="51"/>
      <c r="H11" s="51">
        <v>30000</v>
      </c>
      <c r="J11" t="s">
        <v>101</v>
      </c>
      <c r="L11" s="51"/>
      <c r="M11" s="51">
        <v>8000</v>
      </c>
      <c r="AG11" s="129" t="s">
        <v>423</v>
      </c>
      <c r="AH11" s="129"/>
      <c r="AT11" s="17"/>
      <c r="AU11" s="28"/>
    </row>
    <row r="12" spans="3:51">
      <c r="D12">
        <v>4</v>
      </c>
      <c r="E12" t="s">
        <v>427</v>
      </c>
      <c r="G12" s="51">
        <v>8000</v>
      </c>
      <c r="H12" s="51"/>
      <c r="J12" t="s">
        <v>422</v>
      </c>
      <c r="L12" s="51">
        <v>7200</v>
      </c>
      <c r="M12" s="51"/>
      <c r="AG12" t="s">
        <v>132</v>
      </c>
      <c r="AH12" t="s">
        <v>133</v>
      </c>
      <c r="AI12" t="s">
        <v>137</v>
      </c>
      <c r="AJ12" t="s">
        <v>138</v>
      </c>
      <c r="AK12" t="s">
        <v>135</v>
      </c>
      <c r="AL12" s="123" t="s">
        <v>136</v>
      </c>
      <c r="AM12" t="s">
        <v>425</v>
      </c>
      <c r="AN12" t="s">
        <v>140</v>
      </c>
      <c r="AR12" t="s">
        <v>385</v>
      </c>
      <c r="AS12" t="s">
        <v>430</v>
      </c>
      <c r="AT12" s="17">
        <v>550</v>
      </c>
      <c r="AU12" s="28"/>
    </row>
    <row r="13" spans="3:51">
      <c r="F13" t="s">
        <v>101</v>
      </c>
      <c r="G13" s="51"/>
      <c r="H13" s="51">
        <v>8000</v>
      </c>
      <c r="K13" t="s">
        <v>107</v>
      </c>
      <c r="L13" s="51">
        <f>SUM(L$8:L$12)</f>
        <v>37200</v>
      </c>
      <c r="M13" s="51">
        <f>SUM(M$8:M$12)</f>
        <v>37200</v>
      </c>
      <c r="AL13" s="51">
        <v>7200</v>
      </c>
      <c r="AM13" t="s">
        <v>150</v>
      </c>
      <c r="AN13" s="51">
        <v>7200</v>
      </c>
      <c r="AT13" s="17"/>
      <c r="AU13" s="28">
        <f>SUM($AT$12:$AT$13)</f>
        <v>550</v>
      </c>
    </row>
    <row r="14" spans="3:51">
      <c r="AR14" t="s">
        <v>431</v>
      </c>
      <c r="AT14" s="25"/>
      <c r="AU14" s="126">
        <f>$AU$10-$AU$13</f>
        <v>88950</v>
      </c>
    </row>
    <row r="15" spans="3:51">
      <c r="D15" t="s">
        <v>105</v>
      </c>
      <c r="AG15" t="s">
        <v>427</v>
      </c>
      <c r="AN15" t="s">
        <v>291</v>
      </c>
    </row>
    <row r="16" spans="3:51">
      <c r="D16" t="s">
        <v>96</v>
      </c>
      <c r="E16" t="s">
        <v>29</v>
      </c>
      <c r="AG16" s="129" t="s">
        <v>423</v>
      </c>
      <c r="AH16" s="129"/>
    </row>
    <row r="17" spans="4:40">
      <c r="D17" t="s">
        <v>419</v>
      </c>
      <c r="E17" t="s">
        <v>17</v>
      </c>
      <c r="F17" t="s">
        <v>419</v>
      </c>
      <c r="G17" t="s">
        <v>19</v>
      </c>
      <c r="J17" t="s">
        <v>307</v>
      </c>
      <c r="AG17" t="s">
        <v>132</v>
      </c>
      <c r="AH17" t="s">
        <v>133</v>
      </c>
      <c r="AI17" t="s">
        <v>137</v>
      </c>
      <c r="AJ17" t="s">
        <v>138</v>
      </c>
      <c r="AK17" t="s">
        <v>135</v>
      </c>
      <c r="AL17" s="123" t="s">
        <v>136</v>
      </c>
      <c r="AM17" t="s">
        <v>425</v>
      </c>
      <c r="AN17" t="s">
        <v>140</v>
      </c>
    </row>
    <row r="18" spans="4:40">
      <c r="D18">
        <v>3</v>
      </c>
      <c r="E18" s="51">
        <v>30000</v>
      </c>
      <c r="J18" t="s">
        <v>420</v>
      </c>
      <c r="AL18" s="51">
        <v>22000</v>
      </c>
      <c r="AM18" t="s">
        <v>150</v>
      </c>
      <c r="AN18" s="51">
        <v>22000</v>
      </c>
    </row>
    <row r="19" spans="4:40">
      <c r="J19" t="s">
        <v>424</v>
      </c>
    </row>
    <row r="20" spans="4:40">
      <c r="D20" t="s">
        <v>96</v>
      </c>
      <c r="E20" t="s">
        <v>103</v>
      </c>
      <c r="J20" s="134" t="s">
        <v>96</v>
      </c>
      <c r="K20" s="132" t="s">
        <v>108</v>
      </c>
      <c r="L20" s="131"/>
      <c r="M20" s="132" t="s">
        <v>261</v>
      </c>
      <c r="N20" s="131"/>
      <c r="O20" s="132" t="s">
        <v>314</v>
      </c>
      <c r="P20" s="131"/>
      <c r="Q20" s="132" t="s">
        <v>315</v>
      </c>
      <c r="R20" s="131"/>
      <c r="S20" s="132" t="s">
        <v>417</v>
      </c>
      <c r="T20" s="131"/>
      <c r="AG20" t="s">
        <v>427</v>
      </c>
      <c r="AN20" t="s">
        <v>432</v>
      </c>
    </row>
    <row r="21" spans="4:40">
      <c r="D21" t="s">
        <v>419</v>
      </c>
      <c r="E21" t="s">
        <v>17</v>
      </c>
      <c r="F21" t="s">
        <v>419</v>
      </c>
      <c r="G21" t="s">
        <v>19</v>
      </c>
      <c r="J21" s="135"/>
      <c r="K21" s="48" t="s">
        <v>17</v>
      </c>
      <c r="L21" s="48" t="s">
        <v>19</v>
      </c>
      <c r="M21" s="48" t="s">
        <v>17</v>
      </c>
      <c r="N21" s="48" t="s">
        <v>19</v>
      </c>
      <c r="O21" s="48" t="s">
        <v>17</v>
      </c>
      <c r="P21" s="48" t="s">
        <v>19</v>
      </c>
      <c r="Q21" s="48" t="s">
        <v>17</v>
      </c>
      <c r="R21" s="48" t="s">
        <v>19</v>
      </c>
      <c r="S21" s="48" t="s">
        <v>17</v>
      </c>
      <c r="T21" s="48" t="s">
        <v>19</v>
      </c>
      <c r="AG21" s="129" t="s">
        <v>423</v>
      </c>
      <c r="AH21" s="129"/>
    </row>
    <row r="22" spans="4:40">
      <c r="F22">
        <v>1</v>
      </c>
      <c r="G22" s="51">
        <v>2700</v>
      </c>
      <c r="J22" s="46" t="s">
        <v>29</v>
      </c>
      <c r="K22" s="51">
        <v>30000</v>
      </c>
      <c r="L22" s="124"/>
      <c r="M22" s="51"/>
      <c r="N22" s="124"/>
      <c r="O22" s="51">
        <v>30000</v>
      </c>
      <c r="P22" s="124"/>
      <c r="R22" s="5"/>
      <c r="S22" s="51">
        <v>30000</v>
      </c>
      <c r="T22" s="5"/>
      <c r="AG22" t="s">
        <v>132</v>
      </c>
      <c r="AH22" t="s">
        <v>133</v>
      </c>
      <c r="AI22" t="s">
        <v>137</v>
      </c>
      <c r="AJ22" t="s">
        <v>138</v>
      </c>
      <c r="AK22" t="s">
        <v>135</v>
      </c>
      <c r="AL22" s="123" t="s">
        <v>136</v>
      </c>
      <c r="AM22" t="s">
        <v>425</v>
      </c>
      <c r="AN22" t="s">
        <v>140</v>
      </c>
    </row>
    <row r="23" spans="4:40">
      <c r="F23">
        <v>2</v>
      </c>
      <c r="G23" s="51">
        <v>4500</v>
      </c>
      <c r="J23" s="46" t="s">
        <v>103</v>
      </c>
      <c r="K23" s="51"/>
      <c r="L23" s="124">
        <v>2700</v>
      </c>
      <c r="M23" s="51"/>
      <c r="N23" s="124">
        <v>4500</v>
      </c>
      <c r="O23" s="51"/>
      <c r="P23" s="124">
        <v>7200</v>
      </c>
      <c r="R23" s="5"/>
      <c r="T23" s="124">
        <v>7200</v>
      </c>
      <c r="AL23" s="51">
        <v>8000</v>
      </c>
      <c r="AM23" t="s">
        <v>150</v>
      </c>
      <c r="AN23" s="51">
        <v>8000</v>
      </c>
    </row>
    <row r="24" spans="4:40">
      <c r="J24" s="46" t="s">
        <v>427</v>
      </c>
      <c r="K24" s="51"/>
      <c r="L24" s="124">
        <v>22000</v>
      </c>
      <c r="M24" s="51"/>
      <c r="N24" s="124"/>
      <c r="O24" s="51"/>
      <c r="P24" s="124">
        <v>22000</v>
      </c>
      <c r="R24" s="5"/>
      <c r="T24" s="124">
        <v>22000</v>
      </c>
    </row>
    <row r="25" spans="4:40">
      <c r="D25" t="s">
        <v>96</v>
      </c>
      <c r="E25" t="s">
        <v>427</v>
      </c>
      <c r="J25" s="46" t="s">
        <v>101</v>
      </c>
      <c r="K25" s="51"/>
      <c r="L25" s="124">
        <v>8000</v>
      </c>
      <c r="M25" s="51"/>
      <c r="N25" s="124"/>
      <c r="O25" s="51"/>
      <c r="P25" s="124">
        <v>8000</v>
      </c>
      <c r="R25" s="124">
        <v>8000</v>
      </c>
      <c r="T25" s="5"/>
      <c r="AG25" t="s">
        <v>422</v>
      </c>
      <c r="AN25" t="s">
        <v>433</v>
      </c>
    </row>
    <row r="26" spans="4:40">
      <c r="D26" t="s">
        <v>419</v>
      </c>
      <c r="E26" t="s">
        <v>17</v>
      </c>
      <c r="F26" t="s">
        <v>419</v>
      </c>
      <c r="G26" t="s">
        <v>19</v>
      </c>
      <c r="J26" s="46" t="s">
        <v>422</v>
      </c>
      <c r="K26" s="120">
        <v>2700</v>
      </c>
      <c r="L26" s="125"/>
      <c r="M26" s="120">
        <v>4500</v>
      </c>
      <c r="N26" s="125"/>
      <c r="O26" s="120">
        <v>7200</v>
      </c>
      <c r="P26" s="125"/>
      <c r="Q26" s="120">
        <v>7200</v>
      </c>
      <c r="R26" s="48"/>
      <c r="S26" s="11"/>
      <c r="T26" s="48"/>
      <c r="AG26" s="129" t="s">
        <v>423</v>
      </c>
      <c r="AH26" s="129"/>
    </row>
    <row r="27" spans="4:40">
      <c r="D27">
        <v>4</v>
      </c>
      <c r="E27" s="51">
        <v>8000</v>
      </c>
      <c r="F27">
        <v>3</v>
      </c>
      <c r="G27" s="51">
        <v>30000</v>
      </c>
      <c r="J27" s="46" t="s">
        <v>107</v>
      </c>
      <c r="K27" s="62">
        <v>37200</v>
      </c>
      <c r="L27" s="75">
        <v>37200</v>
      </c>
      <c r="M27" s="62">
        <f>SUM(M22:M26)</f>
        <v>4500</v>
      </c>
      <c r="N27" s="75">
        <f>SUM(N22:N26)</f>
        <v>4500</v>
      </c>
      <c r="O27" s="62">
        <v>37200</v>
      </c>
      <c r="P27" s="75">
        <v>37200</v>
      </c>
      <c r="Q27" s="51">
        <f>SUM(Q22:Q26)</f>
        <v>7200</v>
      </c>
      <c r="R27" s="124">
        <f>SUM(R22:R26)</f>
        <v>8000</v>
      </c>
      <c r="S27" s="51">
        <f>SUM(S22:S26)</f>
        <v>30000</v>
      </c>
      <c r="T27" s="124">
        <f>SUM(T22:T26)</f>
        <v>29200</v>
      </c>
      <c r="AG27" t="s">
        <v>132</v>
      </c>
      <c r="AH27" t="s">
        <v>133</v>
      </c>
      <c r="AI27" t="s">
        <v>137</v>
      </c>
      <c r="AJ27" t="s">
        <v>138</v>
      </c>
      <c r="AK27" t="s">
        <v>135</v>
      </c>
      <c r="AL27" s="123" t="s">
        <v>136</v>
      </c>
      <c r="AM27" t="s">
        <v>425</v>
      </c>
      <c r="AN27" t="s">
        <v>140</v>
      </c>
    </row>
    <row r="28" spans="4:40">
      <c r="J28" s="46"/>
      <c r="L28" s="5"/>
      <c r="N28" s="5"/>
      <c r="P28" s="5"/>
      <c r="Q28" s="120">
        <f>IF($Q$27-$R$27&lt;0,-($Q$27-$R$27),"")</f>
        <v>800</v>
      </c>
      <c r="R28" s="48" t="str">
        <f>IF(-($Q$27-$R$27)&lt;0,($Q$27-$R$27),"")</f>
        <v/>
      </c>
      <c r="S28" s="11" t="str">
        <f>IF($S$27-$T$27&lt;0,($S$27-$T$27),"")</f>
        <v/>
      </c>
      <c r="T28" s="125">
        <f>IF(-($S$27-$T$27)&lt;0,($S$27-$T$27),"")</f>
        <v>800</v>
      </c>
      <c r="AK28" s="51">
        <v>7200</v>
      </c>
      <c r="AM28" t="s">
        <v>141</v>
      </c>
      <c r="AN28" s="51">
        <v>7200</v>
      </c>
    </row>
    <row r="29" spans="4:40">
      <c r="D29" t="s">
        <v>96</v>
      </c>
      <c r="E29" t="s">
        <v>101</v>
      </c>
      <c r="J29" s="59" t="s">
        <v>107</v>
      </c>
      <c r="K29" s="11"/>
      <c r="L29" s="48"/>
      <c r="M29" s="11"/>
      <c r="N29" s="48"/>
      <c r="O29" s="11"/>
      <c r="P29" s="48"/>
      <c r="Q29" s="62">
        <f>SUM(Q27:Q28)</f>
        <v>8000</v>
      </c>
      <c r="R29" s="75">
        <f>SUM(R27:R28)</f>
        <v>8000</v>
      </c>
      <c r="S29" s="62">
        <f>SUM(S27:S28)</f>
        <v>30000</v>
      </c>
      <c r="T29" s="75">
        <f>SUM(T27:T28)</f>
        <v>30000</v>
      </c>
    </row>
    <row r="30" spans="4:40">
      <c r="D30" t="s">
        <v>419</v>
      </c>
      <c r="E30" t="s">
        <v>17</v>
      </c>
      <c r="F30" t="s">
        <v>419</v>
      </c>
      <c r="G30" t="s">
        <v>19</v>
      </c>
    </row>
    <row r="31" spans="4:40">
      <c r="F31">
        <v>4</v>
      </c>
      <c r="G31" s="51">
        <v>8000</v>
      </c>
    </row>
    <row r="33" spans="4:7">
      <c r="D33" t="s">
        <v>96</v>
      </c>
      <c r="E33" t="s">
        <v>422</v>
      </c>
    </row>
    <row r="34" spans="4:7">
      <c r="D34" t="s">
        <v>419</v>
      </c>
      <c r="E34" t="s">
        <v>17</v>
      </c>
      <c r="F34" t="s">
        <v>419</v>
      </c>
      <c r="G34" t="s">
        <v>19</v>
      </c>
    </row>
    <row r="35" spans="4:7">
      <c r="D35">
        <v>1</v>
      </c>
      <c r="E35" s="51">
        <v>2700</v>
      </c>
    </row>
    <row r="36" spans="4:7">
      <c r="D36">
        <v>2</v>
      </c>
      <c r="E36" s="51">
        <v>4500</v>
      </c>
    </row>
  </sheetData>
  <mergeCells count="13">
    <mergeCell ref="K20:L20"/>
    <mergeCell ref="J20:J21"/>
    <mergeCell ref="AG6:AH6"/>
    <mergeCell ref="AG11:AH11"/>
    <mergeCell ref="AG16:AH16"/>
    <mergeCell ref="AG21:AH21"/>
    <mergeCell ref="AR5:AU5"/>
    <mergeCell ref="AR6:AU6"/>
    <mergeCell ref="AG26:AH26"/>
    <mergeCell ref="M20:N20"/>
    <mergeCell ref="O20:P20"/>
    <mergeCell ref="Q20:R20"/>
    <mergeCell ref="S20:T20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0B08-A25B-4C32-A934-46BC57433D3A}">
  <dimension ref="C3:AN30"/>
  <sheetViews>
    <sheetView workbookViewId="0">
      <selection activeCell="D17" sqref="D17"/>
    </sheetView>
  </sheetViews>
  <sheetFormatPr defaultRowHeight="16.5"/>
  <cols>
    <col min="3" max="3" width="18.5" bestFit="1" customWidth="1"/>
    <col min="4" max="4" width="14.25" bestFit="1" customWidth="1"/>
    <col min="5" max="5" width="9.625" bestFit="1" customWidth="1"/>
    <col min="6" max="6" width="10.625" bestFit="1" customWidth="1"/>
    <col min="7" max="7" width="14" bestFit="1" customWidth="1"/>
    <col min="8" max="8" width="14.25" bestFit="1" customWidth="1"/>
    <col min="10" max="10" width="10.125" bestFit="1" customWidth="1"/>
    <col min="11" max="12" width="9.25" bestFit="1" customWidth="1"/>
    <col min="15" max="15" width="14" bestFit="1" customWidth="1"/>
    <col min="17" max="17" width="11.75" bestFit="1" customWidth="1"/>
    <col min="19" max="19" width="14" bestFit="1" customWidth="1"/>
    <col min="20" max="20" width="11.75" bestFit="1" customWidth="1"/>
  </cols>
  <sheetData>
    <row r="3" spans="3:40">
      <c r="C3" t="s">
        <v>1</v>
      </c>
    </row>
    <row r="4" spans="3:40">
      <c r="C4" t="s">
        <v>418</v>
      </c>
      <c r="AG4" t="s">
        <v>129</v>
      </c>
    </row>
    <row r="5" spans="3:40">
      <c r="C5" s="129" t="s">
        <v>420</v>
      </c>
      <c r="D5" s="129"/>
      <c r="E5" s="129"/>
      <c r="F5" s="129"/>
      <c r="G5" s="129"/>
      <c r="H5" s="129"/>
      <c r="I5" s="129"/>
      <c r="J5" s="129"/>
      <c r="AG5" t="s">
        <v>29</v>
      </c>
      <c r="AN5" t="s">
        <v>421</v>
      </c>
    </row>
    <row r="6" spans="3:40">
      <c r="C6" s="133">
        <v>44043</v>
      </c>
      <c r="D6" s="133"/>
      <c r="E6" s="133"/>
      <c r="F6" s="133"/>
      <c r="G6" s="133"/>
      <c r="H6" s="133"/>
      <c r="I6" s="133"/>
      <c r="J6" s="133"/>
      <c r="AG6" s="129" t="s">
        <v>423</v>
      </c>
      <c r="AH6" s="129"/>
    </row>
    <row r="7" spans="3:40">
      <c r="C7" t="s">
        <v>434</v>
      </c>
      <c r="E7" s="17"/>
      <c r="F7" s="28">
        <v>655710</v>
      </c>
      <c r="G7" t="s">
        <v>435</v>
      </c>
      <c r="I7" s="51"/>
      <c r="J7" s="51">
        <v>653900</v>
      </c>
      <c r="AG7" t="s">
        <v>132</v>
      </c>
      <c r="AH7" t="s">
        <v>133</v>
      </c>
      <c r="AI7" t="s">
        <v>137</v>
      </c>
      <c r="AJ7" t="s">
        <v>138</v>
      </c>
      <c r="AK7" t="s">
        <v>135</v>
      </c>
      <c r="AL7" s="123" t="s">
        <v>136</v>
      </c>
      <c r="AM7" t="s">
        <v>425</v>
      </c>
      <c r="AN7" t="s">
        <v>140</v>
      </c>
    </row>
    <row r="8" spans="3:40">
      <c r="C8" t="s">
        <v>388</v>
      </c>
      <c r="D8" t="s">
        <v>436</v>
      </c>
      <c r="E8" s="17">
        <v>15300</v>
      </c>
      <c r="F8" s="28"/>
      <c r="G8" t="s">
        <v>388</v>
      </c>
      <c r="I8" s="51"/>
      <c r="J8" s="51"/>
      <c r="AK8" s="51">
        <v>30000</v>
      </c>
      <c r="AM8" t="s">
        <v>141</v>
      </c>
      <c r="AN8" s="51">
        <v>30000</v>
      </c>
    </row>
    <row r="9" spans="3:40">
      <c r="D9" t="s">
        <v>437</v>
      </c>
      <c r="E9" s="17">
        <v>14130</v>
      </c>
      <c r="F9" s="28">
        <f>SUM($E$8:$E$9)</f>
        <v>29430</v>
      </c>
      <c r="I9" s="51"/>
      <c r="J9" s="51"/>
    </row>
    <row r="10" spans="3:40">
      <c r="E10" s="25"/>
      <c r="F10" s="27">
        <f>SUM($F$7,$F$9)</f>
        <v>685140</v>
      </c>
      <c r="I10" s="121"/>
      <c r="J10" s="121">
        <f>SUM($J$7)</f>
        <v>653900</v>
      </c>
    </row>
    <row r="11" spans="3:40">
      <c r="E11" s="17"/>
      <c r="F11" s="28"/>
      <c r="I11" s="51"/>
      <c r="J11" s="51"/>
    </row>
    <row r="12" spans="3:40">
      <c r="C12" t="s">
        <v>385</v>
      </c>
      <c r="D12" t="s">
        <v>438</v>
      </c>
      <c r="E12" s="17">
        <v>550</v>
      </c>
      <c r="F12" s="28"/>
      <c r="G12" t="s">
        <v>385</v>
      </c>
      <c r="I12" s="51"/>
      <c r="J12" s="51"/>
      <c r="AG12" t="s">
        <v>103</v>
      </c>
      <c r="AN12" t="s">
        <v>429</v>
      </c>
    </row>
    <row r="13" spans="3:40">
      <c r="D13" t="s">
        <v>439</v>
      </c>
      <c r="E13" s="17">
        <v>90</v>
      </c>
      <c r="F13" s="28">
        <f>SUM($E$12:$E$13)</f>
        <v>640</v>
      </c>
      <c r="I13" s="51"/>
      <c r="J13" s="51"/>
      <c r="AG13" s="129" t="s">
        <v>423</v>
      </c>
      <c r="AH13" s="129"/>
    </row>
    <row r="14" spans="3:40">
      <c r="C14" t="s">
        <v>431</v>
      </c>
      <c r="E14" s="25"/>
      <c r="F14" s="126">
        <f>$F$10-$F$13</f>
        <v>684500</v>
      </c>
      <c r="G14" t="s">
        <v>431</v>
      </c>
      <c r="I14" s="121"/>
      <c r="J14" s="64">
        <f>$J$10</f>
        <v>653900</v>
      </c>
      <c r="AG14" t="s">
        <v>132</v>
      </c>
      <c r="AH14" t="s">
        <v>133</v>
      </c>
      <c r="AI14" t="s">
        <v>137</v>
      </c>
      <c r="AJ14" t="s">
        <v>138</v>
      </c>
      <c r="AK14" t="s">
        <v>135</v>
      </c>
      <c r="AL14" s="123" t="s">
        <v>136</v>
      </c>
      <c r="AM14" t="s">
        <v>425</v>
      </c>
      <c r="AN14" t="s">
        <v>140</v>
      </c>
    </row>
    <row r="15" spans="3:40">
      <c r="AL15" s="51">
        <v>7200</v>
      </c>
      <c r="AM15" t="s">
        <v>150</v>
      </c>
      <c r="AN15" s="51">
        <v>7200</v>
      </c>
    </row>
    <row r="17" spans="33:40">
      <c r="AG17" t="s">
        <v>427</v>
      </c>
      <c r="AN17" t="s">
        <v>291</v>
      </c>
    </row>
    <row r="18" spans="33:40">
      <c r="AG18" s="129" t="s">
        <v>423</v>
      </c>
      <c r="AH18" s="129"/>
    </row>
    <row r="19" spans="33:40">
      <c r="AG19" t="s">
        <v>132</v>
      </c>
      <c r="AH19" t="s">
        <v>133</v>
      </c>
      <c r="AI19" t="s">
        <v>137</v>
      </c>
      <c r="AJ19" t="s">
        <v>138</v>
      </c>
      <c r="AK19" t="s">
        <v>135</v>
      </c>
      <c r="AL19" s="123" t="s">
        <v>136</v>
      </c>
      <c r="AM19" t="s">
        <v>425</v>
      </c>
      <c r="AN19" t="s">
        <v>140</v>
      </c>
    </row>
    <row r="20" spans="33:40">
      <c r="AL20" s="51">
        <v>22000</v>
      </c>
      <c r="AM20" t="s">
        <v>150</v>
      </c>
      <c r="AN20" s="51">
        <v>22000</v>
      </c>
    </row>
    <row r="22" spans="33:40">
      <c r="AG22" t="s">
        <v>427</v>
      </c>
      <c r="AN22" t="s">
        <v>432</v>
      </c>
    </row>
    <row r="23" spans="33:40">
      <c r="AG23" s="129" t="s">
        <v>423</v>
      </c>
      <c r="AH23" s="129"/>
    </row>
    <row r="24" spans="33:40">
      <c r="AG24" t="s">
        <v>132</v>
      </c>
      <c r="AH24" t="s">
        <v>133</v>
      </c>
      <c r="AI24" t="s">
        <v>137</v>
      </c>
      <c r="AJ24" t="s">
        <v>138</v>
      </c>
      <c r="AK24" t="s">
        <v>135</v>
      </c>
      <c r="AL24" s="123" t="s">
        <v>136</v>
      </c>
      <c r="AM24" t="s">
        <v>425</v>
      </c>
      <c r="AN24" t="s">
        <v>140</v>
      </c>
    </row>
    <row r="25" spans="33:40">
      <c r="AL25" s="51">
        <v>8000</v>
      </c>
      <c r="AM25" t="s">
        <v>150</v>
      </c>
      <c r="AN25" s="51">
        <v>8000</v>
      </c>
    </row>
    <row r="27" spans="33:40">
      <c r="AG27" t="s">
        <v>422</v>
      </c>
      <c r="AN27" t="s">
        <v>433</v>
      </c>
    </row>
    <row r="28" spans="33:40">
      <c r="AG28" s="129" t="s">
        <v>423</v>
      </c>
      <c r="AH28" s="129"/>
    </row>
    <row r="29" spans="33:40">
      <c r="AG29" t="s">
        <v>132</v>
      </c>
      <c r="AH29" t="s">
        <v>133</v>
      </c>
      <c r="AI29" t="s">
        <v>137</v>
      </c>
      <c r="AJ29" t="s">
        <v>138</v>
      </c>
      <c r="AK29" t="s">
        <v>135</v>
      </c>
      <c r="AL29" s="123" t="s">
        <v>136</v>
      </c>
      <c r="AM29" t="s">
        <v>425</v>
      </c>
      <c r="AN29" t="s">
        <v>140</v>
      </c>
    </row>
    <row r="30" spans="33:40">
      <c r="AK30" s="51">
        <v>7200</v>
      </c>
      <c r="AM30" t="s">
        <v>141</v>
      </c>
      <c r="AN30" s="51">
        <v>7200</v>
      </c>
    </row>
  </sheetData>
  <mergeCells count="7">
    <mergeCell ref="AG28:AH28"/>
    <mergeCell ref="C5:J5"/>
    <mergeCell ref="C6:J6"/>
    <mergeCell ref="AG6:AH6"/>
    <mergeCell ref="AG13:AH13"/>
    <mergeCell ref="AG18:AH18"/>
    <mergeCell ref="AG23:AH2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5885-B258-4885-9F9D-3262A10E939C}">
  <dimension ref="C3"/>
  <sheetViews>
    <sheetView workbookViewId="0">
      <selection activeCell="C3" sqref="C3"/>
    </sheetView>
  </sheetViews>
  <sheetFormatPr defaultRowHeight="16.5"/>
  <sheetData>
    <row r="3" spans="3:3">
      <c r="C3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B042-E599-4AD3-8150-2E3F592FD5F3}">
  <dimension ref="C2:N13"/>
  <sheetViews>
    <sheetView topLeftCell="I1" workbookViewId="0">
      <selection activeCell="Q2" sqref="Q2:U9"/>
    </sheetView>
  </sheetViews>
  <sheetFormatPr defaultRowHeight="16.5"/>
  <cols>
    <col min="3" max="3" width="11.75" bestFit="1" customWidth="1"/>
    <col min="6" max="7" width="10.125" bestFit="1" customWidth="1"/>
    <col min="10" max="10" width="11.75" bestFit="1" customWidth="1"/>
    <col min="12" max="12" width="18.5" bestFit="1" customWidth="1"/>
    <col min="17" max="17" width="11.75" bestFit="1" customWidth="1"/>
  </cols>
  <sheetData>
    <row r="2" spans="3:14">
      <c r="C2" t="s">
        <v>1</v>
      </c>
      <c r="J2" t="s">
        <v>5</v>
      </c>
    </row>
    <row r="4" spans="3:14">
      <c r="C4" t="s">
        <v>440</v>
      </c>
      <c r="F4" t="s">
        <v>299</v>
      </c>
      <c r="G4" t="s">
        <v>441</v>
      </c>
      <c r="J4" t="s">
        <v>440</v>
      </c>
      <c r="M4" t="s">
        <v>299</v>
      </c>
      <c r="N4" t="s">
        <v>441</v>
      </c>
    </row>
    <row r="5" spans="3:14">
      <c r="D5" s="118">
        <v>45444</v>
      </c>
      <c r="E5" t="s">
        <v>442</v>
      </c>
      <c r="F5" s="51">
        <v>24000</v>
      </c>
      <c r="G5" s="51">
        <v>34280</v>
      </c>
      <c r="K5" s="118">
        <v>45444</v>
      </c>
      <c r="L5" t="s">
        <v>442</v>
      </c>
      <c r="M5" s="51">
        <v>24000</v>
      </c>
      <c r="N5" s="51">
        <v>34280</v>
      </c>
    </row>
    <row r="6" spans="3:14">
      <c r="D6" t="s">
        <v>443</v>
      </c>
      <c r="E6" t="s">
        <v>348</v>
      </c>
      <c r="F6" s="51">
        <v>246000</v>
      </c>
      <c r="G6" s="51">
        <v>365720</v>
      </c>
      <c r="K6" t="s">
        <v>443</v>
      </c>
      <c r="L6" t="s">
        <v>348</v>
      </c>
      <c r="M6" s="51">
        <v>246000</v>
      </c>
      <c r="N6" s="51">
        <v>365720</v>
      </c>
    </row>
    <row r="7" spans="3:14">
      <c r="E7" t="s">
        <v>354</v>
      </c>
      <c r="F7" s="51">
        <v>10000</v>
      </c>
      <c r="G7" s="51"/>
      <c r="L7" t="s">
        <v>354</v>
      </c>
      <c r="M7" s="51">
        <v>-10000</v>
      </c>
      <c r="N7" s="51"/>
    </row>
    <row r="8" spans="3:14">
      <c r="E8" t="s">
        <v>372</v>
      </c>
      <c r="F8" s="51"/>
      <c r="G8" s="51">
        <v>300000</v>
      </c>
      <c r="L8" t="s">
        <v>372</v>
      </c>
      <c r="M8" s="51"/>
      <c r="N8" s="51">
        <v>300000</v>
      </c>
    </row>
    <row r="9" spans="3:14">
      <c r="E9" t="s">
        <v>337</v>
      </c>
      <c r="F9" s="51"/>
      <c r="G9" s="51">
        <v>10000</v>
      </c>
      <c r="L9" t="s">
        <v>337</v>
      </c>
      <c r="M9" s="51"/>
      <c r="N9" s="51">
        <v>-10000</v>
      </c>
    </row>
    <row r="10" spans="3:14">
      <c r="L10" t="s">
        <v>444</v>
      </c>
      <c r="M10" s="64">
        <f>SUM(M5:M9)</f>
        <v>260000</v>
      </c>
      <c r="N10" s="64">
        <f>SUM(N5:N9)</f>
        <v>690000</v>
      </c>
    </row>
    <row r="11" spans="3:14">
      <c r="L11" t="s">
        <v>445</v>
      </c>
      <c r="M11">
        <f>M10/N10</f>
        <v>0.37681159420289856</v>
      </c>
    </row>
    <row r="12" spans="3:14">
      <c r="L12" t="s">
        <v>446</v>
      </c>
      <c r="N12" s="64">
        <f>N10-(N8+N9)</f>
        <v>400000</v>
      </c>
    </row>
    <row r="13" spans="3:14">
      <c r="L13" t="s">
        <v>447</v>
      </c>
      <c r="M13" s="122">
        <f>$N12*$M11</f>
        <v>150724.63768115942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5300-C713-43D5-9E3C-ADAE2D1014F0}">
  <dimension ref="C2:K9"/>
  <sheetViews>
    <sheetView workbookViewId="0">
      <selection activeCell="K9" sqref="K9"/>
    </sheetView>
  </sheetViews>
  <sheetFormatPr defaultRowHeight="16.5"/>
  <cols>
    <col min="4" max="4" width="9.25" bestFit="1" customWidth="1"/>
    <col min="11" max="11" width="10.125" bestFit="1" customWidth="1"/>
  </cols>
  <sheetData>
    <row r="2" spans="3:11">
      <c r="C2" t="s">
        <v>1</v>
      </c>
      <c r="H2" t="s">
        <v>5</v>
      </c>
    </row>
    <row r="3" spans="3:11">
      <c r="C3" s="118">
        <v>45292</v>
      </c>
      <c r="D3" s="51">
        <v>5000</v>
      </c>
      <c r="E3" s="117">
        <v>3</v>
      </c>
      <c r="H3" s="118">
        <v>45292</v>
      </c>
      <c r="I3" s="51">
        <v>5000</v>
      </c>
      <c r="J3" s="117">
        <v>3</v>
      </c>
      <c r="K3" s="51">
        <f>$I3*$J3</f>
        <v>15000</v>
      </c>
    </row>
    <row r="4" spans="3:11">
      <c r="C4" t="s">
        <v>448</v>
      </c>
      <c r="D4" s="51">
        <v>8000</v>
      </c>
      <c r="E4" s="117">
        <v>3.25</v>
      </c>
      <c r="H4" t="s">
        <v>448</v>
      </c>
      <c r="I4" s="51">
        <v>8000</v>
      </c>
      <c r="J4" s="117">
        <v>3.25</v>
      </c>
      <c r="K4" s="51">
        <f t="shared" ref="K4:K8" si="0">$I4*$J4</f>
        <v>26000</v>
      </c>
    </row>
    <row r="5" spans="3:11">
      <c r="C5" t="s">
        <v>449</v>
      </c>
      <c r="D5" s="51">
        <v>10000</v>
      </c>
      <c r="E5" s="117">
        <v>3.5</v>
      </c>
      <c r="H5" t="s">
        <v>449</v>
      </c>
      <c r="I5" s="51">
        <v>10000</v>
      </c>
      <c r="J5" s="117">
        <v>3.5</v>
      </c>
      <c r="K5" s="51">
        <f t="shared" si="0"/>
        <v>35000</v>
      </c>
    </row>
    <row r="6" spans="3:11">
      <c r="C6" t="s">
        <v>450</v>
      </c>
      <c r="D6" s="51">
        <v>6000</v>
      </c>
      <c r="E6" s="117">
        <v>3.65</v>
      </c>
      <c r="H6" t="s">
        <v>450</v>
      </c>
      <c r="I6" s="51">
        <v>6000</v>
      </c>
      <c r="J6" s="117">
        <v>3.65</v>
      </c>
      <c r="K6" s="51">
        <f t="shared" si="0"/>
        <v>21900</v>
      </c>
    </row>
    <row r="7" spans="3:11">
      <c r="C7" t="s">
        <v>451</v>
      </c>
      <c r="D7" s="51">
        <v>9000</v>
      </c>
      <c r="E7" s="117">
        <v>3.9</v>
      </c>
      <c r="H7" t="s">
        <v>451</v>
      </c>
      <c r="I7" s="51">
        <v>9000</v>
      </c>
      <c r="J7" s="117">
        <v>3.9</v>
      </c>
      <c r="K7" s="51">
        <f t="shared" si="0"/>
        <v>35100</v>
      </c>
    </row>
    <row r="8" spans="3:11">
      <c r="C8" t="s">
        <v>452</v>
      </c>
      <c r="D8" s="51">
        <v>28000</v>
      </c>
      <c r="E8" s="117">
        <v>5</v>
      </c>
      <c r="H8" t="s">
        <v>452</v>
      </c>
      <c r="I8" s="51">
        <v>28000</v>
      </c>
      <c r="J8" s="117">
        <v>5</v>
      </c>
      <c r="K8" s="51">
        <f t="shared" si="0"/>
        <v>140000</v>
      </c>
    </row>
    <row r="9" spans="3:11">
      <c r="H9" t="s">
        <v>107</v>
      </c>
      <c r="K9" s="51">
        <f>SUM($K4:$K7)</f>
        <v>118000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CC90-FCA2-49EA-95E9-69DCA491AD6B}">
  <dimension ref="C2:O12"/>
  <sheetViews>
    <sheetView topLeftCell="D1" workbookViewId="0">
      <selection activeCell="O12" sqref="O12"/>
    </sheetView>
  </sheetViews>
  <sheetFormatPr defaultRowHeight="16.5"/>
  <cols>
    <col min="4" max="5" width="12.25" bestFit="1" customWidth="1"/>
    <col min="8" max="8" width="16.25" bestFit="1" customWidth="1"/>
    <col min="13" max="13" width="16.25" bestFit="1" customWidth="1"/>
    <col min="14" max="15" width="12.25" bestFit="1" customWidth="1"/>
  </cols>
  <sheetData>
    <row r="2" spans="3:15">
      <c r="C2" t="s">
        <v>1</v>
      </c>
      <c r="L2" t="s">
        <v>5</v>
      </c>
    </row>
    <row r="3" spans="3:15">
      <c r="C3" t="s">
        <v>453</v>
      </c>
      <c r="H3" t="s">
        <v>454</v>
      </c>
      <c r="M3" t="s">
        <v>454</v>
      </c>
    </row>
    <row r="4" spans="3:15">
      <c r="D4" t="s">
        <v>299</v>
      </c>
      <c r="E4" t="s">
        <v>441</v>
      </c>
      <c r="I4" t="s">
        <v>299</v>
      </c>
      <c r="J4" t="s">
        <v>441</v>
      </c>
      <c r="N4" t="s">
        <v>299</v>
      </c>
      <c r="O4" t="s">
        <v>441</v>
      </c>
    </row>
    <row r="5" spans="3:15">
      <c r="C5" t="s">
        <v>358</v>
      </c>
      <c r="D5" s="51">
        <v>20000</v>
      </c>
      <c r="E5" s="51">
        <v>80000</v>
      </c>
      <c r="H5" t="s">
        <v>358</v>
      </c>
      <c r="I5" s="51">
        <v>20000</v>
      </c>
      <c r="J5" s="51">
        <v>80000</v>
      </c>
      <c r="M5" t="s">
        <v>358</v>
      </c>
      <c r="N5" s="51">
        <v>20000</v>
      </c>
      <c r="O5" s="51">
        <v>80000</v>
      </c>
    </row>
    <row r="6" spans="3:15">
      <c r="C6" t="s">
        <v>455</v>
      </c>
      <c r="D6" s="51">
        <v>1647000</v>
      </c>
      <c r="E6" s="51">
        <v>5400000</v>
      </c>
      <c r="H6" t="s">
        <v>455</v>
      </c>
      <c r="I6" s="51">
        <v>1647000</v>
      </c>
      <c r="J6" s="51">
        <v>5400000</v>
      </c>
      <c r="M6" t="s">
        <v>455</v>
      </c>
      <c r="N6" s="51">
        <v>1647000</v>
      </c>
      <c r="O6" s="51">
        <v>5400000</v>
      </c>
    </row>
    <row r="7" spans="3:15">
      <c r="C7" t="s">
        <v>354</v>
      </c>
      <c r="D7" s="51">
        <v>13000</v>
      </c>
      <c r="E7" s="51"/>
      <c r="H7" t="s">
        <v>354</v>
      </c>
      <c r="I7" s="51">
        <v>13000</v>
      </c>
      <c r="J7" s="51"/>
      <c r="M7" t="s">
        <v>354</v>
      </c>
      <c r="N7" s="51">
        <v>13000</v>
      </c>
      <c r="O7" s="51"/>
    </row>
    <row r="8" spans="3:15">
      <c r="C8" t="s">
        <v>343</v>
      </c>
      <c r="D8" s="51"/>
      <c r="E8" s="51">
        <v>5850000</v>
      </c>
      <c r="H8" t="s">
        <v>444</v>
      </c>
      <c r="I8" s="51"/>
      <c r="M8" t="s">
        <v>444</v>
      </c>
      <c r="N8" s="64">
        <f>SUM(N5:N7)</f>
        <v>1680000</v>
      </c>
      <c r="O8" s="121">
        <f>SUM(O5:O7)</f>
        <v>5480000</v>
      </c>
    </row>
    <row r="9" spans="3:15">
      <c r="H9" t="s">
        <v>445</v>
      </c>
      <c r="M9" t="s">
        <v>445</v>
      </c>
      <c r="N9" s="117">
        <f>$N$8/$O$8</f>
        <v>0.30656934306569344</v>
      </c>
      <c r="O9" s="117"/>
    </row>
    <row r="10" spans="3:15">
      <c r="H10" t="s">
        <v>343</v>
      </c>
      <c r="J10" s="51">
        <v>5850000</v>
      </c>
      <c r="M10" t="s">
        <v>343</v>
      </c>
      <c r="N10" s="51"/>
      <c r="O10" s="51">
        <v>5850000</v>
      </c>
    </row>
    <row r="11" spans="3:15">
      <c r="H11" t="s">
        <v>456</v>
      </c>
      <c r="M11" t="s">
        <v>357</v>
      </c>
      <c r="N11" s="51"/>
      <c r="O11" s="51">
        <f>$O$8-$O$10</f>
        <v>-370000</v>
      </c>
    </row>
    <row r="12" spans="3:15">
      <c r="H12" t="s">
        <v>457</v>
      </c>
      <c r="M12" t="s">
        <v>457</v>
      </c>
      <c r="N12" s="51">
        <f>$O$11*$N$9</f>
        <v>-113430.65693430658</v>
      </c>
      <c r="O12" s="51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7870-F12E-46B0-A86A-FE474AD50FD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D4C2-537D-4F66-A4CC-00FF3AC7FB13}">
  <dimension ref="C2:G6"/>
  <sheetViews>
    <sheetView workbookViewId="0">
      <selection activeCell="C2" sqref="C2:G6"/>
    </sheetView>
  </sheetViews>
  <sheetFormatPr defaultRowHeight="16.5"/>
  <cols>
    <col min="4" max="4" width="9.625" bestFit="1" customWidth="1"/>
    <col min="6" max="6" width="9.625" bestFit="1" customWidth="1"/>
    <col min="7" max="7" width="14" bestFit="1" customWidth="1"/>
  </cols>
  <sheetData>
    <row r="2" spans="3:7">
      <c r="C2" t="s">
        <v>42</v>
      </c>
      <c r="D2" t="s">
        <v>458</v>
      </c>
      <c r="E2" t="s">
        <v>459</v>
      </c>
      <c r="F2" t="s">
        <v>460</v>
      </c>
      <c r="G2" t="s">
        <v>461</v>
      </c>
    </row>
    <row r="3" spans="3:7">
      <c r="C3">
        <v>20</v>
      </c>
      <c r="D3" s="51">
        <v>80000</v>
      </c>
      <c r="E3" s="117">
        <v>0.2</v>
      </c>
      <c r="F3" s="51">
        <f>$D3*$E3</f>
        <v>16000</v>
      </c>
      <c r="G3" s="51">
        <f>$D3-$F3</f>
        <v>64000</v>
      </c>
    </row>
    <row r="4" spans="3:7">
      <c r="C4">
        <v>21</v>
      </c>
      <c r="D4" s="51">
        <f>$G3</f>
        <v>64000</v>
      </c>
      <c r="E4" s="117">
        <v>0.2</v>
      </c>
      <c r="F4" s="51">
        <f t="shared" ref="F4:F6" si="0">$D4*$E4</f>
        <v>12800</v>
      </c>
      <c r="G4" s="51">
        <f t="shared" ref="G4:G6" si="1">$D4-$F4</f>
        <v>51200</v>
      </c>
    </row>
    <row r="5" spans="3:7">
      <c r="C5">
        <v>22</v>
      </c>
      <c r="D5" s="51">
        <f t="shared" ref="D5:D6" si="2">$G4</f>
        <v>51200</v>
      </c>
      <c r="E5" s="117">
        <v>0.2</v>
      </c>
      <c r="F5" s="51">
        <f t="shared" si="0"/>
        <v>10240</v>
      </c>
      <c r="G5" s="51">
        <f t="shared" si="1"/>
        <v>40960</v>
      </c>
    </row>
    <row r="6" spans="3:7">
      <c r="C6">
        <v>23</v>
      </c>
      <c r="D6" s="51">
        <f t="shared" si="2"/>
        <v>40960</v>
      </c>
      <c r="E6" s="117">
        <v>0.2</v>
      </c>
      <c r="F6" s="51">
        <f t="shared" si="0"/>
        <v>8192</v>
      </c>
      <c r="G6" s="51">
        <f t="shared" si="1"/>
        <v>32768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EF6F-D0CD-4E16-9778-2B7D76592133}">
  <dimension ref="C2:K7"/>
  <sheetViews>
    <sheetView workbookViewId="0">
      <selection activeCell="J8" sqref="J8"/>
    </sheetView>
  </sheetViews>
  <sheetFormatPr defaultRowHeight="16.5"/>
  <cols>
    <col min="5" max="5" width="12.25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462</v>
      </c>
      <c r="E3" s="51">
        <v>8385000</v>
      </c>
      <c r="G3" t="s">
        <v>94</v>
      </c>
    </row>
    <row r="4" spans="3:11">
      <c r="D4" t="s">
        <v>463</v>
      </c>
      <c r="E4" s="51">
        <v>6000000</v>
      </c>
      <c r="G4" t="s">
        <v>22</v>
      </c>
      <c r="H4" t="s">
        <v>96</v>
      </c>
      <c r="I4" t="s">
        <v>96</v>
      </c>
      <c r="J4" t="s">
        <v>17</v>
      </c>
      <c r="K4" t="s">
        <v>19</v>
      </c>
    </row>
    <row r="5" spans="3:11">
      <c r="D5" t="s">
        <v>81</v>
      </c>
      <c r="E5" s="51">
        <v>4000000</v>
      </c>
      <c r="H5" t="s">
        <v>463</v>
      </c>
      <c r="J5" s="51">
        <f>$K$7*$E4/($E$4+$E$5)</f>
        <v>5031000</v>
      </c>
      <c r="K5" s="51"/>
    </row>
    <row r="6" spans="3:11">
      <c r="H6" t="s">
        <v>81</v>
      </c>
      <c r="J6" s="51">
        <f>$K$7*$E5/($E$4+$E$5)</f>
        <v>3354000</v>
      </c>
      <c r="K6" s="51"/>
    </row>
    <row r="7" spans="3:11">
      <c r="I7" t="s">
        <v>462</v>
      </c>
      <c r="J7" s="51"/>
      <c r="K7" s="51">
        <v>8385000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CE5C-60C3-484E-86F5-A0E539942817}">
  <dimension ref="C3:F14"/>
  <sheetViews>
    <sheetView workbookViewId="0">
      <selection activeCell="F5" sqref="F5"/>
    </sheetView>
  </sheetViews>
  <sheetFormatPr defaultRowHeight="16.5"/>
  <cols>
    <col min="3" max="3" width="11.75" bestFit="1" customWidth="1"/>
    <col min="5" max="5" width="16.25" bestFit="1" customWidth="1"/>
    <col min="6" max="6" width="20.625" bestFit="1" customWidth="1"/>
  </cols>
  <sheetData>
    <row r="3" spans="3:6">
      <c r="C3" t="s">
        <v>1</v>
      </c>
    </row>
    <row r="4" spans="3:6">
      <c r="C4" t="s">
        <v>340</v>
      </c>
      <c r="E4" t="s">
        <v>23</v>
      </c>
      <c r="F4" t="s">
        <v>464</v>
      </c>
    </row>
    <row r="5" spans="3:6">
      <c r="E5" t="s">
        <v>465</v>
      </c>
      <c r="F5" s="51">
        <v>3300000</v>
      </c>
    </row>
    <row r="6" spans="3:6">
      <c r="E6" t="s">
        <v>466</v>
      </c>
      <c r="F6" s="51">
        <v>3800000</v>
      </c>
    </row>
    <row r="7" spans="3:6">
      <c r="E7" t="s">
        <v>467</v>
      </c>
      <c r="F7" s="51">
        <v>4300000</v>
      </c>
    </row>
    <row r="9" spans="3:6">
      <c r="E9" t="s">
        <v>27</v>
      </c>
      <c r="F9" t="s">
        <v>464</v>
      </c>
    </row>
    <row r="10" spans="3:6">
      <c r="E10" t="s">
        <v>466</v>
      </c>
      <c r="F10" s="51">
        <v>1800000</v>
      </c>
    </row>
    <row r="11" spans="3:6">
      <c r="E11" t="s">
        <v>467</v>
      </c>
      <c r="F11" s="51">
        <v>1800000</v>
      </c>
    </row>
    <row r="13" spans="3:6">
      <c r="E13" t="s">
        <v>468</v>
      </c>
      <c r="F13" t="s">
        <v>464</v>
      </c>
    </row>
    <row r="14" spans="3:6">
      <c r="E14" t="s">
        <v>467</v>
      </c>
      <c r="F14" s="51">
        <v>200000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7107-C1C1-4CE3-9CB7-A5D41A379EAD}">
  <dimension ref="D3:J11"/>
  <sheetViews>
    <sheetView topLeftCell="B1" workbookViewId="0">
      <selection activeCell="D4" sqref="D4:F8"/>
    </sheetView>
  </sheetViews>
  <sheetFormatPr defaultRowHeight="16.5"/>
  <cols>
    <col min="4" max="4" width="11" bestFit="1" customWidth="1"/>
    <col min="5" max="6" width="20.625" bestFit="1" customWidth="1"/>
    <col min="8" max="8" width="18.5" bestFit="1" customWidth="1"/>
    <col min="9" max="10" width="20.625" bestFit="1" customWidth="1"/>
  </cols>
  <sheetData>
    <row r="3" spans="4:10">
      <c r="D3" t="s">
        <v>1</v>
      </c>
      <c r="H3" t="s">
        <v>5</v>
      </c>
    </row>
    <row r="4" spans="4:10">
      <c r="D4" t="s">
        <v>469</v>
      </c>
      <c r="E4" t="s">
        <v>470</v>
      </c>
      <c r="F4" t="s">
        <v>471</v>
      </c>
      <c r="H4" t="s">
        <v>469</v>
      </c>
      <c r="I4" t="s">
        <v>470</v>
      </c>
      <c r="J4" t="s">
        <v>471</v>
      </c>
    </row>
    <row r="5" spans="4:10">
      <c r="D5" t="s">
        <v>472</v>
      </c>
      <c r="E5" s="51">
        <v>1600000</v>
      </c>
      <c r="F5" s="51">
        <v>1000000</v>
      </c>
      <c r="H5" t="s">
        <v>472</v>
      </c>
      <c r="I5" s="51">
        <v>1600000</v>
      </c>
      <c r="J5" s="51">
        <v>1000000</v>
      </c>
    </row>
    <row r="6" spans="4:10">
      <c r="D6" t="s">
        <v>258</v>
      </c>
      <c r="E6" s="51">
        <v>800000</v>
      </c>
      <c r="F6" s="51">
        <v>500000</v>
      </c>
      <c r="H6" t="s">
        <v>258</v>
      </c>
      <c r="I6" s="51">
        <v>800000</v>
      </c>
      <c r="J6" s="51">
        <v>500000</v>
      </c>
    </row>
    <row r="7" spans="4:10">
      <c r="D7" t="s">
        <v>473</v>
      </c>
      <c r="E7" s="51">
        <v>230000</v>
      </c>
      <c r="F7" s="51">
        <v>-230000</v>
      </c>
      <c r="H7" t="s">
        <v>473</v>
      </c>
      <c r="I7" s="51">
        <v>230000</v>
      </c>
      <c r="J7" s="51">
        <v>-230000</v>
      </c>
    </row>
    <row r="8" spans="4:10">
      <c r="D8" t="s">
        <v>467</v>
      </c>
      <c r="E8" s="51">
        <v>880000</v>
      </c>
      <c r="F8" s="51">
        <v>650000</v>
      </c>
      <c r="H8" t="s">
        <v>467</v>
      </c>
      <c r="I8" s="51">
        <v>880000</v>
      </c>
      <c r="J8" s="51">
        <v>650000</v>
      </c>
    </row>
    <row r="10" spans="4:10">
      <c r="I10" t="s">
        <v>474</v>
      </c>
      <c r="J10" t="s">
        <v>464</v>
      </c>
    </row>
    <row r="11" spans="4:10">
      <c r="H11" t="s">
        <v>475</v>
      </c>
      <c r="I11" s="51">
        <f>I5+I7</f>
        <v>1830000</v>
      </c>
      <c r="J11" s="51">
        <f>J5+J7</f>
        <v>770000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931C-6301-485F-8816-6647BD6733E2}">
  <dimension ref="B2:F8"/>
  <sheetViews>
    <sheetView workbookViewId="0">
      <selection activeCell="G15" sqref="G15"/>
    </sheetView>
  </sheetViews>
  <sheetFormatPr defaultRowHeight="16.5"/>
  <cols>
    <col min="5" max="6" width="10.125" bestFit="1" customWidth="1"/>
  </cols>
  <sheetData>
    <row r="2" spans="2:6">
      <c r="B2" t="s">
        <v>5</v>
      </c>
    </row>
    <row r="3" spans="2:6">
      <c r="B3" t="s">
        <v>94</v>
      </c>
    </row>
    <row r="4" spans="2:6">
      <c r="B4" t="s">
        <v>22</v>
      </c>
      <c r="C4" t="s">
        <v>96</v>
      </c>
      <c r="D4" t="s">
        <v>96</v>
      </c>
      <c r="E4" t="s">
        <v>17</v>
      </c>
      <c r="F4" t="s">
        <v>19</v>
      </c>
    </row>
    <row r="5" spans="2:6">
      <c r="B5" s="8">
        <v>43831</v>
      </c>
      <c r="C5" t="s">
        <v>52</v>
      </c>
      <c r="E5" s="51">
        <v>300000</v>
      </c>
      <c r="F5" s="51"/>
    </row>
    <row r="6" spans="2:6">
      <c r="D6" t="s">
        <v>171</v>
      </c>
      <c r="E6" s="51"/>
      <c r="F6" s="51">
        <v>260000</v>
      </c>
    </row>
    <row r="7" spans="2:6">
      <c r="D7" t="s">
        <v>29</v>
      </c>
      <c r="E7" s="51"/>
      <c r="F7" s="51">
        <v>40000</v>
      </c>
    </row>
    <row r="8" spans="2:6">
      <c r="E8" s="51"/>
      <c r="F8" s="51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3095-3DCD-4338-BA65-0B977353EC09}">
  <dimension ref="C2:O24"/>
  <sheetViews>
    <sheetView topLeftCell="D3" workbookViewId="0">
      <selection activeCell="O24" sqref="O24"/>
    </sheetView>
  </sheetViews>
  <sheetFormatPr defaultRowHeight="16.5"/>
  <cols>
    <col min="4" max="4" width="9.25" bestFit="1" customWidth="1"/>
    <col min="7" max="8" width="10.125" bestFit="1" customWidth="1"/>
    <col min="10" max="10" width="10.125" bestFit="1" customWidth="1"/>
    <col min="13" max="13" width="10.625" bestFit="1" customWidth="1"/>
    <col min="14" max="15" width="11.625" bestFit="1" customWidth="1"/>
  </cols>
  <sheetData>
    <row r="2" spans="3:15">
      <c r="C2" t="s">
        <v>1</v>
      </c>
    </row>
    <row r="3" spans="3:15">
      <c r="J3" t="s">
        <v>316</v>
      </c>
    </row>
    <row r="4" spans="3:15">
      <c r="J4" t="s">
        <v>22</v>
      </c>
      <c r="K4" t="s">
        <v>96</v>
      </c>
      <c r="L4" t="s">
        <v>96</v>
      </c>
      <c r="M4" t="s">
        <v>17</v>
      </c>
      <c r="N4" t="s">
        <v>19</v>
      </c>
      <c r="O4" t="s">
        <v>93</v>
      </c>
    </row>
    <row r="5" spans="3:15">
      <c r="J5" s="8">
        <v>43831</v>
      </c>
      <c r="K5" t="s">
        <v>139</v>
      </c>
      <c r="M5" s="127"/>
      <c r="N5" s="127">
        <v>100000</v>
      </c>
      <c r="O5" s="127">
        <v>100000</v>
      </c>
    </row>
    <row r="6" spans="3:15">
      <c r="J6" s="8">
        <v>44012</v>
      </c>
      <c r="K6" t="s">
        <v>388</v>
      </c>
      <c r="L6" t="s">
        <v>476</v>
      </c>
      <c r="M6" s="127"/>
      <c r="N6" s="127">
        <v>5000</v>
      </c>
      <c r="O6" s="127">
        <v>5000</v>
      </c>
    </row>
    <row r="7" spans="3:15">
      <c r="J7" s="8">
        <v>44012</v>
      </c>
      <c r="K7" t="s">
        <v>385</v>
      </c>
      <c r="L7" t="s">
        <v>477</v>
      </c>
      <c r="M7" s="127">
        <v>19702</v>
      </c>
      <c r="N7" s="127"/>
    </row>
    <row r="8" spans="3:15">
      <c r="L8" t="s">
        <v>478</v>
      </c>
      <c r="M8" s="127"/>
      <c r="N8" s="127">
        <v>85928</v>
      </c>
      <c r="O8" s="127"/>
    </row>
    <row r="9" spans="3:15">
      <c r="J9" s="8">
        <v>44196</v>
      </c>
      <c r="K9" t="s">
        <v>388</v>
      </c>
      <c r="L9" t="s">
        <v>476</v>
      </c>
      <c r="M9" s="127"/>
      <c r="N9" s="127">
        <v>4296.3999999999996</v>
      </c>
      <c r="O9" s="127">
        <v>4296.3999999999996</v>
      </c>
    </row>
    <row r="10" spans="3:15">
      <c r="J10" s="8">
        <v>44196</v>
      </c>
      <c r="K10" t="s">
        <v>385</v>
      </c>
      <c r="L10" t="s">
        <v>477</v>
      </c>
      <c r="M10" s="127">
        <v>19702</v>
      </c>
      <c r="N10" s="127"/>
    </row>
    <row r="11" spans="3:15">
      <c r="G11" s="51"/>
      <c r="H11" s="51"/>
      <c r="L11" t="s">
        <v>478</v>
      </c>
      <c r="M11" s="127"/>
      <c r="N11" s="127">
        <v>70522.399999999994</v>
      </c>
    </row>
    <row r="12" spans="3:15">
      <c r="G12" s="51"/>
      <c r="H12" s="51"/>
      <c r="J12" s="8">
        <v>44377</v>
      </c>
      <c r="K12" t="s">
        <v>388</v>
      </c>
      <c r="L12" t="s">
        <v>476</v>
      </c>
      <c r="M12" s="127"/>
      <c r="N12" s="127">
        <v>3526.12</v>
      </c>
      <c r="O12" s="127">
        <v>3526.12</v>
      </c>
    </row>
    <row r="13" spans="3:15">
      <c r="G13" s="51"/>
      <c r="H13" s="51"/>
      <c r="J13" s="8">
        <v>44377</v>
      </c>
      <c r="K13" t="s">
        <v>385</v>
      </c>
      <c r="L13" t="s">
        <v>477</v>
      </c>
      <c r="M13" s="127">
        <v>19702</v>
      </c>
      <c r="N13" s="127"/>
    </row>
    <row r="14" spans="3:15">
      <c r="G14" s="51"/>
      <c r="H14" s="51"/>
      <c r="L14" t="s">
        <v>478</v>
      </c>
      <c r="M14" s="127"/>
      <c r="N14" s="127">
        <v>54346.52</v>
      </c>
    </row>
    <row r="15" spans="3:15">
      <c r="J15" s="8">
        <v>44561</v>
      </c>
      <c r="K15" t="s">
        <v>388</v>
      </c>
      <c r="L15" t="s">
        <v>476</v>
      </c>
      <c r="M15" s="127"/>
      <c r="N15" s="127">
        <v>2717.326</v>
      </c>
      <c r="O15" s="127">
        <v>2717.326</v>
      </c>
    </row>
    <row r="16" spans="3:15">
      <c r="J16" s="8">
        <v>44561</v>
      </c>
      <c r="K16" t="s">
        <v>385</v>
      </c>
      <c r="L16" t="s">
        <v>477</v>
      </c>
      <c r="M16" s="127">
        <v>19702</v>
      </c>
      <c r="N16" s="127"/>
    </row>
    <row r="17" spans="10:15">
      <c r="L17" t="s">
        <v>478</v>
      </c>
      <c r="M17" s="127"/>
      <c r="N17" s="127">
        <v>37361.845999999998</v>
      </c>
    </row>
    <row r="18" spans="10:15">
      <c r="J18" s="8">
        <v>44742</v>
      </c>
      <c r="K18" t="s">
        <v>388</v>
      </c>
      <c r="L18" t="s">
        <v>476</v>
      </c>
      <c r="M18" s="127"/>
      <c r="N18" s="127">
        <v>1868.0923</v>
      </c>
      <c r="O18" s="127">
        <v>1868.0923</v>
      </c>
    </row>
    <row r="19" spans="10:15">
      <c r="J19" s="8">
        <v>44742</v>
      </c>
      <c r="K19" t="s">
        <v>385</v>
      </c>
      <c r="L19" t="s">
        <v>477</v>
      </c>
      <c r="M19" s="127">
        <v>19702</v>
      </c>
      <c r="N19" s="127"/>
    </row>
    <row r="20" spans="10:15">
      <c r="L20" t="s">
        <v>478</v>
      </c>
      <c r="M20" s="127"/>
      <c r="N20" s="127">
        <v>19527.938300000002</v>
      </c>
      <c r="O20" s="127">
        <v>19527.938300000002</v>
      </c>
    </row>
    <row r="21" spans="10:15">
      <c r="J21" s="8">
        <v>44926</v>
      </c>
      <c r="K21" t="s">
        <v>388</v>
      </c>
      <c r="L21" t="s">
        <v>476</v>
      </c>
      <c r="M21" s="127"/>
      <c r="N21" s="127">
        <v>976.39691500000004</v>
      </c>
    </row>
    <row r="22" spans="10:15">
      <c r="J22" s="8">
        <v>44926</v>
      </c>
      <c r="K22" t="s">
        <v>385</v>
      </c>
      <c r="L22" t="s">
        <v>477</v>
      </c>
      <c r="M22" s="128">
        <v>20504.334914999999</v>
      </c>
      <c r="N22" s="127"/>
    </row>
    <row r="23" spans="10:15">
      <c r="L23" t="s">
        <v>478</v>
      </c>
      <c r="M23" s="127"/>
      <c r="N23" s="128">
        <v>0</v>
      </c>
    </row>
    <row r="24" spans="10:15">
      <c r="L24" t="s">
        <v>107</v>
      </c>
      <c r="O24" s="127">
        <f>SUM($O$6:$O$23)</f>
        <v>36935.876600000003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544-2F30-4227-94F0-D399CE92CE1F}">
  <dimension ref="C3:H54"/>
  <sheetViews>
    <sheetView topLeftCell="A10" workbookViewId="0">
      <selection activeCell="D32" sqref="D32"/>
    </sheetView>
  </sheetViews>
  <sheetFormatPr defaultRowHeight="16.5"/>
  <cols>
    <col min="4" max="6" width="24.25" bestFit="1" customWidth="1"/>
    <col min="7" max="8" width="9.625" bestFit="1" customWidth="1"/>
  </cols>
  <sheetData>
    <row r="3" spans="3:8">
      <c r="C3" t="s">
        <v>1</v>
      </c>
    </row>
    <row r="4" spans="3:8">
      <c r="D4" t="s">
        <v>94</v>
      </c>
    </row>
    <row r="5" spans="3:8">
      <c r="D5" t="s">
        <v>22</v>
      </c>
      <c r="E5" t="s">
        <v>96</v>
      </c>
      <c r="F5" t="s">
        <v>96</v>
      </c>
      <c r="G5" t="s">
        <v>17</v>
      </c>
      <c r="H5" t="s">
        <v>19</v>
      </c>
    </row>
    <row r="6" spans="3:8">
      <c r="D6" s="8">
        <v>44105</v>
      </c>
      <c r="E6" t="s">
        <v>479</v>
      </c>
      <c r="G6" s="51">
        <v>15000</v>
      </c>
      <c r="H6" s="51"/>
    </row>
    <row r="7" spans="3:8">
      <c r="F7" t="s">
        <v>29</v>
      </c>
      <c r="G7" s="51"/>
      <c r="H7" s="51">
        <v>15000</v>
      </c>
    </row>
    <row r="8" spans="3:8">
      <c r="D8" s="8">
        <v>44150</v>
      </c>
      <c r="E8" t="s">
        <v>29</v>
      </c>
      <c r="G8" s="51">
        <v>8500</v>
      </c>
      <c r="H8" s="51"/>
    </row>
    <row r="9" spans="3:8">
      <c r="F9" t="s">
        <v>479</v>
      </c>
      <c r="G9" s="51"/>
      <c r="H9" s="51">
        <v>8500</v>
      </c>
    </row>
    <row r="10" spans="3:8">
      <c r="D10" s="8">
        <v>44181</v>
      </c>
      <c r="E10" t="s">
        <v>29</v>
      </c>
      <c r="G10" s="51">
        <v>6000</v>
      </c>
      <c r="H10" s="51"/>
    </row>
    <row r="11" spans="3:8">
      <c r="F11" t="s">
        <v>479</v>
      </c>
      <c r="G11" s="51"/>
      <c r="H11" s="51">
        <v>6000</v>
      </c>
    </row>
    <row r="13" spans="3:8">
      <c r="D13" t="s">
        <v>105</v>
      </c>
    </row>
    <row r="14" spans="3:8">
      <c r="D14" s="11" t="s">
        <v>96</v>
      </c>
      <c r="E14" s="11" t="s">
        <v>29</v>
      </c>
      <c r="F14" s="11"/>
      <c r="G14" s="11"/>
    </row>
    <row r="15" spans="3:8">
      <c r="E15" s="124"/>
      <c r="F15" s="8">
        <v>44105</v>
      </c>
      <c r="G15" s="51">
        <v>15000</v>
      </c>
    </row>
    <row r="16" spans="3:8">
      <c r="D16" s="8">
        <v>44150</v>
      </c>
      <c r="E16" s="124">
        <v>8500</v>
      </c>
      <c r="G16" s="51"/>
    </row>
    <row r="17" spans="4:7">
      <c r="D17" s="8">
        <v>44181</v>
      </c>
      <c r="E17" s="124">
        <v>6000</v>
      </c>
      <c r="G17" s="51"/>
    </row>
    <row r="19" spans="4:7">
      <c r="D19" s="11" t="s">
        <v>96</v>
      </c>
      <c r="E19" s="11" t="s">
        <v>479</v>
      </c>
      <c r="F19" s="11"/>
      <c r="G19" s="11"/>
    </row>
    <row r="20" spans="4:7">
      <c r="D20" s="8">
        <v>44105</v>
      </c>
      <c r="E20" s="124">
        <v>15000</v>
      </c>
      <c r="F20" s="8"/>
      <c r="G20" s="51"/>
    </row>
    <row r="21" spans="4:7">
      <c r="D21" s="8"/>
      <c r="E21" s="124"/>
      <c r="F21" s="8">
        <v>44150</v>
      </c>
      <c r="G21" s="51">
        <v>8500</v>
      </c>
    </row>
    <row r="22" spans="4:7">
      <c r="D22" s="8"/>
      <c r="E22" s="124"/>
      <c r="F22" s="8">
        <v>44181</v>
      </c>
      <c r="G22" s="51">
        <v>6000</v>
      </c>
    </row>
    <row r="23" spans="4:7">
      <c r="D23" t="s">
        <v>480</v>
      </c>
    </row>
    <row r="24" spans="4:7">
      <c r="D24" s="11" t="s">
        <v>96</v>
      </c>
      <c r="E24" s="11"/>
      <c r="F24" s="11" t="s">
        <v>140</v>
      </c>
    </row>
    <row r="25" spans="4:7">
      <c r="D25" t="s">
        <v>481</v>
      </c>
      <c r="F25" s="51">
        <v>15000</v>
      </c>
    </row>
    <row r="26" spans="4:7">
      <c r="D26" t="s">
        <v>479</v>
      </c>
      <c r="F26" s="51">
        <v>-8500</v>
      </c>
    </row>
    <row r="27" spans="4:7">
      <c r="D27" t="s">
        <v>479</v>
      </c>
      <c r="F27" s="120">
        <v>-6000</v>
      </c>
    </row>
    <row r="28" spans="4:7">
      <c r="F28" s="62">
        <f>SUM($F$25:$F$27)</f>
        <v>500</v>
      </c>
    </row>
    <row r="29" spans="4:7">
      <c r="F29" s="51"/>
    </row>
    <row r="30" spans="4:7">
      <c r="F30" s="51"/>
    </row>
    <row r="31" spans="4:7">
      <c r="F31" s="51"/>
    </row>
    <row r="32" spans="4:7">
      <c r="F32" s="51"/>
    </row>
    <row r="33" spans="6:6">
      <c r="F33" s="51"/>
    </row>
    <row r="34" spans="6:6">
      <c r="F34" s="51"/>
    </row>
    <row r="35" spans="6:6">
      <c r="F35" s="51"/>
    </row>
    <row r="36" spans="6:6">
      <c r="F36" s="51"/>
    </row>
    <row r="37" spans="6:6">
      <c r="F37" s="51"/>
    </row>
    <row r="38" spans="6:6">
      <c r="F38" s="51"/>
    </row>
    <row r="39" spans="6:6">
      <c r="F39" s="51"/>
    </row>
    <row r="40" spans="6:6">
      <c r="F40" s="51"/>
    </row>
    <row r="41" spans="6:6">
      <c r="F41" s="51"/>
    </row>
    <row r="42" spans="6:6">
      <c r="F42" s="51"/>
    </row>
    <row r="43" spans="6:6">
      <c r="F43" s="51"/>
    </row>
    <row r="44" spans="6:6">
      <c r="F44" s="51"/>
    </row>
    <row r="45" spans="6:6">
      <c r="F45" s="51"/>
    </row>
    <row r="46" spans="6:6">
      <c r="F46" s="51"/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274D-F622-4016-A2EA-C41A5DC0F129}">
  <dimension ref="C2:F14"/>
  <sheetViews>
    <sheetView workbookViewId="0">
      <selection activeCell="F7" sqref="F7"/>
    </sheetView>
  </sheetViews>
  <sheetFormatPr defaultRowHeight="16.5"/>
  <cols>
    <col min="4" max="4" width="11.75" bestFit="1" customWidth="1"/>
    <col min="6" max="6" width="10.625" bestFit="1" customWidth="1"/>
  </cols>
  <sheetData>
    <row r="2" spans="3:6">
      <c r="C2" t="s">
        <v>1</v>
      </c>
    </row>
    <row r="3" spans="3:6">
      <c r="C3" t="s">
        <v>277</v>
      </c>
      <c r="D3" t="s">
        <v>482</v>
      </c>
    </row>
    <row r="4" spans="3:6">
      <c r="D4" t="s">
        <v>96</v>
      </c>
      <c r="E4" t="s">
        <v>96</v>
      </c>
      <c r="F4" t="s">
        <v>140</v>
      </c>
    </row>
    <row r="5" spans="3:6">
      <c r="D5" t="s">
        <v>481</v>
      </c>
      <c r="F5" s="51">
        <v>2000000</v>
      </c>
    </row>
    <row r="6" spans="3:6">
      <c r="D6" t="s">
        <v>483</v>
      </c>
      <c r="F6" s="51">
        <v>0</v>
      </c>
    </row>
    <row r="7" spans="3:6">
      <c r="D7" t="s">
        <v>484</v>
      </c>
      <c r="F7" s="51">
        <v>900000</v>
      </c>
    </row>
    <row r="8" spans="3:6">
      <c r="D8" t="s">
        <v>385</v>
      </c>
      <c r="E8" t="s">
        <v>485</v>
      </c>
      <c r="F8" s="120">
        <v>0</v>
      </c>
    </row>
    <row r="9" spans="3:6">
      <c r="E9" t="s">
        <v>486</v>
      </c>
      <c r="F9" s="62">
        <f>SUM($F$5:$F$7)-$F$8</f>
        <v>2900000</v>
      </c>
    </row>
    <row r="10" spans="3:6">
      <c r="F10" s="51"/>
    </row>
    <row r="11" spans="3:6">
      <c r="F11" s="51"/>
    </row>
    <row r="12" spans="3:6">
      <c r="F12" s="51"/>
    </row>
    <row r="13" spans="3:6">
      <c r="F13" s="51"/>
    </row>
    <row r="14" spans="3:6">
      <c r="F14" s="5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2024-02-14T06:43:33Z</dcterms:modified>
  <cp:category/>
  <cp:contentStatus/>
</cp:coreProperties>
</file>