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45" windowWidth="13650" windowHeight="5520" tabRatio="858" activeTab="2"/>
  </bookViews>
  <sheets>
    <sheet name="Team Stats" sheetId="2" r:id="rId1"/>
    <sheet name="Game Logs" sheetId="1" r:id="rId2"/>
    <sheet name="Game Comparison Form" sheetId="3" r:id="rId3"/>
    <sheet name="Efficiency Math" sheetId="6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AG2" i="6"/>
  <c r="AG725" s="1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G650"/>
  <c r="AG651"/>
  <c r="AG652"/>
  <c r="AG653"/>
  <c r="AG654"/>
  <c r="AG655"/>
  <c r="AG656"/>
  <c r="AG657"/>
  <c r="AG658"/>
  <c r="AG659"/>
  <c r="AG660"/>
  <c r="AG661"/>
  <c r="AG662"/>
  <c r="AG663"/>
  <c r="AG664"/>
  <c r="AG665"/>
  <c r="AG666"/>
  <c r="AG667"/>
  <c r="AG668"/>
  <c r="AG669"/>
  <c r="AG670"/>
  <c r="AG671"/>
  <c r="AG672"/>
  <c r="AG673"/>
  <c r="AG674"/>
  <c r="AG675"/>
  <c r="AG676"/>
  <c r="AG677"/>
  <c r="AG678"/>
  <c r="AG679"/>
  <c r="AG680"/>
  <c r="AG681"/>
  <c r="AG682"/>
  <c r="AG683"/>
  <c r="AG684"/>
  <c r="AG685"/>
  <c r="AG686"/>
  <c r="AG687"/>
  <c r="AG688"/>
  <c r="AG689"/>
  <c r="AG690"/>
  <c r="AG691"/>
  <c r="AG692"/>
  <c r="AG693"/>
  <c r="AG694"/>
  <c r="AG695"/>
  <c r="AG696"/>
  <c r="AG697"/>
  <c r="AG698"/>
  <c r="AG699"/>
  <c r="AG700"/>
  <c r="AG701"/>
  <c r="AG702"/>
  <c r="AG703"/>
  <c r="AG704"/>
  <c r="AG705"/>
  <c r="AG706"/>
  <c r="AG707"/>
  <c r="AG708"/>
  <c r="AG709"/>
  <c r="AG710"/>
  <c r="AG711"/>
  <c r="AG712"/>
  <c r="AG713"/>
  <c r="AG714"/>
  <c r="AG715"/>
  <c r="AG716"/>
  <c r="AG717"/>
  <c r="AG718"/>
  <c r="AG719"/>
  <c r="AG720"/>
  <c r="AG721"/>
  <c r="AG722"/>
  <c r="AG723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676"/>
  <c r="AF677"/>
  <c r="AF678"/>
  <c r="AF679"/>
  <c r="AF680"/>
  <c r="AF681"/>
  <c r="AF682"/>
  <c r="AF683"/>
  <c r="AF684"/>
  <c r="AF685"/>
  <c r="AF686"/>
  <c r="AF687"/>
  <c r="AF688"/>
  <c r="AF689"/>
  <c r="AF690"/>
  <c r="AF691"/>
  <c r="AF692"/>
  <c r="AF693"/>
  <c r="AF694"/>
  <c r="AF695"/>
  <c r="AF696"/>
  <c r="AF697"/>
  <c r="AF698"/>
  <c r="AF699"/>
  <c r="AF700"/>
  <c r="AF701"/>
  <c r="AF702"/>
  <c r="AF703"/>
  <c r="AF704"/>
  <c r="AF705"/>
  <c r="AF706"/>
  <c r="AF707"/>
  <c r="AF708"/>
  <c r="AF709"/>
  <c r="AF710"/>
  <c r="AF711"/>
  <c r="AF712"/>
  <c r="AF713"/>
  <c r="AF714"/>
  <c r="AF715"/>
  <c r="AF716"/>
  <c r="AF717"/>
  <c r="AF718"/>
  <c r="AF719"/>
  <c r="AF720"/>
  <c r="AF721"/>
  <c r="AF722"/>
  <c r="AF723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723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676"/>
  <c r="AC677"/>
  <c r="AC678"/>
  <c r="AC679"/>
  <c r="AC680"/>
  <c r="AC681"/>
  <c r="AC682"/>
  <c r="AC683"/>
  <c r="AC684"/>
  <c r="AC685"/>
  <c r="AC686"/>
  <c r="AC687"/>
  <c r="AC688"/>
  <c r="AC689"/>
  <c r="AC690"/>
  <c r="AC691"/>
  <c r="AC692"/>
  <c r="AC693"/>
  <c r="AC694"/>
  <c r="AC695"/>
  <c r="AC696"/>
  <c r="AC697"/>
  <c r="AC698"/>
  <c r="AC699"/>
  <c r="AC700"/>
  <c r="AC701"/>
  <c r="AC702"/>
  <c r="AC703"/>
  <c r="AC704"/>
  <c r="AC705"/>
  <c r="AC706"/>
  <c r="AC707"/>
  <c r="AC708"/>
  <c r="AC709"/>
  <c r="AC710"/>
  <c r="AC711"/>
  <c r="AC712"/>
  <c r="AC713"/>
  <c r="AC714"/>
  <c r="AC715"/>
  <c r="AC716"/>
  <c r="AC717"/>
  <c r="AC718"/>
  <c r="AC719"/>
  <c r="AC720"/>
  <c r="AC721"/>
  <c r="AC722"/>
  <c r="AC723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B650"/>
  <c r="AB651"/>
  <c r="AB652"/>
  <c r="AB653"/>
  <c r="AB654"/>
  <c r="AB655"/>
  <c r="AB656"/>
  <c r="AB657"/>
  <c r="AB658"/>
  <c r="AB659"/>
  <c r="AB660"/>
  <c r="AB661"/>
  <c r="AB662"/>
  <c r="AB663"/>
  <c r="AB664"/>
  <c r="AB665"/>
  <c r="AB666"/>
  <c r="AB667"/>
  <c r="AB668"/>
  <c r="AB669"/>
  <c r="AB670"/>
  <c r="AB671"/>
  <c r="AB672"/>
  <c r="AB673"/>
  <c r="AB674"/>
  <c r="AB675"/>
  <c r="AB676"/>
  <c r="AB677"/>
  <c r="AB678"/>
  <c r="AB679"/>
  <c r="AB680"/>
  <c r="AB681"/>
  <c r="AB682"/>
  <c r="AB683"/>
  <c r="AB684"/>
  <c r="AB685"/>
  <c r="AB686"/>
  <c r="AB687"/>
  <c r="AB688"/>
  <c r="AB689"/>
  <c r="AB690"/>
  <c r="AB691"/>
  <c r="AB692"/>
  <c r="AB693"/>
  <c r="AB694"/>
  <c r="AB695"/>
  <c r="AB696"/>
  <c r="AB697"/>
  <c r="AB698"/>
  <c r="AB699"/>
  <c r="AB700"/>
  <c r="AB701"/>
  <c r="AB702"/>
  <c r="AB703"/>
  <c r="AB704"/>
  <c r="AB705"/>
  <c r="AB706"/>
  <c r="AB707"/>
  <c r="AB708"/>
  <c r="AB709"/>
  <c r="AB710"/>
  <c r="AB711"/>
  <c r="AB712"/>
  <c r="AB713"/>
  <c r="AB714"/>
  <c r="AB715"/>
  <c r="AB716"/>
  <c r="AB717"/>
  <c r="AB718"/>
  <c r="AB719"/>
  <c r="AB720"/>
  <c r="AB721"/>
  <c r="AB722"/>
  <c r="AB723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AP2" i="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274"/>
  <c r="AP275"/>
  <c r="AP276"/>
  <c r="AP277"/>
  <c r="AP278"/>
  <c r="AP279"/>
  <c r="AP280"/>
  <c r="AP281"/>
  <c r="AP282"/>
  <c r="AP283"/>
  <c r="AP284"/>
  <c r="AP285"/>
  <c r="AP286"/>
  <c r="AP287"/>
  <c r="AP288"/>
  <c r="AP289"/>
  <c r="AP290"/>
  <c r="AP291"/>
  <c r="AP292"/>
  <c r="AP293"/>
  <c r="AP294"/>
  <c r="AP295"/>
  <c r="AP296"/>
  <c r="AP297"/>
  <c r="AP298"/>
  <c r="AP299"/>
  <c r="AP300"/>
  <c r="AP301"/>
  <c r="AP302"/>
  <c r="AP303"/>
  <c r="AP304"/>
  <c r="AP305"/>
  <c r="AP306"/>
  <c r="AP307"/>
  <c r="AP308"/>
  <c r="AP309"/>
  <c r="AP310"/>
  <c r="AP311"/>
  <c r="AP312"/>
  <c r="AP313"/>
  <c r="AP314"/>
  <c r="AP315"/>
  <c r="AP316"/>
  <c r="AP317"/>
  <c r="AP318"/>
  <c r="AP319"/>
  <c r="AP320"/>
  <c r="AP321"/>
  <c r="AP322"/>
  <c r="AP323"/>
  <c r="AP324"/>
  <c r="AP325"/>
  <c r="AP326"/>
  <c r="AP327"/>
  <c r="AP328"/>
  <c r="AP329"/>
  <c r="AP330"/>
  <c r="AP331"/>
  <c r="AP332"/>
  <c r="AP333"/>
  <c r="AP334"/>
  <c r="AP335"/>
  <c r="AP336"/>
  <c r="AP337"/>
  <c r="AP338"/>
  <c r="AP339"/>
  <c r="AP340"/>
  <c r="AP341"/>
  <c r="AP342"/>
  <c r="AP343"/>
  <c r="AP344"/>
  <c r="AP345"/>
  <c r="AP346"/>
  <c r="AP347"/>
  <c r="AP348"/>
  <c r="AP349"/>
  <c r="AP350"/>
  <c r="AP351"/>
  <c r="AP352"/>
  <c r="AP353"/>
  <c r="AP354"/>
  <c r="AP355"/>
  <c r="AP356"/>
  <c r="AP357"/>
  <c r="AP358"/>
  <c r="AP359"/>
  <c r="AP360"/>
  <c r="AP361"/>
  <c r="AP362"/>
  <c r="AP363"/>
  <c r="AP364"/>
  <c r="AP365"/>
  <c r="AP366"/>
  <c r="AP367"/>
  <c r="AP368"/>
  <c r="AP369"/>
  <c r="AP370"/>
  <c r="AP371"/>
  <c r="AP372"/>
  <c r="AP373"/>
  <c r="AP374"/>
  <c r="AP375"/>
  <c r="AP376"/>
  <c r="AP377"/>
  <c r="AP378"/>
  <c r="AP379"/>
  <c r="AP380"/>
  <c r="AP381"/>
  <c r="AP382"/>
  <c r="AP383"/>
  <c r="AP384"/>
  <c r="AP385"/>
  <c r="AP386"/>
  <c r="AP387"/>
  <c r="AP388"/>
  <c r="AP389"/>
  <c r="AP390"/>
  <c r="AP391"/>
  <c r="AP392"/>
  <c r="AP393"/>
  <c r="AP394"/>
  <c r="AP395"/>
  <c r="AP396"/>
  <c r="AP397"/>
  <c r="AP398"/>
  <c r="AP399"/>
  <c r="AP400"/>
  <c r="AP401"/>
  <c r="AP402"/>
  <c r="AP403"/>
  <c r="AP404"/>
  <c r="AP405"/>
  <c r="AP406"/>
  <c r="AP407"/>
  <c r="AP408"/>
  <c r="AP409"/>
  <c r="AP410"/>
  <c r="AP411"/>
  <c r="AP412"/>
  <c r="AP413"/>
  <c r="AP414"/>
  <c r="AP415"/>
  <c r="AP416"/>
  <c r="AP417"/>
  <c r="AP418"/>
  <c r="AP419"/>
  <c r="AP420"/>
  <c r="AP421"/>
  <c r="AP422"/>
  <c r="AP423"/>
  <c r="AP424"/>
  <c r="AP425"/>
  <c r="AP426"/>
  <c r="AP427"/>
  <c r="AP428"/>
  <c r="AP429"/>
  <c r="AP430"/>
  <c r="AP431"/>
  <c r="AP432"/>
  <c r="AP433"/>
  <c r="AP434"/>
  <c r="AP435"/>
  <c r="AP436"/>
  <c r="AP437"/>
  <c r="AP438"/>
  <c r="AP439"/>
  <c r="AP440"/>
  <c r="AP441"/>
  <c r="AP442"/>
  <c r="AP443"/>
  <c r="AP444"/>
  <c r="AP445"/>
  <c r="AP446"/>
  <c r="AP447"/>
  <c r="AP448"/>
  <c r="AP449"/>
  <c r="AP450"/>
  <c r="AP451"/>
  <c r="AP452"/>
  <c r="AP453"/>
  <c r="AP454"/>
  <c r="AP455"/>
  <c r="AP456"/>
  <c r="AP457"/>
  <c r="AP458"/>
  <c r="AP459"/>
  <c r="AP460"/>
  <c r="AP461"/>
  <c r="AP462"/>
  <c r="AP463"/>
  <c r="AP464"/>
  <c r="AP465"/>
  <c r="AP466"/>
  <c r="AP467"/>
  <c r="AP468"/>
  <c r="AP469"/>
  <c r="AP470"/>
  <c r="AP471"/>
  <c r="AP472"/>
  <c r="AP473"/>
  <c r="AP474"/>
  <c r="AP475"/>
  <c r="AP476"/>
  <c r="AP477"/>
  <c r="AP478"/>
  <c r="AP479"/>
  <c r="AP480"/>
  <c r="AP481"/>
  <c r="AP482"/>
  <c r="AP483"/>
  <c r="AP484"/>
  <c r="AP485"/>
  <c r="AP486"/>
  <c r="AP487"/>
  <c r="AP488"/>
  <c r="AP489"/>
  <c r="AP490"/>
  <c r="AP491"/>
  <c r="AP492"/>
  <c r="AP493"/>
  <c r="AP494"/>
  <c r="AP495"/>
  <c r="AP496"/>
  <c r="AP497"/>
  <c r="AP498"/>
  <c r="AP499"/>
  <c r="AP500"/>
  <c r="AP501"/>
  <c r="AP502"/>
  <c r="AP503"/>
  <c r="AP504"/>
  <c r="AP505"/>
  <c r="AP506"/>
  <c r="AP507"/>
  <c r="AP508"/>
  <c r="AP509"/>
  <c r="AP510"/>
  <c r="AP511"/>
  <c r="AP512"/>
  <c r="AP513"/>
  <c r="AP514"/>
  <c r="AP515"/>
  <c r="AP516"/>
  <c r="AP517"/>
  <c r="AP518"/>
  <c r="AP519"/>
  <c r="AP520"/>
  <c r="AP521"/>
  <c r="AP522"/>
  <c r="AP523"/>
  <c r="AP524"/>
  <c r="AP525"/>
  <c r="AP526"/>
  <c r="AP527"/>
  <c r="AP528"/>
  <c r="AP529"/>
  <c r="AP530"/>
  <c r="AP531"/>
  <c r="AP532"/>
  <c r="AP533"/>
  <c r="AP534"/>
  <c r="AP535"/>
  <c r="AP536"/>
  <c r="AP537"/>
  <c r="AP538"/>
  <c r="AP539"/>
  <c r="AP540"/>
  <c r="AP541"/>
  <c r="AP542"/>
  <c r="AP543"/>
  <c r="AP544"/>
  <c r="AP545"/>
  <c r="AP546"/>
  <c r="AP547"/>
  <c r="AP548"/>
  <c r="AP549"/>
  <c r="AP550"/>
  <c r="AP551"/>
  <c r="AP552"/>
  <c r="AP553"/>
  <c r="AP554"/>
  <c r="AP555"/>
  <c r="AP556"/>
  <c r="AP557"/>
  <c r="AP558"/>
  <c r="AP559"/>
  <c r="AP560"/>
  <c r="AP561"/>
  <c r="AP562"/>
  <c r="AP563"/>
  <c r="AP564"/>
  <c r="AP565"/>
  <c r="AP566"/>
  <c r="AP567"/>
  <c r="AP568"/>
  <c r="AP569"/>
  <c r="AP570"/>
  <c r="AP571"/>
  <c r="AP572"/>
  <c r="AP573"/>
  <c r="AP574"/>
  <c r="AP575"/>
  <c r="AP576"/>
  <c r="AP577"/>
  <c r="AP578"/>
  <c r="AP579"/>
  <c r="AP580"/>
  <c r="AP581"/>
  <c r="AP582"/>
  <c r="AP583"/>
  <c r="AP584"/>
  <c r="AP585"/>
  <c r="AP586"/>
  <c r="AP587"/>
  <c r="AP588"/>
  <c r="AP589"/>
  <c r="AP590"/>
  <c r="AP591"/>
  <c r="AP592"/>
  <c r="AP593"/>
  <c r="AP594"/>
  <c r="AP595"/>
  <c r="AP596"/>
  <c r="AP597"/>
  <c r="AP598"/>
  <c r="AP599"/>
  <c r="AP600"/>
  <c r="AP601"/>
  <c r="AP602"/>
  <c r="AP603"/>
  <c r="AP604"/>
  <c r="AP605"/>
  <c r="AP606"/>
  <c r="AP607"/>
  <c r="AP608"/>
  <c r="AP609"/>
  <c r="AP610"/>
  <c r="AP611"/>
  <c r="AP612"/>
  <c r="AP613"/>
  <c r="AP614"/>
  <c r="AP615"/>
  <c r="AP616"/>
  <c r="AP617"/>
  <c r="AP618"/>
  <c r="AP619"/>
  <c r="AP620"/>
  <c r="AP621"/>
  <c r="AP622"/>
  <c r="AP623"/>
  <c r="AP624"/>
  <c r="AP625"/>
  <c r="AP626"/>
  <c r="AP627"/>
  <c r="AP628"/>
  <c r="AP629"/>
  <c r="AP630"/>
  <c r="AP631"/>
  <c r="AP632"/>
  <c r="AP633"/>
  <c r="AP634"/>
  <c r="AP635"/>
  <c r="AP636"/>
  <c r="AP637"/>
  <c r="AP638"/>
  <c r="AP639"/>
  <c r="AP640"/>
  <c r="AP641"/>
  <c r="AP642"/>
  <c r="AP643"/>
  <c r="AP644"/>
  <c r="AP645"/>
  <c r="AP646"/>
  <c r="AP647"/>
  <c r="AP648"/>
  <c r="AP649"/>
  <c r="AP650"/>
  <c r="AP651"/>
  <c r="AP652"/>
  <c r="AP653"/>
  <c r="AP654"/>
  <c r="AP655"/>
  <c r="AP656"/>
  <c r="AP657"/>
  <c r="AP658"/>
  <c r="AP659"/>
  <c r="AP660"/>
  <c r="AP661"/>
  <c r="AP662"/>
  <c r="AP663"/>
  <c r="AP664"/>
  <c r="AP665"/>
  <c r="AP666"/>
  <c r="AP667"/>
  <c r="AP668"/>
  <c r="AP669"/>
  <c r="AP670"/>
  <c r="AP671"/>
  <c r="AP672"/>
  <c r="AP673"/>
  <c r="AP674"/>
  <c r="AP675"/>
  <c r="AP676"/>
  <c r="AP677"/>
  <c r="AP678"/>
  <c r="AP679"/>
  <c r="AP680"/>
  <c r="AP681"/>
  <c r="AP682"/>
  <c r="AP683"/>
  <c r="AP684"/>
  <c r="AP685"/>
  <c r="AP686"/>
  <c r="AP687"/>
  <c r="AP688"/>
  <c r="AP689"/>
  <c r="AP690"/>
  <c r="AP691"/>
  <c r="AP692"/>
  <c r="AP693"/>
  <c r="AP694"/>
  <c r="AP695"/>
  <c r="AP696"/>
  <c r="AP697"/>
  <c r="AP698"/>
  <c r="AP699"/>
  <c r="AP700"/>
  <c r="AP701"/>
  <c r="AP702"/>
  <c r="AP703"/>
  <c r="AP704"/>
  <c r="AP705"/>
  <c r="AP706"/>
  <c r="AP707"/>
  <c r="AP708"/>
  <c r="AP709"/>
  <c r="AP710"/>
  <c r="AP711"/>
  <c r="AP712"/>
  <c r="AP713"/>
  <c r="AP714"/>
  <c r="AP715"/>
  <c r="AP716"/>
  <c r="AP717"/>
  <c r="AP718"/>
  <c r="AP719"/>
  <c r="AP720"/>
  <c r="AP721"/>
  <c r="AP722"/>
  <c r="AP723"/>
  <c r="AP724"/>
  <c r="AP725"/>
  <c r="AP726"/>
  <c r="AP727"/>
  <c r="AP728"/>
  <c r="AP729"/>
  <c r="AP730"/>
  <c r="AP731"/>
  <c r="AP732"/>
  <c r="AP733"/>
  <c r="AP734"/>
  <c r="AP735"/>
  <c r="AP736"/>
  <c r="AP737"/>
  <c r="AP738"/>
  <c r="AP739"/>
  <c r="AP740"/>
  <c r="AP741"/>
  <c r="AP742"/>
  <c r="AP743"/>
  <c r="AP744"/>
  <c r="AP745"/>
  <c r="AP746"/>
  <c r="AP747"/>
  <c r="AP748"/>
  <c r="AP749"/>
  <c r="AP750"/>
  <c r="AP751"/>
  <c r="AP752"/>
  <c r="AP753"/>
  <c r="AP754"/>
  <c r="AP755"/>
  <c r="AP756"/>
  <c r="AP757"/>
  <c r="AP758"/>
  <c r="AP759"/>
  <c r="AP760"/>
  <c r="AP761"/>
  <c r="AP762"/>
  <c r="AP763"/>
  <c r="AP764"/>
  <c r="AP765"/>
  <c r="AP766"/>
  <c r="AP767"/>
  <c r="AP768"/>
  <c r="AP769"/>
  <c r="AP770"/>
  <c r="AP771"/>
  <c r="AP772"/>
  <c r="AP773"/>
  <c r="AP774"/>
  <c r="AP775"/>
  <c r="AP776"/>
  <c r="AP777"/>
  <c r="AP778"/>
  <c r="AP779"/>
  <c r="AP780"/>
  <c r="AP781"/>
  <c r="AP782"/>
  <c r="AP783"/>
  <c r="AP784"/>
  <c r="AP785"/>
  <c r="AP786"/>
  <c r="AP787"/>
  <c r="AP788"/>
  <c r="AP789"/>
  <c r="AP790"/>
  <c r="AP791"/>
  <c r="AP792"/>
  <c r="AP793"/>
  <c r="AP794"/>
  <c r="AP795"/>
  <c r="AP796"/>
  <c r="AP797"/>
  <c r="AP798"/>
  <c r="AP799"/>
  <c r="AP800"/>
  <c r="AP801"/>
  <c r="AP802"/>
  <c r="AP803"/>
  <c r="AP804"/>
  <c r="AP805"/>
  <c r="AP806"/>
  <c r="AP807"/>
  <c r="AP808"/>
  <c r="AP809"/>
  <c r="AP810"/>
  <c r="AP811"/>
  <c r="AP812"/>
  <c r="AP813"/>
  <c r="AP814"/>
  <c r="AP815"/>
  <c r="AP816"/>
  <c r="AP817"/>
  <c r="AP818"/>
  <c r="AP819"/>
  <c r="AP820"/>
  <c r="AP821"/>
  <c r="AP822"/>
  <c r="AP823"/>
  <c r="AP824"/>
  <c r="AP825"/>
  <c r="AP826"/>
  <c r="AP827"/>
  <c r="AP828"/>
  <c r="AP829"/>
  <c r="AP830"/>
  <c r="AP831"/>
  <c r="AP832"/>
  <c r="AP833"/>
  <c r="AP834"/>
  <c r="AP835"/>
  <c r="AP836"/>
  <c r="AP837"/>
  <c r="AP838"/>
  <c r="AP839"/>
  <c r="AP840"/>
  <c r="AP841"/>
  <c r="AP842"/>
  <c r="AP843"/>
  <c r="AP844"/>
  <c r="AP845"/>
  <c r="AP846"/>
  <c r="AP847"/>
  <c r="AP848"/>
  <c r="AP849"/>
  <c r="AP850"/>
  <c r="AP851"/>
  <c r="AP852"/>
  <c r="AP853"/>
  <c r="AP854"/>
  <c r="AP855"/>
  <c r="AP856"/>
  <c r="AP857"/>
  <c r="AP858"/>
  <c r="AP859"/>
  <c r="AP860"/>
  <c r="AP861"/>
  <c r="AP862"/>
  <c r="AP863"/>
  <c r="AP864"/>
  <c r="AP865"/>
  <c r="AP866"/>
  <c r="AP867"/>
  <c r="AP868"/>
  <c r="AP869"/>
  <c r="AP870"/>
  <c r="AP871"/>
  <c r="AP872"/>
  <c r="AP873"/>
  <c r="AP874"/>
  <c r="AP875"/>
  <c r="AP876"/>
  <c r="AP877"/>
  <c r="AP878"/>
  <c r="AP879"/>
  <c r="AP880"/>
  <c r="AP881"/>
  <c r="AQ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319"/>
  <c r="AQ320"/>
  <c r="AQ321"/>
  <c r="AQ322"/>
  <c r="AQ323"/>
  <c r="AQ324"/>
  <c r="AQ325"/>
  <c r="AQ326"/>
  <c r="AQ327"/>
  <c r="AQ328"/>
  <c r="AQ329"/>
  <c r="AQ330"/>
  <c r="AQ331"/>
  <c r="AQ332"/>
  <c r="AQ333"/>
  <c r="AQ334"/>
  <c r="AQ335"/>
  <c r="AQ336"/>
  <c r="AQ337"/>
  <c r="AQ338"/>
  <c r="AQ339"/>
  <c r="AQ340"/>
  <c r="AQ341"/>
  <c r="AQ342"/>
  <c r="AQ343"/>
  <c r="AQ344"/>
  <c r="AQ345"/>
  <c r="AQ346"/>
  <c r="AQ347"/>
  <c r="AQ348"/>
  <c r="AQ349"/>
  <c r="AQ350"/>
  <c r="AQ351"/>
  <c r="AQ352"/>
  <c r="AQ353"/>
  <c r="AQ354"/>
  <c r="AQ355"/>
  <c r="AQ356"/>
  <c r="AQ357"/>
  <c r="AQ358"/>
  <c r="AQ359"/>
  <c r="AQ360"/>
  <c r="AQ361"/>
  <c r="AQ362"/>
  <c r="AQ363"/>
  <c r="AQ364"/>
  <c r="AQ365"/>
  <c r="AQ366"/>
  <c r="AQ367"/>
  <c r="AQ368"/>
  <c r="AQ369"/>
  <c r="AQ370"/>
  <c r="AQ371"/>
  <c r="AQ372"/>
  <c r="AQ373"/>
  <c r="AQ374"/>
  <c r="AQ375"/>
  <c r="AQ376"/>
  <c r="AQ377"/>
  <c r="AQ378"/>
  <c r="AQ379"/>
  <c r="AQ380"/>
  <c r="AQ381"/>
  <c r="AQ382"/>
  <c r="AQ383"/>
  <c r="AQ384"/>
  <c r="AQ385"/>
  <c r="AQ386"/>
  <c r="AQ387"/>
  <c r="AQ388"/>
  <c r="AQ389"/>
  <c r="AQ390"/>
  <c r="AQ391"/>
  <c r="AQ392"/>
  <c r="AQ393"/>
  <c r="AQ394"/>
  <c r="AQ395"/>
  <c r="AQ396"/>
  <c r="AQ397"/>
  <c r="AQ398"/>
  <c r="AQ399"/>
  <c r="AQ400"/>
  <c r="AQ401"/>
  <c r="AQ402"/>
  <c r="AQ403"/>
  <c r="AQ404"/>
  <c r="AQ405"/>
  <c r="AQ406"/>
  <c r="AQ407"/>
  <c r="AQ408"/>
  <c r="AQ409"/>
  <c r="AQ410"/>
  <c r="AQ411"/>
  <c r="AQ412"/>
  <c r="AQ413"/>
  <c r="AQ414"/>
  <c r="AQ415"/>
  <c r="AQ416"/>
  <c r="AQ417"/>
  <c r="AQ418"/>
  <c r="AQ419"/>
  <c r="AQ420"/>
  <c r="AQ421"/>
  <c r="AQ422"/>
  <c r="AQ423"/>
  <c r="AQ424"/>
  <c r="AQ425"/>
  <c r="AQ426"/>
  <c r="AQ427"/>
  <c r="AQ428"/>
  <c r="AQ429"/>
  <c r="AQ430"/>
  <c r="AQ431"/>
  <c r="AQ432"/>
  <c r="AQ433"/>
  <c r="AQ434"/>
  <c r="AQ435"/>
  <c r="AQ436"/>
  <c r="AQ437"/>
  <c r="AQ438"/>
  <c r="AQ439"/>
  <c r="AQ440"/>
  <c r="AQ441"/>
  <c r="AQ442"/>
  <c r="AQ443"/>
  <c r="AQ444"/>
  <c r="AQ445"/>
  <c r="AQ446"/>
  <c r="AQ447"/>
  <c r="AQ448"/>
  <c r="AQ449"/>
  <c r="AQ450"/>
  <c r="AQ451"/>
  <c r="AQ452"/>
  <c r="AQ453"/>
  <c r="AQ454"/>
  <c r="AQ455"/>
  <c r="AQ456"/>
  <c r="AQ457"/>
  <c r="AQ458"/>
  <c r="AQ459"/>
  <c r="AQ460"/>
  <c r="AQ461"/>
  <c r="AQ462"/>
  <c r="AQ463"/>
  <c r="AQ464"/>
  <c r="AQ465"/>
  <c r="AQ466"/>
  <c r="AQ467"/>
  <c r="AQ468"/>
  <c r="AQ469"/>
  <c r="AQ470"/>
  <c r="AQ471"/>
  <c r="AQ472"/>
  <c r="AQ473"/>
  <c r="AQ474"/>
  <c r="AQ475"/>
  <c r="AQ476"/>
  <c r="AQ477"/>
  <c r="AQ478"/>
  <c r="AQ479"/>
  <c r="AQ480"/>
  <c r="AQ481"/>
  <c r="AQ482"/>
  <c r="AQ483"/>
  <c r="AQ484"/>
  <c r="AQ485"/>
  <c r="AQ486"/>
  <c r="AQ487"/>
  <c r="AQ488"/>
  <c r="AQ489"/>
  <c r="AQ490"/>
  <c r="AQ491"/>
  <c r="AQ492"/>
  <c r="AQ493"/>
  <c r="AQ494"/>
  <c r="AQ495"/>
  <c r="AQ496"/>
  <c r="AQ497"/>
  <c r="AQ498"/>
  <c r="AQ499"/>
  <c r="AQ500"/>
  <c r="AQ501"/>
  <c r="AQ502"/>
  <c r="AQ503"/>
  <c r="AQ504"/>
  <c r="AQ505"/>
  <c r="AQ506"/>
  <c r="AQ507"/>
  <c r="AQ508"/>
  <c r="AQ509"/>
  <c r="AQ510"/>
  <c r="AQ511"/>
  <c r="AQ512"/>
  <c r="AQ513"/>
  <c r="AQ514"/>
  <c r="AQ515"/>
  <c r="AQ516"/>
  <c r="AQ517"/>
  <c r="AQ518"/>
  <c r="AQ519"/>
  <c r="AQ520"/>
  <c r="AQ521"/>
  <c r="AQ522"/>
  <c r="AQ523"/>
  <c r="AQ524"/>
  <c r="AQ525"/>
  <c r="AQ526"/>
  <c r="AQ527"/>
  <c r="AQ528"/>
  <c r="AQ529"/>
  <c r="AQ530"/>
  <c r="AQ531"/>
  <c r="AQ532"/>
  <c r="AQ533"/>
  <c r="AQ534"/>
  <c r="AQ535"/>
  <c r="AQ536"/>
  <c r="AQ537"/>
  <c r="AQ538"/>
  <c r="AQ539"/>
  <c r="AQ540"/>
  <c r="AQ541"/>
  <c r="AQ542"/>
  <c r="AQ543"/>
  <c r="AQ544"/>
  <c r="AQ545"/>
  <c r="AQ546"/>
  <c r="AQ547"/>
  <c r="AQ548"/>
  <c r="AQ549"/>
  <c r="AQ550"/>
  <c r="AQ551"/>
  <c r="AQ552"/>
  <c r="AQ553"/>
  <c r="AQ554"/>
  <c r="AQ555"/>
  <c r="AQ556"/>
  <c r="AQ557"/>
  <c r="AQ558"/>
  <c r="AQ559"/>
  <c r="AQ560"/>
  <c r="AQ561"/>
  <c r="AQ562"/>
  <c r="AQ563"/>
  <c r="AQ564"/>
  <c r="AQ565"/>
  <c r="AQ566"/>
  <c r="AQ567"/>
  <c r="AQ568"/>
  <c r="AQ569"/>
  <c r="AQ570"/>
  <c r="AQ571"/>
  <c r="AQ572"/>
  <c r="AQ573"/>
  <c r="AQ574"/>
  <c r="AQ575"/>
  <c r="AQ576"/>
  <c r="AQ577"/>
  <c r="AQ578"/>
  <c r="AQ579"/>
  <c r="AQ580"/>
  <c r="AQ581"/>
  <c r="AQ582"/>
  <c r="AQ583"/>
  <c r="AQ584"/>
  <c r="AQ585"/>
  <c r="AQ586"/>
  <c r="AQ587"/>
  <c r="AQ588"/>
  <c r="AQ589"/>
  <c r="AQ590"/>
  <c r="AQ591"/>
  <c r="AQ592"/>
  <c r="AQ593"/>
  <c r="AQ594"/>
  <c r="AQ595"/>
  <c r="AQ596"/>
  <c r="AQ597"/>
  <c r="AQ598"/>
  <c r="AQ599"/>
  <c r="AQ600"/>
  <c r="AQ601"/>
  <c r="AQ602"/>
  <c r="AQ603"/>
  <c r="AQ604"/>
  <c r="AQ605"/>
  <c r="AQ606"/>
  <c r="AQ607"/>
  <c r="AQ608"/>
  <c r="AQ609"/>
  <c r="AQ610"/>
  <c r="AQ611"/>
  <c r="AQ612"/>
  <c r="AQ613"/>
  <c r="AQ614"/>
  <c r="AQ615"/>
  <c r="AQ616"/>
  <c r="AQ617"/>
  <c r="AQ618"/>
  <c r="AQ619"/>
  <c r="AQ620"/>
  <c r="AQ621"/>
  <c r="AQ622"/>
  <c r="AQ623"/>
  <c r="AQ624"/>
  <c r="AQ625"/>
  <c r="AQ626"/>
  <c r="AQ627"/>
  <c r="AQ628"/>
  <c r="AQ629"/>
  <c r="AQ630"/>
  <c r="AQ631"/>
  <c r="AQ632"/>
  <c r="AQ633"/>
  <c r="AQ634"/>
  <c r="AQ635"/>
  <c r="AQ636"/>
  <c r="AQ637"/>
  <c r="AQ638"/>
  <c r="AQ639"/>
  <c r="AQ640"/>
  <c r="AQ641"/>
  <c r="AQ642"/>
  <c r="AQ643"/>
  <c r="AQ644"/>
  <c r="AQ645"/>
  <c r="AQ646"/>
  <c r="AQ647"/>
  <c r="AQ648"/>
  <c r="AQ649"/>
  <c r="AQ650"/>
  <c r="AQ651"/>
  <c r="AQ652"/>
  <c r="AQ653"/>
  <c r="AQ654"/>
  <c r="AQ655"/>
  <c r="AQ656"/>
  <c r="AQ657"/>
  <c r="AQ658"/>
  <c r="AQ659"/>
  <c r="AQ660"/>
  <c r="AQ661"/>
  <c r="AQ662"/>
  <c r="AQ663"/>
  <c r="AQ664"/>
  <c r="AQ665"/>
  <c r="AQ666"/>
  <c r="AQ667"/>
  <c r="AQ668"/>
  <c r="AQ669"/>
  <c r="AQ670"/>
  <c r="AQ671"/>
  <c r="AQ672"/>
  <c r="AQ673"/>
  <c r="AQ674"/>
  <c r="AQ675"/>
  <c r="AQ676"/>
  <c r="AQ677"/>
  <c r="AQ678"/>
  <c r="AQ679"/>
  <c r="AQ680"/>
  <c r="AQ681"/>
  <c r="AQ682"/>
  <c r="AQ683"/>
  <c r="AQ684"/>
  <c r="AQ685"/>
  <c r="AQ686"/>
  <c r="AQ687"/>
  <c r="AQ688"/>
  <c r="AQ689"/>
  <c r="AQ690"/>
  <c r="AQ691"/>
  <c r="AQ692"/>
  <c r="AQ693"/>
  <c r="AQ694"/>
  <c r="AQ695"/>
  <c r="AQ696"/>
  <c r="AQ697"/>
  <c r="AQ698"/>
  <c r="AQ699"/>
  <c r="AQ700"/>
  <c r="AQ701"/>
  <c r="AQ702"/>
  <c r="AQ703"/>
  <c r="AQ704"/>
  <c r="AQ705"/>
  <c r="AQ706"/>
  <c r="AQ707"/>
  <c r="AQ708"/>
  <c r="AQ709"/>
  <c r="AQ710"/>
  <c r="AQ711"/>
  <c r="AQ712"/>
  <c r="AQ713"/>
  <c r="AQ714"/>
  <c r="AQ715"/>
  <c r="AQ716"/>
  <c r="AQ717"/>
  <c r="AQ718"/>
  <c r="AQ719"/>
  <c r="AQ720"/>
  <c r="AQ721"/>
  <c r="AQ722"/>
  <c r="AQ723"/>
  <c r="AQ724"/>
  <c r="AQ725"/>
  <c r="AQ726"/>
  <c r="AQ727"/>
  <c r="AQ728"/>
  <c r="AQ729"/>
  <c r="AQ730"/>
  <c r="AQ731"/>
  <c r="AQ732"/>
  <c r="AQ733"/>
  <c r="AQ734"/>
  <c r="AQ735"/>
  <c r="AQ736"/>
  <c r="AQ737"/>
  <c r="AQ738"/>
  <c r="AQ739"/>
  <c r="AQ740"/>
  <c r="AQ741"/>
  <c r="AQ742"/>
  <c r="AQ743"/>
  <c r="AQ744"/>
  <c r="AQ745"/>
  <c r="AQ746"/>
  <c r="AQ747"/>
  <c r="AQ748"/>
  <c r="AQ749"/>
  <c r="AQ750"/>
  <c r="AQ751"/>
  <c r="AQ752"/>
  <c r="AQ753"/>
  <c r="AQ754"/>
  <c r="AQ755"/>
  <c r="AQ756"/>
  <c r="AQ757"/>
  <c r="AQ758"/>
  <c r="AQ759"/>
  <c r="AQ760"/>
  <c r="AQ761"/>
  <c r="AQ762"/>
  <c r="AQ763"/>
  <c r="AQ764"/>
  <c r="AQ765"/>
  <c r="AQ766"/>
  <c r="AQ767"/>
  <c r="AQ768"/>
  <c r="AQ769"/>
  <c r="AQ770"/>
  <c r="AQ771"/>
  <c r="AQ772"/>
  <c r="AQ773"/>
  <c r="AQ774"/>
  <c r="AQ775"/>
  <c r="AQ776"/>
  <c r="AQ777"/>
  <c r="AQ778"/>
  <c r="AQ779"/>
  <c r="AQ780"/>
  <c r="AQ781"/>
  <c r="AQ782"/>
  <c r="AQ783"/>
  <c r="AQ784"/>
  <c r="AQ785"/>
  <c r="AQ786"/>
  <c r="AQ787"/>
  <c r="AQ788"/>
  <c r="AQ789"/>
  <c r="AQ790"/>
  <c r="AQ791"/>
  <c r="AQ792"/>
  <c r="AQ793"/>
  <c r="AQ794"/>
  <c r="AQ795"/>
  <c r="AQ796"/>
  <c r="AQ797"/>
  <c r="AQ798"/>
  <c r="AQ799"/>
  <c r="AQ800"/>
  <c r="AQ801"/>
  <c r="AQ802"/>
  <c r="AQ803"/>
  <c r="AQ804"/>
  <c r="AQ805"/>
  <c r="AQ806"/>
  <c r="AQ807"/>
  <c r="AQ808"/>
  <c r="AQ809"/>
  <c r="AQ810"/>
  <c r="AQ811"/>
  <c r="AQ812"/>
  <c r="AQ813"/>
  <c r="AQ814"/>
  <c r="AQ815"/>
  <c r="AQ816"/>
  <c r="AQ817"/>
  <c r="AQ818"/>
  <c r="AQ819"/>
  <c r="AQ820"/>
  <c r="AQ821"/>
  <c r="AQ822"/>
  <c r="AQ823"/>
  <c r="AQ824"/>
  <c r="AQ825"/>
  <c r="AQ826"/>
  <c r="AQ827"/>
  <c r="AQ828"/>
  <c r="AQ829"/>
  <c r="AQ830"/>
  <c r="AQ831"/>
  <c r="AQ832"/>
  <c r="AQ833"/>
  <c r="AQ834"/>
  <c r="AQ835"/>
  <c r="AQ836"/>
  <c r="AQ837"/>
  <c r="AQ838"/>
  <c r="AQ839"/>
  <c r="AQ840"/>
  <c r="AQ841"/>
  <c r="AQ842"/>
  <c r="AQ843"/>
  <c r="AQ844"/>
  <c r="AQ845"/>
  <c r="AQ846"/>
  <c r="AQ847"/>
  <c r="AQ848"/>
  <c r="AQ849"/>
  <c r="AQ850"/>
  <c r="AQ851"/>
  <c r="AQ852"/>
  <c r="AQ853"/>
  <c r="AQ854"/>
  <c r="AQ855"/>
  <c r="AQ856"/>
  <c r="AQ857"/>
  <c r="AQ858"/>
  <c r="AQ859"/>
  <c r="AQ860"/>
  <c r="AQ861"/>
  <c r="AQ862"/>
  <c r="AQ863"/>
  <c r="AQ864"/>
  <c r="AQ865"/>
  <c r="AQ866"/>
  <c r="AQ867"/>
  <c r="AQ868"/>
  <c r="AQ869"/>
  <c r="AQ870"/>
  <c r="AQ871"/>
  <c r="AQ872"/>
  <c r="AQ873"/>
  <c r="AQ874"/>
  <c r="AQ875"/>
  <c r="AQ876"/>
  <c r="AQ877"/>
  <c r="AQ878"/>
  <c r="AQ879"/>
  <c r="AQ880"/>
  <c r="AQ881"/>
  <c r="F6" i="3"/>
  <c r="D6"/>
  <c r="C9"/>
  <c r="C8"/>
  <c r="AK2" i="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375"/>
  <c r="AK376"/>
  <c r="AK377"/>
  <c r="AK378"/>
  <c r="AK379"/>
  <c r="AK380"/>
  <c r="AK381"/>
  <c r="AK382"/>
  <c r="AK383"/>
  <c r="AK384"/>
  <c r="AK385"/>
  <c r="AK386"/>
  <c r="AK387"/>
  <c r="AK388"/>
  <c r="AK389"/>
  <c r="AK390"/>
  <c r="AK391"/>
  <c r="AK392"/>
  <c r="AK393"/>
  <c r="AK394"/>
  <c r="AK395"/>
  <c r="AK396"/>
  <c r="AK397"/>
  <c r="AK398"/>
  <c r="AK399"/>
  <c r="AK400"/>
  <c r="AK401"/>
  <c r="AK402"/>
  <c r="AK403"/>
  <c r="AK404"/>
  <c r="AK405"/>
  <c r="AK406"/>
  <c r="AK407"/>
  <c r="AK408"/>
  <c r="AK409"/>
  <c r="AK410"/>
  <c r="AK411"/>
  <c r="AK412"/>
  <c r="AK413"/>
  <c r="AK414"/>
  <c r="AK415"/>
  <c r="AK416"/>
  <c r="AK417"/>
  <c r="AK418"/>
  <c r="AK419"/>
  <c r="AK420"/>
  <c r="AK421"/>
  <c r="AK422"/>
  <c r="AK423"/>
  <c r="AK424"/>
  <c r="AK425"/>
  <c r="AK426"/>
  <c r="AK427"/>
  <c r="AK428"/>
  <c r="AK429"/>
  <c r="AK430"/>
  <c r="AK431"/>
  <c r="AK432"/>
  <c r="AK433"/>
  <c r="AK434"/>
  <c r="AK435"/>
  <c r="AK436"/>
  <c r="AK437"/>
  <c r="AK438"/>
  <c r="AK439"/>
  <c r="AK440"/>
  <c r="AK441"/>
  <c r="AK442"/>
  <c r="AK443"/>
  <c r="AK444"/>
  <c r="AK445"/>
  <c r="AK446"/>
  <c r="AK447"/>
  <c r="AK448"/>
  <c r="AK449"/>
  <c r="AK450"/>
  <c r="AK451"/>
  <c r="AK452"/>
  <c r="AK453"/>
  <c r="AK454"/>
  <c r="AK455"/>
  <c r="AK456"/>
  <c r="AK457"/>
  <c r="AK458"/>
  <c r="AK459"/>
  <c r="AK460"/>
  <c r="AK461"/>
  <c r="AK462"/>
  <c r="AK463"/>
  <c r="AK464"/>
  <c r="AK465"/>
  <c r="AK466"/>
  <c r="AK467"/>
  <c r="AK468"/>
  <c r="AK469"/>
  <c r="AK470"/>
  <c r="AK471"/>
  <c r="AK472"/>
  <c r="AK473"/>
  <c r="AK474"/>
  <c r="AK475"/>
  <c r="AK476"/>
  <c r="AK477"/>
  <c r="AK478"/>
  <c r="AK479"/>
  <c r="AK480"/>
  <c r="AK481"/>
  <c r="AK482"/>
  <c r="AK483"/>
  <c r="AK484"/>
  <c r="AK485"/>
  <c r="AK486"/>
  <c r="AK487"/>
  <c r="AK488"/>
  <c r="AK489"/>
  <c r="AK490"/>
  <c r="AK491"/>
  <c r="AK492"/>
  <c r="AK493"/>
  <c r="AK494"/>
  <c r="AK495"/>
  <c r="AK496"/>
  <c r="AK497"/>
  <c r="AK498"/>
  <c r="AK499"/>
  <c r="AK500"/>
  <c r="AK501"/>
  <c r="AK502"/>
  <c r="AK503"/>
  <c r="AK504"/>
  <c r="AK505"/>
  <c r="AK506"/>
  <c r="AK507"/>
  <c r="AK508"/>
  <c r="AK509"/>
  <c r="AK510"/>
  <c r="AK511"/>
  <c r="AK512"/>
  <c r="AK513"/>
  <c r="AK514"/>
  <c r="AK515"/>
  <c r="AK516"/>
  <c r="AK517"/>
  <c r="AK518"/>
  <c r="AK519"/>
  <c r="AK520"/>
  <c r="AK521"/>
  <c r="AK522"/>
  <c r="AK523"/>
  <c r="AK524"/>
  <c r="AK525"/>
  <c r="AK526"/>
  <c r="AK527"/>
  <c r="AK528"/>
  <c r="AK529"/>
  <c r="AK530"/>
  <c r="AK531"/>
  <c r="AK532"/>
  <c r="AK533"/>
  <c r="AK534"/>
  <c r="AK535"/>
  <c r="AK536"/>
  <c r="AK537"/>
  <c r="AK538"/>
  <c r="AK539"/>
  <c r="AK540"/>
  <c r="AK541"/>
  <c r="AK542"/>
  <c r="AK543"/>
  <c r="AK544"/>
  <c r="AK545"/>
  <c r="AK546"/>
  <c r="AK547"/>
  <c r="AK548"/>
  <c r="AK549"/>
  <c r="AK550"/>
  <c r="AK551"/>
  <c r="AK552"/>
  <c r="AK553"/>
  <c r="AK554"/>
  <c r="AK555"/>
  <c r="AK556"/>
  <c r="AK557"/>
  <c r="AK558"/>
  <c r="AK559"/>
  <c r="AK560"/>
  <c r="AK561"/>
  <c r="AK562"/>
  <c r="AK563"/>
  <c r="AK564"/>
  <c r="AK565"/>
  <c r="AK566"/>
  <c r="AK567"/>
  <c r="AK568"/>
  <c r="AK569"/>
  <c r="AK570"/>
  <c r="AK571"/>
  <c r="AK572"/>
  <c r="AK573"/>
  <c r="AK574"/>
  <c r="AK575"/>
  <c r="AK576"/>
  <c r="AK577"/>
  <c r="AK578"/>
  <c r="AK579"/>
  <c r="AK580"/>
  <c r="AK581"/>
  <c r="AK582"/>
  <c r="AK583"/>
  <c r="AK584"/>
  <c r="AK585"/>
  <c r="AK586"/>
  <c r="AK587"/>
  <c r="AK588"/>
  <c r="AK589"/>
  <c r="AK590"/>
  <c r="AK591"/>
  <c r="AK592"/>
  <c r="AK593"/>
  <c r="AK594"/>
  <c r="AK595"/>
  <c r="AK596"/>
  <c r="AK597"/>
  <c r="AK598"/>
  <c r="AK599"/>
  <c r="AK600"/>
  <c r="AK601"/>
  <c r="AK602"/>
  <c r="AK603"/>
  <c r="AK604"/>
  <c r="AK605"/>
  <c r="AK606"/>
  <c r="AK607"/>
  <c r="AK608"/>
  <c r="AK609"/>
  <c r="AK610"/>
  <c r="AK611"/>
  <c r="AK612"/>
  <c r="AK613"/>
  <c r="AK614"/>
  <c r="AK615"/>
  <c r="AK616"/>
  <c r="AK617"/>
  <c r="AK618"/>
  <c r="AK619"/>
  <c r="AK620"/>
  <c r="AK621"/>
  <c r="AK622"/>
  <c r="AK623"/>
  <c r="AK624"/>
  <c r="AK625"/>
  <c r="AK626"/>
  <c r="AK627"/>
  <c r="AK628"/>
  <c r="AK629"/>
  <c r="AK630"/>
  <c r="AK631"/>
  <c r="AK632"/>
  <c r="AK633"/>
  <c r="AK634"/>
  <c r="AK635"/>
  <c r="AK636"/>
  <c r="AK637"/>
  <c r="AK638"/>
  <c r="AK639"/>
  <c r="AK640"/>
  <c r="AK641"/>
  <c r="AK642"/>
  <c r="AK643"/>
  <c r="AK644"/>
  <c r="AK645"/>
  <c r="AK646"/>
  <c r="AK647"/>
  <c r="AK648"/>
  <c r="AK649"/>
  <c r="AK650"/>
  <c r="AK651"/>
  <c r="AK652"/>
  <c r="AK653"/>
  <c r="AK654"/>
  <c r="AK655"/>
  <c r="AK656"/>
  <c r="AK657"/>
  <c r="AK658"/>
  <c r="AK659"/>
  <c r="AK660"/>
  <c r="AK661"/>
  <c r="AK662"/>
  <c r="AK663"/>
  <c r="AK664"/>
  <c r="AK665"/>
  <c r="AK666"/>
  <c r="AK667"/>
  <c r="AK668"/>
  <c r="AK669"/>
  <c r="AK670"/>
  <c r="AK671"/>
  <c r="AK672"/>
  <c r="AK673"/>
  <c r="AK674"/>
  <c r="AK675"/>
  <c r="AK676"/>
  <c r="AK677"/>
  <c r="AK678"/>
  <c r="AK679"/>
  <c r="AK680"/>
  <c r="AK681"/>
  <c r="AK682"/>
  <c r="AK683"/>
  <c r="AK684"/>
  <c r="AK685"/>
  <c r="AK686"/>
  <c r="AK687"/>
  <c r="AK688"/>
  <c r="AK689"/>
  <c r="AK690"/>
  <c r="AK691"/>
  <c r="AK692"/>
  <c r="AK693"/>
  <c r="AK694"/>
  <c r="AK695"/>
  <c r="AK696"/>
  <c r="AK697"/>
  <c r="AK698"/>
  <c r="AK699"/>
  <c r="AK700"/>
  <c r="AK701"/>
  <c r="AK702"/>
  <c r="AK703"/>
  <c r="AK704"/>
  <c r="AK705"/>
  <c r="AK706"/>
  <c r="AK707"/>
  <c r="AK708"/>
  <c r="AK709"/>
  <c r="AK710"/>
  <c r="AK711"/>
  <c r="AK712"/>
  <c r="AK713"/>
  <c r="AK714"/>
  <c r="AK715"/>
  <c r="AK716"/>
  <c r="AK717"/>
  <c r="AK718"/>
  <c r="AK719"/>
  <c r="AK720"/>
  <c r="AK721"/>
  <c r="AK722"/>
  <c r="AK723"/>
  <c r="AK724"/>
  <c r="AK725"/>
  <c r="AK726"/>
  <c r="AK727"/>
  <c r="AK728"/>
  <c r="AK729"/>
  <c r="AK730"/>
  <c r="AK731"/>
  <c r="AK732"/>
  <c r="AK733"/>
  <c r="AK734"/>
  <c r="AK735"/>
  <c r="AK736"/>
  <c r="AK737"/>
  <c r="AK738"/>
  <c r="AK739"/>
  <c r="AK740"/>
  <c r="AK741"/>
  <c r="AK742"/>
  <c r="AK743"/>
  <c r="AK744"/>
  <c r="AK745"/>
  <c r="AK746"/>
  <c r="AK747"/>
  <c r="AK748"/>
  <c r="AK749"/>
  <c r="AK750"/>
  <c r="AK751"/>
  <c r="AK752"/>
  <c r="AK753"/>
  <c r="AK754"/>
  <c r="AK755"/>
  <c r="AK756"/>
  <c r="AK757"/>
  <c r="AK758"/>
  <c r="AK759"/>
  <c r="AK760"/>
  <c r="AK761"/>
  <c r="AK762"/>
  <c r="AK763"/>
  <c r="AK764"/>
  <c r="AK765"/>
  <c r="AK766"/>
  <c r="AK767"/>
  <c r="AK768"/>
  <c r="AK769"/>
  <c r="AK770"/>
  <c r="AK771"/>
  <c r="AK772"/>
  <c r="AK773"/>
  <c r="AK774"/>
  <c r="AK775"/>
  <c r="AK776"/>
  <c r="AK777"/>
  <c r="AK778"/>
  <c r="AK779"/>
  <c r="AK780"/>
  <c r="AK781"/>
  <c r="AK782"/>
  <c r="AK783"/>
  <c r="AK784"/>
  <c r="AK785"/>
  <c r="AK786"/>
  <c r="AK787"/>
  <c r="AK788"/>
  <c r="AK789"/>
  <c r="AK790"/>
  <c r="AK791"/>
  <c r="AK792"/>
  <c r="AK793"/>
  <c r="AK794"/>
  <c r="AK795"/>
  <c r="AK796"/>
  <c r="AK797"/>
  <c r="AK798"/>
  <c r="AK799"/>
  <c r="AK800"/>
  <c r="AK801"/>
  <c r="AK802"/>
  <c r="AK803"/>
  <c r="AK804"/>
  <c r="AK805"/>
  <c r="AK806"/>
  <c r="AK807"/>
  <c r="AK808"/>
  <c r="AK809"/>
  <c r="AK810"/>
  <c r="AK811"/>
  <c r="AK812"/>
  <c r="AK813"/>
  <c r="AK814"/>
  <c r="AK815"/>
  <c r="AK816"/>
  <c r="AK817"/>
  <c r="AK818"/>
  <c r="AK819"/>
  <c r="AK820"/>
  <c r="AK821"/>
  <c r="AK822"/>
  <c r="AK823"/>
  <c r="AK824"/>
  <c r="AK825"/>
  <c r="AK826"/>
  <c r="AK827"/>
  <c r="AK828"/>
  <c r="AK829"/>
  <c r="AK830"/>
  <c r="AK831"/>
  <c r="AK832"/>
  <c r="AK833"/>
  <c r="AK834"/>
  <c r="AK835"/>
  <c r="AK836"/>
  <c r="AK837"/>
  <c r="AK838"/>
  <c r="AK839"/>
  <c r="AK840"/>
  <c r="AK841"/>
  <c r="AK842"/>
  <c r="AK843"/>
  <c r="AK844"/>
  <c r="AK845"/>
  <c r="AK846"/>
  <c r="AK847"/>
  <c r="AK848"/>
  <c r="AK849"/>
  <c r="AK850"/>
  <c r="AK851"/>
  <c r="AK852"/>
  <c r="AK853"/>
  <c r="AK854"/>
  <c r="AK855"/>
  <c r="AK856"/>
  <c r="AK857"/>
  <c r="AK858"/>
  <c r="AK859"/>
  <c r="AK860"/>
  <c r="AK861"/>
  <c r="AK862"/>
  <c r="AK863"/>
  <c r="AK864"/>
  <c r="AK865"/>
  <c r="AK866"/>
  <c r="AK867"/>
  <c r="AK868"/>
  <c r="AK869"/>
  <c r="AK870"/>
  <c r="AK871"/>
  <c r="AK872"/>
  <c r="AK873"/>
  <c r="AK874"/>
  <c r="AK875"/>
  <c r="AK876"/>
  <c r="AK877"/>
  <c r="AK878"/>
  <c r="AK879"/>
  <c r="AK880"/>
  <c r="AK881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720"/>
  <c r="AJ721"/>
  <c r="AJ722"/>
  <c r="AJ723"/>
  <c r="AJ724"/>
  <c r="AJ725"/>
  <c r="AJ726"/>
  <c r="AJ727"/>
  <c r="AJ728"/>
  <c r="AJ729"/>
  <c r="AJ730"/>
  <c r="AJ731"/>
  <c r="AJ732"/>
  <c r="AJ733"/>
  <c r="AJ734"/>
  <c r="AJ735"/>
  <c r="AJ736"/>
  <c r="AJ737"/>
  <c r="AJ738"/>
  <c r="AJ739"/>
  <c r="AJ740"/>
  <c r="AJ741"/>
  <c r="AJ742"/>
  <c r="AJ743"/>
  <c r="AJ744"/>
  <c r="AJ745"/>
  <c r="AJ746"/>
  <c r="AJ747"/>
  <c r="AJ748"/>
  <c r="AJ749"/>
  <c r="AJ750"/>
  <c r="AJ751"/>
  <c r="AJ752"/>
  <c r="AJ753"/>
  <c r="AJ754"/>
  <c r="AJ755"/>
  <c r="AJ756"/>
  <c r="AJ757"/>
  <c r="AJ758"/>
  <c r="AJ759"/>
  <c r="AJ760"/>
  <c r="AJ761"/>
  <c r="AJ762"/>
  <c r="AJ763"/>
  <c r="AJ764"/>
  <c r="AJ765"/>
  <c r="AJ766"/>
  <c r="AJ767"/>
  <c r="AJ768"/>
  <c r="AJ769"/>
  <c r="AJ770"/>
  <c r="AJ771"/>
  <c r="AJ772"/>
  <c r="AJ773"/>
  <c r="AJ774"/>
  <c r="AJ775"/>
  <c r="AJ776"/>
  <c r="AJ777"/>
  <c r="AJ778"/>
  <c r="AJ779"/>
  <c r="AJ780"/>
  <c r="AJ781"/>
  <c r="AJ782"/>
  <c r="AJ783"/>
  <c r="AJ784"/>
  <c r="AJ785"/>
  <c r="AJ786"/>
  <c r="AJ787"/>
  <c r="AJ788"/>
  <c r="AJ789"/>
  <c r="AJ790"/>
  <c r="AJ791"/>
  <c r="AJ792"/>
  <c r="AJ793"/>
  <c r="AJ794"/>
  <c r="AJ795"/>
  <c r="AJ796"/>
  <c r="AJ797"/>
  <c r="AJ798"/>
  <c r="AJ799"/>
  <c r="AJ800"/>
  <c r="AJ801"/>
  <c r="AJ802"/>
  <c r="AJ803"/>
  <c r="AJ804"/>
  <c r="AJ805"/>
  <c r="AJ806"/>
  <c r="AJ807"/>
  <c r="AJ808"/>
  <c r="AJ809"/>
  <c r="AJ810"/>
  <c r="AJ811"/>
  <c r="AJ812"/>
  <c r="AJ813"/>
  <c r="AJ814"/>
  <c r="AJ815"/>
  <c r="AJ816"/>
  <c r="AJ817"/>
  <c r="AJ818"/>
  <c r="AJ819"/>
  <c r="AJ820"/>
  <c r="AJ821"/>
  <c r="AJ822"/>
  <c r="AJ823"/>
  <c r="AJ824"/>
  <c r="AJ825"/>
  <c r="AJ826"/>
  <c r="AJ827"/>
  <c r="AJ828"/>
  <c r="AJ829"/>
  <c r="AJ830"/>
  <c r="AJ831"/>
  <c r="AJ832"/>
  <c r="AJ833"/>
  <c r="AJ834"/>
  <c r="AJ835"/>
  <c r="AJ836"/>
  <c r="AJ837"/>
  <c r="AJ838"/>
  <c r="AJ839"/>
  <c r="AJ840"/>
  <c r="AJ841"/>
  <c r="AJ842"/>
  <c r="AJ843"/>
  <c r="AJ844"/>
  <c r="AJ845"/>
  <c r="AJ846"/>
  <c r="AJ847"/>
  <c r="AJ848"/>
  <c r="AJ849"/>
  <c r="AJ850"/>
  <c r="AJ851"/>
  <c r="AJ852"/>
  <c r="AJ853"/>
  <c r="AJ854"/>
  <c r="AJ855"/>
  <c r="AJ856"/>
  <c r="AJ857"/>
  <c r="AJ858"/>
  <c r="AJ859"/>
  <c r="AJ860"/>
  <c r="AJ861"/>
  <c r="AJ862"/>
  <c r="AJ863"/>
  <c r="AJ864"/>
  <c r="AJ865"/>
  <c r="AJ866"/>
  <c r="AJ867"/>
  <c r="AJ868"/>
  <c r="AJ869"/>
  <c r="AJ870"/>
  <c r="AJ871"/>
  <c r="AJ872"/>
  <c r="AJ873"/>
  <c r="AJ874"/>
  <c r="AJ875"/>
  <c r="AJ876"/>
  <c r="AJ877"/>
  <c r="AJ878"/>
  <c r="AJ879"/>
  <c r="AJ880"/>
  <c r="AJ881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720"/>
  <c r="AI721"/>
  <c r="AI722"/>
  <c r="AI723"/>
  <c r="AI724"/>
  <c r="AI725"/>
  <c r="AI726"/>
  <c r="AI727"/>
  <c r="AI728"/>
  <c r="AI729"/>
  <c r="AI730"/>
  <c r="AI731"/>
  <c r="AI732"/>
  <c r="AI733"/>
  <c r="AI734"/>
  <c r="AI735"/>
  <c r="AI736"/>
  <c r="AI737"/>
  <c r="AI738"/>
  <c r="AI739"/>
  <c r="AI740"/>
  <c r="AI741"/>
  <c r="AI742"/>
  <c r="AI743"/>
  <c r="AI744"/>
  <c r="AI745"/>
  <c r="AI746"/>
  <c r="AI747"/>
  <c r="AI748"/>
  <c r="AI749"/>
  <c r="AI750"/>
  <c r="AI751"/>
  <c r="AI752"/>
  <c r="AI753"/>
  <c r="AI754"/>
  <c r="AI755"/>
  <c r="AI756"/>
  <c r="AI757"/>
  <c r="AI758"/>
  <c r="AI759"/>
  <c r="AI760"/>
  <c r="AI761"/>
  <c r="AI762"/>
  <c r="AI763"/>
  <c r="AI764"/>
  <c r="AI765"/>
  <c r="AI766"/>
  <c r="AI767"/>
  <c r="AI768"/>
  <c r="AI769"/>
  <c r="AI770"/>
  <c r="AI771"/>
  <c r="AI772"/>
  <c r="AI773"/>
  <c r="AI774"/>
  <c r="AI775"/>
  <c r="AI776"/>
  <c r="AI777"/>
  <c r="AI778"/>
  <c r="AI779"/>
  <c r="AI780"/>
  <c r="AI781"/>
  <c r="AI782"/>
  <c r="AI783"/>
  <c r="AI784"/>
  <c r="AI785"/>
  <c r="AI786"/>
  <c r="AI787"/>
  <c r="AI788"/>
  <c r="AI789"/>
  <c r="AI790"/>
  <c r="AI791"/>
  <c r="AI792"/>
  <c r="AI793"/>
  <c r="AI794"/>
  <c r="AI795"/>
  <c r="AI796"/>
  <c r="AI797"/>
  <c r="AI798"/>
  <c r="AI799"/>
  <c r="AI800"/>
  <c r="AI801"/>
  <c r="AI802"/>
  <c r="AI803"/>
  <c r="AI804"/>
  <c r="AI805"/>
  <c r="AI806"/>
  <c r="AI807"/>
  <c r="AI808"/>
  <c r="AI809"/>
  <c r="AI810"/>
  <c r="AI811"/>
  <c r="AI812"/>
  <c r="AI813"/>
  <c r="AI814"/>
  <c r="AI815"/>
  <c r="AI816"/>
  <c r="AI817"/>
  <c r="AI818"/>
  <c r="AI819"/>
  <c r="AI820"/>
  <c r="AI821"/>
  <c r="AI822"/>
  <c r="AI823"/>
  <c r="AI824"/>
  <c r="AI825"/>
  <c r="AI826"/>
  <c r="AI827"/>
  <c r="AI828"/>
  <c r="AI829"/>
  <c r="AI830"/>
  <c r="AI831"/>
  <c r="AI832"/>
  <c r="AI833"/>
  <c r="AI834"/>
  <c r="AI835"/>
  <c r="AI836"/>
  <c r="AI837"/>
  <c r="AI838"/>
  <c r="AI839"/>
  <c r="AI840"/>
  <c r="AI841"/>
  <c r="AI842"/>
  <c r="AI843"/>
  <c r="AI844"/>
  <c r="AI845"/>
  <c r="AI846"/>
  <c r="AI847"/>
  <c r="AI848"/>
  <c r="AI849"/>
  <c r="AI850"/>
  <c r="AI851"/>
  <c r="AI852"/>
  <c r="AI853"/>
  <c r="AI854"/>
  <c r="AI855"/>
  <c r="AI856"/>
  <c r="AI857"/>
  <c r="AI858"/>
  <c r="AI859"/>
  <c r="AI860"/>
  <c r="AI861"/>
  <c r="AI862"/>
  <c r="AI863"/>
  <c r="AI864"/>
  <c r="AI865"/>
  <c r="AI866"/>
  <c r="AI867"/>
  <c r="AI868"/>
  <c r="AI869"/>
  <c r="AI870"/>
  <c r="AI871"/>
  <c r="AI872"/>
  <c r="AI873"/>
  <c r="AI874"/>
  <c r="AI875"/>
  <c r="AI876"/>
  <c r="AI877"/>
  <c r="AI878"/>
  <c r="AI879"/>
  <c r="AI880"/>
  <c r="AI88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H650"/>
  <c r="AH651"/>
  <c r="AH652"/>
  <c r="AH653"/>
  <c r="AH654"/>
  <c r="AH655"/>
  <c r="AH656"/>
  <c r="AH657"/>
  <c r="AH658"/>
  <c r="AH659"/>
  <c r="AH660"/>
  <c r="AH661"/>
  <c r="AH662"/>
  <c r="AH663"/>
  <c r="AH664"/>
  <c r="AH665"/>
  <c r="AH666"/>
  <c r="AH667"/>
  <c r="AH668"/>
  <c r="AH669"/>
  <c r="AH670"/>
  <c r="AH671"/>
  <c r="AH672"/>
  <c r="AH673"/>
  <c r="AH674"/>
  <c r="AH675"/>
  <c r="AH676"/>
  <c r="AH677"/>
  <c r="AH678"/>
  <c r="AH679"/>
  <c r="AH680"/>
  <c r="AH681"/>
  <c r="AH682"/>
  <c r="AH683"/>
  <c r="AH684"/>
  <c r="AH685"/>
  <c r="AH686"/>
  <c r="AH687"/>
  <c r="AH688"/>
  <c r="AH689"/>
  <c r="AH690"/>
  <c r="AH691"/>
  <c r="AH692"/>
  <c r="AH693"/>
  <c r="AH694"/>
  <c r="AH695"/>
  <c r="AH696"/>
  <c r="AH697"/>
  <c r="AH698"/>
  <c r="AH699"/>
  <c r="AH700"/>
  <c r="AH701"/>
  <c r="AH702"/>
  <c r="AH703"/>
  <c r="AH704"/>
  <c r="AH705"/>
  <c r="AH706"/>
  <c r="AH707"/>
  <c r="AH708"/>
  <c r="AH709"/>
  <c r="AH710"/>
  <c r="AH711"/>
  <c r="AH712"/>
  <c r="AH713"/>
  <c r="AH714"/>
  <c r="AH715"/>
  <c r="AH716"/>
  <c r="AH717"/>
  <c r="AH718"/>
  <c r="AH719"/>
  <c r="AH720"/>
  <c r="AH721"/>
  <c r="AH722"/>
  <c r="AH723"/>
  <c r="AH724"/>
  <c r="AH725"/>
  <c r="AH726"/>
  <c r="AH727"/>
  <c r="AH728"/>
  <c r="AH729"/>
  <c r="AH730"/>
  <c r="AH731"/>
  <c r="AH732"/>
  <c r="AH733"/>
  <c r="AH734"/>
  <c r="AH735"/>
  <c r="AH736"/>
  <c r="AH737"/>
  <c r="AH738"/>
  <c r="AH739"/>
  <c r="AH740"/>
  <c r="AH741"/>
  <c r="AH742"/>
  <c r="AH743"/>
  <c r="AH744"/>
  <c r="AH745"/>
  <c r="AH746"/>
  <c r="AH747"/>
  <c r="AH748"/>
  <c r="AH749"/>
  <c r="AH750"/>
  <c r="AH751"/>
  <c r="AH752"/>
  <c r="AH753"/>
  <c r="AH754"/>
  <c r="AH755"/>
  <c r="AH756"/>
  <c r="AH757"/>
  <c r="AH758"/>
  <c r="AH759"/>
  <c r="AH760"/>
  <c r="AH761"/>
  <c r="AH762"/>
  <c r="AH763"/>
  <c r="AH764"/>
  <c r="AH765"/>
  <c r="AH766"/>
  <c r="AH767"/>
  <c r="AH768"/>
  <c r="AH769"/>
  <c r="AH770"/>
  <c r="AH771"/>
  <c r="AH772"/>
  <c r="AH773"/>
  <c r="AH774"/>
  <c r="AH775"/>
  <c r="AH776"/>
  <c r="AH777"/>
  <c r="AH778"/>
  <c r="AH779"/>
  <c r="AH780"/>
  <c r="AH781"/>
  <c r="AH782"/>
  <c r="AH783"/>
  <c r="AH784"/>
  <c r="AH785"/>
  <c r="AH786"/>
  <c r="AH787"/>
  <c r="AH788"/>
  <c r="AH789"/>
  <c r="AH790"/>
  <c r="AH791"/>
  <c r="AH792"/>
  <c r="AH793"/>
  <c r="AH794"/>
  <c r="AH795"/>
  <c r="AH796"/>
  <c r="AH797"/>
  <c r="AH798"/>
  <c r="AH799"/>
  <c r="AH800"/>
  <c r="AH801"/>
  <c r="AH802"/>
  <c r="AH803"/>
  <c r="AH804"/>
  <c r="AH805"/>
  <c r="AH806"/>
  <c r="AH807"/>
  <c r="AH808"/>
  <c r="AH809"/>
  <c r="AH810"/>
  <c r="AH811"/>
  <c r="AH812"/>
  <c r="AH813"/>
  <c r="AH814"/>
  <c r="AH815"/>
  <c r="AH816"/>
  <c r="AH817"/>
  <c r="AH818"/>
  <c r="AH819"/>
  <c r="AH820"/>
  <c r="AH821"/>
  <c r="AH822"/>
  <c r="AH823"/>
  <c r="AH824"/>
  <c r="AH825"/>
  <c r="AH826"/>
  <c r="AH827"/>
  <c r="AH828"/>
  <c r="AH829"/>
  <c r="AH830"/>
  <c r="AH831"/>
  <c r="AH832"/>
  <c r="AH833"/>
  <c r="AH834"/>
  <c r="AH835"/>
  <c r="AH836"/>
  <c r="AH837"/>
  <c r="AH838"/>
  <c r="AH839"/>
  <c r="AH840"/>
  <c r="AH841"/>
  <c r="AH842"/>
  <c r="AH843"/>
  <c r="AH844"/>
  <c r="AH845"/>
  <c r="AH846"/>
  <c r="AH847"/>
  <c r="AH848"/>
  <c r="AH849"/>
  <c r="AH850"/>
  <c r="AH851"/>
  <c r="AH852"/>
  <c r="AH853"/>
  <c r="AH854"/>
  <c r="AH855"/>
  <c r="AH856"/>
  <c r="AH857"/>
  <c r="AH858"/>
  <c r="AH859"/>
  <c r="AH860"/>
  <c r="AH861"/>
  <c r="AH862"/>
  <c r="AH863"/>
  <c r="AH864"/>
  <c r="AH865"/>
  <c r="AH866"/>
  <c r="AH867"/>
  <c r="AH868"/>
  <c r="AH869"/>
  <c r="AH870"/>
  <c r="AH871"/>
  <c r="AH872"/>
  <c r="AH873"/>
  <c r="AH874"/>
  <c r="AH875"/>
  <c r="AH876"/>
  <c r="AH877"/>
  <c r="AH878"/>
  <c r="AH879"/>
  <c r="AH880"/>
  <c r="AH881"/>
  <c r="AE58"/>
  <c r="AF58" s="1"/>
  <c r="AG58"/>
  <c r="AE66"/>
  <c r="AF66" s="1"/>
  <c r="AG66"/>
  <c r="AE74"/>
  <c r="AF74" s="1"/>
  <c r="AG74"/>
  <c r="AE87"/>
  <c r="AF87" s="1"/>
  <c r="AG87"/>
  <c r="AE94"/>
  <c r="AF94" s="1"/>
  <c r="AG94"/>
  <c r="AE102"/>
  <c r="AF102" s="1"/>
  <c r="AG102"/>
  <c r="AE110"/>
  <c r="AF110" s="1"/>
  <c r="AG110"/>
  <c r="AE118"/>
  <c r="AF118" s="1"/>
  <c r="AG118"/>
  <c r="AE125"/>
  <c r="AF125" s="1"/>
  <c r="AG125"/>
  <c r="AE133"/>
  <c r="AF133" s="1"/>
  <c r="AG133"/>
  <c r="AE140"/>
  <c r="AF140" s="1"/>
  <c r="AG140"/>
  <c r="AE148"/>
  <c r="AF148" s="1"/>
  <c r="AG148"/>
  <c r="AE156"/>
  <c r="AF156" s="1"/>
  <c r="AG156"/>
  <c r="AE163"/>
  <c r="AF163" s="1"/>
  <c r="AG163"/>
  <c r="AE177"/>
  <c r="AF177" s="1"/>
  <c r="AG177"/>
  <c r="AE184"/>
  <c r="AF184" s="1"/>
  <c r="AG184"/>
  <c r="AE192"/>
  <c r="AF192" s="1"/>
  <c r="AG192"/>
  <c r="AE199"/>
  <c r="AF199" s="1"/>
  <c r="AG199"/>
  <c r="AE206"/>
  <c r="AF206" s="1"/>
  <c r="AG206"/>
  <c r="AE220"/>
  <c r="AF220" s="1"/>
  <c r="AG220"/>
  <c r="AE228"/>
  <c r="AF228" s="1"/>
  <c r="AG228"/>
  <c r="AE243"/>
  <c r="AF243" s="1"/>
  <c r="AG243"/>
  <c r="AE250"/>
  <c r="AF250" s="1"/>
  <c r="AG250"/>
  <c r="AE257"/>
  <c r="AF257" s="1"/>
  <c r="AG257"/>
  <c r="AE272"/>
  <c r="AF272" s="1"/>
  <c r="AG272"/>
  <c r="AE280"/>
  <c r="AF280" s="1"/>
  <c r="AG280"/>
  <c r="AE287"/>
  <c r="AF287" s="1"/>
  <c r="AG287"/>
  <c r="AE294"/>
  <c r="AF294" s="1"/>
  <c r="AG294"/>
  <c r="AE301"/>
  <c r="AF301" s="1"/>
  <c r="AG301"/>
  <c r="AE308"/>
  <c r="AF308" s="1"/>
  <c r="AG308"/>
  <c r="AE322"/>
  <c r="AF322" s="1"/>
  <c r="AG322"/>
  <c r="AE330"/>
  <c r="AF330" s="1"/>
  <c r="AG330"/>
  <c r="AE337"/>
  <c r="AF337" s="1"/>
  <c r="AG337"/>
  <c r="AE344"/>
  <c r="AF344" s="1"/>
  <c r="AG344"/>
  <c r="AE351"/>
  <c r="AF351" s="1"/>
  <c r="AG351"/>
  <c r="AE359"/>
  <c r="AF359" s="1"/>
  <c r="AG359"/>
  <c r="AE367"/>
  <c r="AF367" s="1"/>
  <c r="AG367"/>
  <c r="AE374"/>
  <c r="AF374" s="1"/>
  <c r="AG374"/>
  <c r="AE383"/>
  <c r="AF383" s="1"/>
  <c r="AG383"/>
  <c r="AE390"/>
  <c r="AF390" s="1"/>
  <c r="AG390"/>
  <c r="AE397"/>
  <c r="AF397" s="1"/>
  <c r="AG397"/>
  <c r="AE410"/>
  <c r="AF410" s="1"/>
  <c r="AG410"/>
  <c r="AE416"/>
  <c r="AF416" s="1"/>
  <c r="AG416"/>
  <c r="AE423"/>
  <c r="AF423" s="1"/>
  <c r="AG423"/>
  <c r="AE437"/>
  <c r="AF437" s="1"/>
  <c r="AG437"/>
  <c r="AE444"/>
  <c r="AF444" s="1"/>
  <c r="AG444"/>
  <c r="AE451"/>
  <c r="AF451" s="1"/>
  <c r="AG451"/>
  <c r="AE458"/>
  <c r="AF458" s="1"/>
  <c r="AG458"/>
  <c r="AE465"/>
  <c r="AF465" s="1"/>
  <c r="AG465"/>
  <c r="AE472"/>
  <c r="AF472" s="1"/>
  <c r="AG472"/>
  <c r="AE480"/>
  <c r="AF480" s="1"/>
  <c r="AG480"/>
  <c r="AE487"/>
  <c r="AF487" s="1"/>
  <c r="AG487"/>
  <c r="AE495"/>
  <c r="AF495" s="1"/>
  <c r="AG495"/>
  <c r="AE503"/>
  <c r="AF503" s="1"/>
  <c r="AG503"/>
  <c r="AE510"/>
  <c r="AF510" s="1"/>
  <c r="AG510"/>
  <c r="AD510" s="1"/>
  <c r="AE517"/>
  <c r="AF517" s="1"/>
  <c r="AG517"/>
  <c r="AE525"/>
  <c r="AF525" s="1"/>
  <c r="AG525"/>
  <c r="AE539"/>
  <c r="AF539" s="1"/>
  <c r="AG539"/>
  <c r="AE546"/>
  <c r="AF546" s="1"/>
  <c r="AG546"/>
  <c r="AE553"/>
  <c r="AF553" s="1"/>
  <c r="AG553"/>
  <c r="AE560"/>
  <c r="AF560" s="1"/>
  <c r="AG560"/>
  <c r="AE567"/>
  <c r="AF567" s="1"/>
  <c r="AG567"/>
  <c r="AE575"/>
  <c r="AF575" s="1"/>
  <c r="AG575"/>
  <c r="AE589"/>
  <c r="AF589" s="1"/>
  <c r="AG589"/>
  <c r="AE596"/>
  <c r="AF596" s="1"/>
  <c r="AG596"/>
  <c r="AE603"/>
  <c r="AF603" s="1"/>
  <c r="AG603"/>
  <c r="AE624"/>
  <c r="AF624" s="1"/>
  <c r="AG624"/>
  <c r="AE638"/>
  <c r="AF638" s="1"/>
  <c r="AG638"/>
  <c r="AE639"/>
  <c r="AF639" s="1"/>
  <c r="AG639"/>
  <c r="AE646"/>
  <c r="AF646" s="1"/>
  <c r="AG646"/>
  <c r="AE653"/>
  <c r="AF653" s="1"/>
  <c r="AG653"/>
  <c r="AE661"/>
  <c r="AF661" s="1"/>
  <c r="AG661"/>
  <c r="AE669"/>
  <c r="AF669" s="1"/>
  <c r="AG669"/>
  <c r="AE676"/>
  <c r="AF676" s="1"/>
  <c r="AG676"/>
  <c r="AE684"/>
  <c r="AF684" s="1"/>
  <c r="AG684"/>
  <c r="AE691"/>
  <c r="AF691" s="1"/>
  <c r="AG691"/>
  <c r="AE704"/>
  <c r="AF704" s="1"/>
  <c r="AG704"/>
  <c r="AE712"/>
  <c r="AF712" s="1"/>
  <c r="AG712"/>
  <c r="AE719"/>
  <c r="AF719" s="1"/>
  <c r="AG719"/>
  <c r="AE727"/>
  <c r="AF727" s="1"/>
  <c r="AG727"/>
  <c r="AE741"/>
  <c r="AF741" s="1"/>
  <c r="AG741"/>
  <c r="AE748"/>
  <c r="AF748" s="1"/>
  <c r="AG748"/>
  <c r="AE755"/>
  <c r="AF755" s="1"/>
  <c r="AG755"/>
  <c r="AE763"/>
  <c r="AF763" s="1"/>
  <c r="AG763"/>
  <c r="AE770"/>
  <c r="AF770" s="1"/>
  <c r="AG770"/>
  <c r="AE783"/>
  <c r="AF783" s="1"/>
  <c r="AG783"/>
  <c r="AE790"/>
  <c r="AF790" s="1"/>
  <c r="AG790"/>
  <c r="AE797"/>
  <c r="AF797" s="1"/>
  <c r="AG797"/>
  <c r="AE811"/>
  <c r="AF811" s="1"/>
  <c r="AG811"/>
  <c r="AE818"/>
  <c r="AF818" s="1"/>
  <c r="AG818"/>
  <c r="AE826"/>
  <c r="AF826" s="1"/>
  <c r="AG826"/>
  <c r="AE833"/>
  <c r="AF833" s="1"/>
  <c r="AG833"/>
  <c r="AE840"/>
  <c r="AF840" s="1"/>
  <c r="AG840"/>
  <c r="AE847"/>
  <c r="AF847" s="1"/>
  <c r="AG847"/>
  <c r="AE854"/>
  <c r="AF854" s="1"/>
  <c r="AG854"/>
  <c r="AE861"/>
  <c r="AF861" s="1"/>
  <c r="AG861"/>
  <c r="AE868"/>
  <c r="AF868" s="1"/>
  <c r="AG868"/>
  <c r="AE875"/>
  <c r="AF875" s="1"/>
  <c r="AG875"/>
  <c r="AE44"/>
  <c r="AF44" s="1"/>
  <c r="AG44"/>
  <c r="AE51"/>
  <c r="AF51" s="1"/>
  <c r="AG51"/>
  <c r="AE15"/>
  <c r="AF15" s="1"/>
  <c r="AG15"/>
  <c r="AE23"/>
  <c r="AF23" s="1"/>
  <c r="AG23"/>
  <c r="AE30"/>
  <c r="AF30" s="1"/>
  <c r="AG30"/>
  <c r="AE8"/>
  <c r="AF8" s="1"/>
  <c r="AG8"/>
  <c r="AO510"/>
  <c r="G9" i="3"/>
  <c r="F9"/>
  <c r="E9"/>
  <c r="D9"/>
  <c r="E8"/>
  <c r="D8"/>
  <c r="F8"/>
  <c r="G8"/>
  <c r="AR102" i="1" l="1"/>
  <c r="AS102" s="1"/>
  <c r="AR192"/>
  <c r="AS192" s="1"/>
  <c r="AR811"/>
  <c r="AS811" s="1"/>
  <c r="AD199"/>
  <c r="AR646"/>
  <c r="AS646" s="1"/>
  <c r="AD589"/>
  <c r="AR390"/>
  <c r="AS390" s="1"/>
  <c r="AR517"/>
  <c r="AS517" s="1"/>
  <c r="AR118"/>
  <c r="AS118" s="1"/>
  <c r="AR684"/>
  <c r="AS684" s="1"/>
  <c r="AR676"/>
  <c r="AS676" s="1"/>
  <c r="AD861"/>
  <c r="AR868"/>
  <c r="AS868" s="1"/>
  <c r="AR465"/>
  <c r="AS465" s="1"/>
  <c r="AD367"/>
  <c r="AR58"/>
  <c r="AS58" s="1"/>
  <c r="AR322"/>
  <c r="AS322" s="1"/>
  <c r="AR243"/>
  <c r="AS243" s="1"/>
  <c r="AD133"/>
  <c r="AF725" i="6"/>
  <c r="AE725"/>
  <c r="AD725"/>
  <c r="AA725"/>
  <c r="AB725"/>
  <c r="AC725"/>
  <c r="Z725"/>
  <c r="AD156" i="1"/>
  <c r="AO646"/>
  <c r="AP883"/>
  <c r="AM322"/>
  <c r="AM118"/>
  <c r="AM390"/>
  <c r="AQ883"/>
  <c r="AM868"/>
  <c r="AM676"/>
  <c r="AQ885"/>
  <c r="AQ884"/>
  <c r="AO322"/>
  <c r="AO118"/>
  <c r="AN517"/>
  <c r="AN322"/>
  <c r="AN118"/>
  <c r="AD23"/>
  <c r="AM102"/>
  <c r="AM811"/>
  <c r="AD163"/>
  <c r="AL192"/>
  <c r="AL322"/>
  <c r="AL118"/>
  <c r="AL58"/>
  <c r="AD517"/>
  <c r="AD337"/>
  <c r="AD397"/>
  <c r="AD301"/>
  <c r="AL465"/>
  <c r="AD661"/>
  <c r="AD553"/>
  <c r="AL243"/>
  <c r="AD58"/>
  <c r="AD669"/>
  <c r="AD465"/>
  <c r="AD250"/>
  <c r="AD94"/>
  <c r="AD118"/>
  <c r="AL684"/>
  <c r="AD741"/>
  <c r="AD525"/>
  <c r="AD177"/>
  <c r="AD790"/>
  <c r="AD646"/>
  <c r="AD390"/>
  <c r="AD294"/>
  <c r="AD66"/>
  <c r="AD826"/>
  <c r="AD458"/>
  <c r="AD410"/>
  <c r="AA163"/>
  <c r="AA199"/>
  <c r="AD546"/>
  <c r="AD330"/>
  <c r="AD102"/>
  <c r="AD30"/>
  <c r="AD472"/>
  <c r="AD280"/>
  <c r="AD184"/>
  <c r="AD148"/>
  <c r="AD704"/>
  <c r="AD596"/>
  <c r="AD560"/>
  <c r="AD416"/>
  <c r="AD308"/>
  <c r="AD272"/>
  <c r="AD140"/>
  <c r="AD44"/>
  <c r="AD847"/>
  <c r="AD811"/>
  <c r="AD763"/>
  <c r="AD727"/>
  <c r="AD451"/>
  <c r="AA847"/>
  <c r="AA811"/>
  <c r="AA691"/>
  <c r="AA487"/>
  <c r="AA451"/>
  <c r="AA367"/>
  <c r="AA510"/>
  <c r="AC322"/>
  <c r="AD653"/>
  <c r="AD437"/>
  <c r="AD257"/>
  <c r="AD125"/>
  <c r="AD192"/>
  <c r="AD783"/>
  <c r="AD639"/>
  <c r="AD603"/>
  <c r="AD567"/>
  <c r="AD495"/>
  <c r="AD423"/>
  <c r="AD351"/>
  <c r="AD243"/>
  <c r="AD87"/>
  <c r="AD15"/>
  <c r="AD868"/>
  <c r="AD374"/>
  <c r="AD74"/>
  <c r="AA397"/>
  <c r="AA301"/>
  <c r="AC653"/>
  <c r="AC125"/>
  <c r="AD854"/>
  <c r="AD840"/>
  <c r="AD684"/>
  <c r="AD624"/>
  <c r="AD480"/>
  <c r="AD228"/>
  <c r="AD755"/>
  <c r="AD719"/>
  <c r="AD575"/>
  <c r="AD503"/>
  <c r="AD383"/>
  <c r="AD359"/>
  <c r="AD287"/>
  <c r="AD770"/>
  <c r="AB603"/>
  <c r="AD833"/>
  <c r="AD797"/>
  <c r="AD818"/>
  <c r="AD51"/>
  <c r="AD344"/>
  <c r="AD8"/>
  <c r="AD748"/>
  <c r="AD712"/>
  <c r="AD676"/>
  <c r="AD220"/>
  <c r="AD691"/>
  <c r="AD487"/>
  <c r="AD638"/>
  <c r="AD206"/>
  <c r="AD110"/>
  <c r="AD444"/>
  <c r="AD875"/>
  <c r="AD539"/>
  <c r="AB322"/>
  <c r="AA704"/>
  <c r="AA596"/>
  <c r="AA560"/>
  <c r="AA416"/>
  <c r="AA344"/>
  <c r="AA308"/>
  <c r="AA140"/>
  <c r="AD322"/>
  <c r="AA330"/>
  <c r="AA294"/>
  <c r="AA125"/>
  <c r="AC669"/>
  <c r="AC465"/>
  <c r="AC177"/>
  <c r="AA472"/>
  <c r="AA280"/>
  <c r="AA220"/>
  <c r="AC560"/>
  <c r="AC416"/>
  <c r="AA567"/>
  <c r="AA423"/>
  <c r="AA87"/>
  <c r="AC367"/>
  <c r="AC163"/>
  <c r="AA661"/>
  <c r="AA517"/>
  <c r="AC833"/>
  <c r="AA589"/>
  <c r="AA553"/>
  <c r="AC797"/>
  <c r="AA272"/>
  <c r="AA133"/>
  <c r="AA763"/>
  <c r="AA727"/>
  <c r="AA337"/>
  <c r="AC875"/>
  <c r="AA546"/>
  <c r="AA390"/>
  <c r="AA102"/>
  <c r="AA66"/>
  <c r="AA30"/>
  <c r="AC826"/>
  <c r="AC790"/>
  <c r="AC646"/>
  <c r="AC250"/>
  <c r="AB854"/>
  <c r="AB770"/>
  <c r="AA833"/>
  <c r="AA797"/>
  <c r="AA653"/>
  <c r="AA437"/>
  <c r="AA257"/>
  <c r="AC861"/>
  <c r="AC741"/>
  <c r="AC525"/>
  <c r="AB661"/>
  <c r="AA868"/>
  <c r="AA748"/>
  <c r="AA712"/>
  <c r="AA676"/>
  <c r="AA184"/>
  <c r="AA148"/>
  <c r="AC704"/>
  <c r="AC596"/>
  <c r="AA603"/>
  <c r="AA495"/>
  <c r="AA351"/>
  <c r="AA51"/>
  <c r="AC847"/>
  <c r="AC811"/>
  <c r="AC763"/>
  <c r="AC727"/>
  <c r="AC691"/>
  <c r="AC487"/>
  <c r="AC451"/>
  <c r="AC199"/>
  <c r="AB875"/>
  <c r="AA783"/>
  <c r="AA639"/>
  <c r="AA243"/>
  <c r="AA15"/>
  <c r="AB755"/>
  <c r="AB719"/>
  <c r="AA854"/>
  <c r="AA818"/>
  <c r="AA770"/>
  <c r="AA638"/>
  <c r="AA458"/>
  <c r="AA410"/>
  <c r="AA374"/>
  <c r="AA206"/>
  <c r="AA110"/>
  <c r="AA74"/>
  <c r="AC546"/>
  <c r="AC510"/>
  <c r="AC390"/>
  <c r="AC330"/>
  <c r="AC294"/>
  <c r="AC102"/>
  <c r="AC66"/>
  <c r="AC30"/>
  <c r="AB826"/>
  <c r="AC437"/>
  <c r="AC257"/>
  <c r="AA826"/>
  <c r="AA790"/>
  <c r="AA646"/>
  <c r="AA322"/>
  <c r="AA250"/>
  <c r="AR250" s="1"/>
  <c r="AS250" s="1"/>
  <c r="AC344"/>
  <c r="AC308"/>
  <c r="AC272"/>
  <c r="AC140"/>
  <c r="AB861"/>
  <c r="AB741"/>
  <c r="AB669"/>
  <c r="AB525"/>
  <c r="AB465"/>
  <c r="AB177"/>
  <c r="AA840"/>
  <c r="AA684"/>
  <c r="AA624"/>
  <c r="AA480"/>
  <c r="AA444"/>
  <c r="AA228"/>
  <c r="AA192"/>
  <c r="AA156"/>
  <c r="AC868"/>
  <c r="AC748"/>
  <c r="AC712"/>
  <c r="AC676"/>
  <c r="AC472"/>
  <c r="AA875"/>
  <c r="AA755"/>
  <c r="AA719"/>
  <c r="AA575"/>
  <c r="AA539"/>
  <c r="AA503"/>
  <c r="AA383"/>
  <c r="AA359"/>
  <c r="AA287"/>
  <c r="AA23"/>
  <c r="AA118"/>
  <c r="AA94"/>
  <c r="AA58"/>
  <c r="AC854"/>
  <c r="AC818"/>
  <c r="AC770"/>
  <c r="AC638"/>
  <c r="AC458"/>
  <c r="AC410"/>
  <c r="AC374"/>
  <c r="AC206"/>
  <c r="AA861"/>
  <c r="AA741"/>
  <c r="AR741" s="1"/>
  <c r="AS741" s="1"/>
  <c r="AA669"/>
  <c r="AA525"/>
  <c r="AR525" s="1"/>
  <c r="AS525" s="1"/>
  <c r="AA465"/>
  <c r="AA177"/>
  <c r="AC661"/>
  <c r="AC589"/>
  <c r="AC553"/>
  <c r="AC517"/>
  <c r="AA44"/>
  <c r="AA8"/>
  <c r="AC840"/>
  <c r="AC684"/>
  <c r="AC624"/>
  <c r="AC480"/>
  <c r="AC444"/>
  <c r="AC228"/>
  <c r="AC192"/>
  <c r="AC156"/>
  <c r="AB868"/>
  <c r="AB748"/>
  <c r="AB712"/>
  <c r="AB676"/>
  <c r="AB472"/>
  <c r="AB280"/>
  <c r="AB220"/>
  <c r="AB184"/>
  <c r="AB148"/>
  <c r="AB589"/>
  <c r="AB553"/>
  <c r="AB517"/>
  <c r="AB397"/>
  <c r="AB301"/>
  <c r="AC44"/>
  <c r="AC8"/>
  <c r="AB840"/>
  <c r="AB624"/>
  <c r="AB575"/>
  <c r="AB539"/>
  <c r="AB503"/>
  <c r="AB383"/>
  <c r="AC280"/>
  <c r="AC220"/>
  <c r="AC184"/>
  <c r="AC148"/>
  <c r="AB704"/>
  <c r="AB596"/>
  <c r="AB560"/>
  <c r="AB416"/>
  <c r="AB344"/>
  <c r="AB308"/>
  <c r="AB272"/>
  <c r="AB140"/>
  <c r="AB44"/>
  <c r="AB8"/>
  <c r="AC783"/>
  <c r="AC639"/>
  <c r="AC603"/>
  <c r="AC567"/>
  <c r="AC495"/>
  <c r="AC423"/>
  <c r="AC351"/>
  <c r="AC243"/>
  <c r="AC87"/>
  <c r="AC51"/>
  <c r="AC15"/>
  <c r="AB847"/>
  <c r="AB811"/>
  <c r="AB763"/>
  <c r="AB727"/>
  <c r="AB691"/>
  <c r="AB487"/>
  <c r="AB451"/>
  <c r="AB367"/>
  <c r="AC110"/>
  <c r="AC74"/>
  <c r="AB546"/>
  <c r="AB510"/>
  <c r="AB390"/>
  <c r="AB330"/>
  <c r="AB294"/>
  <c r="AB102"/>
  <c r="AB66"/>
  <c r="AB30"/>
  <c r="AC397"/>
  <c r="AC337"/>
  <c r="AC301"/>
  <c r="AC133"/>
  <c r="AB833"/>
  <c r="AB797"/>
  <c r="AB653"/>
  <c r="AC755"/>
  <c r="AC719"/>
  <c r="AC575"/>
  <c r="AC539"/>
  <c r="AC503"/>
  <c r="AC383"/>
  <c r="AC359"/>
  <c r="AC287"/>
  <c r="AC23"/>
  <c r="AB783"/>
  <c r="AR783" s="1"/>
  <c r="AS783" s="1"/>
  <c r="AB639"/>
  <c r="AB567"/>
  <c r="AB495"/>
  <c r="AB423"/>
  <c r="AB351"/>
  <c r="AB243"/>
  <c r="AB684"/>
  <c r="AB480"/>
  <c r="AB444"/>
  <c r="AB228"/>
  <c r="AB192"/>
  <c r="AB156"/>
  <c r="AB359"/>
  <c r="AB287"/>
  <c r="AB23"/>
  <c r="AB790"/>
  <c r="AB646"/>
  <c r="AB199"/>
  <c r="AB163"/>
  <c r="AB437"/>
  <c r="AB257"/>
  <c r="AB125"/>
  <c r="AB87"/>
  <c r="AB51"/>
  <c r="AB15"/>
  <c r="AC118"/>
  <c r="AC94"/>
  <c r="AC58"/>
  <c r="AB818"/>
  <c r="AB638"/>
  <c r="AB458"/>
  <c r="AB410"/>
  <c r="AB206"/>
  <c r="AB374"/>
  <c r="AB110"/>
  <c r="AB74"/>
  <c r="AB337"/>
  <c r="AB133"/>
  <c r="AB250"/>
  <c r="AB118"/>
  <c r="AB94"/>
  <c r="AB58"/>
  <c r="AG2"/>
  <c r="AR2" s="1"/>
  <c r="AS2" s="1"/>
  <c r="AG3"/>
  <c r="AG4"/>
  <c r="AG5"/>
  <c r="AR5" s="1"/>
  <c r="AS5" s="1"/>
  <c r="AG6"/>
  <c r="AG7"/>
  <c r="AG9"/>
  <c r="AG10"/>
  <c r="AG12"/>
  <c r="AG11"/>
  <c r="AR11" s="1"/>
  <c r="AS11" s="1"/>
  <c r="AG13"/>
  <c r="AG14"/>
  <c r="AG16"/>
  <c r="AG17"/>
  <c r="AG18"/>
  <c r="AG19"/>
  <c r="AG20"/>
  <c r="AG21"/>
  <c r="AG22"/>
  <c r="AG24"/>
  <c r="AG25"/>
  <c r="AG26"/>
  <c r="AG27"/>
  <c r="AG28"/>
  <c r="AG29"/>
  <c r="AG31"/>
  <c r="AG32"/>
  <c r="AG33"/>
  <c r="AG34"/>
  <c r="AG35"/>
  <c r="AR35" s="1"/>
  <c r="AS35" s="1"/>
  <c r="AG36"/>
  <c r="AG37"/>
  <c r="AG38"/>
  <c r="AR38" s="1"/>
  <c r="AS38" s="1"/>
  <c r="AG39"/>
  <c r="AG40"/>
  <c r="AG41"/>
  <c r="AG42"/>
  <c r="AG43"/>
  <c r="AG46"/>
  <c r="AG47"/>
  <c r="AG48"/>
  <c r="AG45"/>
  <c r="AG49"/>
  <c r="AG50"/>
  <c r="AG52"/>
  <c r="AG53"/>
  <c r="AR53" s="1"/>
  <c r="AS53" s="1"/>
  <c r="AG54"/>
  <c r="AR54" s="1"/>
  <c r="AS54" s="1"/>
  <c r="AG55"/>
  <c r="AR55" s="1"/>
  <c r="AS55" s="1"/>
  <c r="AG56"/>
  <c r="AR56" s="1"/>
  <c r="AS56" s="1"/>
  <c r="AG57"/>
  <c r="AR57" s="1"/>
  <c r="AS57" s="1"/>
  <c r="AG59"/>
  <c r="AG60"/>
  <c r="AG61"/>
  <c r="AG62"/>
  <c r="AG63"/>
  <c r="AG64"/>
  <c r="AG65"/>
  <c r="AG67"/>
  <c r="AG68"/>
  <c r="AG69"/>
  <c r="AG70"/>
  <c r="AR70" s="1"/>
  <c r="AS70" s="1"/>
  <c r="AG71"/>
  <c r="AG72"/>
  <c r="AR72" s="1"/>
  <c r="AS72" s="1"/>
  <c r="AG73"/>
  <c r="AG75"/>
  <c r="AG76"/>
  <c r="AG77"/>
  <c r="AG78"/>
  <c r="AG79"/>
  <c r="AG80"/>
  <c r="AG81"/>
  <c r="AG82"/>
  <c r="AG83"/>
  <c r="AG84"/>
  <c r="AG85"/>
  <c r="AG86"/>
  <c r="AG89"/>
  <c r="AG90"/>
  <c r="AG91"/>
  <c r="AG88"/>
  <c r="AG92"/>
  <c r="AG93"/>
  <c r="AG96"/>
  <c r="AG95"/>
  <c r="AG97"/>
  <c r="AG98"/>
  <c r="AG99"/>
  <c r="AG100"/>
  <c r="AG101"/>
  <c r="AG104"/>
  <c r="AG103"/>
  <c r="AR103" s="1"/>
  <c r="AS103" s="1"/>
  <c r="AG105"/>
  <c r="AG106"/>
  <c r="AG107"/>
  <c r="AG108"/>
  <c r="AG109"/>
  <c r="AR109" s="1"/>
  <c r="AS109" s="1"/>
  <c r="AG111"/>
  <c r="AG112"/>
  <c r="AG113"/>
  <c r="AG114"/>
  <c r="AG115"/>
  <c r="AG116"/>
  <c r="AG117"/>
  <c r="AG120"/>
  <c r="AG121"/>
  <c r="AG119"/>
  <c r="AG122"/>
  <c r="AG123"/>
  <c r="AG124"/>
  <c r="AG126"/>
  <c r="AG127"/>
  <c r="AG128"/>
  <c r="AG129"/>
  <c r="AG130"/>
  <c r="AG131"/>
  <c r="AG132"/>
  <c r="AG134"/>
  <c r="AR134" s="1"/>
  <c r="AS134" s="1"/>
  <c r="AG135"/>
  <c r="AG136"/>
  <c r="AG137"/>
  <c r="AG138"/>
  <c r="AG139"/>
  <c r="AG142"/>
  <c r="AG141"/>
  <c r="AR141" s="1"/>
  <c r="AS141" s="1"/>
  <c r="AG143"/>
  <c r="AG144"/>
  <c r="AG145"/>
  <c r="AG146"/>
  <c r="AG147"/>
  <c r="AG149"/>
  <c r="AG150"/>
  <c r="AG151"/>
  <c r="AG152"/>
  <c r="AG153"/>
  <c r="AG154"/>
  <c r="AG155"/>
  <c r="AG158"/>
  <c r="AG157"/>
  <c r="AG159"/>
  <c r="AG160"/>
  <c r="AG161"/>
  <c r="AG162"/>
  <c r="AG164"/>
  <c r="AG165"/>
  <c r="AG166"/>
  <c r="AG167"/>
  <c r="AG168"/>
  <c r="AG169"/>
  <c r="AG170"/>
  <c r="AG171"/>
  <c r="AG172"/>
  <c r="AG173"/>
  <c r="AG174"/>
  <c r="AG175"/>
  <c r="AG176"/>
  <c r="AR176" s="1"/>
  <c r="AS176" s="1"/>
  <c r="AG178"/>
  <c r="AG179"/>
  <c r="AG180"/>
  <c r="AG181"/>
  <c r="AG182"/>
  <c r="AG183"/>
  <c r="AG185"/>
  <c r="AG186"/>
  <c r="AG187"/>
  <c r="AR187" s="1"/>
  <c r="AS187" s="1"/>
  <c r="AG188"/>
  <c r="AG189"/>
  <c r="AR189" s="1"/>
  <c r="AS189" s="1"/>
  <c r="AG190"/>
  <c r="AG191"/>
  <c r="AR191" s="1"/>
  <c r="AS191" s="1"/>
  <c r="AG193"/>
  <c r="AG194"/>
  <c r="AG195"/>
  <c r="AG196"/>
  <c r="AG197"/>
  <c r="AG198"/>
  <c r="AG200"/>
  <c r="AG201"/>
  <c r="AR201" s="1"/>
  <c r="AS201" s="1"/>
  <c r="AG202"/>
  <c r="AG203"/>
  <c r="AG204"/>
  <c r="AG205"/>
  <c r="AG207"/>
  <c r="AG208"/>
  <c r="AG209"/>
  <c r="AG210"/>
  <c r="AG211"/>
  <c r="AG212"/>
  <c r="AR212" s="1"/>
  <c r="AS212" s="1"/>
  <c r="AG213"/>
  <c r="AG215"/>
  <c r="AG214"/>
  <c r="AR214" s="1"/>
  <c r="AS214" s="1"/>
  <c r="AG216"/>
  <c r="AG217"/>
  <c r="AG218"/>
  <c r="AG219"/>
  <c r="AR219" s="1"/>
  <c r="AS219" s="1"/>
  <c r="AG222"/>
  <c r="AG223"/>
  <c r="AG221"/>
  <c r="AR221" s="1"/>
  <c r="AS221" s="1"/>
  <c r="AG224"/>
  <c r="AG225"/>
  <c r="AG226"/>
  <c r="AG227"/>
  <c r="AG230"/>
  <c r="AG231"/>
  <c r="AG229"/>
  <c r="AG232"/>
  <c r="AG233"/>
  <c r="AG234"/>
  <c r="AG235"/>
  <c r="AG236"/>
  <c r="AR236" s="1"/>
  <c r="AS236" s="1"/>
  <c r="AG237"/>
  <c r="AR237" s="1"/>
  <c r="AS237" s="1"/>
  <c r="AG238"/>
  <c r="AR238" s="1"/>
  <c r="AS238" s="1"/>
  <c r="AG239"/>
  <c r="AR239" s="1"/>
  <c r="AS239" s="1"/>
  <c r="AG240"/>
  <c r="AR240" s="1"/>
  <c r="AS240" s="1"/>
  <c r="AG241"/>
  <c r="AG242"/>
  <c r="AR242" s="1"/>
  <c r="AS242" s="1"/>
  <c r="AG244"/>
  <c r="AG245"/>
  <c r="AG246"/>
  <c r="AG247"/>
  <c r="AG248"/>
  <c r="AG249"/>
  <c r="AG252"/>
  <c r="AG253"/>
  <c r="AG254"/>
  <c r="AG251"/>
  <c r="AG255"/>
  <c r="AG256"/>
  <c r="AG259"/>
  <c r="AG258"/>
  <c r="AR258" s="1"/>
  <c r="AS258" s="1"/>
  <c r="AG260"/>
  <c r="AG261"/>
  <c r="AG262"/>
  <c r="AG263"/>
  <c r="AG264"/>
  <c r="AG266"/>
  <c r="AG265"/>
  <c r="AG267"/>
  <c r="AG268"/>
  <c r="AG269"/>
  <c r="AG270"/>
  <c r="AG271"/>
  <c r="AR271" s="1"/>
  <c r="AS271" s="1"/>
  <c r="AG274"/>
  <c r="AG275"/>
  <c r="AG273"/>
  <c r="AG276"/>
  <c r="AG277"/>
  <c r="AG278"/>
  <c r="AG279"/>
  <c r="AG281"/>
  <c r="AG282"/>
  <c r="AG283"/>
  <c r="AG284"/>
  <c r="AG285"/>
  <c r="AG286"/>
  <c r="AG288"/>
  <c r="AG289"/>
  <c r="AG290"/>
  <c r="AG291"/>
  <c r="AG292"/>
  <c r="AG293"/>
  <c r="AG295"/>
  <c r="AR295" s="1"/>
  <c r="AS295" s="1"/>
  <c r="AG296"/>
  <c r="AG297"/>
  <c r="AR297" s="1"/>
  <c r="AS297" s="1"/>
  <c r="AG298"/>
  <c r="AG299"/>
  <c r="AG300"/>
  <c r="AG302"/>
  <c r="AG303"/>
  <c r="AG304"/>
  <c r="AG305"/>
  <c r="AG306"/>
  <c r="AG307"/>
  <c r="AG310"/>
  <c r="AG311"/>
  <c r="AG312"/>
  <c r="AG309"/>
  <c r="AG313"/>
  <c r="AG314"/>
  <c r="AG315"/>
  <c r="AG316"/>
  <c r="AG317"/>
  <c r="AG318"/>
  <c r="AG319"/>
  <c r="AG320"/>
  <c r="AG321"/>
  <c r="AG324"/>
  <c r="AG325"/>
  <c r="AG323"/>
  <c r="AG326"/>
  <c r="AG327"/>
  <c r="AG328"/>
  <c r="AG329"/>
  <c r="AG332"/>
  <c r="AG331"/>
  <c r="AG333"/>
  <c r="AG334"/>
  <c r="AG335"/>
  <c r="AG336"/>
  <c r="AG339"/>
  <c r="AG338"/>
  <c r="AR338" s="1"/>
  <c r="AS338" s="1"/>
  <c r="AG340"/>
  <c r="AG341"/>
  <c r="AG342"/>
  <c r="AG343"/>
  <c r="AG345"/>
  <c r="AR345" s="1"/>
  <c r="AS345" s="1"/>
  <c r="AG346"/>
  <c r="AG347"/>
  <c r="AG348"/>
  <c r="AG349"/>
  <c r="AG350"/>
  <c r="AG353"/>
  <c r="AG352"/>
  <c r="AG354"/>
  <c r="AG355"/>
  <c r="AG356"/>
  <c r="AG357"/>
  <c r="AR357" s="1"/>
  <c r="AS357" s="1"/>
  <c r="AG358"/>
  <c r="AG360"/>
  <c r="AG361"/>
  <c r="AG362"/>
  <c r="AG363"/>
  <c r="AG364"/>
  <c r="AG365"/>
  <c r="AG366"/>
  <c r="AG369"/>
  <c r="AG370"/>
  <c r="AG371"/>
  <c r="AG368"/>
  <c r="AG372"/>
  <c r="AG373"/>
  <c r="AG375"/>
  <c r="AG377"/>
  <c r="AG378"/>
  <c r="AG376"/>
  <c r="AG379"/>
  <c r="AG380"/>
  <c r="AG381"/>
  <c r="AG382"/>
  <c r="AG385"/>
  <c r="AG386"/>
  <c r="AG387"/>
  <c r="AG384"/>
  <c r="AG388"/>
  <c r="AG389"/>
  <c r="AG391"/>
  <c r="AG392"/>
  <c r="AG393"/>
  <c r="AG394"/>
  <c r="AG395"/>
  <c r="AR395" s="1"/>
  <c r="AS395" s="1"/>
  <c r="AG396"/>
  <c r="AG398"/>
  <c r="AG399"/>
  <c r="AR399" s="1"/>
  <c r="AS399" s="1"/>
  <c r="AG400"/>
  <c r="AG401"/>
  <c r="AG402"/>
  <c r="AG403"/>
  <c r="AG404"/>
  <c r="AG405"/>
  <c r="AR405" s="1"/>
  <c r="AS405" s="1"/>
  <c r="AG406"/>
  <c r="AG407"/>
  <c r="AG408"/>
  <c r="AG409"/>
  <c r="AG411"/>
  <c r="AG412"/>
  <c r="AR412" s="1"/>
  <c r="AS412" s="1"/>
  <c r="AG413"/>
  <c r="AG414"/>
  <c r="AG415"/>
  <c r="AG418"/>
  <c r="AG419"/>
  <c r="AG420"/>
  <c r="AG417"/>
  <c r="AG421"/>
  <c r="AG422"/>
  <c r="AG424"/>
  <c r="AG425"/>
  <c r="AG426"/>
  <c r="AG427"/>
  <c r="AG428"/>
  <c r="AG429"/>
  <c r="AG430"/>
  <c r="AG432"/>
  <c r="AG433"/>
  <c r="AG431"/>
  <c r="AG434"/>
  <c r="AG435"/>
  <c r="AG436"/>
  <c r="AG438"/>
  <c r="AR438" s="1"/>
  <c r="AS438" s="1"/>
  <c r="AG439"/>
  <c r="AR439" s="1"/>
  <c r="AS439" s="1"/>
  <c r="AG440"/>
  <c r="AR440" s="1"/>
  <c r="AS440" s="1"/>
  <c r="AG441"/>
  <c r="AR441" s="1"/>
  <c r="AS441" s="1"/>
  <c r="AG442"/>
  <c r="AR442" s="1"/>
  <c r="AS442" s="1"/>
  <c r="AG443"/>
  <c r="AR443" s="1"/>
  <c r="AS443" s="1"/>
  <c r="AG445"/>
  <c r="AG446"/>
  <c r="AG447"/>
  <c r="AG448"/>
  <c r="AG449"/>
  <c r="AG450"/>
  <c r="AG452"/>
  <c r="AG453"/>
  <c r="AG454"/>
  <c r="AG455"/>
  <c r="AG456"/>
  <c r="AR456" s="1"/>
  <c r="AS456" s="1"/>
  <c r="AG457"/>
  <c r="AG459"/>
  <c r="AG460"/>
  <c r="AG461"/>
  <c r="AG462"/>
  <c r="AG463"/>
  <c r="AG464"/>
  <c r="AG466"/>
  <c r="AG467"/>
  <c r="AG468"/>
  <c r="AG469"/>
  <c r="AG470"/>
  <c r="AG471"/>
  <c r="AG473"/>
  <c r="AG474"/>
  <c r="AG475"/>
  <c r="AG476"/>
  <c r="AR476" s="1"/>
  <c r="AS476" s="1"/>
  <c r="AG477"/>
  <c r="AG478"/>
  <c r="AG479"/>
  <c r="AG481"/>
  <c r="AR481" s="1"/>
  <c r="AS481" s="1"/>
  <c r="AG483"/>
  <c r="AG482"/>
  <c r="AG484"/>
  <c r="AG485"/>
  <c r="AR485" s="1"/>
  <c r="AS485" s="1"/>
  <c r="AG486"/>
  <c r="AG488"/>
  <c r="AG489"/>
  <c r="AG490"/>
  <c r="AG491"/>
  <c r="AG492"/>
  <c r="AG493"/>
  <c r="AG494"/>
  <c r="AG497"/>
  <c r="AG498"/>
  <c r="AG499"/>
  <c r="AG496"/>
  <c r="AR496" s="1"/>
  <c r="AS496" s="1"/>
  <c r="AG500"/>
  <c r="AG501"/>
  <c r="AG502"/>
  <c r="AG505"/>
  <c r="AG504"/>
  <c r="AR504" s="1"/>
  <c r="AS504" s="1"/>
  <c r="AG506"/>
  <c r="AR506" s="1"/>
  <c r="AS506" s="1"/>
  <c r="AG507"/>
  <c r="AG508"/>
  <c r="AG509"/>
  <c r="AG511"/>
  <c r="AG512"/>
  <c r="AG513"/>
  <c r="AG514"/>
  <c r="AG515"/>
  <c r="AG516"/>
  <c r="AG519"/>
  <c r="AG518"/>
  <c r="AG520"/>
  <c r="AG521"/>
  <c r="AG522"/>
  <c r="AG523"/>
  <c r="AG524"/>
  <c r="AG526"/>
  <c r="AG527"/>
  <c r="AG528"/>
  <c r="AG529"/>
  <c r="AG530"/>
  <c r="AG531"/>
  <c r="AG532"/>
  <c r="AR532" s="1"/>
  <c r="AS532" s="1"/>
  <c r="AG533"/>
  <c r="AG534"/>
  <c r="AG535"/>
  <c r="AG536"/>
  <c r="AG537"/>
  <c r="AG538"/>
  <c r="AG540"/>
  <c r="AG541"/>
  <c r="AG542"/>
  <c r="AG543"/>
  <c r="AG544"/>
  <c r="AG545"/>
  <c r="AG548"/>
  <c r="AG547"/>
  <c r="AG549"/>
  <c r="AG550"/>
  <c r="AG551"/>
  <c r="AG552"/>
  <c r="AG555"/>
  <c r="AG556"/>
  <c r="AG554"/>
  <c r="AR554" s="1"/>
  <c r="AS554" s="1"/>
  <c r="AG557"/>
  <c r="AG558"/>
  <c r="AG559"/>
  <c r="AG561"/>
  <c r="AR561" s="1"/>
  <c r="AS561" s="1"/>
  <c r="AG562"/>
  <c r="AG563"/>
  <c r="AR563" s="1"/>
  <c r="AS563" s="1"/>
  <c r="AG564"/>
  <c r="AR564" s="1"/>
  <c r="AS564" s="1"/>
  <c r="AG565"/>
  <c r="AG566"/>
  <c r="AG568"/>
  <c r="AG569"/>
  <c r="AG570"/>
  <c r="AG571"/>
  <c r="AG572"/>
  <c r="AG573"/>
  <c r="AG574"/>
  <c r="AG577"/>
  <c r="AG576"/>
  <c r="AG578"/>
  <c r="AG579"/>
  <c r="AG580"/>
  <c r="AG581"/>
  <c r="AG582"/>
  <c r="AG584"/>
  <c r="AG585"/>
  <c r="AG583"/>
  <c r="AG586"/>
  <c r="AG587"/>
  <c r="AG588"/>
  <c r="AG590"/>
  <c r="AG591"/>
  <c r="AG592"/>
  <c r="AG593"/>
  <c r="AG594"/>
  <c r="AG595"/>
  <c r="AG597"/>
  <c r="AR597" s="1"/>
  <c r="AS597" s="1"/>
  <c r="AG598"/>
  <c r="AG599"/>
  <c r="AG600"/>
  <c r="AG601"/>
  <c r="AG602"/>
  <c r="AG604"/>
  <c r="AG605"/>
  <c r="AR605" s="1"/>
  <c r="AS605" s="1"/>
  <c r="AG606"/>
  <c r="AG607"/>
  <c r="AG608"/>
  <c r="AG609"/>
  <c r="AG610"/>
  <c r="AG611"/>
  <c r="AG612"/>
  <c r="AG613"/>
  <c r="AG614"/>
  <c r="AG615"/>
  <c r="AG616"/>
  <c r="AG617"/>
  <c r="AG619"/>
  <c r="AG620"/>
  <c r="AG618"/>
  <c r="AG621"/>
  <c r="AG622"/>
  <c r="AG623"/>
  <c r="AG625"/>
  <c r="AG626"/>
  <c r="AG627"/>
  <c r="AR627" s="1"/>
  <c r="AS627" s="1"/>
  <c r="AG628"/>
  <c r="AG629"/>
  <c r="AG630"/>
  <c r="AG631"/>
  <c r="AG633"/>
  <c r="AG634"/>
  <c r="AG632"/>
  <c r="AG635"/>
  <c r="AG636"/>
  <c r="AG637"/>
  <c r="AG640"/>
  <c r="AG641"/>
  <c r="AG642"/>
  <c r="AG643"/>
  <c r="AG644"/>
  <c r="AG645"/>
  <c r="AG648"/>
  <c r="AG649"/>
  <c r="AG647"/>
  <c r="AG650"/>
  <c r="AG651"/>
  <c r="AG652"/>
  <c r="AG654"/>
  <c r="AG655"/>
  <c r="AG656"/>
  <c r="AG657"/>
  <c r="AG658"/>
  <c r="AG659"/>
  <c r="AG660"/>
  <c r="AG662"/>
  <c r="AG664"/>
  <c r="AG663"/>
  <c r="AG665"/>
  <c r="AG666"/>
  <c r="AG667"/>
  <c r="AG668"/>
  <c r="AG671"/>
  <c r="AG672"/>
  <c r="AG673"/>
  <c r="AG670"/>
  <c r="AG674"/>
  <c r="AG675"/>
  <c r="AG677"/>
  <c r="AG678"/>
  <c r="AG679"/>
  <c r="AG680"/>
  <c r="AR680" s="1"/>
  <c r="AS680" s="1"/>
  <c r="AG681"/>
  <c r="AG682"/>
  <c r="AR682" s="1"/>
  <c r="AS682" s="1"/>
  <c r="AG683"/>
  <c r="AR683" s="1"/>
  <c r="AS683" s="1"/>
  <c r="AG685"/>
  <c r="AG686"/>
  <c r="AG687"/>
  <c r="AG688"/>
  <c r="AG689"/>
  <c r="AG690"/>
  <c r="AG692"/>
  <c r="AG693"/>
  <c r="AG694"/>
  <c r="AG695"/>
  <c r="AG696"/>
  <c r="AG697"/>
  <c r="AG698"/>
  <c r="AG699"/>
  <c r="AG700"/>
  <c r="AG701"/>
  <c r="AG702"/>
  <c r="AG703"/>
  <c r="AG708"/>
  <c r="AG709"/>
  <c r="AG705"/>
  <c r="AG710"/>
  <c r="AG706"/>
  <c r="AG711"/>
  <c r="AR711" s="1"/>
  <c r="AS711" s="1"/>
  <c r="AG707"/>
  <c r="AR707" s="1"/>
  <c r="AS707" s="1"/>
  <c r="AG713"/>
  <c r="AG714"/>
  <c r="AG715"/>
  <c r="AG716"/>
  <c r="AG717"/>
  <c r="AG718"/>
  <c r="AG720"/>
  <c r="AG721"/>
  <c r="AG722"/>
  <c r="AG723"/>
  <c r="AG724"/>
  <c r="AG725"/>
  <c r="AG726"/>
  <c r="AG728"/>
  <c r="AG729"/>
  <c r="AG730"/>
  <c r="AG731"/>
  <c r="AG732"/>
  <c r="AG733"/>
  <c r="AG734"/>
  <c r="AG735"/>
  <c r="AG736"/>
  <c r="AG737"/>
  <c r="AG738"/>
  <c r="AR738" s="1"/>
  <c r="AS738" s="1"/>
  <c r="AG739"/>
  <c r="AG740"/>
  <c r="AG742"/>
  <c r="AG743"/>
  <c r="AG744"/>
  <c r="AG745"/>
  <c r="AG746"/>
  <c r="AG747"/>
  <c r="AG749"/>
  <c r="AG750"/>
  <c r="AG751"/>
  <c r="AG752"/>
  <c r="AG753"/>
  <c r="AG754"/>
  <c r="AG756"/>
  <c r="AG757"/>
  <c r="AG758"/>
  <c r="AG759"/>
  <c r="AG760"/>
  <c r="AG761"/>
  <c r="AG762"/>
  <c r="AG764"/>
  <c r="AG765"/>
  <c r="AG766"/>
  <c r="AG767"/>
  <c r="AR767" s="1"/>
  <c r="AS767" s="1"/>
  <c r="AG768"/>
  <c r="AG769"/>
  <c r="AG771"/>
  <c r="AG772"/>
  <c r="AG773"/>
  <c r="AG774"/>
  <c r="AG775"/>
  <c r="AR775" s="1"/>
  <c r="AS775" s="1"/>
  <c r="AG776"/>
  <c r="AG777"/>
  <c r="AR777" s="1"/>
  <c r="AS777" s="1"/>
  <c r="AG778"/>
  <c r="AG779"/>
  <c r="AG780"/>
  <c r="AG781"/>
  <c r="AG782"/>
  <c r="AG785"/>
  <c r="AG784"/>
  <c r="AG786"/>
  <c r="AG787"/>
  <c r="AG788"/>
  <c r="AG789"/>
  <c r="AG791"/>
  <c r="AR791" s="1"/>
  <c r="AS791" s="1"/>
  <c r="AG792"/>
  <c r="AG793"/>
  <c r="AG794"/>
  <c r="AG795"/>
  <c r="AG796"/>
  <c r="AG798"/>
  <c r="AG799"/>
  <c r="AG802"/>
  <c r="AG800"/>
  <c r="AG803"/>
  <c r="AG801"/>
  <c r="AR801" s="1"/>
  <c r="AS801" s="1"/>
  <c r="AG804"/>
  <c r="AG805"/>
  <c r="AG806"/>
  <c r="AG807"/>
  <c r="AG808"/>
  <c r="AG809"/>
  <c r="AG810"/>
  <c r="AG812"/>
  <c r="AG813"/>
  <c r="AG814"/>
  <c r="AG815"/>
  <c r="AG816"/>
  <c r="AG817"/>
  <c r="AR817" s="1"/>
  <c r="AS817" s="1"/>
  <c r="AG819"/>
  <c r="AG820"/>
  <c r="AG821"/>
  <c r="AG822"/>
  <c r="AG823"/>
  <c r="AG824"/>
  <c r="AG825"/>
  <c r="AG828"/>
  <c r="AG829"/>
  <c r="AG827"/>
  <c r="AG830"/>
  <c r="AG831"/>
  <c r="AG832"/>
  <c r="AG834"/>
  <c r="AR834" s="1"/>
  <c r="AS834" s="1"/>
  <c r="AG835"/>
  <c r="AG836"/>
  <c r="AG837"/>
  <c r="AG838"/>
  <c r="AG839"/>
  <c r="AG841"/>
  <c r="AR841" s="1"/>
  <c r="AS841" s="1"/>
  <c r="AG842"/>
  <c r="AG843"/>
  <c r="AG844"/>
  <c r="AG845"/>
  <c r="AG846"/>
  <c r="AG849"/>
  <c r="AG848"/>
  <c r="AR848" s="1"/>
  <c r="AS848" s="1"/>
  <c r="AG850"/>
  <c r="AG851"/>
  <c r="AG852"/>
  <c r="AG853"/>
  <c r="AG856"/>
  <c r="AG857"/>
  <c r="AR857" s="1"/>
  <c r="AS857" s="1"/>
  <c r="AG855"/>
  <c r="AG858"/>
  <c r="AG859"/>
  <c r="AG860"/>
  <c r="AG862"/>
  <c r="AG863"/>
  <c r="AG864"/>
  <c r="AG865"/>
  <c r="AG866"/>
  <c r="AG867"/>
  <c r="AG870"/>
  <c r="AG871"/>
  <c r="AG872"/>
  <c r="AG869"/>
  <c r="AR869" s="1"/>
  <c r="AS869" s="1"/>
  <c r="AG873"/>
  <c r="AG874"/>
  <c r="AG876"/>
  <c r="AR876" s="1"/>
  <c r="AS876" s="1"/>
  <c r="AG877"/>
  <c r="AG878"/>
  <c r="AG879"/>
  <c r="AG880"/>
  <c r="AG881"/>
  <c r="AE2"/>
  <c r="AE9"/>
  <c r="AF9" s="1"/>
  <c r="AE16"/>
  <c r="AF16" s="1"/>
  <c r="AE24"/>
  <c r="AF24" s="1"/>
  <c r="AE31"/>
  <c r="AF31" s="1"/>
  <c r="AE38"/>
  <c r="AF38" s="1"/>
  <c r="AE46"/>
  <c r="AE52"/>
  <c r="AF52" s="1"/>
  <c r="AE59"/>
  <c r="AF59" s="1"/>
  <c r="AE67"/>
  <c r="AF67" s="1"/>
  <c r="AE75"/>
  <c r="AF75" s="1"/>
  <c r="AE81"/>
  <c r="AF81" s="1"/>
  <c r="AE89"/>
  <c r="AF89" s="1"/>
  <c r="AE96"/>
  <c r="AF96" s="1"/>
  <c r="AE104"/>
  <c r="AF104" s="1"/>
  <c r="AE111"/>
  <c r="AF111" s="1"/>
  <c r="AE120"/>
  <c r="AF120" s="1"/>
  <c r="AE126"/>
  <c r="AF126" s="1"/>
  <c r="AE134"/>
  <c r="AF134" s="1"/>
  <c r="AE142"/>
  <c r="AF142" s="1"/>
  <c r="AE149"/>
  <c r="AF149" s="1"/>
  <c r="AE158"/>
  <c r="AF158" s="1"/>
  <c r="AE164"/>
  <c r="AF164" s="1"/>
  <c r="AE171"/>
  <c r="AF171" s="1"/>
  <c r="AE178"/>
  <c r="AF178" s="1"/>
  <c r="AE193"/>
  <c r="AF193" s="1"/>
  <c r="AE200"/>
  <c r="AF200" s="1"/>
  <c r="AE207"/>
  <c r="AF207" s="1"/>
  <c r="AE215"/>
  <c r="AF215" s="1"/>
  <c r="AE222"/>
  <c r="AF222" s="1"/>
  <c r="AE230"/>
  <c r="AF230" s="1"/>
  <c r="AE236"/>
  <c r="AF236" s="1"/>
  <c r="AE244"/>
  <c r="AF244" s="1"/>
  <c r="AE252"/>
  <c r="AF252" s="1"/>
  <c r="AE259"/>
  <c r="AF259" s="1"/>
  <c r="AE266"/>
  <c r="AF266" s="1"/>
  <c r="AE274"/>
  <c r="AF274" s="1"/>
  <c r="AE281"/>
  <c r="AF281" s="1"/>
  <c r="AE288"/>
  <c r="AF288" s="1"/>
  <c r="AE295"/>
  <c r="AF295" s="1"/>
  <c r="AE302"/>
  <c r="AF302" s="1"/>
  <c r="AE310"/>
  <c r="AF310" s="1"/>
  <c r="AE316"/>
  <c r="AF316" s="1"/>
  <c r="AE324"/>
  <c r="AF324" s="1"/>
  <c r="AE332"/>
  <c r="AF332" s="1"/>
  <c r="AE339"/>
  <c r="AF339" s="1"/>
  <c r="AE345"/>
  <c r="AF345" s="1"/>
  <c r="AE353"/>
  <c r="AF353" s="1"/>
  <c r="AE377"/>
  <c r="AF377" s="1"/>
  <c r="AE391"/>
  <c r="AF391" s="1"/>
  <c r="AE404"/>
  <c r="AF404" s="1"/>
  <c r="AE411"/>
  <c r="AF411" s="1"/>
  <c r="AE418"/>
  <c r="AF418" s="1"/>
  <c r="AE424"/>
  <c r="AF424" s="1"/>
  <c r="AE432"/>
  <c r="AF432" s="1"/>
  <c r="AE438"/>
  <c r="AF438" s="1"/>
  <c r="AE445"/>
  <c r="AF445" s="1"/>
  <c r="AE459"/>
  <c r="AF459" s="1"/>
  <c r="AE466"/>
  <c r="AF466" s="1"/>
  <c r="AE473"/>
  <c r="AF473" s="1"/>
  <c r="AE481"/>
  <c r="AF481" s="1"/>
  <c r="AE488"/>
  <c r="AF488" s="1"/>
  <c r="AE497"/>
  <c r="AF497" s="1"/>
  <c r="AE505"/>
  <c r="AF505" s="1"/>
  <c r="AE511"/>
  <c r="AF511" s="1"/>
  <c r="AE519"/>
  <c r="AF519" s="1"/>
  <c r="AE526"/>
  <c r="AF526" s="1"/>
  <c r="AE533"/>
  <c r="AF533" s="1"/>
  <c r="AE540"/>
  <c r="AF540" s="1"/>
  <c r="AE548"/>
  <c r="AF548" s="1"/>
  <c r="AE555"/>
  <c r="AF555" s="1"/>
  <c r="AE561"/>
  <c r="AF561" s="1"/>
  <c r="AE568"/>
  <c r="AF568" s="1"/>
  <c r="AE577"/>
  <c r="AF577" s="1"/>
  <c r="AE584"/>
  <c r="AF584" s="1"/>
  <c r="AE590"/>
  <c r="AF590" s="1"/>
  <c r="AE597"/>
  <c r="AF597" s="1"/>
  <c r="AE605"/>
  <c r="AF605" s="1"/>
  <c r="AE611"/>
  <c r="AF611" s="1"/>
  <c r="AE625"/>
  <c r="AF625" s="1"/>
  <c r="AE633"/>
  <c r="AF633" s="1"/>
  <c r="AE640"/>
  <c r="AF640" s="1"/>
  <c r="AE648"/>
  <c r="AF648" s="1"/>
  <c r="AE655"/>
  <c r="AF655" s="1"/>
  <c r="AE664"/>
  <c r="AF664" s="1"/>
  <c r="AE671"/>
  <c r="AF671" s="1"/>
  <c r="AE677"/>
  <c r="AF677" s="1"/>
  <c r="AE685"/>
  <c r="AF685" s="1"/>
  <c r="AE692"/>
  <c r="AF692" s="1"/>
  <c r="AE708"/>
  <c r="AF708" s="1"/>
  <c r="AE713"/>
  <c r="AF713" s="1"/>
  <c r="AE720"/>
  <c r="AF720" s="1"/>
  <c r="AE728"/>
  <c r="AF728" s="1"/>
  <c r="AE734"/>
  <c r="AF734" s="1"/>
  <c r="AE742"/>
  <c r="AF742" s="1"/>
  <c r="AE757"/>
  <c r="AF757" s="1"/>
  <c r="AE764"/>
  <c r="AF764" s="1"/>
  <c r="AE771"/>
  <c r="AF771" s="1"/>
  <c r="AE777"/>
  <c r="AF777" s="1"/>
  <c r="AE785"/>
  <c r="AF785" s="1"/>
  <c r="AE791"/>
  <c r="AF791" s="1"/>
  <c r="AE798"/>
  <c r="AF798" s="1"/>
  <c r="AE805"/>
  <c r="AF805" s="1"/>
  <c r="AE812"/>
  <c r="AF812" s="1"/>
  <c r="AE819"/>
  <c r="AF819" s="1"/>
  <c r="AE828"/>
  <c r="AF828" s="1"/>
  <c r="AE834"/>
  <c r="AF834" s="1"/>
  <c r="AE841"/>
  <c r="AF841" s="1"/>
  <c r="AE856"/>
  <c r="AF856" s="1"/>
  <c r="AE870"/>
  <c r="AF870" s="1"/>
  <c r="AE876"/>
  <c r="AF876" s="1"/>
  <c r="AE3"/>
  <c r="AF3" s="1"/>
  <c r="AE10"/>
  <c r="AF10" s="1"/>
  <c r="AE17"/>
  <c r="AF17" s="1"/>
  <c r="AE25"/>
  <c r="AF25" s="1"/>
  <c r="AE32"/>
  <c r="AF32" s="1"/>
  <c r="AE39"/>
  <c r="AF39" s="1"/>
  <c r="AE47"/>
  <c r="AF47" s="1"/>
  <c r="AE53"/>
  <c r="AF53" s="1"/>
  <c r="AE60"/>
  <c r="AF60" s="1"/>
  <c r="AE68"/>
  <c r="AF68" s="1"/>
  <c r="AE90"/>
  <c r="AF90" s="1"/>
  <c r="AE95"/>
  <c r="AF95" s="1"/>
  <c r="AE103"/>
  <c r="AF103" s="1"/>
  <c r="AE112"/>
  <c r="AF112" s="1"/>
  <c r="AE121"/>
  <c r="AF121" s="1"/>
  <c r="AE127"/>
  <c r="AF127" s="1"/>
  <c r="AE135"/>
  <c r="AF135" s="1"/>
  <c r="AE141"/>
  <c r="AF141" s="1"/>
  <c r="AE150"/>
  <c r="AF150" s="1"/>
  <c r="AE157"/>
  <c r="AF157" s="1"/>
  <c r="AE165"/>
  <c r="AF165" s="1"/>
  <c r="AE172"/>
  <c r="AF172" s="1"/>
  <c r="AE179"/>
  <c r="AF179" s="1"/>
  <c r="AE185"/>
  <c r="AF185" s="1"/>
  <c r="AE186"/>
  <c r="AF186" s="1"/>
  <c r="AE194"/>
  <c r="AF194" s="1"/>
  <c r="AE201"/>
  <c r="AF201" s="1"/>
  <c r="AE208"/>
  <c r="AF208" s="1"/>
  <c r="AE214"/>
  <c r="AF214" s="1"/>
  <c r="AE223"/>
  <c r="AF223" s="1"/>
  <c r="AE231"/>
  <c r="AF231" s="1"/>
  <c r="AE237"/>
  <c r="AF237" s="1"/>
  <c r="AE245"/>
  <c r="AF245" s="1"/>
  <c r="AE253"/>
  <c r="AF253" s="1"/>
  <c r="AE258"/>
  <c r="AF258" s="1"/>
  <c r="AE265"/>
  <c r="AF265" s="1"/>
  <c r="AE275"/>
  <c r="AF275" s="1"/>
  <c r="AE282"/>
  <c r="AF282" s="1"/>
  <c r="AE289"/>
  <c r="AF289" s="1"/>
  <c r="AE296"/>
  <c r="AF296" s="1"/>
  <c r="AE311"/>
  <c r="AF311" s="1"/>
  <c r="AE317"/>
  <c r="AF317" s="1"/>
  <c r="AE325"/>
  <c r="AF325" s="1"/>
  <c r="AE331"/>
  <c r="AF331" s="1"/>
  <c r="AE338"/>
  <c r="AF338" s="1"/>
  <c r="AE346"/>
  <c r="AF346" s="1"/>
  <c r="AE352"/>
  <c r="AF352" s="1"/>
  <c r="AE360"/>
  <c r="AF360" s="1"/>
  <c r="AE361"/>
  <c r="AF361" s="1"/>
  <c r="AE369"/>
  <c r="AF369" s="1"/>
  <c r="AE378"/>
  <c r="AF378" s="1"/>
  <c r="AE385"/>
  <c r="AF385" s="1"/>
  <c r="AE398"/>
  <c r="AF398" s="1"/>
  <c r="AE405"/>
  <c r="AF405" s="1"/>
  <c r="AE412"/>
  <c r="AF412" s="1"/>
  <c r="AE419"/>
  <c r="AF419" s="1"/>
  <c r="AE425"/>
  <c r="AF425" s="1"/>
  <c r="AE433"/>
  <c r="AF433" s="1"/>
  <c r="AE439"/>
  <c r="AF439" s="1"/>
  <c r="AE446"/>
  <c r="AF446" s="1"/>
  <c r="AE452"/>
  <c r="AF452" s="1"/>
  <c r="AE460"/>
  <c r="AF460" s="1"/>
  <c r="AE467"/>
  <c r="AF467" s="1"/>
  <c r="AE474"/>
  <c r="AF474" s="1"/>
  <c r="AE483"/>
  <c r="AF483" s="1"/>
  <c r="AE489"/>
  <c r="AF489" s="1"/>
  <c r="AE498"/>
  <c r="AF498" s="1"/>
  <c r="AE504"/>
  <c r="AF504" s="1"/>
  <c r="AE512"/>
  <c r="AF512" s="1"/>
  <c r="AE518"/>
  <c r="AF518" s="1"/>
  <c r="AE527"/>
  <c r="AF527" s="1"/>
  <c r="AE541"/>
  <c r="AF541" s="1"/>
  <c r="AE547"/>
  <c r="AF547" s="1"/>
  <c r="AE556"/>
  <c r="AF556" s="1"/>
  <c r="AE562"/>
  <c r="AF562" s="1"/>
  <c r="AE569"/>
  <c r="AF569" s="1"/>
  <c r="AE576"/>
  <c r="AF576" s="1"/>
  <c r="AE585"/>
  <c r="AF585" s="1"/>
  <c r="AE591"/>
  <c r="AF591" s="1"/>
  <c r="AE598"/>
  <c r="AF598" s="1"/>
  <c r="AE606"/>
  <c r="AF606" s="1"/>
  <c r="AE612"/>
  <c r="AF612" s="1"/>
  <c r="AE619"/>
  <c r="AF619" s="1"/>
  <c r="AE620"/>
  <c r="AF620" s="1"/>
  <c r="AE626"/>
  <c r="AF626" s="1"/>
  <c r="AE634"/>
  <c r="AF634" s="1"/>
  <c r="AE641"/>
  <c r="AF641" s="1"/>
  <c r="AE649"/>
  <c r="AF649" s="1"/>
  <c r="AE656"/>
  <c r="AF656" s="1"/>
  <c r="AE663"/>
  <c r="AF663" s="1"/>
  <c r="AE672"/>
  <c r="AF672" s="1"/>
  <c r="AE678"/>
  <c r="AF678" s="1"/>
  <c r="AE686"/>
  <c r="AF686" s="1"/>
  <c r="AE693"/>
  <c r="AF693" s="1"/>
  <c r="AE698"/>
  <c r="AF698" s="1"/>
  <c r="AE709"/>
  <c r="AF709" s="1"/>
  <c r="AE721"/>
  <c r="AF721" s="1"/>
  <c r="AE735"/>
  <c r="AF735" s="1"/>
  <c r="AE743"/>
  <c r="AF743" s="1"/>
  <c r="AE749"/>
  <c r="AF749" s="1"/>
  <c r="AE758"/>
  <c r="AF758" s="1"/>
  <c r="AE765"/>
  <c r="AF765" s="1"/>
  <c r="AE772"/>
  <c r="AF772" s="1"/>
  <c r="AE778"/>
  <c r="AF778" s="1"/>
  <c r="AE784"/>
  <c r="AF784" s="1"/>
  <c r="AE792"/>
  <c r="AF792" s="1"/>
  <c r="AE799"/>
  <c r="AF799" s="1"/>
  <c r="AE806"/>
  <c r="AF806" s="1"/>
  <c r="AE813"/>
  <c r="AF813" s="1"/>
  <c r="AE820"/>
  <c r="AF820" s="1"/>
  <c r="AE829"/>
  <c r="AF829" s="1"/>
  <c r="AE835"/>
  <c r="AF835" s="1"/>
  <c r="AE842"/>
  <c r="AF842" s="1"/>
  <c r="AE849"/>
  <c r="AF849" s="1"/>
  <c r="AE848"/>
  <c r="AF848" s="1"/>
  <c r="AE857"/>
  <c r="AF857" s="1"/>
  <c r="AE862"/>
  <c r="AF862" s="1"/>
  <c r="AE871"/>
  <c r="AF871" s="1"/>
  <c r="AE877"/>
  <c r="AF877" s="1"/>
  <c r="AE12"/>
  <c r="AF12" s="1"/>
  <c r="AE18"/>
  <c r="AF18" s="1"/>
  <c r="AE26"/>
  <c r="AF26" s="1"/>
  <c r="AE33"/>
  <c r="AF33" s="1"/>
  <c r="AE40"/>
  <c r="AF40" s="1"/>
  <c r="AE48"/>
  <c r="AF48" s="1"/>
  <c r="AE54"/>
  <c r="AF54" s="1"/>
  <c r="AE61"/>
  <c r="AF61" s="1"/>
  <c r="AE69"/>
  <c r="AF69" s="1"/>
  <c r="AE76"/>
  <c r="AF76" s="1"/>
  <c r="AE82"/>
  <c r="AF82" s="1"/>
  <c r="AE91"/>
  <c r="AF91" s="1"/>
  <c r="AE97"/>
  <c r="AF97" s="1"/>
  <c r="AE105"/>
  <c r="AF105" s="1"/>
  <c r="AE113"/>
  <c r="AF113" s="1"/>
  <c r="AE119"/>
  <c r="AF119" s="1"/>
  <c r="AE128"/>
  <c r="AF128" s="1"/>
  <c r="AE136"/>
  <c r="AF136" s="1"/>
  <c r="AE143"/>
  <c r="AF143" s="1"/>
  <c r="AE151"/>
  <c r="AF151" s="1"/>
  <c r="AE159"/>
  <c r="AF159" s="1"/>
  <c r="AE166"/>
  <c r="AF166" s="1"/>
  <c r="AE173"/>
  <c r="AF173" s="1"/>
  <c r="AE187"/>
  <c r="AF187" s="1"/>
  <c r="AE195"/>
  <c r="AF195" s="1"/>
  <c r="AE209"/>
  <c r="AF209" s="1"/>
  <c r="AE216"/>
  <c r="AF216" s="1"/>
  <c r="AE221"/>
  <c r="AF221" s="1"/>
  <c r="AE229"/>
  <c r="AF229" s="1"/>
  <c r="AE238"/>
  <c r="AF238" s="1"/>
  <c r="AE246"/>
  <c r="AF246" s="1"/>
  <c r="AE254"/>
  <c r="AF254" s="1"/>
  <c r="AE260"/>
  <c r="AF260" s="1"/>
  <c r="AE267"/>
  <c r="AF267" s="1"/>
  <c r="AE273"/>
  <c r="AF273" s="1"/>
  <c r="AE283"/>
  <c r="AF283" s="1"/>
  <c r="AE290"/>
  <c r="AF290" s="1"/>
  <c r="AE297"/>
  <c r="AF297" s="1"/>
  <c r="AE303"/>
  <c r="AF303" s="1"/>
  <c r="AE312"/>
  <c r="AF312" s="1"/>
  <c r="AE318"/>
  <c r="AF318" s="1"/>
  <c r="AE323"/>
  <c r="AF323" s="1"/>
  <c r="AE333"/>
  <c r="AF333" s="1"/>
  <c r="AE340"/>
  <c r="AF340" s="1"/>
  <c r="AE347"/>
  <c r="AF347" s="1"/>
  <c r="AE354"/>
  <c r="AF354" s="1"/>
  <c r="AE362"/>
  <c r="AF362" s="1"/>
  <c r="AE370"/>
  <c r="AF370" s="1"/>
  <c r="AE376"/>
  <c r="AF376" s="1"/>
  <c r="AE386"/>
  <c r="AF386" s="1"/>
  <c r="AE392"/>
  <c r="AF392" s="1"/>
  <c r="AE399"/>
  <c r="AF399" s="1"/>
  <c r="AE406"/>
  <c r="AF406" s="1"/>
  <c r="AE420"/>
  <c r="AF420" s="1"/>
  <c r="AE426"/>
  <c r="AF426" s="1"/>
  <c r="AE431"/>
  <c r="AF431" s="1"/>
  <c r="AE440"/>
  <c r="AF440" s="1"/>
  <c r="AE447"/>
  <c r="AF447" s="1"/>
  <c r="AE453"/>
  <c r="AF453" s="1"/>
  <c r="AE461"/>
  <c r="AF461" s="1"/>
  <c r="AE468"/>
  <c r="AF468" s="1"/>
  <c r="AE475"/>
  <c r="AF475" s="1"/>
  <c r="AE482"/>
  <c r="AF482" s="1"/>
  <c r="AE490"/>
  <c r="AF490" s="1"/>
  <c r="AE499"/>
  <c r="AF499" s="1"/>
  <c r="AE506"/>
  <c r="AF506" s="1"/>
  <c r="AE513"/>
  <c r="AF513" s="1"/>
  <c r="AE520"/>
  <c r="AF520" s="1"/>
  <c r="AE528"/>
  <c r="AF528" s="1"/>
  <c r="AE534"/>
  <c r="AF534" s="1"/>
  <c r="AE549"/>
  <c r="AF549" s="1"/>
  <c r="AE554"/>
  <c r="AF554" s="1"/>
  <c r="AE570"/>
  <c r="AF570" s="1"/>
  <c r="AE578"/>
  <c r="AF578" s="1"/>
  <c r="AE583"/>
  <c r="AF583" s="1"/>
  <c r="AE607"/>
  <c r="AF607" s="1"/>
  <c r="AE613"/>
  <c r="AF613" s="1"/>
  <c r="AE618"/>
  <c r="AF618" s="1"/>
  <c r="AE627"/>
  <c r="AF627" s="1"/>
  <c r="AE632"/>
  <c r="AF632" s="1"/>
  <c r="AE642"/>
  <c r="AF642" s="1"/>
  <c r="AE647"/>
  <c r="AF647" s="1"/>
  <c r="AE654"/>
  <c r="AF654" s="1"/>
  <c r="AE657"/>
  <c r="AF657" s="1"/>
  <c r="AE665"/>
  <c r="AF665" s="1"/>
  <c r="AE673"/>
  <c r="AF673" s="1"/>
  <c r="AE679"/>
  <c r="AF679" s="1"/>
  <c r="AE687"/>
  <c r="AF687" s="1"/>
  <c r="AE694"/>
  <c r="AF694" s="1"/>
  <c r="AE699"/>
  <c r="AF699" s="1"/>
  <c r="AE705"/>
  <c r="AF705" s="1"/>
  <c r="AE714"/>
  <c r="AF714" s="1"/>
  <c r="AE722"/>
  <c r="AF722" s="1"/>
  <c r="AE729"/>
  <c r="AF729" s="1"/>
  <c r="AE736"/>
  <c r="AF736" s="1"/>
  <c r="AE750"/>
  <c r="AF750" s="1"/>
  <c r="AE759"/>
  <c r="AF759" s="1"/>
  <c r="AE766"/>
  <c r="AF766" s="1"/>
  <c r="AE773"/>
  <c r="AF773" s="1"/>
  <c r="AE779"/>
  <c r="AF779" s="1"/>
  <c r="AE793"/>
  <c r="AF793" s="1"/>
  <c r="AE802"/>
  <c r="AF802" s="1"/>
  <c r="AE807"/>
  <c r="AF807" s="1"/>
  <c r="AE814"/>
  <c r="AF814" s="1"/>
  <c r="AE821"/>
  <c r="AF821" s="1"/>
  <c r="AE827"/>
  <c r="AF827" s="1"/>
  <c r="AE836"/>
  <c r="AF836" s="1"/>
  <c r="AE843"/>
  <c r="AF843" s="1"/>
  <c r="AE850"/>
  <c r="AF850" s="1"/>
  <c r="AE855"/>
  <c r="AF855" s="1"/>
  <c r="AE863"/>
  <c r="AF863" s="1"/>
  <c r="AE872"/>
  <c r="AF872" s="1"/>
  <c r="AE878"/>
  <c r="AF878" s="1"/>
  <c r="AE4"/>
  <c r="AF4" s="1"/>
  <c r="AE11"/>
  <c r="AF11" s="1"/>
  <c r="AE19"/>
  <c r="AF19" s="1"/>
  <c r="AE27"/>
  <c r="AF27" s="1"/>
  <c r="AE34"/>
  <c r="AF34" s="1"/>
  <c r="AE41"/>
  <c r="AF41" s="1"/>
  <c r="AE45"/>
  <c r="AF45" s="1"/>
  <c r="AE55"/>
  <c r="AF55" s="1"/>
  <c r="AE62"/>
  <c r="AF62" s="1"/>
  <c r="AE70"/>
  <c r="AF70" s="1"/>
  <c r="AE77"/>
  <c r="AF77" s="1"/>
  <c r="AE83"/>
  <c r="AF83" s="1"/>
  <c r="AE88"/>
  <c r="AF88" s="1"/>
  <c r="AE98"/>
  <c r="AF98" s="1"/>
  <c r="AE106"/>
  <c r="AF106" s="1"/>
  <c r="AE114"/>
  <c r="AF114" s="1"/>
  <c r="AE122"/>
  <c r="AF122" s="1"/>
  <c r="AE129"/>
  <c r="AF129" s="1"/>
  <c r="AE137"/>
  <c r="AF137" s="1"/>
  <c r="AE144"/>
  <c r="AF144" s="1"/>
  <c r="AE152"/>
  <c r="AF152" s="1"/>
  <c r="AE160"/>
  <c r="AF160" s="1"/>
  <c r="AE167"/>
  <c r="AF167" s="1"/>
  <c r="AE174"/>
  <c r="AF174" s="1"/>
  <c r="AE180"/>
  <c r="AF180" s="1"/>
  <c r="AE188"/>
  <c r="AF188" s="1"/>
  <c r="AE196"/>
  <c r="AF196" s="1"/>
  <c r="AE202"/>
  <c r="AF202" s="1"/>
  <c r="AE210"/>
  <c r="AF210" s="1"/>
  <c r="AE217"/>
  <c r="AF217" s="1"/>
  <c r="AE224"/>
  <c r="AF224" s="1"/>
  <c r="AE232"/>
  <c r="AF232" s="1"/>
  <c r="AE239"/>
  <c r="AF239" s="1"/>
  <c r="AE247"/>
  <c r="AF247" s="1"/>
  <c r="AE251"/>
  <c r="AF251" s="1"/>
  <c r="AE261"/>
  <c r="AF261" s="1"/>
  <c r="AE268"/>
  <c r="AF268" s="1"/>
  <c r="AE276"/>
  <c r="AF276" s="1"/>
  <c r="AE284"/>
  <c r="AF284" s="1"/>
  <c r="AE304"/>
  <c r="AF304" s="1"/>
  <c r="AE309"/>
  <c r="AF309" s="1"/>
  <c r="AE319"/>
  <c r="AF319" s="1"/>
  <c r="AE326"/>
  <c r="AF326" s="1"/>
  <c r="AE334"/>
  <c r="AF334" s="1"/>
  <c r="AE341"/>
  <c r="AF341" s="1"/>
  <c r="AE355"/>
  <c r="AF355" s="1"/>
  <c r="AE363"/>
  <c r="AF363" s="1"/>
  <c r="AE371"/>
  <c r="AF371" s="1"/>
  <c r="AE379"/>
  <c r="AF379" s="1"/>
  <c r="AE387"/>
  <c r="AF387" s="1"/>
  <c r="AE393"/>
  <c r="AF393" s="1"/>
  <c r="AE400"/>
  <c r="AF400" s="1"/>
  <c r="AE407"/>
  <c r="AF407" s="1"/>
  <c r="AE413"/>
  <c r="AF413" s="1"/>
  <c r="AE417"/>
  <c r="AF417" s="1"/>
  <c r="AE427"/>
  <c r="AF427" s="1"/>
  <c r="AE434"/>
  <c r="AF434" s="1"/>
  <c r="AE448"/>
  <c r="AF448" s="1"/>
  <c r="AE454"/>
  <c r="AF454" s="1"/>
  <c r="AE462"/>
  <c r="AF462" s="1"/>
  <c r="AE469"/>
  <c r="AF469" s="1"/>
  <c r="AE476"/>
  <c r="AF476" s="1"/>
  <c r="AE484"/>
  <c r="AF484" s="1"/>
  <c r="AE491"/>
  <c r="AF491" s="1"/>
  <c r="AE496"/>
  <c r="AF496" s="1"/>
  <c r="AE514"/>
  <c r="AF514" s="1"/>
  <c r="AE521"/>
  <c r="AF521" s="1"/>
  <c r="AE529"/>
  <c r="AF529" s="1"/>
  <c r="AE535"/>
  <c r="AF535" s="1"/>
  <c r="AE542"/>
  <c r="AF542" s="1"/>
  <c r="AE543"/>
  <c r="AF543" s="1"/>
  <c r="AE550"/>
  <c r="AF550" s="1"/>
  <c r="AE557"/>
  <c r="AF557" s="1"/>
  <c r="AE563"/>
  <c r="AF563" s="1"/>
  <c r="AE571"/>
  <c r="AF571" s="1"/>
  <c r="AE579"/>
  <c r="AF579" s="1"/>
  <c r="AE592"/>
  <c r="AF592" s="1"/>
  <c r="AE599"/>
  <c r="AF599" s="1"/>
  <c r="AE608"/>
  <c r="AF608" s="1"/>
  <c r="AE614"/>
  <c r="AF614" s="1"/>
  <c r="AE621"/>
  <c r="AF621" s="1"/>
  <c r="AE628"/>
  <c r="AF628" s="1"/>
  <c r="AE635"/>
  <c r="AF635" s="1"/>
  <c r="AE643"/>
  <c r="AF643" s="1"/>
  <c r="AE650"/>
  <c r="AF650" s="1"/>
  <c r="AE662"/>
  <c r="AF662" s="1"/>
  <c r="AE666"/>
  <c r="AF666" s="1"/>
  <c r="AE670"/>
  <c r="AF670" s="1"/>
  <c r="AE680"/>
  <c r="AF680" s="1"/>
  <c r="AE700"/>
  <c r="AF700" s="1"/>
  <c r="AE710"/>
  <c r="AF710" s="1"/>
  <c r="AE715"/>
  <c r="AF715" s="1"/>
  <c r="AE723"/>
  <c r="AF723" s="1"/>
  <c r="AE730"/>
  <c r="AF730" s="1"/>
  <c r="AE737"/>
  <c r="AF737" s="1"/>
  <c r="AE744"/>
  <c r="AF744" s="1"/>
  <c r="AE745"/>
  <c r="AF745" s="1"/>
  <c r="AE751"/>
  <c r="AF751" s="1"/>
  <c r="AE760"/>
  <c r="AF760" s="1"/>
  <c r="AE767"/>
  <c r="AF767" s="1"/>
  <c r="AE774"/>
  <c r="AF774" s="1"/>
  <c r="AE786"/>
  <c r="AF786" s="1"/>
  <c r="AE794"/>
  <c r="AF794" s="1"/>
  <c r="AE800"/>
  <c r="AF800" s="1"/>
  <c r="AE808"/>
  <c r="AF808" s="1"/>
  <c r="AE815"/>
  <c r="AF815" s="1"/>
  <c r="AE822"/>
  <c r="AF822" s="1"/>
  <c r="AE837"/>
  <c r="AF837" s="1"/>
  <c r="AE851"/>
  <c r="AF851" s="1"/>
  <c r="AE864"/>
  <c r="AF864" s="1"/>
  <c r="AE869"/>
  <c r="AF869" s="1"/>
  <c r="AE879"/>
  <c r="AF879" s="1"/>
  <c r="AE5"/>
  <c r="AF5" s="1"/>
  <c r="AE13"/>
  <c r="AF13" s="1"/>
  <c r="AE20"/>
  <c r="AF20" s="1"/>
  <c r="AE28"/>
  <c r="AF28" s="1"/>
  <c r="AE35"/>
  <c r="AF35" s="1"/>
  <c r="AE42"/>
  <c r="AF42" s="1"/>
  <c r="AE49"/>
  <c r="AF49" s="1"/>
  <c r="AE56"/>
  <c r="AF56" s="1"/>
  <c r="AE63"/>
  <c r="AF63" s="1"/>
  <c r="AE71"/>
  <c r="AF71" s="1"/>
  <c r="AE78"/>
  <c r="AF78" s="1"/>
  <c r="AE84"/>
  <c r="AF84" s="1"/>
  <c r="AE92"/>
  <c r="AF92" s="1"/>
  <c r="AE99"/>
  <c r="AF99" s="1"/>
  <c r="AE107"/>
  <c r="AF107" s="1"/>
  <c r="AE115"/>
  <c r="AF115" s="1"/>
  <c r="AE130"/>
  <c r="AF130" s="1"/>
  <c r="AE138"/>
  <c r="AF138" s="1"/>
  <c r="AE145"/>
  <c r="AF145" s="1"/>
  <c r="AE153"/>
  <c r="AF153" s="1"/>
  <c r="AE161"/>
  <c r="AF161" s="1"/>
  <c r="AE168"/>
  <c r="AF168" s="1"/>
  <c r="AE175"/>
  <c r="AF175" s="1"/>
  <c r="AE181"/>
  <c r="AF181" s="1"/>
  <c r="AE189"/>
  <c r="AF189" s="1"/>
  <c r="AE197"/>
  <c r="AF197" s="1"/>
  <c r="AE203"/>
  <c r="AF203" s="1"/>
  <c r="AE211"/>
  <c r="AF211" s="1"/>
  <c r="AE225"/>
  <c r="AF225" s="1"/>
  <c r="AE233"/>
  <c r="AF233" s="1"/>
  <c r="AE240"/>
  <c r="AF240" s="1"/>
  <c r="AE248"/>
  <c r="AF248" s="1"/>
  <c r="AE255"/>
  <c r="AF255" s="1"/>
  <c r="AE262"/>
  <c r="AF262" s="1"/>
  <c r="AE269"/>
  <c r="AF269" s="1"/>
  <c r="AE277"/>
  <c r="AF277" s="1"/>
  <c r="AE291"/>
  <c r="AF291" s="1"/>
  <c r="AE298"/>
  <c r="AF298" s="1"/>
  <c r="AE305"/>
  <c r="AF305" s="1"/>
  <c r="AE313"/>
  <c r="AF313" s="1"/>
  <c r="AE320"/>
  <c r="AF320" s="1"/>
  <c r="AE327"/>
  <c r="AF327" s="1"/>
  <c r="AE342"/>
  <c r="AF342" s="1"/>
  <c r="AE348"/>
  <c r="AF348" s="1"/>
  <c r="AE356"/>
  <c r="AF356" s="1"/>
  <c r="AE364"/>
  <c r="AF364" s="1"/>
  <c r="AE368"/>
  <c r="AF368" s="1"/>
  <c r="AE380"/>
  <c r="AF380" s="1"/>
  <c r="AE384"/>
  <c r="AF384" s="1"/>
  <c r="AE394"/>
  <c r="AF394" s="1"/>
  <c r="AE401"/>
  <c r="AF401" s="1"/>
  <c r="AE408"/>
  <c r="AF408" s="1"/>
  <c r="AE414"/>
  <c r="AF414" s="1"/>
  <c r="AE421"/>
  <c r="AF421" s="1"/>
  <c r="AE428"/>
  <c r="AF428" s="1"/>
  <c r="AE441"/>
  <c r="AF441" s="1"/>
  <c r="AE449"/>
  <c r="AF449" s="1"/>
  <c r="AE455"/>
  <c r="AF455" s="1"/>
  <c r="AE463"/>
  <c r="AF463" s="1"/>
  <c r="AE470"/>
  <c r="AF470" s="1"/>
  <c r="AE477"/>
  <c r="AF477" s="1"/>
  <c r="AE485"/>
  <c r="AF485" s="1"/>
  <c r="AE492"/>
  <c r="AF492" s="1"/>
  <c r="AE500"/>
  <c r="AF500" s="1"/>
  <c r="AE507"/>
  <c r="AF507" s="1"/>
  <c r="AE515"/>
  <c r="AF515" s="1"/>
  <c r="AE522"/>
  <c r="AF522" s="1"/>
  <c r="AE530"/>
  <c r="AF530" s="1"/>
  <c r="AE536"/>
  <c r="AF536" s="1"/>
  <c r="AE551"/>
  <c r="AF551" s="1"/>
  <c r="AE564"/>
  <c r="AF564" s="1"/>
  <c r="AE572"/>
  <c r="AF572" s="1"/>
  <c r="AE580"/>
  <c r="AF580" s="1"/>
  <c r="AE586"/>
  <c r="AF586" s="1"/>
  <c r="AE593"/>
  <c r="AF593" s="1"/>
  <c r="AE600"/>
  <c r="AF600" s="1"/>
  <c r="AE604"/>
  <c r="AF604" s="1"/>
  <c r="AE615"/>
  <c r="AF615" s="1"/>
  <c r="AE622"/>
  <c r="AF622" s="1"/>
  <c r="AE629"/>
  <c r="AF629" s="1"/>
  <c r="AE636"/>
  <c r="AF636" s="1"/>
  <c r="AE644"/>
  <c r="AF644" s="1"/>
  <c r="AE651"/>
  <c r="AF651" s="1"/>
  <c r="AE658"/>
  <c r="AF658" s="1"/>
  <c r="AE667"/>
  <c r="AF667" s="1"/>
  <c r="AE674"/>
  <c r="AF674" s="1"/>
  <c r="AE681"/>
  <c r="AF681" s="1"/>
  <c r="AE688"/>
  <c r="AF688" s="1"/>
  <c r="AE695"/>
  <c r="AF695" s="1"/>
  <c r="AE701"/>
  <c r="AF701" s="1"/>
  <c r="AE706"/>
  <c r="AF706" s="1"/>
  <c r="AE716"/>
  <c r="AF716" s="1"/>
  <c r="AE724"/>
  <c r="AF724" s="1"/>
  <c r="AE731"/>
  <c r="AF731" s="1"/>
  <c r="AE738"/>
  <c r="AF738" s="1"/>
  <c r="AE746"/>
  <c r="AF746" s="1"/>
  <c r="AE752"/>
  <c r="AF752" s="1"/>
  <c r="AE768"/>
  <c r="AF768" s="1"/>
  <c r="AE780"/>
  <c r="AF780" s="1"/>
  <c r="AE787"/>
  <c r="AF787" s="1"/>
  <c r="AE795"/>
  <c r="AF795" s="1"/>
  <c r="AE803"/>
  <c r="AF803" s="1"/>
  <c r="AE816"/>
  <c r="AF816" s="1"/>
  <c r="AE823"/>
  <c r="AF823" s="1"/>
  <c r="AE830"/>
  <c r="AF830" s="1"/>
  <c r="AE838"/>
  <c r="AF838" s="1"/>
  <c r="AE844"/>
  <c r="AF844" s="1"/>
  <c r="AE852"/>
  <c r="AF852" s="1"/>
  <c r="AE858"/>
  <c r="AF858" s="1"/>
  <c r="AE865"/>
  <c r="AF865" s="1"/>
  <c r="AE873"/>
  <c r="AF873" s="1"/>
  <c r="AE6"/>
  <c r="AF6" s="1"/>
  <c r="AE14"/>
  <c r="AF14" s="1"/>
  <c r="AE21"/>
  <c r="AF21" s="1"/>
  <c r="AE29"/>
  <c r="AF29" s="1"/>
  <c r="AE36"/>
  <c r="AF36" s="1"/>
  <c r="AE43"/>
  <c r="AF43" s="1"/>
  <c r="AE50"/>
  <c r="AF50" s="1"/>
  <c r="AE57"/>
  <c r="AF57" s="1"/>
  <c r="AE64"/>
  <c r="AF64" s="1"/>
  <c r="AE72"/>
  <c r="AF72" s="1"/>
  <c r="AE79"/>
  <c r="AF79" s="1"/>
  <c r="AE85"/>
  <c r="AF85" s="1"/>
  <c r="AE93"/>
  <c r="AF93" s="1"/>
  <c r="AE100"/>
  <c r="AF100" s="1"/>
  <c r="AE108"/>
  <c r="AF108" s="1"/>
  <c r="AE116"/>
  <c r="AF116" s="1"/>
  <c r="AE123"/>
  <c r="AF123" s="1"/>
  <c r="AE131"/>
  <c r="AF131" s="1"/>
  <c r="AE146"/>
  <c r="AF146" s="1"/>
  <c r="AE154"/>
  <c r="AF154" s="1"/>
  <c r="AE169"/>
  <c r="AF169" s="1"/>
  <c r="AE182"/>
  <c r="AF182" s="1"/>
  <c r="AE190"/>
  <c r="AF190" s="1"/>
  <c r="AE198"/>
  <c r="AF198" s="1"/>
  <c r="AE204"/>
  <c r="AF204" s="1"/>
  <c r="AE212"/>
  <c r="AF212" s="1"/>
  <c r="AE218"/>
  <c r="AF218" s="1"/>
  <c r="AE226"/>
  <c r="AF226" s="1"/>
  <c r="AE234"/>
  <c r="AF234" s="1"/>
  <c r="AE241"/>
  <c r="AF241" s="1"/>
  <c r="AE256"/>
  <c r="AF256" s="1"/>
  <c r="AE263"/>
  <c r="AF263" s="1"/>
  <c r="AE270"/>
  <c r="AF270" s="1"/>
  <c r="AE278"/>
  <c r="AF278" s="1"/>
  <c r="AE285"/>
  <c r="AF285" s="1"/>
  <c r="AE292"/>
  <c r="AF292" s="1"/>
  <c r="AE299"/>
  <c r="AF299" s="1"/>
  <c r="AE306"/>
  <c r="AF306" s="1"/>
  <c r="AE314"/>
  <c r="AF314" s="1"/>
  <c r="AE321"/>
  <c r="AF321" s="1"/>
  <c r="AE328"/>
  <c r="AF328" s="1"/>
  <c r="AE335"/>
  <c r="AF335" s="1"/>
  <c r="AE343"/>
  <c r="AF343" s="1"/>
  <c r="AE349"/>
  <c r="AF349" s="1"/>
  <c r="AE357"/>
  <c r="AF357" s="1"/>
  <c r="AE365"/>
  <c r="AF365" s="1"/>
  <c r="AE372"/>
  <c r="AF372" s="1"/>
  <c r="AE375"/>
  <c r="AF375" s="1"/>
  <c r="AE381"/>
  <c r="AF381" s="1"/>
  <c r="AE388"/>
  <c r="AF388" s="1"/>
  <c r="AE395"/>
  <c r="AF395" s="1"/>
  <c r="AE402"/>
  <c r="AF402" s="1"/>
  <c r="AE415"/>
  <c r="AF415" s="1"/>
  <c r="AE422"/>
  <c r="AF422" s="1"/>
  <c r="AE429"/>
  <c r="AF429" s="1"/>
  <c r="AE435"/>
  <c r="AF435" s="1"/>
  <c r="AE442"/>
  <c r="AF442" s="1"/>
  <c r="AE450"/>
  <c r="AF450" s="1"/>
  <c r="AE456"/>
  <c r="AF456" s="1"/>
  <c r="AE478"/>
  <c r="AF478" s="1"/>
  <c r="AE486"/>
  <c r="AF486" s="1"/>
  <c r="AE493"/>
  <c r="AF493" s="1"/>
  <c r="AE501"/>
  <c r="AF501" s="1"/>
  <c r="AE508"/>
  <c r="AF508" s="1"/>
  <c r="AE516"/>
  <c r="AF516" s="1"/>
  <c r="AE523"/>
  <c r="AF523" s="1"/>
  <c r="AE531"/>
  <c r="AF531" s="1"/>
  <c r="AE537"/>
  <c r="AF537" s="1"/>
  <c r="AE544"/>
  <c r="AF544" s="1"/>
  <c r="AE558"/>
  <c r="AF558" s="1"/>
  <c r="AE565"/>
  <c r="AF565" s="1"/>
  <c r="AE573"/>
  <c r="AF573" s="1"/>
  <c r="AE581"/>
  <c r="AF581" s="1"/>
  <c r="AE587"/>
  <c r="AF587" s="1"/>
  <c r="AE594"/>
  <c r="AF594" s="1"/>
  <c r="AE601"/>
  <c r="AF601" s="1"/>
  <c r="AE609"/>
  <c r="AF609" s="1"/>
  <c r="AE616"/>
  <c r="AF616" s="1"/>
  <c r="AE630"/>
  <c r="AF630" s="1"/>
  <c r="AE652"/>
  <c r="AF652" s="1"/>
  <c r="AE659"/>
  <c r="AF659" s="1"/>
  <c r="AE668"/>
  <c r="AF668" s="1"/>
  <c r="AE675"/>
  <c r="AF675" s="1"/>
  <c r="AE682"/>
  <c r="AF682" s="1"/>
  <c r="AE689"/>
  <c r="AF689" s="1"/>
  <c r="AE696"/>
  <c r="AF696" s="1"/>
  <c r="AE702"/>
  <c r="AF702" s="1"/>
  <c r="AE711"/>
  <c r="AF711" s="1"/>
  <c r="AE717"/>
  <c r="AF717" s="1"/>
  <c r="AE725"/>
  <c r="AF725" s="1"/>
  <c r="AE732"/>
  <c r="AF732" s="1"/>
  <c r="AE739"/>
  <c r="AF739" s="1"/>
  <c r="AE753"/>
  <c r="AF753" s="1"/>
  <c r="AE761"/>
  <c r="AF761" s="1"/>
  <c r="AE769"/>
  <c r="AF769" s="1"/>
  <c r="AE775"/>
  <c r="AF775" s="1"/>
  <c r="AE781"/>
  <c r="AF781" s="1"/>
  <c r="AE788"/>
  <c r="AF788" s="1"/>
  <c r="AE801"/>
  <c r="AF801" s="1"/>
  <c r="AE809"/>
  <c r="AF809" s="1"/>
  <c r="AE824"/>
  <c r="AF824" s="1"/>
  <c r="AE831"/>
  <c r="AF831" s="1"/>
  <c r="AE845"/>
  <c r="AF845" s="1"/>
  <c r="AE853"/>
  <c r="AF853" s="1"/>
  <c r="AE859"/>
  <c r="AF859" s="1"/>
  <c r="AE866"/>
  <c r="AF866" s="1"/>
  <c r="AE880"/>
  <c r="AF880" s="1"/>
  <c r="AE7"/>
  <c r="AF7" s="1"/>
  <c r="AE22"/>
  <c r="AF22" s="1"/>
  <c r="AE37"/>
  <c r="AF37" s="1"/>
  <c r="AE65"/>
  <c r="AF65" s="1"/>
  <c r="AE73"/>
  <c r="AF73" s="1"/>
  <c r="AE80"/>
  <c r="AF80" s="1"/>
  <c r="AE86"/>
  <c r="AF86" s="1"/>
  <c r="AE101"/>
  <c r="AF101" s="1"/>
  <c r="AE109"/>
  <c r="AF109" s="1"/>
  <c r="AE117"/>
  <c r="AF117" s="1"/>
  <c r="AE124"/>
  <c r="AF124" s="1"/>
  <c r="AE132"/>
  <c r="AF132" s="1"/>
  <c r="AE139"/>
  <c r="AF139" s="1"/>
  <c r="AE147"/>
  <c r="AF147" s="1"/>
  <c r="AE155"/>
  <c r="AF155" s="1"/>
  <c r="AE162"/>
  <c r="AF162" s="1"/>
  <c r="AE170"/>
  <c r="AF170" s="1"/>
  <c r="AE176"/>
  <c r="AF176" s="1"/>
  <c r="AE183"/>
  <c r="AF183" s="1"/>
  <c r="AE191"/>
  <c r="AF191" s="1"/>
  <c r="AE205"/>
  <c r="AF205" s="1"/>
  <c r="AE213"/>
  <c r="AF213" s="1"/>
  <c r="AE219"/>
  <c r="AF219" s="1"/>
  <c r="AE227"/>
  <c r="AF227" s="1"/>
  <c r="AE235"/>
  <c r="AF235" s="1"/>
  <c r="AE242"/>
  <c r="AF242" s="1"/>
  <c r="AE249"/>
  <c r="AF249" s="1"/>
  <c r="AE264"/>
  <c r="AF264" s="1"/>
  <c r="AE271"/>
  <c r="AF271" s="1"/>
  <c r="AE279"/>
  <c r="AF279" s="1"/>
  <c r="AE286"/>
  <c r="AF286" s="1"/>
  <c r="AE293"/>
  <c r="AF293" s="1"/>
  <c r="AE300"/>
  <c r="AF300" s="1"/>
  <c r="AE307"/>
  <c r="AF307" s="1"/>
  <c r="AE315"/>
  <c r="AF315" s="1"/>
  <c r="AE329"/>
  <c r="AF329" s="1"/>
  <c r="AE336"/>
  <c r="AF336" s="1"/>
  <c r="AE350"/>
  <c r="AF350" s="1"/>
  <c r="AE358"/>
  <c r="AF358" s="1"/>
  <c r="AE366"/>
  <c r="AF366" s="1"/>
  <c r="AE373"/>
  <c r="AF373" s="1"/>
  <c r="AE382"/>
  <c r="AF382" s="1"/>
  <c r="AE389"/>
  <c r="AF389" s="1"/>
  <c r="AE396"/>
  <c r="AF396" s="1"/>
  <c r="AE403"/>
  <c r="AF403" s="1"/>
  <c r="AE409"/>
  <c r="AF409" s="1"/>
  <c r="AE430"/>
  <c r="AF430" s="1"/>
  <c r="AE436"/>
  <c r="AF436" s="1"/>
  <c r="AE443"/>
  <c r="AF443" s="1"/>
  <c r="AE457"/>
  <c r="AF457" s="1"/>
  <c r="AE464"/>
  <c r="AF464" s="1"/>
  <c r="AE471"/>
  <c r="AF471" s="1"/>
  <c r="AE479"/>
  <c r="AF479" s="1"/>
  <c r="AE494"/>
  <c r="AF494" s="1"/>
  <c r="AE502"/>
  <c r="AF502" s="1"/>
  <c r="AE509"/>
  <c r="AF509" s="1"/>
  <c r="AE524"/>
  <c r="AF524" s="1"/>
  <c r="AE532"/>
  <c r="AF532" s="1"/>
  <c r="AE538"/>
  <c r="AF538" s="1"/>
  <c r="AE545"/>
  <c r="AF545" s="1"/>
  <c r="AE552"/>
  <c r="AF552" s="1"/>
  <c r="AE559"/>
  <c r="AF559" s="1"/>
  <c r="AE566"/>
  <c r="AF566" s="1"/>
  <c r="AE574"/>
  <c r="AF574" s="1"/>
  <c r="AE582"/>
  <c r="AF582" s="1"/>
  <c r="AE588"/>
  <c r="AF588" s="1"/>
  <c r="AE595"/>
  <c r="AF595" s="1"/>
  <c r="AE602"/>
  <c r="AF602" s="1"/>
  <c r="AE610"/>
  <c r="AF610" s="1"/>
  <c r="AE617"/>
  <c r="AF617" s="1"/>
  <c r="AE623"/>
  <c r="AF623" s="1"/>
  <c r="AE631"/>
  <c r="AF631" s="1"/>
  <c r="AE637"/>
  <c r="AF637" s="1"/>
  <c r="AE645"/>
  <c r="AF645" s="1"/>
  <c r="AE660"/>
  <c r="AF660" s="1"/>
  <c r="AE683"/>
  <c r="AF683" s="1"/>
  <c r="AE690"/>
  <c r="AF690" s="1"/>
  <c r="AE697"/>
  <c r="AF697" s="1"/>
  <c r="AE703"/>
  <c r="AF703" s="1"/>
  <c r="AE707"/>
  <c r="AF707" s="1"/>
  <c r="AE718"/>
  <c r="AF718" s="1"/>
  <c r="AE726"/>
  <c r="AF726" s="1"/>
  <c r="AE733"/>
  <c r="AF733" s="1"/>
  <c r="AE740"/>
  <c r="AF740" s="1"/>
  <c r="AE747"/>
  <c r="AF747" s="1"/>
  <c r="AE754"/>
  <c r="AF754" s="1"/>
  <c r="AE756"/>
  <c r="AF756" s="1"/>
  <c r="AE762"/>
  <c r="AF762" s="1"/>
  <c r="AE776"/>
  <c r="AF776" s="1"/>
  <c r="AE782"/>
  <c r="AF782" s="1"/>
  <c r="AE789"/>
  <c r="AF789" s="1"/>
  <c r="AE796"/>
  <c r="AF796" s="1"/>
  <c r="AE804"/>
  <c r="AF804" s="1"/>
  <c r="AE810"/>
  <c r="AF810" s="1"/>
  <c r="AE817"/>
  <c r="AF817" s="1"/>
  <c r="AE825"/>
  <c r="AF825" s="1"/>
  <c r="AE832"/>
  <c r="AF832" s="1"/>
  <c r="AE839"/>
  <c r="AF839" s="1"/>
  <c r="AE846"/>
  <c r="AF846" s="1"/>
  <c r="AE860"/>
  <c r="AF860" s="1"/>
  <c r="AE867"/>
  <c r="AF867" s="1"/>
  <c r="AE874"/>
  <c r="AF874" s="1"/>
  <c r="AE881"/>
  <c r="AF881" s="1"/>
  <c r="X883"/>
  <c r="S883"/>
  <c r="T883"/>
  <c r="U883"/>
  <c r="V883"/>
  <c r="W883"/>
  <c r="O883"/>
  <c r="P883"/>
  <c r="Q883"/>
  <c r="R883"/>
  <c r="L883"/>
  <c r="D883"/>
  <c r="E883"/>
  <c r="F883"/>
  <c r="G883"/>
  <c r="H883"/>
  <c r="I883"/>
  <c r="J883"/>
  <c r="K883"/>
  <c r="C883"/>
  <c r="AN177"/>
  <c r="AN23"/>
  <c r="AO589"/>
  <c r="AO102"/>
  <c r="AM148"/>
  <c r="AO359"/>
  <c r="AN74"/>
  <c r="AO444"/>
  <c r="AO704"/>
  <c r="AN374"/>
  <c r="AO374"/>
  <c r="AO639"/>
  <c r="AM280"/>
  <c r="AO74"/>
  <c r="AM840"/>
  <c r="AO87"/>
  <c r="AM397"/>
  <c r="AO15"/>
  <c r="AN148"/>
  <c r="AO861"/>
  <c r="AN344"/>
  <c r="AN525"/>
  <c r="AM638"/>
  <c r="AN257"/>
  <c r="AM94"/>
  <c r="AO416"/>
  <c r="AM624"/>
  <c r="AM854"/>
  <c r="AN503"/>
  <c r="AO465"/>
  <c r="AM826"/>
  <c r="AL148"/>
  <c r="AL826"/>
  <c r="AL125"/>
  <c r="AL646"/>
  <c r="AL783"/>
  <c r="AL691"/>
  <c r="AL351"/>
  <c r="AN437"/>
  <c r="AO517"/>
  <c r="AO410"/>
  <c r="AO575"/>
  <c r="AM684"/>
  <c r="AO66"/>
  <c r="AM861"/>
  <c r="AL553"/>
  <c r="AL337"/>
  <c r="AL397"/>
  <c r="AO23"/>
  <c r="AM517"/>
  <c r="AN410"/>
  <c r="AO458"/>
  <c r="AN748"/>
  <c r="AM451"/>
  <c r="AM458"/>
  <c r="AO763"/>
  <c r="AL410"/>
  <c r="AL790"/>
  <c r="AL133"/>
  <c r="AO308"/>
  <c r="AO553"/>
  <c r="AO148"/>
  <c r="AO755"/>
  <c r="AN44"/>
  <c r="AN367"/>
  <c r="AN875"/>
  <c r="AM465"/>
  <c r="AO437"/>
  <c r="AL763"/>
  <c r="AL741"/>
  <c r="AL818"/>
  <c r="AL51"/>
  <c r="AM301"/>
  <c r="AM596"/>
  <c r="AN727"/>
  <c r="AO177"/>
  <c r="AN783"/>
  <c r="AN854"/>
  <c r="AO337"/>
  <c r="AM669"/>
  <c r="AM416"/>
  <c r="AN811"/>
  <c r="AO272"/>
  <c r="AL287"/>
  <c r="AL861"/>
  <c r="AL567"/>
  <c r="AL423"/>
  <c r="AO661"/>
  <c r="AO156"/>
  <c r="AN444"/>
  <c r="AO250"/>
  <c r="AM741"/>
  <c r="AO596"/>
  <c r="AO94"/>
  <c r="AN868"/>
  <c r="AO51"/>
  <c r="AO8"/>
  <c r="AN423"/>
  <c r="AM755"/>
  <c r="AM163"/>
  <c r="AN653"/>
  <c r="AO184"/>
  <c r="AN458"/>
  <c r="AL330"/>
  <c r="AL44"/>
  <c r="AL712"/>
  <c r="AL546"/>
  <c r="AM503"/>
  <c r="AO826"/>
  <c r="AO192"/>
  <c r="AM712"/>
  <c r="AO539"/>
  <c r="AN546"/>
  <c r="AO712"/>
  <c r="AN553"/>
  <c r="AL390"/>
  <c r="AM575"/>
  <c r="AM272"/>
  <c r="AM847"/>
  <c r="AM748"/>
  <c r="AO451"/>
  <c r="AN206"/>
  <c r="AN397"/>
  <c r="AM257"/>
  <c r="AN465"/>
  <c r="AN184"/>
  <c r="AL539"/>
  <c r="AL23"/>
  <c r="AO790"/>
  <c r="AN250"/>
  <c r="AM704"/>
  <c r="AN383"/>
  <c r="AN712"/>
  <c r="AO624"/>
  <c r="AO567"/>
  <c r="AN330"/>
  <c r="AN87"/>
  <c r="AM287"/>
  <c r="AO727"/>
  <c r="AO125"/>
  <c r="AM770"/>
  <c r="AM206"/>
  <c r="AN691"/>
  <c r="AO280"/>
  <c r="AO811"/>
  <c r="AN861"/>
  <c r="AM653"/>
  <c r="AN487"/>
  <c r="AN451"/>
  <c r="AO351"/>
  <c r="AN589"/>
  <c r="AM423"/>
  <c r="AN646"/>
  <c r="AO301"/>
  <c r="AO546"/>
  <c r="AO344"/>
  <c r="AN243"/>
  <c r="AN826"/>
  <c r="AL661"/>
  <c r="AL669"/>
  <c r="AL875"/>
  <c r="AL280"/>
  <c r="AL383"/>
  <c r="AO30"/>
  <c r="AO44"/>
  <c r="AO423"/>
  <c r="AO854"/>
  <c r="AL102"/>
  <c r="AL480"/>
  <c r="AN818"/>
  <c r="AN228"/>
  <c r="AM589"/>
  <c r="AM383"/>
  <c r="AM140"/>
  <c r="AN51"/>
  <c r="AM546"/>
  <c r="AO367"/>
  <c r="AO847"/>
  <c r="AO770"/>
  <c r="AO691"/>
  <c r="AN596"/>
  <c r="AN199"/>
  <c r="AN66"/>
  <c r="AN272"/>
  <c r="AM553"/>
  <c r="AM510"/>
  <c r="AM797"/>
  <c r="AM639"/>
  <c r="AM359"/>
  <c r="AM15"/>
  <c r="AM337"/>
  <c r="AO199"/>
  <c r="AM875"/>
  <c r="AN30"/>
  <c r="AN140"/>
  <c r="AN638"/>
  <c r="AN156"/>
  <c r="AM8"/>
  <c r="AM567"/>
  <c r="AM133"/>
  <c r="AO653"/>
  <c r="AN416"/>
  <c r="AM66"/>
  <c r="AM646"/>
  <c r="AN676"/>
  <c r="AM344"/>
  <c r="AM487"/>
  <c r="AM228"/>
  <c r="AN94"/>
  <c r="AL727"/>
  <c r="AL797"/>
  <c r="AL272"/>
  <c r="AL495"/>
  <c r="AM603"/>
  <c r="AO684"/>
  <c r="AN790"/>
  <c r="AM243"/>
  <c r="AM818"/>
  <c r="AN684"/>
  <c r="AN351"/>
  <c r="AM30"/>
  <c r="AM374"/>
  <c r="AM250"/>
  <c r="AL748"/>
  <c r="AL94"/>
  <c r="AL770"/>
  <c r="AL140"/>
  <c r="AO133"/>
  <c r="AO140"/>
  <c r="AO287"/>
  <c r="AO163"/>
  <c r="AO669"/>
  <c r="AN639"/>
  <c r="AO868"/>
  <c r="AM691"/>
  <c r="AM480"/>
  <c r="AO397"/>
  <c r="AO330"/>
  <c r="AO833"/>
  <c r="AL868"/>
  <c r="AL15"/>
  <c r="AL308"/>
  <c r="AL624"/>
  <c r="AL199"/>
  <c r="AO495"/>
  <c r="AO220"/>
  <c r="AO58"/>
  <c r="AO294"/>
  <c r="AM763"/>
  <c r="AO228"/>
  <c r="AN539"/>
  <c r="AM437"/>
  <c r="AO560"/>
  <c r="AO383"/>
  <c r="AO638"/>
  <c r="AL110"/>
  <c r="AL74"/>
  <c r="AL510"/>
  <c r="AL755"/>
  <c r="AL639"/>
  <c r="AL487"/>
  <c r="AO503"/>
  <c r="AO748"/>
  <c r="AN669"/>
  <c r="AL854"/>
  <c r="AM367"/>
  <c r="AN337"/>
  <c r="AN359"/>
  <c r="AM444"/>
  <c r="AN125"/>
  <c r="AN833"/>
  <c r="AO390"/>
  <c r="AO243"/>
  <c r="AM294"/>
  <c r="AO818"/>
  <c r="AM199"/>
  <c r="AM410"/>
  <c r="AO783"/>
  <c r="AN480"/>
  <c r="AN560"/>
  <c r="AL359"/>
  <c r="AL517"/>
  <c r="AL833"/>
  <c r="AL525"/>
  <c r="AL206"/>
  <c r="AM125"/>
  <c r="AO676"/>
  <c r="AN704"/>
  <c r="AO472"/>
  <c r="AO487"/>
  <c r="AN719"/>
  <c r="AO110"/>
  <c r="AM58"/>
  <c r="AO525"/>
  <c r="AO719"/>
  <c r="AM539"/>
  <c r="AN797"/>
  <c r="AL704"/>
  <c r="AL250"/>
  <c r="AL676"/>
  <c r="AL416"/>
  <c r="AL156"/>
  <c r="AN58"/>
  <c r="AM51"/>
  <c r="AL451"/>
  <c r="AO840"/>
  <c r="AM525"/>
  <c r="AM177"/>
  <c r="AM184"/>
  <c r="AL294"/>
  <c r="AL589"/>
  <c r="AN770"/>
  <c r="AN8"/>
  <c r="AO603"/>
  <c r="AL87"/>
  <c r="AL344"/>
  <c r="AN294"/>
  <c r="AN661"/>
  <c r="AN390"/>
  <c r="AL30"/>
  <c r="AN133"/>
  <c r="AN472"/>
  <c r="AL458"/>
  <c r="AM192"/>
  <c r="AN624"/>
  <c r="AL503"/>
  <c r="AM833"/>
  <c r="AO741"/>
  <c r="AM23"/>
  <c r="AM308"/>
  <c r="AN567"/>
  <c r="AL220"/>
  <c r="AN192"/>
  <c r="AN301"/>
  <c r="AN280"/>
  <c r="AN741"/>
  <c r="AL575"/>
  <c r="AO797"/>
  <c r="AM472"/>
  <c r="AL444"/>
  <c r="AM719"/>
  <c r="AN110"/>
  <c r="AM661"/>
  <c r="AL374"/>
  <c r="AN603"/>
  <c r="AO480"/>
  <c r="AM495"/>
  <c r="AL163"/>
  <c r="AO206"/>
  <c r="AM560"/>
  <c r="AL847"/>
  <c r="AM156"/>
  <c r="AN495"/>
  <c r="AL228"/>
  <c r="AM87"/>
  <c r="AN220"/>
  <c r="AM727"/>
  <c r="AM220"/>
  <c r="AM330"/>
  <c r="AL367"/>
  <c r="AL596"/>
  <c r="AM110"/>
  <c r="AO257"/>
  <c r="AN575"/>
  <c r="AO875"/>
  <c r="AN755"/>
  <c r="AL8"/>
  <c r="AL653"/>
  <c r="AN102"/>
  <c r="AM351"/>
  <c r="AN840"/>
  <c r="AL603"/>
  <c r="AN15"/>
  <c r="AM783"/>
  <c r="AN763"/>
  <c r="AL184"/>
  <c r="AM790"/>
  <c r="AL840"/>
  <c r="AN847"/>
  <c r="AN510"/>
  <c r="AN287"/>
  <c r="AL811"/>
  <c r="D10" i="3"/>
  <c r="G10"/>
  <c r="F10"/>
  <c r="E10"/>
  <c r="AR826" i="1" l="1"/>
  <c r="AS826" s="1"/>
  <c r="AR661"/>
  <c r="AS661" s="1"/>
  <c r="AR344"/>
  <c r="AS344" s="1"/>
  <c r="AR669"/>
  <c r="AS669" s="1"/>
  <c r="AR94"/>
  <c r="AS94" s="1"/>
  <c r="AR840"/>
  <c r="AS840" s="1"/>
  <c r="AR748"/>
  <c r="AS748" s="1"/>
  <c r="AR156"/>
  <c r="AS156" s="1"/>
  <c r="AR397"/>
  <c r="AS397" s="1"/>
  <c r="AR140"/>
  <c r="AS140" s="1"/>
  <c r="AR74"/>
  <c r="AS74" s="1"/>
  <c r="AR51"/>
  <c r="AS51" s="1"/>
  <c r="AR480"/>
  <c r="AS480" s="1"/>
  <c r="AR287"/>
  <c r="AS287" s="1"/>
  <c r="AR755"/>
  <c r="AS755" s="1"/>
  <c r="AR148"/>
  <c r="AS148" s="1"/>
  <c r="AR653"/>
  <c r="AS653" s="1"/>
  <c r="AR383"/>
  <c r="AS383" s="1"/>
  <c r="AR712"/>
  <c r="AS712" s="1"/>
  <c r="AR301"/>
  <c r="AS301" s="1"/>
  <c r="AR727"/>
  <c r="AS727" s="1"/>
  <c r="AR539"/>
  <c r="AS539" s="1"/>
  <c r="AR410"/>
  <c r="AS410" s="1"/>
  <c r="AR603"/>
  <c r="AS603" s="1"/>
  <c r="AR44"/>
  <c r="AS44" s="1"/>
  <c r="AR280"/>
  <c r="AS280" s="1"/>
  <c r="AR770"/>
  <c r="AS770" s="1"/>
  <c r="AR575"/>
  <c r="AS575" s="1"/>
  <c r="AR444"/>
  <c r="AS444" s="1"/>
  <c r="AR458"/>
  <c r="AS458" s="1"/>
  <c r="AR589"/>
  <c r="AS589" s="1"/>
  <c r="AR416"/>
  <c r="AS416" s="1"/>
  <c r="AR624"/>
  <c r="AS624" s="1"/>
  <c r="AR451"/>
  <c r="AS451" s="1"/>
  <c r="AR163"/>
  <c r="AS163" s="1"/>
  <c r="AR23"/>
  <c r="AS23" s="1"/>
  <c r="AR87"/>
  <c r="AS87" s="1"/>
  <c r="AR833"/>
  <c r="AS833" s="1"/>
  <c r="AR125"/>
  <c r="AS125" s="1"/>
  <c r="AR423"/>
  <c r="AS423" s="1"/>
  <c r="AR294"/>
  <c r="AS294" s="1"/>
  <c r="AR503"/>
  <c r="AS503" s="1"/>
  <c r="AR374"/>
  <c r="AS374" s="1"/>
  <c r="AR495"/>
  <c r="AS495" s="1"/>
  <c r="AM757"/>
  <c r="AR757"/>
  <c r="AS757" s="1"/>
  <c r="AN798"/>
  <c r="AR798"/>
  <c r="AS798" s="1"/>
  <c r="AN618"/>
  <c r="AR618"/>
  <c r="AS618" s="1"/>
  <c r="AM568"/>
  <c r="AR568"/>
  <c r="AS568" s="1"/>
  <c r="AD800"/>
  <c r="AR800"/>
  <c r="AS800" s="1"/>
  <c r="AM800"/>
  <c r="AO720"/>
  <c r="AR720"/>
  <c r="AS720" s="1"/>
  <c r="AM375"/>
  <c r="AR375"/>
  <c r="AS375" s="1"/>
  <c r="AN812"/>
  <c r="AR812"/>
  <c r="AS812" s="1"/>
  <c r="AN799"/>
  <c r="AR799"/>
  <c r="AS799" s="1"/>
  <c r="AN784"/>
  <c r="AR784"/>
  <c r="AS784" s="1"/>
  <c r="AB677"/>
  <c r="AR677"/>
  <c r="AS677" s="1"/>
  <c r="AN632"/>
  <c r="AR632"/>
  <c r="AS632" s="1"/>
  <c r="AR847"/>
  <c r="AS847" s="1"/>
  <c r="AR228"/>
  <c r="AS228" s="1"/>
  <c r="AO265"/>
  <c r="AR265"/>
  <c r="AS265" s="1"/>
  <c r="AM186"/>
  <c r="AR186"/>
  <c r="AS186" s="1"/>
  <c r="AR15"/>
  <c r="AS15" s="1"/>
  <c r="AR257"/>
  <c r="AS257" s="1"/>
  <c r="AR66"/>
  <c r="AS66" s="1"/>
  <c r="AN185"/>
  <c r="AR185"/>
  <c r="AS185" s="1"/>
  <c r="AD157"/>
  <c r="AR157"/>
  <c r="AS157" s="1"/>
  <c r="AN45"/>
  <c r="AR45"/>
  <c r="AS45" s="1"/>
  <c r="AR177"/>
  <c r="AS177" s="1"/>
  <c r="AR719"/>
  <c r="AS719" s="1"/>
  <c r="AR308"/>
  <c r="AS308" s="1"/>
  <c r="AR638"/>
  <c r="AS638" s="1"/>
  <c r="AR437"/>
  <c r="AS437" s="1"/>
  <c r="AR472"/>
  <c r="AS472" s="1"/>
  <c r="AR560"/>
  <c r="AS560" s="1"/>
  <c r="AR510"/>
  <c r="AS510" s="1"/>
  <c r="AA171"/>
  <c r="AR171"/>
  <c r="AS171" s="1"/>
  <c r="AR596"/>
  <c r="AS596" s="1"/>
  <c r="AN473"/>
  <c r="AR473"/>
  <c r="AS473" s="1"/>
  <c r="AM445"/>
  <c r="AR445"/>
  <c r="AS445" s="1"/>
  <c r="AD404"/>
  <c r="AR404"/>
  <c r="AS404" s="1"/>
  <c r="AO281"/>
  <c r="AR281"/>
  <c r="AS281" s="1"/>
  <c r="AM251"/>
  <c r="AR251"/>
  <c r="AS251" s="1"/>
  <c r="AM132"/>
  <c r="AR132"/>
  <c r="AS132" s="1"/>
  <c r="AD88"/>
  <c r="AR88"/>
  <c r="AS88" s="1"/>
  <c r="AN24"/>
  <c r="AR24"/>
  <c r="AS24" s="1"/>
  <c r="AR30"/>
  <c r="AS30" s="1"/>
  <c r="AR553"/>
  <c r="AS553" s="1"/>
  <c r="AR220"/>
  <c r="AS220" s="1"/>
  <c r="AR133"/>
  <c r="AS133" s="1"/>
  <c r="AR367"/>
  <c r="AS367" s="1"/>
  <c r="AR875"/>
  <c r="AS875" s="1"/>
  <c r="AR818"/>
  <c r="AS818" s="1"/>
  <c r="AR184"/>
  <c r="AS184" s="1"/>
  <c r="AR797"/>
  <c r="AS797" s="1"/>
  <c r="AR546"/>
  <c r="AS546" s="1"/>
  <c r="AR704"/>
  <c r="AS704" s="1"/>
  <c r="AN685"/>
  <c r="AR685"/>
  <c r="AS685" s="1"/>
  <c r="AN576"/>
  <c r="AR576"/>
  <c r="AS576" s="1"/>
  <c r="AN368"/>
  <c r="AR368"/>
  <c r="AS368" s="1"/>
  <c r="AL4"/>
  <c r="AR4"/>
  <c r="AS4" s="1"/>
  <c r="AR691"/>
  <c r="AS691" s="1"/>
  <c r="AR790"/>
  <c r="AS790" s="1"/>
  <c r="AR337"/>
  <c r="AS337" s="1"/>
  <c r="AR487"/>
  <c r="AS487" s="1"/>
  <c r="AN273"/>
  <c r="AR273"/>
  <c r="AS273" s="1"/>
  <c r="AR854"/>
  <c r="AS854" s="1"/>
  <c r="AR8"/>
  <c r="AR763"/>
  <c r="AS763" s="1"/>
  <c r="AR330"/>
  <c r="AS330" s="1"/>
  <c r="AR861"/>
  <c r="AS861" s="1"/>
  <c r="AM862"/>
  <c r="AR862"/>
  <c r="AS862" s="1"/>
  <c r="AR199"/>
  <c r="AS199" s="1"/>
  <c r="AR359"/>
  <c r="AS359" s="1"/>
  <c r="AR110"/>
  <c r="AS110" s="1"/>
  <c r="AR567"/>
  <c r="AS567" s="1"/>
  <c r="AM431"/>
  <c r="AR431"/>
  <c r="AS431" s="1"/>
  <c r="AO417"/>
  <c r="AR417"/>
  <c r="AS417" s="1"/>
  <c r="AN119"/>
  <c r="AR119"/>
  <c r="AS119" s="1"/>
  <c r="AR206"/>
  <c r="AS206" s="1"/>
  <c r="AR639"/>
  <c r="AS639" s="1"/>
  <c r="AR351"/>
  <c r="AS351" s="1"/>
  <c r="AR272"/>
  <c r="AS272" s="1"/>
  <c r="AN663"/>
  <c r="AR663"/>
  <c r="AS663" s="1"/>
  <c r="AN376"/>
  <c r="AR376"/>
  <c r="AS376" s="1"/>
  <c r="AO670"/>
  <c r="AR670"/>
  <c r="AS670" s="1"/>
  <c r="AM606"/>
  <c r="AR606"/>
  <c r="AS606" s="1"/>
  <c r="AN482"/>
  <c r="AR482"/>
  <c r="AS482" s="1"/>
  <c r="AM384"/>
  <c r="AR384"/>
  <c r="AS384" s="1"/>
  <c r="AM331"/>
  <c r="AR331"/>
  <c r="AS331" s="1"/>
  <c r="AM819"/>
  <c r="AR819"/>
  <c r="AS819" s="1"/>
  <c r="AL805"/>
  <c r="AR805"/>
  <c r="AS805" s="1"/>
  <c r="AM602"/>
  <c r="AR602"/>
  <c r="AS602" s="1"/>
  <c r="AO547"/>
  <c r="AR547"/>
  <c r="AS547" s="1"/>
  <c r="AM371"/>
  <c r="AR371"/>
  <c r="AS371" s="1"/>
  <c r="AN302"/>
  <c r="AR302"/>
  <c r="AS302" s="1"/>
  <c r="AL288"/>
  <c r="AR288"/>
  <c r="AS288" s="1"/>
  <c r="AN126"/>
  <c r="AR126"/>
  <c r="AS126" s="1"/>
  <c r="AO706"/>
  <c r="AR706"/>
  <c r="AS706" s="1"/>
  <c r="AM518"/>
  <c r="AR518"/>
  <c r="AS518" s="1"/>
  <c r="AO95"/>
  <c r="AR95"/>
  <c r="AS95" s="1"/>
  <c r="AD855"/>
  <c r="AR855"/>
  <c r="AS855" s="1"/>
  <c r="AD827"/>
  <c r="AR827"/>
  <c r="AS827" s="1"/>
  <c r="AM705"/>
  <c r="AR705"/>
  <c r="AS705" s="1"/>
  <c r="AM652"/>
  <c r="AR652"/>
  <c r="AS652" s="1"/>
  <c r="AN583"/>
  <c r="AR583"/>
  <c r="AS583" s="1"/>
  <c r="AO352"/>
  <c r="AR352"/>
  <c r="AS352" s="1"/>
  <c r="AN323"/>
  <c r="AR323"/>
  <c r="AS323" s="1"/>
  <c r="AO309"/>
  <c r="AR309"/>
  <c r="AS309" s="1"/>
  <c r="AC229"/>
  <c r="AR229"/>
  <c r="AS229" s="1"/>
  <c r="AM164"/>
  <c r="AR164"/>
  <c r="AS164" s="1"/>
  <c r="AM13"/>
  <c r="AR13"/>
  <c r="AS13" s="1"/>
  <c r="D12" i="3"/>
  <c r="D13"/>
  <c r="AN547" i="1"/>
  <c r="AO827"/>
  <c r="AM404"/>
  <c r="AN88"/>
  <c r="AM119"/>
  <c r="AO632"/>
  <c r="AO800"/>
  <c r="AO805"/>
  <c r="AM4"/>
  <c r="AN281"/>
  <c r="AO445"/>
  <c r="AN288"/>
  <c r="AN800"/>
  <c r="AN855"/>
  <c r="AM229"/>
  <c r="AN805"/>
  <c r="AN417"/>
  <c r="AO568"/>
  <c r="AO583"/>
  <c r="AN186"/>
  <c r="AO819"/>
  <c r="AM309"/>
  <c r="AM171"/>
  <c r="AN384"/>
  <c r="AN229"/>
  <c r="AO677"/>
  <c r="AM157"/>
  <c r="AN757"/>
  <c r="AN670"/>
  <c r="AO855"/>
  <c r="AN431"/>
  <c r="AM95"/>
  <c r="AM265"/>
  <c r="AN309"/>
  <c r="AN404"/>
  <c r="AB440"/>
  <c r="AN841"/>
  <c r="AO841"/>
  <c r="AD554"/>
  <c r="AM554"/>
  <c r="AN554"/>
  <c r="AO554"/>
  <c r="AL214"/>
  <c r="AM214"/>
  <c r="AN214"/>
  <c r="AO214"/>
  <c r="AB134"/>
  <c r="AN134"/>
  <c r="AM134"/>
  <c r="AO134"/>
  <c r="AO38"/>
  <c r="AM38"/>
  <c r="AN38"/>
  <c r="AM663"/>
  <c r="AD848"/>
  <c r="AM848"/>
  <c r="AO848"/>
  <c r="AN848"/>
  <c r="AD767"/>
  <c r="AD605"/>
  <c r="AN605"/>
  <c r="AM605"/>
  <c r="AL777"/>
  <c r="AO777"/>
  <c r="AN777"/>
  <c r="AL791"/>
  <c r="AO791"/>
  <c r="AM791"/>
  <c r="AN791"/>
  <c r="AL682"/>
  <c r="AD597"/>
  <c r="AN597"/>
  <c r="AM597"/>
  <c r="AD542"/>
  <c r="AM405"/>
  <c r="AD376"/>
  <c r="AM376"/>
  <c r="AO376"/>
  <c r="AM706"/>
  <c r="AO605"/>
  <c r="AO663"/>
  <c r="AO597"/>
  <c r="AA345"/>
  <c r="AO345"/>
  <c r="AM345"/>
  <c r="AN345"/>
  <c r="AB236"/>
  <c r="AN236"/>
  <c r="AM236"/>
  <c r="AO236"/>
  <c r="AO141"/>
  <c r="AM141"/>
  <c r="AD876"/>
  <c r="AN876"/>
  <c r="AO876"/>
  <c r="AM876"/>
  <c r="AD576"/>
  <c r="AM576"/>
  <c r="AO576"/>
  <c r="AC481"/>
  <c r="AN481"/>
  <c r="AM481"/>
  <c r="AO481"/>
  <c r="AM412"/>
  <c r="AL357"/>
  <c r="AN564"/>
  <c r="AA221"/>
  <c r="AM221"/>
  <c r="AN221"/>
  <c r="AO221"/>
  <c r="AA5"/>
  <c r="AL862"/>
  <c r="AO862"/>
  <c r="AN862"/>
  <c r="AL834"/>
  <c r="AO834"/>
  <c r="AM834"/>
  <c r="AN834"/>
  <c r="AO707"/>
  <c r="AM707"/>
  <c r="AN707"/>
  <c r="AL685"/>
  <c r="AO685"/>
  <c r="AM685"/>
  <c r="AM563"/>
  <c r="AL439"/>
  <c r="AM399"/>
  <c r="AL368"/>
  <c r="AO368"/>
  <c r="AM368"/>
  <c r="AL273"/>
  <c r="AO273"/>
  <c r="AM273"/>
  <c r="AM738"/>
  <c r="AN141"/>
  <c r="AM817"/>
  <c r="AD706"/>
  <c r="AN706"/>
  <c r="AM627"/>
  <c r="AO561"/>
  <c r="AN561"/>
  <c r="AM506"/>
  <c r="AD152"/>
  <c r="AM70"/>
  <c r="AD56"/>
  <c r="AD2"/>
  <c r="AO2"/>
  <c r="AM2"/>
  <c r="AN2"/>
  <c r="AM561"/>
  <c r="AM841"/>
  <c r="AL869"/>
  <c r="AM869"/>
  <c r="AN869"/>
  <c r="AO869"/>
  <c r="AL801"/>
  <c r="AO801"/>
  <c r="AM801"/>
  <c r="AN801"/>
  <c r="AL532"/>
  <c r="AL518"/>
  <c r="AO518"/>
  <c r="AN518"/>
  <c r="AL504"/>
  <c r="AO504"/>
  <c r="AM504"/>
  <c r="AN504"/>
  <c r="AM777"/>
  <c r="AN251"/>
  <c r="AL819"/>
  <c r="AN819"/>
  <c r="AD711"/>
  <c r="AL683"/>
  <c r="AL547"/>
  <c r="AM547"/>
  <c r="AL438"/>
  <c r="AM438"/>
  <c r="AA302"/>
  <c r="AM302"/>
  <c r="AO302"/>
  <c r="AL126"/>
  <c r="AO126"/>
  <c r="AM126"/>
  <c r="AL57"/>
  <c r="AO799"/>
  <c r="AN4"/>
  <c r="AO404"/>
  <c r="AO757"/>
  <c r="AO171"/>
  <c r="AO473"/>
  <c r="AL258"/>
  <c r="AN258"/>
  <c r="AL191"/>
  <c r="AD55"/>
  <c r="AM258"/>
  <c r="AM109"/>
  <c r="AD775"/>
  <c r="AD705"/>
  <c r="AO705"/>
  <c r="AD680"/>
  <c r="AD583"/>
  <c r="AM583"/>
  <c r="AL352"/>
  <c r="AN352"/>
  <c r="AL338"/>
  <c r="AO338"/>
  <c r="AL323"/>
  <c r="AO323"/>
  <c r="AM323"/>
  <c r="AL164"/>
  <c r="AO164"/>
  <c r="AN338"/>
  <c r="AN438"/>
  <c r="AO812"/>
  <c r="AM476"/>
  <c r="AM395"/>
  <c r="AD720"/>
  <c r="AN720"/>
  <c r="AA431"/>
  <c r="AO431"/>
  <c r="AM297"/>
  <c r="AC242"/>
  <c r="AD189"/>
  <c r="AL119"/>
  <c r="AO119"/>
  <c r="AA53"/>
  <c r="AB11"/>
  <c r="AO11"/>
  <c r="AN827"/>
  <c r="AM11"/>
  <c r="AM805"/>
  <c r="AM812"/>
  <c r="AM827"/>
  <c r="AO438"/>
  <c r="AD799"/>
  <c r="AM799"/>
  <c r="AB632"/>
  <c r="AM632"/>
  <c r="AD295"/>
  <c r="AA251"/>
  <c r="AO251"/>
  <c r="AM88"/>
  <c r="AO4"/>
  <c r="AD798"/>
  <c r="AO798"/>
  <c r="AM798"/>
  <c r="AL618"/>
  <c r="AO618"/>
  <c r="AM618"/>
  <c r="AD568"/>
  <c r="AN568"/>
  <c r="AD496"/>
  <c r="AN496"/>
  <c r="AD186"/>
  <c r="AO186"/>
  <c r="AD103"/>
  <c r="AM103"/>
  <c r="AM855"/>
  <c r="AM857"/>
  <c r="AO288"/>
  <c r="AN103"/>
  <c r="AM352"/>
  <c r="AM485"/>
  <c r="AO496"/>
  <c r="AN705"/>
  <c r="AN677"/>
  <c r="AD445"/>
  <c r="AN445"/>
  <c r="AB281"/>
  <c r="AM281"/>
  <c r="AC240"/>
  <c r="AD201"/>
  <c r="AO24"/>
  <c r="AM24"/>
  <c r="AB442"/>
  <c r="AL238"/>
  <c r="AM212"/>
  <c r="AD185"/>
  <c r="AM185"/>
  <c r="AO185"/>
  <c r="AL45"/>
  <c r="AO45"/>
  <c r="AM45"/>
  <c r="AO35"/>
  <c r="AO103"/>
  <c r="AN11"/>
  <c r="AN157"/>
  <c r="AN331"/>
  <c r="AO258"/>
  <c r="AM677"/>
  <c r="AM271"/>
  <c r="AM288"/>
  <c r="AM720"/>
  <c r="AO157"/>
  <c r="AM417"/>
  <c r="AM72"/>
  <c r="AM338"/>
  <c r="AD784"/>
  <c r="AM784"/>
  <c r="AD473"/>
  <c r="AM473"/>
  <c r="AO88"/>
  <c r="AC482"/>
  <c r="AO482"/>
  <c r="AB384"/>
  <c r="AO384"/>
  <c r="AL237"/>
  <c r="AO331"/>
  <c r="AN95"/>
  <c r="AN265"/>
  <c r="AM176"/>
  <c r="AO784"/>
  <c r="AM496"/>
  <c r="AN171"/>
  <c r="AM670"/>
  <c r="AM482"/>
  <c r="AN164"/>
  <c r="AO229"/>
  <c r="AM441"/>
  <c r="AM456"/>
  <c r="AL221"/>
  <c r="AL848"/>
  <c r="AL605"/>
  <c r="AL376"/>
  <c r="AL440"/>
  <c r="AL345"/>
  <c r="AL5"/>
  <c r="AL827"/>
  <c r="AL189"/>
  <c r="AL576"/>
  <c r="AL876"/>
  <c r="AL55"/>
  <c r="AL720"/>
  <c r="AL229"/>
  <c r="AL775"/>
  <c r="AL767"/>
  <c r="AL134"/>
  <c r="AD595"/>
  <c r="AD514"/>
  <c r="AD432"/>
  <c r="AD349"/>
  <c r="AD267"/>
  <c r="AD187"/>
  <c r="AL187"/>
  <c r="AD880"/>
  <c r="AD810"/>
  <c r="AD730"/>
  <c r="AD485"/>
  <c r="AC320"/>
  <c r="AD239"/>
  <c r="AL239"/>
  <c r="AD159"/>
  <c r="AA63"/>
  <c r="AD865"/>
  <c r="AA782"/>
  <c r="AB701"/>
  <c r="AD620"/>
  <c r="AD538"/>
  <c r="AC375"/>
  <c r="AB292"/>
  <c r="AD212"/>
  <c r="AA144"/>
  <c r="AA62"/>
  <c r="AL496"/>
  <c r="AC878"/>
  <c r="AB795"/>
  <c r="AD714"/>
  <c r="AC631"/>
  <c r="AD551"/>
  <c r="AA455"/>
  <c r="AD707"/>
  <c r="AL707"/>
  <c r="AB643"/>
  <c r="AD18"/>
  <c r="AD724"/>
  <c r="AB507"/>
  <c r="AD466"/>
  <c r="AD261"/>
  <c r="AA194"/>
  <c r="AD856"/>
  <c r="AD841"/>
  <c r="AL841"/>
  <c r="AA828"/>
  <c r="AD813"/>
  <c r="AD786"/>
  <c r="AC773"/>
  <c r="AD759"/>
  <c r="AD745"/>
  <c r="AD732"/>
  <c r="AD718"/>
  <c r="AB708"/>
  <c r="AD692"/>
  <c r="AD663"/>
  <c r="AL663"/>
  <c r="AD650"/>
  <c r="AB635"/>
  <c r="AD622"/>
  <c r="AD610"/>
  <c r="AD584"/>
  <c r="AD570"/>
  <c r="AD529"/>
  <c r="AD515"/>
  <c r="AD501"/>
  <c r="AA488"/>
  <c r="AD474"/>
  <c r="AD460"/>
  <c r="AD446"/>
  <c r="AD433"/>
  <c r="AD420"/>
  <c r="AD405"/>
  <c r="AD392"/>
  <c r="AB364"/>
  <c r="AD350"/>
  <c r="AB336"/>
  <c r="AB324"/>
  <c r="AB311"/>
  <c r="AD296"/>
  <c r="AD282"/>
  <c r="AD268"/>
  <c r="AD255"/>
  <c r="AD230"/>
  <c r="AD202"/>
  <c r="AD188"/>
  <c r="AD174"/>
  <c r="AD161"/>
  <c r="AD147"/>
  <c r="AD121"/>
  <c r="AD92"/>
  <c r="AD65"/>
  <c r="AB52"/>
  <c r="AD38"/>
  <c r="AL38"/>
  <c r="AD25"/>
  <c r="AD12"/>
  <c r="AL431"/>
  <c r="AL711"/>
  <c r="AL56"/>
  <c r="AL855"/>
  <c r="AL800"/>
  <c r="AL705"/>
  <c r="AD825"/>
  <c r="AD881"/>
  <c r="AD772"/>
  <c r="AD717"/>
  <c r="AB556"/>
  <c r="AD391"/>
  <c r="AD215"/>
  <c r="AD24"/>
  <c r="AL24"/>
  <c r="AD824"/>
  <c r="AD743"/>
  <c r="AD662"/>
  <c r="AD581"/>
  <c r="AD334"/>
  <c r="AD254"/>
  <c r="AD172"/>
  <c r="AD9"/>
  <c r="AD851"/>
  <c r="AC769"/>
  <c r="AA688"/>
  <c r="AC580"/>
  <c r="AA499"/>
  <c r="AD333"/>
  <c r="AC266"/>
  <c r="AB104"/>
  <c r="AD864"/>
  <c r="AD781"/>
  <c r="AD700"/>
  <c r="AB619"/>
  <c r="AD537"/>
  <c r="AB469"/>
  <c r="AC373"/>
  <c r="AB360"/>
  <c r="AD346"/>
  <c r="AA331"/>
  <c r="AL331"/>
  <c r="AD318"/>
  <c r="AA305"/>
  <c r="AA291"/>
  <c r="AB264"/>
  <c r="AB252"/>
  <c r="AB224"/>
  <c r="AC197"/>
  <c r="AB183"/>
  <c r="AB170"/>
  <c r="AD158"/>
  <c r="AB143"/>
  <c r="AA129"/>
  <c r="AB101"/>
  <c r="AA89"/>
  <c r="AA75"/>
  <c r="AC48"/>
  <c r="AA20"/>
  <c r="AL568"/>
  <c r="AL784"/>
  <c r="AL186"/>
  <c r="AD877"/>
  <c r="AD863"/>
  <c r="AD835"/>
  <c r="AD821"/>
  <c r="AD807"/>
  <c r="AD794"/>
  <c r="AD780"/>
  <c r="AD753"/>
  <c r="AD739"/>
  <c r="AD726"/>
  <c r="AD713"/>
  <c r="AD699"/>
  <c r="AC686"/>
  <c r="AD673"/>
  <c r="AD644"/>
  <c r="AD630"/>
  <c r="AD617"/>
  <c r="AC591"/>
  <c r="AD578"/>
  <c r="AA564"/>
  <c r="AA536"/>
  <c r="AA523"/>
  <c r="AA509"/>
  <c r="AB497"/>
  <c r="AB483"/>
  <c r="AA468"/>
  <c r="AD427"/>
  <c r="AD413"/>
  <c r="AA400"/>
  <c r="AA387"/>
  <c r="AB372"/>
  <c r="AB332"/>
  <c r="AB317"/>
  <c r="AB304"/>
  <c r="AA290"/>
  <c r="AB276"/>
  <c r="AC263"/>
  <c r="AB249"/>
  <c r="AC196"/>
  <c r="AA182"/>
  <c r="AB155"/>
  <c r="AA141"/>
  <c r="AL141"/>
  <c r="AD128"/>
  <c r="AB114"/>
  <c r="AB100"/>
  <c r="AC86"/>
  <c r="AB73"/>
  <c r="AD60"/>
  <c r="AD33"/>
  <c r="AL157"/>
  <c r="AL185"/>
  <c r="AL597"/>
  <c r="AL481"/>
  <c r="AL53"/>
  <c r="AB812"/>
  <c r="AL812"/>
  <c r="AD867"/>
  <c r="AD839"/>
  <c r="AD744"/>
  <c r="AC664"/>
  <c r="AD582"/>
  <c r="AD500"/>
  <c r="AD419"/>
  <c r="AD335"/>
  <c r="AD173"/>
  <c r="AD105"/>
  <c r="AD852"/>
  <c r="AD771"/>
  <c r="AB689"/>
  <c r="AD608"/>
  <c r="AD527"/>
  <c r="AD377"/>
  <c r="AD265"/>
  <c r="AL265"/>
  <c r="AD200"/>
  <c r="AD22"/>
  <c r="AC809"/>
  <c r="AD633"/>
  <c r="AB552"/>
  <c r="AA470"/>
  <c r="AA388"/>
  <c r="AD21"/>
  <c r="AD808"/>
  <c r="AD728"/>
  <c r="AD645"/>
  <c r="AD565"/>
  <c r="AD498"/>
  <c r="AD441"/>
  <c r="AB779"/>
  <c r="AC725"/>
  <c r="AB590"/>
  <c r="AC522"/>
  <c r="AD386"/>
  <c r="AC248"/>
  <c r="AB737"/>
  <c r="AB534"/>
  <c r="AD873"/>
  <c r="AD859"/>
  <c r="AD845"/>
  <c r="AD831"/>
  <c r="AD817"/>
  <c r="AA804"/>
  <c r="AD764"/>
  <c r="AD750"/>
  <c r="AD736"/>
  <c r="AD723"/>
  <c r="AD696"/>
  <c r="AD668"/>
  <c r="AD655"/>
  <c r="AD641"/>
  <c r="AD627"/>
  <c r="AD601"/>
  <c r="AA587"/>
  <c r="AD574"/>
  <c r="AD561"/>
  <c r="AL561"/>
  <c r="AD548"/>
  <c r="AD533"/>
  <c r="AD520"/>
  <c r="AC506"/>
  <c r="AD492"/>
  <c r="AD478"/>
  <c r="AD464"/>
  <c r="AD450"/>
  <c r="AD424"/>
  <c r="AD409"/>
  <c r="AD396"/>
  <c r="AD382"/>
  <c r="AD370"/>
  <c r="AD355"/>
  <c r="AD341"/>
  <c r="AC314"/>
  <c r="AD300"/>
  <c r="AD286"/>
  <c r="AD260"/>
  <c r="AD246"/>
  <c r="AD233"/>
  <c r="AB219"/>
  <c r="AL219"/>
  <c r="AD193"/>
  <c r="AD179"/>
  <c r="AD166"/>
  <c r="AD138"/>
  <c r="AD124"/>
  <c r="AD111"/>
  <c r="AD70"/>
  <c r="AD42"/>
  <c r="AD29"/>
  <c r="AD16"/>
  <c r="AL2"/>
  <c r="AL677"/>
  <c r="AL706"/>
  <c r="AL302"/>
  <c r="AL798"/>
  <c r="AC731"/>
  <c r="AB647"/>
  <c r="AD569"/>
  <c r="AD486"/>
  <c r="AD321"/>
  <c r="AD160"/>
  <c r="AD78"/>
  <c r="AD716"/>
  <c r="AD540"/>
  <c r="AB348"/>
  <c r="AD279"/>
  <c r="AD117"/>
  <c r="AD36"/>
  <c r="AC879"/>
  <c r="AA796"/>
  <c r="AC715"/>
  <c r="AA648"/>
  <c r="AB566"/>
  <c r="AA484"/>
  <c r="AB402"/>
  <c r="AA76"/>
  <c r="AD836"/>
  <c r="AD670"/>
  <c r="AL670"/>
  <c r="AD592"/>
  <c r="AD511"/>
  <c r="AB401"/>
  <c r="AC806"/>
  <c r="AC672"/>
  <c r="AD195"/>
  <c r="AA832"/>
  <c r="AD765"/>
  <c r="AD208"/>
  <c r="AA71"/>
  <c r="AA3"/>
  <c r="AL473"/>
  <c r="AL799"/>
  <c r="AA844"/>
  <c r="AD776"/>
  <c r="AD710"/>
  <c r="AD667"/>
  <c r="AD654"/>
  <c r="AD640"/>
  <c r="AD613"/>
  <c r="AD477"/>
  <c r="AA463"/>
  <c r="AA449"/>
  <c r="AA435"/>
  <c r="AD422"/>
  <c r="AD354"/>
  <c r="AD271"/>
  <c r="AA245"/>
  <c r="AD178"/>
  <c r="AD137"/>
  <c r="AA123"/>
  <c r="AA95"/>
  <c r="AL95"/>
  <c r="AB82"/>
  <c r="AA14"/>
  <c r="AC158"/>
  <c r="AL242"/>
  <c r="AL240"/>
  <c r="AL103"/>
  <c r="AL632"/>
  <c r="AL680"/>
  <c r="AB758"/>
  <c r="AD703"/>
  <c r="AD621"/>
  <c r="AD528"/>
  <c r="AD363"/>
  <c r="AD50"/>
  <c r="AL88"/>
  <c r="AA866"/>
  <c r="AD785"/>
  <c r="AD634"/>
  <c r="AD555"/>
  <c r="AD471"/>
  <c r="AD389"/>
  <c r="AD307"/>
  <c r="AD226"/>
  <c r="AD145"/>
  <c r="AA77"/>
  <c r="AC756"/>
  <c r="AC674"/>
  <c r="AD593"/>
  <c r="AD512"/>
  <c r="AD429"/>
  <c r="AA347"/>
  <c r="AB278"/>
  <c r="AD198"/>
  <c r="AD116"/>
  <c r="AD740"/>
  <c r="AC659"/>
  <c r="AD579"/>
  <c r="AD524"/>
  <c r="AA428"/>
  <c r="AC698"/>
  <c r="AD563"/>
  <c r="AA426"/>
  <c r="AC209"/>
  <c r="AC142"/>
  <c r="AC511"/>
  <c r="AL445"/>
  <c r="AB656"/>
  <c r="AD588"/>
  <c r="AA315"/>
  <c r="AB247"/>
  <c r="AB180"/>
  <c r="AL442"/>
  <c r="AD872"/>
  <c r="AD843"/>
  <c r="AD815"/>
  <c r="AA788"/>
  <c r="AD761"/>
  <c r="AD747"/>
  <c r="AD734"/>
  <c r="AD721"/>
  <c r="AD694"/>
  <c r="AD666"/>
  <c r="AD637"/>
  <c r="AD612"/>
  <c r="AD599"/>
  <c r="AD572"/>
  <c r="AD558"/>
  <c r="AD544"/>
  <c r="AD531"/>
  <c r="AD519"/>
  <c r="AD505"/>
  <c r="AD490"/>
  <c r="AC476"/>
  <c r="AA434"/>
  <c r="AD394"/>
  <c r="AD366"/>
  <c r="AD309"/>
  <c r="AL309"/>
  <c r="AA244"/>
  <c r="AA176"/>
  <c r="AC122"/>
  <c r="AB68"/>
  <c r="AD54"/>
  <c r="AL54"/>
  <c r="AD40"/>
  <c r="AL11"/>
  <c r="AL482"/>
  <c r="AL295"/>
  <c r="AL236"/>
  <c r="AL201"/>
  <c r="AD609"/>
  <c r="AD541"/>
  <c r="AD459"/>
  <c r="AD310"/>
  <c r="AD227"/>
  <c r="AC146"/>
  <c r="AD64"/>
  <c r="AD838"/>
  <c r="AD757"/>
  <c r="AL757"/>
  <c r="AD675"/>
  <c r="AD594"/>
  <c r="AD513"/>
  <c r="AB443"/>
  <c r="AL443"/>
  <c r="AD362"/>
  <c r="AC293"/>
  <c r="AD213"/>
  <c r="AD131"/>
  <c r="AD49"/>
  <c r="AD823"/>
  <c r="AC660"/>
  <c r="AB607"/>
  <c r="AD526"/>
  <c r="AB456"/>
  <c r="AC253"/>
  <c r="AD566"/>
  <c r="AD850"/>
  <c r="AD768"/>
  <c r="AD687"/>
  <c r="AD606"/>
  <c r="AB414"/>
  <c r="AA820"/>
  <c r="AD752"/>
  <c r="AD616"/>
  <c r="AC343"/>
  <c r="AD223"/>
  <c r="AC85"/>
  <c r="AL281"/>
  <c r="AD493"/>
  <c r="AB425"/>
  <c r="AD871"/>
  <c r="AD857"/>
  <c r="AD842"/>
  <c r="AC829"/>
  <c r="AD814"/>
  <c r="AD787"/>
  <c r="AD774"/>
  <c r="AD760"/>
  <c r="AC746"/>
  <c r="AD733"/>
  <c r="AD709"/>
  <c r="AD693"/>
  <c r="AD679"/>
  <c r="AA665"/>
  <c r="AD651"/>
  <c r="AC636"/>
  <c r="AA623"/>
  <c r="AD611"/>
  <c r="AD598"/>
  <c r="AD585"/>
  <c r="AA571"/>
  <c r="AB557"/>
  <c r="AD543"/>
  <c r="AD530"/>
  <c r="AD516"/>
  <c r="AD502"/>
  <c r="AC475"/>
  <c r="AD461"/>
  <c r="AA447"/>
  <c r="AC417"/>
  <c r="AL417"/>
  <c r="AD379"/>
  <c r="AA365"/>
  <c r="AA353"/>
  <c r="AA339"/>
  <c r="AC325"/>
  <c r="AD312"/>
  <c r="AD297"/>
  <c r="AD283"/>
  <c r="AD269"/>
  <c r="AB256"/>
  <c r="AC231"/>
  <c r="AB203"/>
  <c r="AD175"/>
  <c r="AD162"/>
  <c r="AC149"/>
  <c r="AD135"/>
  <c r="AC80"/>
  <c r="AD67"/>
  <c r="AD39"/>
  <c r="AC26"/>
  <c r="AL251"/>
  <c r="AL554"/>
  <c r="AL583"/>
  <c r="AL384"/>
  <c r="AL171"/>
  <c r="AL404"/>
  <c r="AA203"/>
  <c r="AD623"/>
  <c r="AB149"/>
  <c r="AD388"/>
  <c r="AD256"/>
  <c r="AD14"/>
  <c r="AA332"/>
  <c r="AD686"/>
  <c r="AB269"/>
  <c r="AC304"/>
  <c r="AD252"/>
  <c r="AD400"/>
  <c r="AD619"/>
  <c r="AB202"/>
  <c r="AC305"/>
  <c r="AD631"/>
  <c r="AD746"/>
  <c r="AC483"/>
  <c r="AA372"/>
  <c r="AC353"/>
  <c r="AA39"/>
  <c r="AD552"/>
  <c r="AD557"/>
  <c r="AB428"/>
  <c r="AA384"/>
  <c r="AD564"/>
  <c r="AD52"/>
  <c r="AD221"/>
  <c r="AB221"/>
  <c r="AD263"/>
  <c r="AB499"/>
  <c r="AB212"/>
  <c r="AD170"/>
  <c r="AD77"/>
  <c r="AD701"/>
  <c r="AD183"/>
  <c r="AC347"/>
  <c r="AA631"/>
  <c r="AD635"/>
  <c r="AD182"/>
  <c r="AD523"/>
  <c r="AD89"/>
  <c r="AD591"/>
  <c r="AD715"/>
  <c r="AC471"/>
  <c r="AB772"/>
  <c r="AA647"/>
  <c r="AA360"/>
  <c r="AC499"/>
  <c r="AD731"/>
  <c r="AD470"/>
  <c r="AD607"/>
  <c r="AD364"/>
  <c r="AD101"/>
  <c r="AD20"/>
  <c r="AD879"/>
  <c r="AD632"/>
  <c r="AD240"/>
  <c r="AB24"/>
  <c r="AD281"/>
  <c r="AB48"/>
  <c r="AA375"/>
  <c r="AD456"/>
  <c r="AD264"/>
  <c r="AD266"/>
  <c r="AD556"/>
  <c r="AD293"/>
  <c r="AD171"/>
  <c r="AB62"/>
  <c r="AB60"/>
  <c r="AB591"/>
  <c r="AC39"/>
  <c r="AB196"/>
  <c r="AA263"/>
  <c r="AC332"/>
  <c r="AA483"/>
  <c r="AA292"/>
  <c r="AD431"/>
  <c r="AD636"/>
  <c r="AD348"/>
  <c r="AD26"/>
  <c r="AD812"/>
  <c r="AD231"/>
  <c r="AD773"/>
  <c r="AB175"/>
  <c r="AB427"/>
  <c r="AB620"/>
  <c r="AA304"/>
  <c r="AD443"/>
  <c r="AD648"/>
  <c r="AD360"/>
  <c r="AD482"/>
  <c r="AD76"/>
  <c r="AD580"/>
  <c r="AD401"/>
  <c r="AD320"/>
  <c r="AB39"/>
  <c r="AC63"/>
  <c r="AA364"/>
  <c r="AD455"/>
  <c r="AD708"/>
  <c r="AD372"/>
  <c r="AD475"/>
  <c r="AD664"/>
  <c r="AD332"/>
  <c r="AD291"/>
  <c r="AD758"/>
  <c r="AB475"/>
  <c r="AC20"/>
  <c r="AA135"/>
  <c r="AD828"/>
  <c r="AD384"/>
  <c r="AD100"/>
  <c r="AD53"/>
  <c r="AD251"/>
  <c r="AB63"/>
  <c r="AC203"/>
  <c r="AC648"/>
  <c r="AA231"/>
  <c r="AD499"/>
  <c r="AD688"/>
  <c r="AD677"/>
  <c r="AD488"/>
  <c r="AD483"/>
  <c r="AC862"/>
  <c r="AD862"/>
  <c r="AA860"/>
  <c r="AC860"/>
  <c r="AD860"/>
  <c r="AC830"/>
  <c r="AD830"/>
  <c r="AC789"/>
  <c r="AD789"/>
  <c r="AA749"/>
  <c r="AC749"/>
  <c r="AA626"/>
  <c r="AC626"/>
  <c r="AD626"/>
  <c r="AA600"/>
  <c r="AD600"/>
  <c r="AA586"/>
  <c r="AD586"/>
  <c r="AB573"/>
  <c r="AD573"/>
  <c r="AC559"/>
  <c r="AD559"/>
  <c r="AA545"/>
  <c r="AC545"/>
  <c r="AD545"/>
  <c r="AA532"/>
  <c r="AB532"/>
  <c r="AA518"/>
  <c r="AC518"/>
  <c r="AD518"/>
  <c r="AA504"/>
  <c r="AD504"/>
  <c r="AB491"/>
  <c r="AC491"/>
  <c r="AD491"/>
  <c r="AB408"/>
  <c r="AD408"/>
  <c r="AC395"/>
  <c r="AD395"/>
  <c r="AC381"/>
  <c r="AD381"/>
  <c r="AC369"/>
  <c r="AD369"/>
  <c r="AA340"/>
  <c r="AD340"/>
  <c r="AA326"/>
  <c r="AD326"/>
  <c r="AC313"/>
  <c r="AD313"/>
  <c r="AB313"/>
  <c r="AA299"/>
  <c r="AD299"/>
  <c r="AB299"/>
  <c r="AC285"/>
  <c r="AD285"/>
  <c r="AB285"/>
  <c r="AA258"/>
  <c r="AD258"/>
  <c r="AB258"/>
  <c r="AA232"/>
  <c r="AC232"/>
  <c r="AC218"/>
  <c r="AD218"/>
  <c r="AA205"/>
  <c r="AD205"/>
  <c r="AA191"/>
  <c r="AD191"/>
  <c r="AA165"/>
  <c r="AD165"/>
  <c r="AC151"/>
  <c r="AD151"/>
  <c r="AA109"/>
  <c r="AD109"/>
  <c r="AB109"/>
  <c r="AC95"/>
  <c r="AD95"/>
  <c r="AA82"/>
  <c r="AD82"/>
  <c r="AC69"/>
  <c r="AD69"/>
  <c r="AC41"/>
  <c r="AD41"/>
  <c r="AA28"/>
  <c r="AD28"/>
  <c r="AB69"/>
  <c r="AB504"/>
  <c r="AB56"/>
  <c r="AC477"/>
  <c r="AD476"/>
  <c r="AD3"/>
  <c r="AA849"/>
  <c r="AD849"/>
  <c r="AA846"/>
  <c r="AD846"/>
  <c r="AB846"/>
  <c r="AD816"/>
  <c r="AB816"/>
  <c r="AA816"/>
  <c r="AC816"/>
  <c r="AB735"/>
  <c r="AD735"/>
  <c r="AA695"/>
  <c r="AD695"/>
  <c r="AB803"/>
  <c r="AD803"/>
  <c r="AD652"/>
  <c r="AC652"/>
  <c r="AB625"/>
  <c r="AD625"/>
  <c r="AC462"/>
  <c r="AD462"/>
  <c r="AC407"/>
  <c r="AB407"/>
  <c r="AC380"/>
  <c r="AD380"/>
  <c r="AA352"/>
  <c r="AD352"/>
  <c r="AD284"/>
  <c r="AB284"/>
  <c r="AD259"/>
  <c r="AB259"/>
  <c r="AA229"/>
  <c r="AD229"/>
  <c r="AB229"/>
  <c r="AA217"/>
  <c r="AD217"/>
  <c r="AC190"/>
  <c r="AD190"/>
  <c r="AC164"/>
  <c r="AA164"/>
  <c r="AA136"/>
  <c r="AD136"/>
  <c r="AC108"/>
  <c r="AD108"/>
  <c r="AA108"/>
  <c r="AC81"/>
  <c r="AD81"/>
  <c r="AA81"/>
  <c r="AA13"/>
  <c r="AD13"/>
  <c r="AD463"/>
  <c r="AD435"/>
  <c r="AD804"/>
  <c r="AD434"/>
  <c r="AD749"/>
  <c r="AD672"/>
  <c r="AD425"/>
  <c r="AD123"/>
  <c r="AC299"/>
  <c r="AB518"/>
  <c r="AB54"/>
  <c r="AD832"/>
  <c r="AC352"/>
  <c r="AC832"/>
  <c r="AD407"/>
  <c r="AD844"/>
  <c r="AD656"/>
  <c r="AD219"/>
  <c r="AD834"/>
  <c r="AC834"/>
  <c r="AA869"/>
  <c r="AD869"/>
  <c r="AC869"/>
  <c r="AD858"/>
  <c r="AB858"/>
  <c r="AA801"/>
  <c r="AD801"/>
  <c r="AC801"/>
  <c r="AB762"/>
  <c r="AD762"/>
  <c r="AA722"/>
  <c r="AD722"/>
  <c r="AC681"/>
  <c r="AD681"/>
  <c r="AB681"/>
  <c r="AA734"/>
  <c r="AB734"/>
  <c r="AB448"/>
  <c r="AD448"/>
  <c r="AC448"/>
  <c r="AC421"/>
  <c r="AD421"/>
  <c r="AA421"/>
  <c r="AB421"/>
  <c r="AA338"/>
  <c r="AC338"/>
  <c r="AB338"/>
  <c r="AA323"/>
  <c r="AD323"/>
  <c r="AC298"/>
  <c r="AD298"/>
  <c r="AA298"/>
  <c r="AB298"/>
  <c r="AA270"/>
  <c r="AD270"/>
  <c r="AB270"/>
  <c r="AA204"/>
  <c r="AD204"/>
  <c r="AB204"/>
  <c r="AC150"/>
  <c r="AD150"/>
  <c r="AA122"/>
  <c r="AD122"/>
  <c r="AB122"/>
  <c r="AC96"/>
  <c r="AD96"/>
  <c r="AC68"/>
  <c r="AD68"/>
  <c r="AA27"/>
  <c r="AD27"/>
  <c r="AB81"/>
  <c r="AB600"/>
  <c r="AD737"/>
  <c r="AB672"/>
  <c r="AD587"/>
  <c r="AC779"/>
  <c r="AC722"/>
  <c r="AD164"/>
  <c r="AB545"/>
  <c r="AC408"/>
  <c r="AD506"/>
  <c r="AD176"/>
  <c r="AB223"/>
  <c r="AB217"/>
  <c r="AD532"/>
  <c r="AD820"/>
  <c r="AD449"/>
  <c r="AC820"/>
  <c r="AB137"/>
  <c r="AA261"/>
  <c r="AC271"/>
  <c r="AD232"/>
  <c r="AA806"/>
  <c r="AD806"/>
  <c r="AA793"/>
  <c r="AD793"/>
  <c r="AB793"/>
  <c r="AB766"/>
  <c r="AD766"/>
  <c r="AB738"/>
  <c r="AD738"/>
  <c r="AB725"/>
  <c r="AA725"/>
  <c r="AA698"/>
  <c r="AD698"/>
  <c r="AC685"/>
  <c r="AD685"/>
  <c r="AC657"/>
  <c r="AD657"/>
  <c r="AA657"/>
  <c r="AB657"/>
  <c r="AC629"/>
  <c r="AD629"/>
  <c r="AB629"/>
  <c r="AC604"/>
  <c r="AD604"/>
  <c r="AA590"/>
  <c r="AD590"/>
  <c r="AA563"/>
  <c r="AB563"/>
  <c r="AD549"/>
  <c r="AA549"/>
  <c r="AC535"/>
  <c r="AD535"/>
  <c r="AA522"/>
  <c r="AD522"/>
  <c r="AA508"/>
  <c r="AD508"/>
  <c r="AA494"/>
  <c r="AC494"/>
  <c r="AD494"/>
  <c r="AA481"/>
  <c r="AD481"/>
  <c r="AB481"/>
  <c r="AB467"/>
  <c r="AA467"/>
  <c r="AD467"/>
  <c r="AB453"/>
  <c r="AD453"/>
  <c r="AB439"/>
  <c r="AD439"/>
  <c r="AC426"/>
  <c r="AD426"/>
  <c r="AB412"/>
  <c r="AD412"/>
  <c r="AA399"/>
  <c r="AD399"/>
  <c r="AC386"/>
  <c r="AB386"/>
  <c r="AB368"/>
  <c r="AD368"/>
  <c r="AD357"/>
  <c r="AC357"/>
  <c r="AB357"/>
  <c r="AA343"/>
  <c r="AD343"/>
  <c r="AB343"/>
  <c r="AB329"/>
  <c r="AD329"/>
  <c r="AA316"/>
  <c r="AD316"/>
  <c r="AA303"/>
  <c r="AB303"/>
  <c r="AD303"/>
  <c r="AA289"/>
  <c r="AD289"/>
  <c r="AB289"/>
  <c r="AB273"/>
  <c r="AD273"/>
  <c r="AA262"/>
  <c r="AD262"/>
  <c r="AB262"/>
  <c r="AC262"/>
  <c r="AB248"/>
  <c r="AD248"/>
  <c r="AD235"/>
  <c r="AB235"/>
  <c r="AA209"/>
  <c r="AD209"/>
  <c r="AA195"/>
  <c r="AC195"/>
  <c r="AB181"/>
  <c r="AD181"/>
  <c r="AB168"/>
  <c r="AD168"/>
  <c r="AC154"/>
  <c r="AD154"/>
  <c r="AA154"/>
  <c r="AB142"/>
  <c r="AD142"/>
  <c r="AA142"/>
  <c r="AC127"/>
  <c r="AD127"/>
  <c r="AB113"/>
  <c r="AD113"/>
  <c r="AA99"/>
  <c r="AD99"/>
  <c r="AB85"/>
  <c r="AD85"/>
  <c r="AC72"/>
  <c r="AD72"/>
  <c r="AB59"/>
  <c r="AD59"/>
  <c r="AC59"/>
  <c r="AA46"/>
  <c r="AD46"/>
  <c r="AC46"/>
  <c r="AA32"/>
  <c r="AD32"/>
  <c r="AA4"/>
  <c r="AD4"/>
  <c r="AB4"/>
  <c r="AC109"/>
  <c r="AB476"/>
  <c r="AC326"/>
  <c r="AB369"/>
  <c r="AA462"/>
  <c r="AD302"/>
  <c r="AD244"/>
  <c r="AA819"/>
  <c r="AD819"/>
  <c r="AB819"/>
  <c r="AB805"/>
  <c r="AD805"/>
  <c r="AA792"/>
  <c r="AD792"/>
  <c r="AB778"/>
  <c r="AD778"/>
  <c r="AA751"/>
  <c r="AD751"/>
  <c r="AA711"/>
  <c r="AC711"/>
  <c r="AB697"/>
  <c r="AD697"/>
  <c r="AA697"/>
  <c r="AB683"/>
  <c r="AD683"/>
  <c r="AB671"/>
  <c r="AD671"/>
  <c r="AB642"/>
  <c r="AD642"/>
  <c r="AA628"/>
  <c r="AD628"/>
  <c r="AC628"/>
  <c r="AA615"/>
  <c r="AC615"/>
  <c r="AD615"/>
  <c r="AB602"/>
  <c r="AA602"/>
  <c r="AD602"/>
  <c r="AA577"/>
  <c r="AD577"/>
  <c r="AB577"/>
  <c r="AB562"/>
  <c r="AD562"/>
  <c r="AA547"/>
  <c r="AD547"/>
  <c r="AA534"/>
  <c r="AD534"/>
  <c r="AC521"/>
  <c r="AA521"/>
  <c r="AD521"/>
  <c r="AA507"/>
  <c r="AD507"/>
  <c r="AB479"/>
  <c r="AA479"/>
  <c r="AD479"/>
  <c r="AB452"/>
  <c r="AD452"/>
  <c r="AB438"/>
  <c r="AD438"/>
  <c r="AA411"/>
  <c r="AD411"/>
  <c r="AC398"/>
  <c r="AD398"/>
  <c r="AA385"/>
  <c r="AD385"/>
  <c r="AC385"/>
  <c r="AB371"/>
  <c r="AC371"/>
  <c r="AD371"/>
  <c r="AA371"/>
  <c r="AC356"/>
  <c r="AB356"/>
  <c r="AD356"/>
  <c r="AD342"/>
  <c r="AB342"/>
  <c r="AC328"/>
  <c r="AD328"/>
  <c r="AC315"/>
  <c r="AD315"/>
  <c r="AB288"/>
  <c r="AD288"/>
  <c r="AA275"/>
  <c r="AD275"/>
  <c r="AC247"/>
  <c r="AD247"/>
  <c r="AA234"/>
  <c r="AD234"/>
  <c r="AC234"/>
  <c r="AB222"/>
  <c r="AD222"/>
  <c r="AA208"/>
  <c r="AC208"/>
  <c r="AB208"/>
  <c r="AA180"/>
  <c r="AD180"/>
  <c r="AA167"/>
  <c r="AD167"/>
  <c r="AB167"/>
  <c r="AB153"/>
  <c r="AD153"/>
  <c r="AA139"/>
  <c r="AD139"/>
  <c r="AC139"/>
  <c r="AA126"/>
  <c r="AD126"/>
  <c r="AB126"/>
  <c r="AA112"/>
  <c r="AD112"/>
  <c r="AB98"/>
  <c r="AC98"/>
  <c r="AD98"/>
  <c r="AA98"/>
  <c r="AC84"/>
  <c r="AD84"/>
  <c r="AB71"/>
  <c r="AD71"/>
  <c r="AC71"/>
  <c r="AA57"/>
  <c r="AD57"/>
  <c r="AB43"/>
  <c r="AD43"/>
  <c r="AA31"/>
  <c r="AD31"/>
  <c r="AB31"/>
  <c r="AB17"/>
  <c r="AD17"/>
  <c r="AB14"/>
  <c r="AB844"/>
  <c r="AA357"/>
  <c r="AB381"/>
  <c r="AA386"/>
  <c r="AR386" s="1"/>
  <c r="AS386" s="1"/>
  <c r="AB806"/>
  <c r="AD779"/>
  <c r="AD338"/>
  <c r="AD643"/>
  <c r="AD245"/>
  <c r="AD725"/>
  <c r="AD788"/>
  <c r="AB874"/>
  <c r="AD874"/>
  <c r="AB791"/>
  <c r="AD791"/>
  <c r="AC777"/>
  <c r="AD777"/>
  <c r="AB682"/>
  <c r="AD682"/>
  <c r="AB614"/>
  <c r="AD614"/>
  <c r="AC436"/>
  <c r="AD436"/>
  <c r="AC327"/>
  <c r="AD327"/>
  <c r="AA314"/>
  <c r="AD314"/>
  <c r="AB274"/>
  <c r="AD274"/>
  <c r="AA207"/>
  <c r="AD207"/>
  <c r="AA97"/>
  <c r="AD97"/>
  <c r="AB83"/>
  <c r="AD83"/>
  <c r="AB95"/>
  <c r="AC181"/>
  <c r="AB28"/>
  <c r="AA369"/>
  <c r="AA398"/>
  <c r="AD194"/>
  <c r="AC93"/>
  <c r="AD93"/>
  <c r="AA11"/>
  <c r="AD11"/>
  <c r="AD242"/>
  <c r="AA870"/>
  <c r="AD870"/>
  <c r="AB802"/>
  <c r="AD802"/>
  <c r="AA678"/>
  <c r="AD678"/>
  <c r="AB241"/>
  <c r="AD241"/>
  <c r="AC214"/>
  <c r="AD214"/>
  <c r="AB106"/>
  <c r="AD106"/>
  <c r="AB79"/>
  <c r="AD79"/>
  <c r="AB189"/>
  <c r="AB242"/>
  <c r="AB746"/>
  <c r="AB413"/>
  <c r="AB198"/>
  <c r="AB631"/>
  <c r="AC76"/>
  <c r="AA537"/>
  <c r="AC388"/>
  <c r="AA60"/>
  <c r="AA660"/>
  <c r="AA674"/>
  <c r="AC404"/>
  <c r="AA149"/>
  <c r="AA175"/>
  <c r="AD311"/>
  <c r="AD647"/>
  <c r="AD276"/>
  <c r="AD62"/>
  <c r="AD292"/>
  <c r="AD689"/>
  <c r="AD305"/>
  <c r="AD536"/>
  <c r="AD782"/>
  <c r="AD809"/>
  <c r="AC393"/>
  <c r="AD393"/>
  <c r="AA853"/>
  <c r="AD853"/>
  <c r="AB690"/>
  <c r="AD690"/>
  <c r="AC378"/>
  <c r="AD378"/>
  <c r="AB132"/>
  <c r="AD132"/>
  <c r="AA120"/>
  <c r="AD120"/>
  <c r="AC37"/>
  <c r="AD37"/>
  <c r="AA10"/>
  <c r="AD10"/>
  <c r="AB135"/>
  <c r="AC11"/>
  <c r="AC443"/>
  <c r="AC135"/>
  <c r="AC60"/>
  <c r="AC841"/>
  <c r="AA86"/>
  <c r="AC428"/>
  <c r="AD659"/>
  <c r="AD86"/>
  <c r="AD278"/>
  <c r="AD304"/>
  <c r="AD149"/>
  <c r="AD317"/>
  <c r="AD224"/>
  <c r="AD387"/>
  <c r="AA489"/>
  <c r="AD489"/>
  <c r="AC406"/>
  <c r="AD406"/>
  <c r="AB325"/>
  <c r="AD325"/>
  <c r="AB231"/>
  <c r="AB702"/>
  <c r="AD702"/>
  <c r="AC649"/>
  <c r="AD649"/>
  <c r="AC618"/>
  <c r="AD618"/>
  <c r="AA457"/>
  <c r="AD457"/>
  <c r="AA430"/>
  <c r="AD430"/>
  <c r="AA418"/>
  <c r="AD418"/>
  <c r="AA403"/>
  <c r="AD403"/>
  <c r="AA91"/>
  <c r="AD91"/>
  <c r="AC183"/>
  <c r="AB388"/>
  <c r="AA879"/>
  <c r="AC564"/>
  <c r="AD756"/>
  <c r="AD290"/>
  <c r="AD674"/>
  <c r="AD5"/>
  <c r="AD80"/>
  <c r="AD236"/>
  <c r="AB417"/>
  <c r="AD417"/>
  <c r="AC107"/>
  <c r="AD107"/>
  <c r="AA837"/>
  <c r="AD837"/>
  <c r="AB769"/>
  <c r="AD769"/>
  <c r="AA742"/>
  <c r="AD742"/>
  <c r="AC729"/>
  <c r="AD729"/>
  <c r="AC442"/>
  <c r="AD442"/>
  <c r="AA415"/>
  <c r="AD415"/>
  <c r="AA402"/>
  <c r="AD402"/>
  <c r="AA361"/>
  <c r="AD361"/>
  <c r="AC319"/>
  <c r="AD319"/>
  <c r="AC306"/>
  <c r="AD306"/>
  <c r="AA253"/>
  <c r="AD253"/>
  <c r="AB238"/>
  <c r="AD238"/>
  <c r="AC225"/>
  <c r="AD225"/>
  <c r="AC144"/>
  <c r="AD144"/>
  <c r="AC130"/>
  <c r="AD130"/>
  <c r="AA90"/>
  <c r="AD90"/>
  <c r="AA45"/>
  <c r="AD45"/>
  <c r="AB35"/>
  <c r="AD35"/>
  <c r="AC7"/>
  <c r="AD7"/>
  <c r="AB297"/>
  <c r="AB5"/>
  <c r="AB502"/>
  <c r="AB375"/>
  <c r="AB715"/>
  <c r="AC77"/>
  <c r="AA442"/>
  <c r="AA325"/>
  <c r="AD347"/>
  <c r="AD468"/>
  <c r="AD660"/>
  <c r="AD571"/>
  <c r="AD484"/>
  <c r="AD428"/>
  <c r="AD75"/>
  <c r="AD447"/>
  <c r="AD339"/>
  <c r="AA216"/>
  <c r="AD216"/>
  <c r="AB93"/>
  <c r="AC822"/>
  <c r="AD822"/>
  <c r="AB754"/>
  <c r="AD754"/>
  <c r="AC469"/>
  <c r="AD469"/>
  <c r="AA414"/>
  <c r="AD414"/>
  <c r="AA373"/>
  <c r="AD373"/>
  <c r="AC331"/>
  <c r="AD331"/>
  <c r="AA277"/>
  <c r="AD277"/>
  <c r="AC237"/>
  <c r="AD237"/>
  <c r="AB211"/>
  <c r="AD211"/>
  <c r="AA143"/>
  <c r="AD143"/>
  <c r="AC129"/>
  <c r="AD129"/>
  <c r="AB115"/>
  <c r="AD115"/>
  <c r="AA61"/>
  <c r="AD61"/>
  <c r="AA48"/>
  <c r="AD48"/>
  <c r="AA34"/>
  <c r="AD34"/>
  <c r="AC6"/>
  <c r="AD6"/>
  <c r="AB34"/>
  <c r="AB362"/>
  <c r="AB91"/>
  <c r="AB514"/>
  <c r="AB828"/>
  <c r="AB484"/>
  <c r="AC216"/>
  <c r="AC89"/>
  <c r="AC21"/>
  <c r="AD203"/>
  <c r="AD324"/>
  <c r="AD134"/>
  <c r="AD497"/>
  <c r="AD197"/>
  <c r="AD353"/>
  <c r="AD104"/>
  <c r="AD440"/>
  <c r="AD63"/>
  <c r="AD795"/>
  <c r="AD375"/>
  <c r="AD866"/>
  <c r="AB829"/>
  <c r="AD829"/>
  <c r="AC119"/>
  <c r="AD119"/>
  <c r="AB365"/>
  <c r="AA658"/>
  <c r="AD658"/>
  <c r="AC550"/>
  <c r="AD550"/>
  <c r="AA454"/>
  <c r="AD454"/>
  <c r="AC358"/>
  <c r="AD358"/>
  <c r="AB345"/>
  <c r="AD345"/>
  <c r="AC249"/>
  <c r="AD249"/>
  <c r="AC210"/>
  <c r="AD210"/>
  <c r="AA169"/>
  <c r="AD169"/>
  <c r="AA155"/>
  <c r="AD155"/>
  <c r="AC141"/>
  <c r="AD141"/>
  <c r="AC114"/>
  <c r="AD114"/>
  <c r="AA73"/>
  <c r="AD73"/>
  <c r="AB47"/>
  <c r="AD47"/>
  <c r="AB19"/>
  <c r="AD19"/>
  <c r="AB103"/>
  <c r="AB526"/>
  <c r="AB447"/>
  <c r="AC155"/>
  <c r="AC339"/>
  <c r="AA104"/>
  <c r="AC104"/>
  <c r="AC175"/>
  <c r="AD336"/>
  <c r="AD146"/>
  <c r="AD196"/>
  <c r="AD796"/>
  <c r="AD509"/>
  <c r="AD365"/>
  <c r="AD665"/>
  <c r="AD878"/>
  <c r="AB817"/>
  <c r="AA817"/>
  <c r="AC817"/>
  <c r="AB736"/>
  <c r="AC736"/>
  <c r="AA655"/>
  <c r="AC655"/>
  <c r="AB655"/>
  <c r="AC574"/>
  <c r="AA574"/>
  <c r="AB574"/>
  <c r="AA520"/>
  <c r="AC520"/>
  <c r="AB520"/>
  <c r="AA855"/>
  <c r="AB855"/>
  <c r="AC855"/>
  <c r="AA761"/>
  <c r="AB761"/>
  <c r="AC761"/>
  <c r="AC694"/>
  <c r="AB694"/>
  <c r="AA694"/>
  <c r="AC612"/>
  <c r="AB612"/>
  <c r="AA544"/>
  <c r="AC544"/>
  <c r="AC787"/>
  <c r="AA787"/>
  <c r="AA733"/>
  <c r="AB733"/>
  <c r="AC733"/>
  <c r="AA598"/>
  <c r="AB598"/>
  <c r="AC516"/>
  <c r="AA516"/>
  <c r="AC598"/>
  <c r="AA813"/>
  <c r="AB813"/>
  <c r="AA759"/>
  <c r="AB759"/>
  <c r="AA663"/>
  <c r="AC663"/>
  <c r="AA784"/>
  <c r="AC784"/>
  <c r="AB784"/>
  <c r="AB731"/>
  <c r="AA731"/>
  <c r="AA664"/>
  <c r="AB664"/>
  <c r="AC609"/>
  <c r="AB609"/>
  <c r="AA609"/>
  <c r="AA541"/>
  <c r="AC541"/>
  <c r="AB541"/>
  <c r="AA486"/>
  <c r="AC486"/>
  <c r="AB486"/>
  <c r="AA419"/>
  <c r="AC419"/>
  <c r="AB419"/>
  <c r="AA363"/>
  <c r="AC363"/>
  <c r="AC295"/>
  <c r="AB295"/>
  <c r="AA295"/>
  <c r="AA824"/>
  <c r="AC824"/>
  <c r="AB824"/>
  <c r="AC757"/>
  <c r="AA757"/>
  <c r="AB757"/>
  <c r="AA716"/>
  <c r="AB716"/>
  <c r="AC716"/>
  <c r="AB662"/>
  <c r="AA662"/>
  <c r="AC662"/>
  <c r="AC608"/>
  <c r="AA608"/>
  <c r="AB608"/>
  <c r="AA527"/>
  <c r="AC527"/>
  <c r="AB527"/>
  <c r="AA850"/>
  <c r="AB850"/>
  <c r="AC850"/>
  <c r="AB808"/>
  <c r="AA808"/>
  <c r="AA877"/>
  <c r="AB877"/>
  <c r="AC877"/>
  <c r="AC848"/>
  <c r="AA848"/>
  <c r="AB848"/>
  <c r="AA835"/>
  <c r="AC835"/>
  <c r="AB835"/>
  <c r="AA807"/>
  <c r="AC807"/>
  <c r="AC794"/>
  <c r="AA794"/>
  <c r="AB794"/>
  <c r="AB767"/>
  <c r="AC767"/>
  <c r="AA767"/>
  <c r="AC753"/>
  <c r="AB753"/>
  <c r="AA753"/>
  <c r="AR753" s="1"/>
  <c r="AS753" s="1"/>
  <c r="AC726"/>
  <c r="AB726"/>
  <c r="AA726"/>
  <c r="AA713"/>
  <c r="AC713"/>
  <c r="AB713"/>
  <c r="AA673"/>
  <c r="AB673"/>
  <c r="AA644"/>
  <c r="AC644"/>
  <c r="AA630"/>
  <c r="AC630"/>
  <c r="AB630"/>
  <c r="AA605"/>
  <c r="AB605"/>
  <c r="AB97"/>
  <c r="AC587"/>
  <c r="AC866"/>
  <c r="AA241"/>
  <c r="AB77"/>
  <c r="AB807"/>
  <c r="AC635"/>
  <c r="AC759"/>
  <c r="AB587"/>
  <c r="AB544"/>
  <c r="AC804"/>
  <c r="AA612"/>
  <c r="AA686"/>
  <c r="AB853"/>
  <c r="AB873"/>
  <c r="AA873"/>
  <c r="AC873"/>
  <c r="AB706"/>
  <c r="AC706"/>
  <c r="AA706"/>
  <c r="AC548"/>
  <c r="AB548"/>
  <c r="AA548"/>
  <c r="AB815"/>
  <c r="AC815"/>
  <c r="AA652"/>
  <c r="AB652"/>
  <c r="AA519"/>
  <c r="AC519"/>
  <c r="AB814"/>
  <c r="AA814"/>
  <c r="AC814"/>
  <c r="AA651"/>
  <c r="AC651"/>
  <c r="AA543"/>
  <c r="AC543"/>
  <c r="AB543"/>
  <c r="AA841"/>
  <c r="AB841"/>
  <c r="AC799"/>
  <c r="AA799"/>
  <c r="AA690"/>
  <c r="AC690"/>
  <c r="AA569"/>
  <c r="AC569"/>
  <c r="AB569"/>
  <c r="AC432"/>
  <c r="AA432"/>
  <c r="AB432"/>
  <c r="AC310"/>
  <c r="AA310"/>
  <c r="AB880"/>
  <c r="AA880"/>
  <c r="AC880"/>
  <c r="AA771"/>
  <c r="AB771"/>
  <c r="AA649"/>
  <c r="AB649"/>
  <c r="AB540"/>
  <c r="AA540"/>
  <c r="AC540"/>
  <c r="AC864"/>
  <c r="AA864"/>
  <c r="AB864"/>
  <c r="AA795"/>
  <c r="AC795"/>
  <c r="AA863"/>
  <c r="AB863"/>
  <c r="AC863"/>
  <c r="AA821"/>
  <c r="AC821"/>
  <c r="AA780"/>
  <c r="AC780"/>
  <c r="AA739"/>
  <c r="AC739"/>
  <c r="AB739"/>
  <c r="AA699"/>
  <c r="AC699"/>
  <c r="AB699"/>
  <c r="AC617"/>
  <c r="AA617"/>
  <c r="AB617"/>
  <c r="AA578"/>
  <c r="AC578"/>
  <c r="AB314"/>
  <c r="AB780"/>
  <c r="AC647"/>
  <c r="AC97"/>
  <c r="AB822"/>
  <c r="AC771"/>
  <c r="AA746"/>
  <c r="AA293"/>
  <c r="AC764"/>
  <c r="AA764"/>
  <c r="AB764"/>
  <c r="AC601"/>
  <c r="AA601"/>
  <c r="AB601"/>
  <c r="AC464"/>
  <c r="AA464"/>
  <c r="AB464"/>
  <c r="AC450"/>
  <c r="AB450"/>
  <c r="AB436"/>
  <c r="AA436"/>
  <c r="AA424"/>
  <c r="AB424"/>
  <c r="AC424"/>
  <c r="AB409"/>
  <c r="AC409"/>
  <c r="AB396"/>
  <c r="AA396"/>
  <c r="AA382"/>
  <c r="AC382"/>
  <c r="AB382"/>
  <c r="AA370"/>
  <c r="AC370"/>
  <c r="AA355"/>
  <c r="AC355"/>
  <c r="AB355"/>
  <c r="AC341"/>
  <c r="AB341"/>
  <c r="AA327"/>
  <c r="AB327"/>
  <c r="AA300"/>
  <c r="AC300"/>
  <c r="AB300"/>
  <c r="AA286"/>
  <c r="AC286"/>
  <c r="AC274"/>
  <c r="AA274"/>
  <c r="AC260"/>
  <c r="AB260"/>
  <c r="AA260"/>
  <c r="AA246"/>
  <c r="AC246"/>
  <c r="AA233"/>
  <c r="AC233"/>
  <c r="AB233"/>
  <c r="AA219"/>
  <c r="AC219"/>
  <c r="AA193"/>
  <c r="AB193"/>
  <c r="AC193"/>
  <c r="AA179"/>
  <c r="AB179"/>
  <c r="AC179"/>
  <c r="AC166"/>
  <c r="AB166"/>
  <c r="AA152"/>
  <c r="AC152"/>
  <c r="AB152"/>
  <c r="AC138"/>
  <c r="AA138"/>
  <c r="AB138"/>
  <c r="AA124"/>
  <c r="AC124"/>
  <c r="AB124"/>
  <c r="AC111"/>
  <c r="AB111"/>
  <c r="AA111"/>
  <c r="AA70"/>
  <c r="AB70"/>
  <c r="AC56"/>
  <c r="AA56"/>
  <c r="AA42"/>
  <c r="AB42"/>
  <c r="AA29"/>
  <c r="AC29"/>
  <c r="AB29"/>
  <c r="AA16"/>
  <c r="AC16"/>
  <c r="AA2"/>
  <c r="AC2"/>
  <c r="AB2"/>
  <c r="AB686"/>
  <c r="AB370"/>
  <c r="AB207"/>
  <c r="AB519"/>
  <c r="AB644"/>
  <c r="AB804"/>
  <c r="AC828"/>
  <c r="AC673"/>
  <c r="AA635"/>
  <c r="AA591"/>
  <c r="AA341"/>
  <c r="AA829"/>
  <c r="AA831"/>
  <c r="AC831"/>
  <c r="AB831"/>
  <c r="AC750"/>
  <c r="AB750"/>
  <c r="AA750"/>
  <c r="AB668"/>
  <c r="AA668"/>
  <c r="AC668"/>
  <c r="AB627"/>
  <c r="AA627"/>
  <c r="AA492"/>
  <c r="AC492"/>
  <c r="AA450"/>
  <c r="AC843"/>
  <c r="AB843"/>
  <c r="AA843"/>
  <c r="AB775"/>
  <c r="AA775"/>
  <c r="AC775"/>
  <c r="AC705"/>
  <c r="AB705"/>
  <c r="AB637"/>
  <c r="AA637"/>
  <c r="AC637"/>
  <c r="AA558"/>
  <c r="AC558"/>
  <c r="AC396"/>
  <c r="AC800"/>
  <c r="AA800"/>
  <c r="AC760"/>
  <c r="AA760"/>
  <c r="AB760"/>
  <c r="AA709"/>
  <c r="AC709"/>
  <c r="AB709"/>
  <c r="AB611"/>
  <c r="AA611"/>
  <c r="AC611"/>
  <c r="AA557"/>
  <c r="AC557"/>
  <c r="AA409"/>
  <c r="AA802"/>
  <c r="AC802"/>
  <c r="AC745"/>
  <c r="AA745"/>
  <c r="AB745"/>
  <c r="AB650"/>
  <c r="AA650"/>
  <c r="AC650"/>
  <c r="AA622"/>
  <c r="AC622"/>
  <c r="AB622"/>
  <c r="AA610"/>
  <c r="AC610"/>
  <c r="AA597"/>
  <c r="AC597"/>
  <c r="AB597"/>
  <c r="AA584"/>
  <c r="AC584"/>
  <c r="AB584"/>
  <c r="AC570"/>
  <c r="AA570"/>
  <c r="AB570"/>
  <c r="AB554"/>
  <c r="AA554"/>
  <c r="AC554"/>
  <c r="AC542"/>
  <c r="AA542"/>
  <c r="AB542"/>
  <c r="AC529"/>
  <c r="AA529"/>
  <c r="AB529"/>
  <c r="AA515"/>
  <c r="AB515"/>
  <c r="AB501"/>
  <c r="AC501"/>
  <c r="AA501"/>
  <c r="AA474"/>
  <c r="AB474"/>
  <c r="AC474"/>
  <c r="AC460"/>
  <c r="AA460"/>
  <c r="AB460"/>
  <c r="AA446"/>
  <c r="AB446"/>
  <c r="AC446"/>
  <c r="AC433"/>
  <c r="AA433"/>
  <c r="AB433"/>
  <c r="AC420"/>
  <c r="AA420"/>
  <c r="AB420"/>
  <c r="AC405"/>
  <c r="AB405"/>
  <c r="AA405"/>
  <c r="AA392"/>
  <c r="AB392"/>
  <c r="AC392"/>
  <c r="AA376"/>
  <c r="AC376"/>
  <c r="AB350"/>
  <c r="AA350"/>
  <c r="AC350"/>
  <c r="AA336"/>
  <c r="AC336"/>
  <c r="AC324"/>
  <c r="AA324"/>
  <c r="AA311"/>
  <c r="AC311"/>
  <c r="AA296"/>
  <c r="AC296"/>
  <c r="AB296"/>
  <c r="AC282"/>
  <c r="AB282"/>
  <c r="AA282"/>
  <c r="AA268"/>
  <c r="AB268"/>
  <c r="AC268"/>
  <c r="AA255"/>
  <c r="AC255"/>
  <c r="AB255"/>
  <c r="AA230"/>
  <c r="AB230"/>
  <c r="AC230"/>
  <c r="AA214"/>
  <c r="AB214"/>
  <c r="AC202"/>
  <c r="AA202"/>
  <c r="AC188"/>
  <c r="AA188"/>
  <c r="AC174"/>
  <c r="AA174"/>
  <c r="AB174"/>
  <c r="AA161"/>
  <c r="AC161"/>
  <c r="AB161"/>
  <c r="AA147"/>
  <c r="AC147"/>
  <c r="AB147"/>
  <c r="AA134"/>
  <c r="AC134"/>
  <c r="AA121"/>
  <c r="AC121"/>
  <c r="AB121"/>
  <c r="AC106"/>
  <c r="AA106"/>
  <c r="AC92"/>
  <c r="AB92"/>
  <c r="AA92"/>
  <c r="AC79"/>
  <c r="AA79"/>
  <c r="AB65"/>
  <c r="AA65"/>
  <c r="AC65"/>
  <c r="AA52"/>
  <c r="AC52"/>
  <c r="AA38"/>
  <c r="AC38"/>
  <c r="AB38"/>
  <c r="AA25"/>
  <c r="AC25"/>
  <c r="AA12"/>
  <c r="AB12"/>
  <c r="AC12"/>
  <c r="AB286"/>
  <c r="AB492"/>
  <c r="AB651"/>
  <c r="AC83"/>
  <c r="AB773"/>
  <c r="AC241"/>
  <c r="AC364"/>
  <c r="AC853"/>
  <c r="AC734"/>
  <c r="AA791"/>
  <c r="AC488"/>
  <c r="AA822"/>
  <c r="AC859"/>
  <c r="AA859"/>
  <c r="AB859"/>
  <c r="AB696"/>
  <c r="AC696"/>
  <c r="AA696"/>
  <c r="AC561"/>
  <c r="AB561"/>
  <c r="AA561"/>
  <c r="AB827"/>
  <c r="AC827"/>
  <c r="AA827"/>
  <c r="AA666"/>
  <c r="AB666"/>
  <c r="AA505"/>
  <c r="AC505"/>
  <c r="AB788"/>
  <c r="AB505"/>
  <c r="AC665"/>
  <c r="AB665"/>
  <c r="AC530"/>
  <c r="AA530"/>
  <c r="AB530"/>
  <c r="AA692"/>
  <c r="AB692"/>
  <c r="AC692"/>
  <c r="AC812"/>
  <c r="AA812"/>
  <c r="AA677"/>
  <c r="AC677"/>
  <c r="AA556"/>
  <c r="AC556"/>
  <c r="AA445"/>
  <c r="AB445"/>
  <c r="AB321"/>
  <c r="AA321"/>
  <c r="AC321"/>
  <c r="AB240"/>
  <c r="AA240"/>
  <c r="AB227"/>
  <c r="AA227"/>
  <c r="AB215"/>
  <c r="AA215"/>
  <c r="AC201"/>
  <c r="AA201"/>
  <c r="AB201"/>
  <c r="AA187"/>
  <c r="AC187"/>
  <c r="AB187"/>
  <c r="AA173"/>
  <c r="AC173"/>
  <c r="AB173"/>
  <c r="AB160"/>
  <c r="AA160"/>
  <c r="AC160"/>
  <c r="AA146"/>
  <c r="AB146"/>
  <c r="AC132"/>
  <c r="AA132"/>
  <c r="AC120"/>
  <c r="AB120"/>
  <c r="AB105"/>
  <c r="AC105"/>
  <c r="AA105"/>
  <c r="AA88"/>
  <c r="AB88"/>
  <c r="AC78"/>
  <c r="AA78"/>
  <c r="AB78"/>
  <c r="AA64"/>
  <c r="AB64"/>
  <c r="AA50"/>
  <c r="AB50"/>
  <c r="AC50"/>
  <c r="AA37"/>
  <c r="AB37"/>
  <c r="AA24"/>
  <c r="AC24"/>
  <c r="AB10"/>
  <c r="AC10"/>
  <c r="AB866"/>
  <c r="AB610"/>
  <c r="AB663"/>
  <c r="AC791"/>
  <c r="AC64"/>
  <c r="AB376"/>
  <c r="AC445"/>
  <c r="AA166"/>
  <c r="AA443"/>
  <c r="AA803"/>
  <c r="AC91"/>
  <c r="AA736"/>
  <c r="AC658"/>
  <c r="AA641"/>
  <c r="AC641"/>
  <c r="AB641"/>
  <c r="AA533"/>
  <c r="AC533"/>
  <c r="AA583"/>
  <c r="AC583"/>
  <c r="AB583"/>
  <c r="AA842"/>
  <c r="AB842"/>
  <c r="AC842"/>
  <c r="AC679"/>
  <c r="AB679"/>
  <c r="AB585"/>
  <c r="AA585"/>
  <c r="AC585"/>
  <c r="AC732"/>
  <c r="AA732"/>
  <c r="AB732"/>
  <c r="AC881"/>
  <c r="AA881"/>
  <c r="AB881"/>
  <c r="AA758"/>
  <c r="AC758"/>
  <c r="AC632"/>
  <c r="AA632"/>
  <c r="AA514"/>
  <c r="AC514"/>
  <c r="AB378"/>
  <c r="AA378"/>
  <c r="AA281"/>
  <c r="AC281"/>
  <c r="AC785"/>
  <c r="AA785"/>
  <c r="AB785"/>
  <c r="AA675"/>
  <c r="AC675"/>
  <c r="AC581"/>
  <c r="AB581"/>
  <c r="AA581"/>
  <c r="AA496"/>
  <c r="AC496"/>
  <c r="AB496"/>
  <c r="AC403"/>
  <c r="AB403"/>
  <c r="AC362"/>
  <c r="AA362"/>
  <c r="AA320"/>
  <c r="AB320"/>
  <c r="AA279"/>
  <c r="AB279"/>
  <c r="AC279"/>
  <c r="AC239"/>
  <c r="AA239"/>
  <c r="AC200"/>
  <c r="AA200"/>
  <c r="AA159"/>
  <c r="AC159"/>
  <c r="AB159"/>
  <c r="AC117"/>
  <c r="AB117"/>
  <c r="AA117"/>
  <c r="AB36"/>
  <c r="AA36"/>
  <c r="AA9"/>
  <c r="AC9"/>
  <c r="AB9"/>
  <c r="AB310"/>
  <c r="AB293"/>
  <c r="AB516"/>
  <c r="AB363"/>
  <c r="AB675"/>
  <c r="AC515"/>
  <c r="AC803"/>
  <c r="AB821"/>
  <c r="AB188"/>
  <c r="AB488"/>
  <c r="AC36"/>
  <c r="AA815"/>
  <c r="AC808"/>
  <c r="AC42"/>
  <c r="AC666"/>
  <c r="AA773"/>
  <c r="AA723"/>
  <c r="AB723"/>
  <c r="AC723"/>
  <c r="AB506"/>
  <c r="AA506"/>
  <c r="AC747"/>
  <c r="AA747"/>
  <c r="AC680"/>
  <c r="AB680"/>
  <c r="AA680"/>
  <c r="AA599"/>
  <c r="AB599"/>
  <c r="AC599"/>
  <c r="AA531"/>
  <c r="AC531"/>
  <c r="AB531"/>
  <c r="AA857"/>
  <c r="AC857"/>
  <c r="AB857"/>
  <c r="AA774"/>
  <c r="AC774"/>
  <c r="AB774"/>
  <c r="AC720"/>
  <c r="AA720"/>
  <c r="AB720"/>
  <c r="AB623"/>
  <c r="AC623"/>
  <c r="AC502"/>
  <c r="AA502"/>
  <c r="AA856"/>
  <c r="AC856"/>
  <c r="AB856"/>
  <c r="AA786"/>
  <c r="AC786"/>
  <c r="AB786"/>
  <c r="AC718"/>
  <c r="AB718"/>
  <c r="AA718"/>
  <c r="AC867"/>
  <c r="AA867"/>
  <c r="AB867"/>
  <c r="AC825"/>
  <c r="AB825"/>
  <c r="AA825"/>
  <c r="AA744"/>
  <c r="AB744"/>
  <c r="AC744"/>
  <c r="AA703"/>
  <c r="AC703"/>
  <c r="AB703"/>
  <c r="AB621"/>
  <c r="AA621"/>
  <c r="AC621"/>
  <c r="AC582"/>
  <c r="AA582"/>
  <c r="AB582"/>
  <c r="AA500"/>
  <c r="AC500"/>
  <c r="AA459"/>
  <c r="AC459"/>
  <c r="AB459"/>
  <c r="AA391"/>
  <c r="AC391"/>
  <c r="AB391"/>
  <c r="AA335"/>
  <c r="AB335"/>
  <c r="AC335"/>
  <c r="AC251"/>
  <c r="AB251"/>
  <c r="AA852"/>
  <c r="AC852"/>
  <c r="AB852"/>
  <c r="AA810"/>
  <c r="AC810"/>
  <c r="AB810"/>
  <c r="AB743"/>
  <c r="AA743"/>
  <c r="AC743"/>
  <c r="AA702"/>
  <c r="AC702"/>
  <c r="AA634"/>
  <c r="AC634"/>
  <c r="AB634"/>
  <c r="AC594"/>
  <c r="AA594"/>
  <c r="AB594"/>
  <c r="AA555"/>
  <c r="AC555"/>
  <c r="AB555"/>
  <c r="AB513"/>
  <c r="AC513"/>
  <c r="AA513"/>
  <c r="AC485"/>
  <c r="AA485"/>
  <c r="AA471"/>
  <c r="AB471"/>
  <c r="AC457"/>
  <c r="AB457"/>
  <c r="AC430"/>
  <c r="AB430"/>
  <c r="AC418"/>
  <c r="AB418"/>
  <c r="AA389"/>
  <c r="AC389"/>
  <c r="AB389"/>
  <c r="AA377"/>
  <c r="AC377"/>
  <c r="AB377"/>
  <c r="AA348"/>
  <c r="AC348"/>
  <c r="AA334"/>
  <c r="AC334"/>
  <c r="AB334"/>
  <c r="AA307"/>
  <c r="AC307"/>
  <c r="AB307"/>
  <c r="AA265"/>
  <c r="AC265"/>
  <c r="AC254"/>
  <c r="AB254"/>
  <c r="AA254"/>
  <c r="AC226"/>
  <c r="AA226"/>
  <c r="AB226"/>
  <c r="AB213"/>
  <c r="AA213"/>
  <c r="AC213"/>
  <c r="AA186"/>
  <c r="AC186"/>
  <c r="AB186"/>
  <c r="AA172"/>
  <c r="AB172"/>
  <c r="AC172"/>
  <c r="AA145"/>
  <c r="AC145"/>
  <c r="AB145"/>
  <c r="AA131"/>
  <c r="AC131"/>
  <c r="AB131"/>
  <c r="AA103"/>
  <c r="AC103"/>
  <c r="AA49"/>
  <c r="AB49"/>
  <c r="AC49"/>
  <c r="AB22"/>
  <c r="AA22"/>
  <c r="AC22"/>
  <c r="AB25"/>
  <c r="AB16"/>
  <c r="AB658"/>
  <c r="AB239"/>
  <c r="AB747"/>
  <c r="AC215"/>
  <c r="AB485"/>
  <c r="AB246"/>
  <c r="AB558"/>
  <c r="AB787"/>
  <c r="AC207"/>
  <c r="AC627"/>
  <c r="AB200"/>
  <c r="AB500"/>
  <c r="AC88"/>
  <c r="AA705"/>
  <c r="AC678"/>
  <c r="AC788"/>
  <c r="AC813"/>
  <c r="AC605"/>
  <c r="AA845"/>
  <c r="AC845"/>
  <c r="AB777"/>
  <c r="AA777"/>
  <c r="AA682"/>
  <c r="AC682"/>
  <c r="AA614"/>
  <c r="AC614"/>
  <c r="AA478"/>
  <c r="AC478"/>
  <c r="AB478"/>
  <c r="AA872"/>
  <c r="AB872"/>
  <c r="AC872"/>
  <c r="AA721"/>
  <c r="AB721"/>
  <c r="AC721"/>
  <c r="AA625"/>
  <c r="AC625"/>
  <c r="AA572"/>
  <c r="AC572"/>
  <c r="AB572"/>
  <c r="AA871"/>
  <c r="AC871"/>
  <c r="AB871"/>
  <c r="AC693"/>
  <c r="AB693"/>
  <c r="AA693"/>
  <c r="AA636"/>
  <c r="AB636"/>
  <c r="AC571"/>
  <c r="AB571"/>
  <c r="AB800"/>
  <c r="AA679"/>
  <c r="AC870"/>
  <c r="AB870"/>
  <c r="AA708"/>
  <c r="AC708"/>
  <c r="AB839"/>
  <c r="AC839"/>
  <c r="AA839"/>
  <c r="AA772"/>
  <c r="AC772"/>
  <c r="AC717"/>
  <c r="AB717"/>
  <c r="AC595"/>
  <c r="AA595"/>
  <c r="AB595"/>
  <c r="AA528"/>
  <c r="AB528"/>
  <c r="AC528"/>
  <c r="AC473"/>
  <c r="AA473"/>
  <c r="AB473"/>
  <c r="AA404"/>
  <c r="AB404"/>
  <c r="AB349"/>
  <c r="AA349"/>
  <c r="AC349"/>
  <c r="AA267"/>
  <c r="AC267"/>
  <c r="AB267"/>
  <c r="AC838"/>
  <c r="AA838"/>
  <c r="AB838"/>
  <c r="AA798"/>
  <c r="AC798"/>
  <c r="AB798"/>
  <c r="AB730"/>
  <c r="AC730"/>
  <c r="AA689"/>
  <c r="AC689"/>
  <c r="AA618"/>
  <c r="AB618"/>
  <c r="AA568"/>
  <c r="AB568"/>
  <c r="AC568"/>
  <c r="AA878"/>
  <c r="AB878"/>
  <c r="AA836"/>
  <c r="AB836"/>
  <c r="AA781"/>
  <c r="AC781"/>
  <c r="AB781"/>
  <c r="AA768"/>
  <c r="AB768"/>
  <c r="AC768"/>
  <c r="AA754"/>
  <c r="AC754"/>
  <c r="AA740"/>
  <c r="AC740"/>
  <c r="AB740"/>
  <c r="AA728"/>
  <c r="AC728"/>
  <c r="AB728"/>
  <c r="AC714"/>
  <c r="AA714"/>
  <c r="AB714"/>
  <c r="AA700"/>
  <c r="AC700"/>
  <c r="AB700"/>
  <c r="AC687"/>
  <c r="AA687"/>
  <c r="AB687"/>
  <c r="AA670"/>
  <c r="AC670"/>
  <c r="AB659"/>
  <c r="AA659"/>
  <c r="AA645"/>
  <c r="AB645"/>
  <c r="AC645"/>
  <c r="AA619"/>
  <c r="AC619"/>
  <c r="AC606"/>
  <c r="AA606"/>
  <c r="AB606"/>
  <c r="AB592"/>
  <c r="AC592"/>
  <c r="AA592"/>
  <c r="AA579"/>
  <c r="AB579"/>
  <c r="AC579"/>
  <c r="AA565"/>
  <c r="AB565"/>
  <c r="AC565"/>
  <c r="AC551"/>
  <c r="AB551"/>
  <c r="AA551"/>
  <c r="AC537"/>
  <c r="AB537"/>
  <c r="AC524"/>
  <c r="AB524"/>
  <c r="AA524"/>
  <c r="AA511"/>
  <c r="AB511"/>
  <c r="AA498"/>
  <c r="AC498"/>
  <c r="AB498"/>
  <c r="AB578"/>
  <c r="AC70"/>
  <c r="AB670"/>
  <c r="AC227"/>
  <c r="AB533"/>
  <c r="AB845"/>
  <c r="AB678"/>
  <c r="AB799"/>
  <c r="AB265"/>
  <c r="AA717"/>
  <c r="AA83"/>
  <c r="AA730"/>
  <c r="AC836"/>
  <c r="AC454"/>
  <c r="AC509"/>
  <c r="AC858"/>
  <c r="AA858"/>
  <c r="AC776"/>
  <c r="AA776"/>
  <c r="AA710"/>
  <c r="AC710"/>
  <c r="AA667"/>
  <c r="AC667"/>
  <c r="AA654"/>
  <c r="AC654"/>
  <c r="AA640"/>
  <c r="AC640"/>
  <c r="AC613"/>
  <c r="AA613"/>
  <c r="AB477"/>
  <c r="AA477"/>
  <c r="AA422"/>
  <c r="AC422"/>
  <c r="AA354"/>
  <c r="AC354"/>
  <c r="AB271"/>
  <c r="AA271"/>
  <c r="AB178"/>
  <c r="AC178"/>
  <c r="AA137"/>
  <c r="AC137"/>
  <c r="AA55"/>
  <c r="AC55"/>
  <c r="AB46"/>
  <c r="AB698"/>
  <c r="AB3"/>
  <c r="AB89"/>
  <c r="AB454"/>
  <c r="AB107"/>
  <c r="AB144"/>
  <c r="AB792"/>
  <c r="AB315"/>
  <c r="AB615"/>
  <c r="AC167"/>
  <c r="AC455"/>
  <c r="AB210"/>
  <c r="AB354"/>
  <c r="AC62"/>
  <c r="AC3"/>
  <c r="AC291"/>
  <c r="AC435"/>
  <c r="AC28"/>
  <c r="AC316"/>
  <c r="AC32"/>
  <c r="AB136"/>
  <c r="AB316"/>
  <c r="AC180"/>
  <c r="AC360"/>
  <c r="AA68"/>
  <c r="AC577"/>
  <c r="AC793"/>
  <c r="AA93"/>
  <c r="AA273"/>
  <c r="AA35"/>
  <c r="AC400"/>
  <c r="AA72"/>
  <c r="AA252"/>
  <c r="AC5"/>
  <c r="AC221"/>
  <c r="AC534"/>
  <c r="AC846"/>
  <c r="AB695"/>
  <c r="AA183"/>
  <c r="AC415"/>
  <c r="AA604"/>
  <c r="AC273"/>
  <c r="AA197"/>
  <c r="AA306"/>
  <c r="AA247"/>
  <c r="AA475"/>
  <c r="AA490"/>
  <c r="AC490"/>
  <c r="AA394"/>
  <c r="AC394"/>
  <c r="AA366"/>
  <c r="AC366"/>
  <c r="AA309"/>
  <c r="AC309"/>
  <c r="AA284"/>
  <c r="AC284"/>
  <c r="AA259"/>
  <c r="AC259"/>
  <c r="AA54"/>
  <c r="AC54"/>
  <c r="AA40"/>
  <c r="AB40"/>
  <c r="AB45"/>
  <c r="AB225"/>
  <c r="AB253"/>
  <c r="AB86"/>
  <c r="AB302"/>
  <c r="AB710"/>
  <c r="AB245"/>
  <c r="AB55"/>
  <c r="AB154"/>
  <c r="AB119"/>
  <c r="AB263"/>
  <c r="AB455"/>
  <c r="AB468"/>
  <c r="AB648"/>
  <c r="AC35"/>
  <c r="AC323"/>
  <c r="AC467"/>
  <c r="AB509"/>
  <c r="AC61"/>
  <c r="AC205"/>
  <c r="AB366"/>
  <c r="AB654"/>
  <c r="AC303"/>
  <c r="AC447"/>
  <c r="AC735"/>
  <c r="AB20"/>
  <c r="AB164"/>
  <c r="AC40"/>
  <c r="AB340"/>
  <c r="AB508"/>
  <c r="AB688"/>
  <c r="AC372"/>
  <c r="AC552"/>
  <c r="AA80"/>
  <c r="AC805"/>
  <c r="AA285"/>
  <c r="AA681"/>
  <c r="AC290"/>
  <c r="AC470"/>
  <c r="AA47"/>
  <c r="AA395"/>
  <c r="AC412"/>
  <c r="AA84"/>
  <c r="AA264"/>
  <c r="AC53"/>
  <c r="AA358"/>
  <c r="AC258"/>
  <c r="AA26"/>
  <c r="AC19"/>
  <c r="AA196"/>
  <c r="AA629"/>
  <c r="AR629" s="1"/>
  <c r="AS629" s="1"/>
  <c r="AC562"/>
  <c r="AC874"/>
  <c r="AA535"/>
  <c r="AC489"/>
  <c r="AB489"/>
  <c r="AA461"/>
  <c r="AC461"/>
  <c r="AA379"/>
  <c r="AC379"/>
  <c r="AA312"/>
  <c r="AC312"/>
  <c r="AA297"/>
  <c r="AC297"/>
  <c r="AA283"/>
  <c r="AC283"/>
  <c r="AA269"/>
  <c r="AC269"/>
  <c r="AC189"/>
  <c r="AA189"/>
  <c r="AC162"/>
  <c r="AA162"/>
  <c r="AA67"/>
  <c r="AC67"/>
  <c r="AB57"/>
  <c r="AB237"/>
  <c r="AB61"/>
  <c r="AB277"/>
  <c r="AB290"/>
  <c r="AB326"/>
  <c r="AB722"/>
  <c r="AC34"/>
  <c r="AB27"/>
  <c r="AB171"/>
  <c r="AB67"/>
  <c r="AB490"/>
  <c r="AB275"/>
  <c r="AB312"/>
  <c r="AB660"/>
  <c r="AB195"/>
  <c r="AB339"/>
  <c r="AC47"/>
  <c r="AC191"/>
  <c r="AC479"/>
  <c r="AB521"/>
  <c r="AB809"/>
  <c r="AC73"/>
  <c r="AC217"/>
  <c r="AC361"/>
  <c r="AB90"/>
  <c r="AB234"/>
  <c r="AB522"/>
  <c r="AR522" s="1"/>
  <c r="AS522" s="1"/>
  <c r="AB463"/>
  <c r="AB751"/>
  <c r="AC27"/>
  <c r="AC171"/>
  <c r="AB32"/>
  <c r="AB176"/>
  <c r="AB776"/>
  <c r="AC340"/>
  <c r="AB613"/>
  <c r="AB352"/>
  <c r="AC204"/>
  <c r="AC384"/>
  <c r="AC600"/>
  <c r="AC792"/>
  <c r="AC302"/>
  <c r="AA130"/>
  <c r="AA59"/>
  <c r="AA407"/>
  <c r="AA779"/>
  <c r="AC796"/>
  <c r="AA96"/>
  <c r="AA552"/>
  <c r="AA406"/>
  <c r="AC245"/>
  <c r="AB862"/>
  <c r="AC270"/>
  <c r="AC31"/>
  <c r="AC463"/>
  <c r="AA256"/>
  <c r="AC345"/>
  <c r="AC586"/>
  <c r="AA6"/>
  <c r="AA762"/>
  <c r="AA319"/>
  <c r="AA559"/>
  <c r="AA85"/>
  <c r="AA865"/>
  <c r="AB865"/>
  <c r="AA851"/>
  <c r="AB851"/>
  <c r="AC837"/>
  <c r="AB837"/>
  <c r="AC823"/>
  <c r="AA823"/>
  <c r="AB729"/>
  <c r="AA729"/>
  <c r="AA701"/>
  <c r="AC701"/>
  <c r="AC633"/>
  <c r="AB633"/>
  <c r="AC620"/>
  <c r="AA620"/>
  <c r="AA607"/>
  <c r="AC607"/>
  <c r="AC593"/>
  <c r="AA593"/>
  <c r="AB580"/>
  <c r="AA580"/>
  <c r="AA566"/>
  <c r="AC566"/>
  <c r="AA538"/>
  <c r="AC538"/>
  <c r="AA526"/>
  <c r="AC526"/>
  <c r="AC512"/>
  <c r="AA512"/>
  <c r="AA456"/>
  <c r="AC456"/>
  <c r="AB429"/>
  <c r="AC429"/>
  <c r="AC333"/>
  <c r="AA333"/>
  <c r="AA278"/>
  <c r="AC278"/>
  <c r="AB266"/>
  <c r="AA266"/>
  <c r="AC238"/>
  <c r="AA238"/>
  <c r="AC212"/>
  <c r="AA212"/>
  <c r="AA198"/>
  <c r="AC198"/>
  <c r="AA185"/>
  <c r="AC185"/>
  <c r="AB157"/>
  <c r="AA157"/>
  <c r="AA116"/>
  <c r="AC116"/>
  <c r="AB21"/>
  <c r="AA21"/>
  <c r="AB309"/>
  <c r="AB398"/>
  <c r="AB434"/>
  <c r="AB626"/>
  <c r="AB782"/>
  <c r="AC82"/>
  <c r="AB75"/>
  <c r="AB305"/>
  <c r="AB449"/>
  <c r="AB283"/>
  <c r="AB538"/>
  <c r="AB323"/>
  <c r="AB72"/>
  <c r="AB216"/>
  <c r="AB387"/>
  <c r="AC671"/>
  <c r="AB426"/>
  <c r="AC75"/>
  <c r="AC507"/>
  <c r="AB80"/>
  <c r="AB512"/>
  <c r="AC100"/>
  <c r="AC244"/>
  <c r="AB395"/>
  <c r="AB361"/>
  <c r="AB400"/>
  <c r="AC252"/>
  <c r="AC468"/>
  <c r="AC865"/>
  <c r="AA381"/>
  <c r="AC170"/>
  <c r="AA178"/>
  <c r="AA107"/>
  <c r="AA491"/>
  <c r="AC484"/>
  <c r="AC844"/>
  <c r="AA672"/>
  <c r="AB393"/>
  <c r="AC365"/>
  <c r="AC90"/>
  <c r="AA170"/>
  <c r="AC523"/>
  <c r="AC536"/>
  <c r="AA412"/>
  <c r="AC45"/>
  <c r="AA114"/>
  <c r="AA7"/>
  <c r="AA476"/>
  <c r="AA715"/>
  <c r="AA805"/>
  <c r="AB482"/>
  <c r="AA482"/>
  <c r="AB441"/>
  <c r="AA441"/>
  <c r="AC441"/>
  <c r="AA401"/>
  <c r="AC401"/>
  <c r="AA346"/>
  <c r="AC346"/>
  <c r="AC318"/>
  <c r="AA318"/>
  <c r="AC224"/>
  <c r="AA224"/>
  <c r="AA211"/>
  <c r="AC211"/>
  <c r="AB158"/>
  <c r="AA158"/>
  <c r="AA115"/>
  <c r="AC115"/>
  <c r="AA101"/>
  <c r="AC101"/>
  <c r="AB129"/>
  <c r="AB333"/>
  <c r="AB130"/>
  <c r="AB346"/>
  <c r="AB422"/>
  <c r="AB461"/>
  <c r="AB127"/>
  <c r="AB394"/>
  <c r="AB550"/>
  <c r="AB191"/>
  <c r="AB84"/>
  <c r="AB399"/>
  <c r="AC683"/>
  <c r="AB869"/>
  <c r="AC277"/>
  <c r="AB150"/>
  <c r="AB379"/>
  <c r="AB523"/>
  <c r="AB667"/>
  <c r="AB823"/>
  <c r="AB380"/>
  <c r="AC112"/>
  <c r="AC256"/>
  <c r="AB431"/>
  <c r="AB373"/>
  <c r="AB76"/>
  <c r="AB232"/>
  <c r="AB604"/>
  <c r="AB796"/>
  <c r="AC264"/>
  <c r="AC697"/>
  <c r="AA393"/>
  <c r="AA573"/>
  <c r="AC182"/>
  <c r="AA190"/>
  <c r="AA119"/>
  <c r="AA671"/>
  <c r="AC508"/>
  <c r="AC688"/>
  <c r="AA408"/>
  <c r="AB789"/>
  <c r="AA550"/>
  <c r="AC402"/>
  <c r="AC547"/>
  <c r="AC57"/>
  <c r="AA809"/>
  <c r="AA19"/>
  <c r="AA248"/>
  <c r="AC497"/>
  <c r="AA497"/>
  <c r="AA440"/>
  <c r="AC440"/>
  <c r="AA427"/>
  <c r="AC427"/>
  <c r="AA413"/>
  <c r="AC413"/>
  <c r="AA317"/>
  <c r="AC317"/>
  <c r="AC276"/>
  <c r="AA276"/>
  <c r="AC236"/>
  <c r="AA236"/>
  <c r="AA128"/>
  <c r="AC128"/>
  <c r="AB33"/>
  <c r="AC33"/>
  <c r="AB141"/>
  <c r="AB358"/>
  <c r="AB169"/>
  <c r="AB26"/>
  <c r="AB182"/>
  <c r="AB470"/>
  <c r="AB99"/>
  <c r="AB41"/>
  <c r="AB185"/>
  <c r="AB139"/>
  <c r="AB406"/>
  <c r="AB347"/>
  <c r="AB96"/>
  <c r="AB564"/>
  <c r="AB411"/>
  <c r="AB711"/>
  <c r="AC695"/>
  <c r="AB593"/>
  <c r="AC289"/>
  <c r="AB162"/>
  <c r="AB306"/>
  <c r="AC14"/>
  <c r="AB535"/>
  <c r="AC99"/>
  <c r="AC387"/>
  <c r="AC819"/>
  <c r="AB536"/>
  <c r="AB385"/>
  <c r="AB244"/>
  <c r="AB628"/>
  <c r="AA33"/>
  <c r="AA225"/>
  <c r="AA789"/>
  <c r="AC194"/>
  <c r="AC590"/>
  <c r="AA683"/>
  <c r="AB801"/>
  <c r="AA562"/>
  <c r="AA862"/>
  <c r="AC414"/>
  <c r="AC762"/>
  <c r="AA218"/>
  <c r="AA735"/>
  <c r="AA100"/>
  <c r="AA448"/>
  <c r="AA41"/>
  <c r="AC742"/>
  <c r="AA150"/>
  <c r="AA356"/>
  <c r="AA313"/>
  <c r="AR313" s="1"/>
  <c r="AS313" s="1"/>
  <c r="AC876"/>
  <c r="AA876"/>
  <c r="AC849"/>
  <c r="AB849"/>
  <c r="AB834"/>
  <c r="AA834"/>
  <c r="AA766"/>
  <c r="AC766"/>
  <c r="AA752"/>
  <c r="AC752"/>
  <c r="AB752"/>
  <c r="AC738"/>
  <c r="AA738"/>
  <c r="AA707"/>
  <c r="AB707"/>
  <c r="AA685"/>
  <c r="AB685"/>
  <c r="AC643"/>
  <c r="AA643"/>
  <c r="AC616"/>
  <c r="AA616"/>
  <c r="AB616"/>
  <c r="AC576"/>
  <c r="AA576"/>
  <c r="AC549"/>
  <c r="AB549"/>
  <c r="AA453"/>
  <c r="AC453"/>
  <c r="AA439"/>
  <c r="AC439"/>
  <c r="AC368"/>
  <c r="AA368"/>
  <c r="AA329"/>
  <c r="AC329"/>
  <c r="AA235"/>
  <c r="AC235"/>
  <c r="AA223"/>
  <c r="AC223"/>
  <c r="AA168"/>
  <c r="AC168"/>
  <c r="AA113"/>
  <c r="AC113"/>
  <c r="AC18"/>
  <c r="AA18"/>
  <c r="AB194"/>
  <c r="AB6"/>
  <c r="AB494"/>
  <c r="AB830"/>
  <c r="AB53"/>
  <c r="AB197"/>
  <c r="AB7"/>
  <c r="AB151"/>
  <c r="AB319"/>
  <c r="AB586"/>
  <c r="AB108"/>
  <c r="AB576"/>
  <c r="AB756"/>
  <c r="AC275"/>
  <c r="AC563"/>
  <c r="AC707"/>
  <c r="AC851"/>
  <c r="AB749"/>
  <c r="AC13"/>
  <c r="AC157"/>
  <c r="AB318"/>
  <c r="AB462"/>
  <c r="AB547"/>
  <c r="AC399"/>
  <c r="AB116"/>
  <c r="AC136"/>
  <c r="AB876"/>
  <c r="AB640"/>
  <c r="AB820"/>
  <c r="AC504"/>
  <c r="AA237"/>
  <c r="AA417"/>
  <c r="AA633"/>
  <c r="AC602"/>
  <c r="AC782"/>
  <c r="AB860"/>
  <c r="AC532"/>
  <c r="AA756"/>
  <c r="AC176"/>
  <c r="AA874"/>
  <c r="AC126"/>
  <c r="AA830"/>
  <c r="AC751"/>
  <c r="AC165"/>
  <c r="AC573"/>
  <c r="AA210"/>
  <c r="AA127"/>
  <c r="AA181"/>
  <c r="AA769"/>
  <c r="AA380"/>
  <c r="AA469"/>
  <c r="AR469" s="1"/>
  <c r="AS469" s="1"/>
  <c r="AA778"/>
  <c r="AC778"/>
  <c r="AC765"/>
  <c r="AB765"/>
  <c r="AA765"/>
  <c r="AC737"/>
  <c r="AA737"/>
  <c r="AB724"/>
  <c r="AA724"/>
  <c r="AA656"/>
  <c r="AC656"/>
  <c r="AA642"/>
  <c r="AC642"/>
  <c r="AC588"/>
  <c r="AA588"/>
  <c r="AB493"/>
  <c r="AA493"/>
  <c r="AC493"/>
  <c r="AA466"/>
  <c r="AC466"/>
  <c r="AB466"/>
  <c r="AC452"/>
  <c r="AA452"/>
  <c r="AC438"/>
  <c r="AA438"/>
  <c r="AA425"/>
  <c r="AC425"/>
  <c r="AA342"/>
  <c r="AC342"/>
  <c r="AA328"/>
  <c r="AB328"/>
  <c r="AC288"/>
  <c r="AA288"/>
  <c r="AB261"/>
  <c r="AC261"/>
  <c r="AC222"/>
  <c r="AA222"/>
  <c r="AA153"/>
  <c r="AC153"/>
  <c r="AA43"/>
  <c r="AC43"/>
  <c r="AA17"/>
  <c r="AC17"/>
  <c r="AB165"/>
  <c r="AB190"/>
  <c r="AB13"/>
  <c r="AB205"/>
  <c r="AB218"/>
  <c r="AB18"/>
  <c r="AB674"/>
  <c r="AB123"/>
  <c r="AB209"/>
  <c r="AB353"/>
  <c r="AB331"/>
  <c r="AB742"/>
  <c r="AB588"/>
  <c r="AB291"/>
  <c r="AB435"/>
  <c r="AB879"/>
  <c r="AC143"/>
  <c r="AC431"/>
  <c r="AC169"/>
  <c r="AB415"/>
  <c r="AB559"/>
  <c r="AC123"/>
  <c r="AC411"/>
  <c r="AB128"/>
  <c r="AC4"/>
  <c r="AC292"/>
  <c r="AB112"/>
  <c r="AB832"/>
  <c r="AA69"/>
  <c r="AA249"/>
  <c r="AA429"/>
  <c r="AC434"/>
  <c r="AC724"/>
  <c r="AC449"/>
  <c r="AA242"/>
  <c r="AA151"/>
  <c r="AE884"/>
  <c r="AE885"/>
  <c r="AF2"/>
  <c r="AF46"/>
  <c r="AE883"/>
  <c r="AN308"/>
  <c r="AO717"/>
  <c r="AO396"/>
  <c r="AO687"/>
  <c r="AO483"/>
  <c r="AM122"/>
  <c r="AN208"/>
  <c r="AO756"/>
  <c r="AN516"/>
  <c r="AN233"/>
  <c r="AM105"/>
  <c r="AO56"/>
  <c r="AM252"/>
  <c r="AO363"/>
  <c r="AO256"/>
  <c r="AN232"/>
  <c r="AN96"/>
  <c r="AM697"/>
  <c r="AO430"/>
  <c r="AO358"/>
  <c r="AM300"/>
  <c r="AL257"/>
  <c r="AL301"/>
  <c r="AO172"/>
  <c r="AO540"/>
  <c r="AO871"/>
  <c r="AN545"/>
  <c r="AN779"/>
  <c r="AO71"/>
  <c r="AM769"/>
  <c r="AM731"/>
  <c r="AM637"/>
  <c r="AN50"/>
  <c r="AO700"/>
  <c r="AO208"/>
  <c r="AO679"/>
  <c r="AM408"/>
  <c r="AN820"/>
  <c r="AM844"/>
  <c r="AN144"/>
  <c r="AM486"/>
  <c r="AN709"/>
  <c r="AN533"/>
  <c r="AO212"/>
  <c r="AM317"/>
  <c r="AO694"/>
  <c r="AO523"/>
  <c r="AM69"/>
  <c r="AM137"/>
  <c r="AO371"/>
  <c r="AO769"/>
  <c r="AO878"/>
  <c r="AN152"/>
  <c r="AM74"/>
  <c r="AL437"/>
  <c r="AM440"/>
  <c r="AO753"/>
  <c r="AO145"/>
  <c r="AO67"/>
  <c r="AO816"/>
  <c r="AN386"/>
  <c r="AN181"/>
  <c r="AM211"/>
  <c r="AN880"/>
  <c r="AN324"/>
  <c r="AN239"/>
  <c r="AO622"/>
  <c r="AN522"/>
  <c r="AO64"/>
  <c r="AO443"/>
  <c r="AM259"/>
  <c r="AO467"/>
  <c r="AM28"/>
  <c r="AM5"/>
  <c r="AN753"/>
  <c r="AM364"/>
  <c r="AO696"/>
  <c r="AN660"/>
  <c r="AO600"/>
  <c r="AN408"/>
  <c r="AN247"/>
  <c r="AM702"/>
  <c r="AM578"/>
  <c r="AM729"/>
  <c r="AM139"/>
  <c r="AL472"/>
  <c r="AN163"/>
  <c r="AM292"/>
  <c r="AO128"/>
  <c r="AO588"/>
  <c r="AO631"/>
  <c r="AO259"/>
  <c r="AM168"/>
  <c r="AM189"/>
  <c r="AO866"/>
  <c r="AN699"/>
  <c r="AN65"/>
  <c r="AN747"/>
  <c r="AO230"/>
  <c r="AO382"/>
  <c r="AO606"/>
  <c r="AO100"/>
  <c r="AO749"/>
  <c r="AO316"/>
  <c r="AM242"/>
  <c r="AO469"/>
  <c r="AN635"/>
  <c r="AN373"/>
  <c r="AO341"/>
  <c r="AO814"/>
  <c r="AO299"/>
  <c r="AO604"/>
  <c r="AM43"/>
  <c r="AM513"/>
  <c r="AN654"/>
  <c r="AM429"/>
  <c r="AM44"/>
  <c r="AO595"/>
  <c r="AO18"/>
  <c r="AO12"/>
  <c r="AO851"/>
  <c r="AO726"/>
  <c r="AM100"/>
  <c r="AO179"/>
  <c r="AN756"/>
  <c r="AM247"/>
  <c r="AN475"/>
  <c r="AO14"/>
  <c r="AO263"/>
  <c r="AO626"/>
  <c r="AN218"/>
  <c r="AO108"/>
  <c r="AM629"/>
  <c r="AM248"/>
  <c r="AM85"/>
  <c r="AO37"/>
  <c r="AO674"/>
  <c r="AN130"/>
  <c r="AL560"/>
  <c r="AO724"/>
  <c r="AO392"/>
  <c r="AO215"/>
  <c r="AO608"/>
  <c r="AO723"/>
  <c r="AO355"/>
  <c r="AN636"/>
  <c r="AO269"/>
  <c r="AO218"/>
  <c r="AN816"/>
  <c r="AO248"/>
  <c r="AO85"/>
  <c r="AO485"/>
  <c r="AO477"/>
  <c r="AO264"/>
  <c r="AN711"/>
  <c r="AN469"/>
  <c r="AN300"/>
  <c r="AN825"/>
  <c r="AM114"/>
  <c r="AO502"/>
  <c r="AM816"/>
  <c r="AO168"/>
  <c r="AO361"/>
  <c r="AM699"/>
  <c r="AO537"/>
  <c r="AO666"/>
  <c r="AO648"/>
  <c r="AO522"/>
  <c r="AO713"/>
  <c r="AO394"/>
  <c r="AO395"/>
  <c r="AM497"/>
  <c r="AO422"/>
  <c r="AO664"/>
  <c r="AO68"/>
  <c r="AM806"/>
  <c r="AM658"/>
  <c r="AN470"/>
  <c r="AM604"/>
  <c r="AN292"/>
  <c r="AM835"/>
  <c r="AN634"/>
  <c r="AN642"/>
  <c r="AN36"/>
  <c r="AM740"/>
  <c r="AM312"/>
  <c r="AM33"/>
  <c r="AL638"/>
  <c r="AM332"/>
  <c r="AO516"/>
  <c r="AO844"/>
  <c r="AO809"/>
  <c r="AM814"/>
  <c r="AM240"/>
  <c r="AO25"/>
  <c r="AO579"/>
  <c r="AN626"/>
  <c r="AN722"/>
  <c r="AN393"/>
  <c r="AN155"/>
  <c r="AN773"/>
  <c r="AO548"/>
  <c r="AN26"/>
  <c r="AO219"/>
  <c r="AM746"/>
  <c r="AO584"/>
  <c r="AO117"/>
  <c r="AO293"/>
  <c r="AN271"/>
  <c r="AO745"/>
  <c r="AO520"/>
  <c r="AO686"/>
  <c r="AN81"/>
  <c r="AN72"/>
  <c r="AO10"/>
  <c r="AN836"/>
  <c r="AM387"/>
  <c r="AN399"/>
  <c r="AN306"/>
  <c r="AN446"/>
  <c r="AN507"/>
  <c r="AM651"/>
  <c r="AM131"/>
  <c r="AM86"/>
  <c r="AN90"/>
  <c r="AN532"/>
  <c r="AM544"/>
  <c r="AM688"/>
  <c r="AL66"/>
  <c r="AO852"/>
  <c r="AO312"/>
  <c r="AN448"/>
  <c r="AO120"/>
  <c r="AN795"/>
  <c r="AN732"/>
  <c r="AM556"/>
  <c r="AN476"/>
  <c r="AO545"/>
  <c r="AO738"/>
  <c r="AN37"/>
  <c r="AN612"/>
  <c r="AO610"/>
  <c r="AO370"/>
  <c r="AN483"/>
  <c r="AO762"/>
  <c r="AO188"/>
  <c r="AN158"/>
  <c r="AO636"/>
  <c r="AO570"/>
  <c r="AO138"/>
  <c r="AN353"/>
  <c r="AO123"/>
  <c r="AM683"/>
  <c r="AO304"/>
  <c r="AM107"/>
  <c r="AN252"/>
  <c r="AM860"/>
  <c r="AM715"/>
  <c r="AM215"/>
  <c r="AN441"/>
  <c r="AM859"/>
  <c r="AM239"/>
  <c r="AN40"/>
  <c r="AM422"/>
  <c r="AM261"/>
  <c r="AM569"/>
  <c r="AN489"/>
  <c r="AM245"/>
  <c r="AN137"/>
  <c r="AO161"/>
  <c r="AM534"/>
  <c r="AO872"/>
  <c r="AO26"/>
  <c r="AN299"/>
  <c r="AO767"/>
  <c r="AL177"/>
  <c r="AN604"/>
  <c r="AO615"/>
  <c r="AO278"/>
  <c r="AM520"/>
  <c r="AN219"/>
  <c r="AM160"/>
  <c r="AN808"/>
  <c r="AN478"/>
  <c r="AN227"/>
  <c r="AM710"/>
  <c r="AO813"/>
  <c r="AO490"/>
  <c r="AN629"/>
  <c r="AN21"/>
  <c r="AM492"/>
  <c r="AO9"/>
  <c r="AO297"/>
  <c r="AM762"/>
  <c r="AO659"/>
  <c r="AM450"/>
  <c r="AM689"/>
  <c r="AO89"/>
  <c r="AM453"/>
  <c r="AO829"/>
  <c r="AN674"/>
  <c r="AM56"/>
  <c r="AO432"/>
  <c r="AN731"/>
  <c r="AM63"/>
  <c r="AO357"/>
  <c r="AN743"/>
  <c r="AM57"/>
  <c r="AN194"/>
  <c r="AN785"/>
  <c r="AM709"/>
  <c r="AN513"/>
  <c r="AN562"/>
  <c r="AM406"/>
  <c r="AN129"/>
  <c r="AN241"/>
  <c r="AN520"/>
  <c r="AM394"/>
  <c r="AO5"/>
  <c r="AN630"/>
  <c r="AN878"/>
  <c r="AO60"/>
  <c r="AO785"/>
  <c r="AN471"/>
  <c r="AO81"/>
  <c r="AO247"/>
  <c r="AO702"/>
  <c r="AO650"/>
  <c r="AO574"/>
  <c r="AO505"/>
  <c r="AO52"/>
  <c r="AM846"/>
  <c r="AN535"/>
  <c r="AO315"/>
  <c r="AO402"/>
  <c r="AO365"/>
  <c r="AM401"/>
  <c r="AO590"/>
  <c r="AM296"/>
  <c r="AN31"/>
  <c r="AM249"/>
  <c r="AM671"/>
  <c r="AM558"/>
  <c r="AO27"/>
  <c r="AN49"/>
  <c r="AM357"/>
  <c r="AN401"/>
  <c r="AO776"/>
  <c r="AN98"/>
  <c r="AM852"/>
  <c r="AM636"/>
  <c r="AM398"/>
  <c r="AN418"/>
  <c r="AN859"/>
  <c r="AL144"/>
  <c r="AL371"/>
  <c r="AL830"/>
  <c r="AL593"/>
  <c r="AL315"/>
  <c r="AL389"/>
  <c r="AL372"/>
  <c r="AL398"/>
  <c r="AL617"/>
  <c r="AL679"/>
  <c r="AL845"/>
  <c r="AL6"/>
  <c r="AL863"/>
  <c r="AL623"/>
  <c r="AL821"/>
  <c r="AL106"/>
  <c r="AL595"/>
  <c r="AL278"/>
  <c r="AL477"/>
  <c r="AL709"/>
  <c r="AL584"/>
  <c r="AL329"/>
  <c r="AL494"/>
  <c r="AL274"/>
  <c r="AL625"/>
  <c r="AL856"/>
  <c r="AL552"/>
  <c r="AL658"/>
  <c r="AL25"/>
  <c r="AL809"/>
  <c r="AL719"/>
  <c r="AO356"/>
  <c r="AM135"/>
  <c r="AM365"/>
  <c r="AN432"/>
  <c r="AN396"/>
  <c r="AO433"/>
  <c r="AO213"/>
  <c r="AM262"/>
  <c r="AM447"/>
  <c r="AN692"/>
  <c r="AO739"/>
  <c r="AO746"/>
  <c r="AM298"/>
  <c r="AO290"/>
  <c r="AM233"/>
  <c r="AO736"/>
  <c r="AO556"/>
  <c r="AO697"/>
  <c r="AO759"/>
  <c r="AO637"/>
  <c r="AO425"/>
  <c r="AM507"/>
  <c r="AO592"/>
  <c r="AN381"/>
  <c r="AO235"/>
  <c r="AN131"/>
  <c r="AN361"/>
  <c r="AN616"/>
  <c r="AM744"/>
  <c r="AN584"/>
  <c r="AN213"/>
  <c r="AM237"/>
  <c r="AN590"/>
  <c r="AN249"/>
  <c r="AN786"/>
  <c r="AN598"/>
  <c r="AN651"/>
  <c r="AN738"/>
  <c r="AO319"/>
  <c r="AN548"/>
  <c r="AM716"/>
  <c r="AO732"/>
  <c r="AO377"/>
  <c r="AO563"/>
  <c r="AO76"/>
  <c r="AO506"/>
  <c r="AM98"/>
  <c r="AO729"/>
  <c r="AN787"/>
  <c r="AO268"/>
  <c r="AM219"/>
  <c r="AO227"/>
  <c r="AO470"/>
  <c r="AM284"/>
  <c r="AO399"/>
  <c r="AM71"/>
  <c r="AO7"/>
  <c r="AM598"/>
  <c r="AO572"/>
  <c r="AM167"/>
  <c r="AN556"/>
  <c r="AM26"/>
  <c r="AO492"/>
  <c r="AO336"/>
  <c r="AN180"/>
  <c r="AO267"/>
  <c r="AO602"/>
  <c r="AM366"/>
  <c r="AO93"/>
  <c r="AN153"/>
  <c r="AO552"/>
  <c r="AO62"/>
  <c r="AN267"/>
  <c r="AM648"/>
  <c r="AM268"/>
  <c r="AN466"/>
  <c r="AN551"/>
  <c r="AN279"/>
  <c r="AL388"/>
  <c r="AL180"/>
  <c r="AL316"/>
  <c r="AO764"/>
  <c r="AO28"/>
  <c r="AM802"/>
  <c r="AN382"/>
  <c r="AN320"/>
  <c r="AM82"/>
  <c r="AO109"/>
  <c r="AO452"/>
  <c r="AM829"/>
  <c r="AO391"/>
  <c r="AM414"/>
  <c r="AO672"/>
  <c r="AN319"/>
  <c r="AO21"/>
  <c r="AO20"/>
  <c r="AO154"/>
  <c r="AO744"/>
  <c r="AM256"/>
  <c r="AM270"/>
  <c r="AM241"/>
  <c r="AM551"/>
  <c r="AM150"/>
  <c r="AM112"/>
  <c r="AM649"/>
  <c r="AN633"/>
  <c r="AN9"/>
  <c r="AN454"/>
  <c r="AN468"/>
  <c r="AN274"/>
  <c r="AM358"/>
  <c r="AN813"/>
  <c r="AM413"/>
  <c r="AO114"/>
  <c r="AN536"/>
  <c r="AO877"/>
  <c r="AM647"/>
  <c r="AO611"/>
  <c r="AO205"/>
  <c r="AO72"/>
  <c r="AM631"/>
  <c r="AM362"/>
  <c r="AO295"/>
  <c r="AM372"/>
  <c r="AO226"/>
  <c r="AN325"/>
  <c r="AN749"/>
  <c r="AO587"/>
  <c r="AO244"/>
  <c r="AO782"/>
  <c r="AO375"/>
  <c r="AO673"/>
  <c r="AO586"/>
  <c r="AN736"/>
  <c r="AM871"/>
  <c r="AO718"/>
  <c r="AO681"/>
  <c r="AM161"/>
  <c r="AM197"/>
  <c r="AO594"/>
  <c r="AM750"/>
  <c r="AN425"/>
  <c r="AM471"/>
  <c r="AO261"/>
  <c r="AN494"/>
  <c r="AN193"/>
  <c r="AM549"/>
  <c r="AM77"/>
  <c r="AM120"/>
  <c r="AN782"/>
  <c r="AN682"/>
  <c r="AM216"/>
  <c r="AN217"/>
  <c r="AM50"/>
  <c r="AM306"/>
  <c r="AN277"/>
  <c r="AL270"/>
  <c r="AL414"/>
  <c r="AL666"/>
  <c r="AL41"/>
  <c r="AL52"/>
  <c r="AL435"/>
  <c r="AL508"/>
  <c r="AL850"/>
  <c r="AL786"/>
  <c r="AL75"/>
  <c r="AL724"/>
  <c r="AL580"/>
  <c r="AL90"/>
  <c r="AL570"/>
  <c r="AL485"/>
  <c r="AL84"/>
  <c r="AL249"/>
  <c r="AL32"/>
  <c r="AL814"/>
  <c r="AL204"/>
  <c r="AL807"/>
  <c r="AO528"/>
  <c r="AM625"/>
  <c r="AN428"/>
  <c r="AM745"/>
  <c r="AM643"/>
  <c r="AO40"/>
  <c r="AO625"/>
  <c r="AM208"/>
  <c r="AN527"/>
  <c r="AM224"/>
  <c r="AO842"/>
  <c r="AO421"/>
  <c r="AO75"/>
  <c r="AN248"/>
  <c r="AO360"/>
  <c r="AO534"/>
  <c r="AO527"/>
  <c r="AO715"/>
  <c r="AO232"/>
  <c r="AM198"/>
  <c r="AN435"/>
  <c r="AN440"/>
  <c r="AM617"/>
  <c r="AM823"/>
  <c r="AN856"/>
  <c r="AM178"/>
  <c r="AM379"/>
  <c r="AN843"/>
  <c r="AM830"/>
  <c r="AM533"/>
  <c r="AO311"/>
  <c r="AM664"/>
  <c r="AM640"/>
  <c r="AN686"/>
  <c r="AN879"/>
  <c r="AN231"/>
  <c r="AO476"/>
  <c r="AN109"/>
  <c r="AO276"/>
  <c r="AO197"/>
  <c r="AM442"/>
  <c r="AO105"/>
  <c r="AO740"/>
  <c r="AN80"/>
  <c r="AO491"/>
  <c r="AO449"/>
  <c r="AO628"/>
  <c r="AN406"/>
  <c r="AO454"/>
  <c r="AO33"/>
  <c r="AO82"/>
  <c r="AN807"/>
  <c r="AM579"/>
  <c r="AO147"/>
  <c r="AO806"/>
  <c r="AM665"/>
  <c r="AN765"/>
  <c r="AO580"/>
  <c r="AN853"/>
  <c r="AM872"/>
  <c r="AO346"/>
  <c r="AO142"/>
  <c r="AM622"/>
  <c r="AM123"/>
  <c r="AN585"/>
  <c r="AN415"/>
  <c r="AM130"/>
  <c r="AN514"/>
  <c r="AN18"/>
  <c r="AM464"/>
  <c r="AM165"/>
  <c r="AL261"/>
  <c r="AL143"/>
  <c r="AL461"/>
  <c r="AL533"/>
  <c r="AL536"/>
  <c r="AL37"/>
  <c r="AL428"/>
  <c r="AL697"/>
  <c r="AL753"/>
  <c r="AL744"/>
  <c r="AL120"/>
  <c r="AL71"/>
  <c r="AL616"/>
  <c r="AL373"/>
  <c r="AL296"/>
  <c r="AL377"/>
  <c r="AL269"/>
  <c r="AO282"/>
  <c r="AO881"/>
  <c r="AO334"/>
  <c r="AO864"/>
  <c r="AO173"/>
  <c r="AM779"/>
  <c r="AO817"/>
  <c r="AO703"/>
  <c r="AO519"/>
  <c r="AO310"/>
  <c r="AO362"/>
  <c r="AO135"/>
  <c r="AO564"/>
  <c r="AN151"/>
  <c r="AM672"/>
  <c r="AO820"/>
  <c r="AL399"/>
  <c r="AM329"/>
  <c r="AM113"/>
  <c r="AO46"/>
  <c r="AN315"/>
  <c r="AO788"/>
  <c r="AO436"/>
  <c r="AO536"/>
  <c r="AO489"/>
  <c r="AN7"/>
  <c r="AN237"/>
  <c r="AN216"/>
  <c r="AO509"/>
  <c r="AM767"/>
  <c r="AN97"/>
  <c r="AN166"/>
  <c r="AM760"/>
  <c r="AM420"/>
  <c r="AM641"/>
  <c r="AM279"/>
  <c r="AM36"/>
  <c r="AM821"/>
  <c r="AN334"/>
  <c r="AM145"/>
  <c r="AM25"/>
  <c r="AM200"/>
  <c r="AM838"/>
  <c r="AM700"/>
  <c r="AN354"/>
  <c r="AN735"/>
  <c r="AN73"/>
  <c r="AN212"/>
  <c r="AN508"/>
  <c r="AM41"/>
  <c r="AN17"/>
  <c r="AM742"/>
  <c r="AN659"/>
  <c r="AM452"/>
  <c r="AN529"/>
  <c r="AO750"/>
  <c r="AN108"/>
  <c r="AO428"/>
  <c r="AM304"/>
  <c r="AO53"/>
  <c r="AN6"/>
  <c r="AN829"/>
  <c r="AN356"/>
  <c r="AN698"/>
  <c r="AO508"/>
  <c r="AN571"/>
  <c r="AN128"/>
  <c r="AN264"/>
  <c r="AM728"/>
  <c r="AM825"/>
  <c r="AN429"/>
  <c r="AM592"/>
  <c r="AM509"/>
  <c r="AN611"/>
  <c r="AN759"/>
  <c r="AN505"/>
  <c r="AM616"/>
  <c r="AM615"/>
  <c r="AO447"/>
  <c r="AN831"/>
  <c r="AM478"/>
  <c r="AM483"/>
  <c r="AO675"/>
  <c r="AO735"/>
  <c r="AO779"/>
  <c r="AO249"/>
  <c r="AM42"/>
  <c r="AO730"/>
  <c r="AM402"/>
  <c r="AM149"/>
  <c r="AO407"/>
  <c r="AO562"/>
  <c r="AO754"/>
  <c r="AM786"/>
  <c r="AO217"/>
  <c r="AM785"/>
  <c r="AO644"/>
  <c r="AN780"/>
  <c r="AM701"/>
  <c r="AN822"/>
  <c r="AN426"/>
  <c r="AN189"/>
  <c r="AM204"/>
  <c r="AM654"/>
  <c r="AM31"/>
  <c r="AO158"/>
  <c r="AM159"/>
  <c r="AO701"/>
  <c r="AM866"/>
  <c r="AO667"/>
  <c r="AO271"/>
  <c r="AM778"/>
  <c r="AO721"/>
  <c r="AN371"/>
  <c r="AN268"/>
  <c r="AO193"/>
  <c r="AO656"/>
  <c r="AO211"/>
  <c r="AO867"/>
  <c r="AN395"/>
  <c r="AO324"/>
  <c r="AO461"/>
  <c r="AO711"/>
  <c r="AO612"/>
  <c r="AM439"/>
  <c r="AN772"/>
  <c r="AN14"/>
  <c r="AN524"/>
  <c r="AN335"/>
  <c r="AN198"/>
  <c r="AN283"/>
  <c r="AM515"/>
  <c r="AM75"/>
  <c r="AO414"/>
  <c r="AN650"/>
  <c r="AM659"/>
  <c r="AN263"/>
  <c r="AM607"/>
  <c r="AM407"/>
  <c r="AM682"/>
  <c r="AO73"/>
  <c r="AM519"/>
  <c r="AN375"/>
  <c r="AO765"/>
  <c r="AN305"/>
  <c r="AO448"/>
  <c r="AO479"/>
  <c r="AO237"/>
  <c r="AM634"/>
  <c r="AO176"/>
  <c r="AN718"/>
  <c r="AO478"/>
  <c r="AO92"/>
  <c r="AM59"/>
  <c r="AM512"/>
  <c r="AO582"/>
  <c r="AN459"/>
  <c r="AN253"/>
  <c r="AM60"/>
  <c r="AO471"/>
  <c r="AO342"/>
  <c r="AM449"/>
  <c r="AN298"/>
  <c r="AN456"/>
  <c r="AO559"/>
  <c r="AM490"/>
  <c r="AN491"/>
  <c r="AN340"/>
  <c r="AO83"/>
  <c r="AN873"/>
  <c r="AL175"/>
  <c r="AL674"/>
  <c r="AL463"/>
  <c r="AL427"/>
  <c r="AL421"/>
  <c r="AL649"/>
  <c r="AL137"/>
  <c r="AL198"/>
  <c r="AL866"/>
  <c r="AL355"/>
  <c r="AL159"/>
  <c r="AL538"/>
  <c r="AL291"/>
  <c r="AL341"/>
  <c r="AL63"/>
  <c r="AL521"/>
  <c r="AL459"/>
  <c r="AL231"/>
  <c r="AL76"/>
  <c r="AL762"/>
  <c r="AL695"/>
  <c r="AL540"/>
  <c r="AL703"/>
  <c r="AL128"/>
  <c r="AL571"/>
  <c r="AL479"/>
  <c r="AL574"/>
  <c r="AL307"/>
  <c r="AL188"/>
  <c r="AL471"/>
  <c r="AL77"/>
  <c r="AL780"/>
  <c r="AL768"/>
  <c r="AL643"/>
  <c r="AL382"/>
  <c r="AL181"/>
  <c r="AM527"/>
  <c r="AM611"/>
  <c r="AN83"/>
  <c r="AL166"/>
  <c r="AN200"/>
  <c r="AN680"/>
  <c r="AN178"/>
  <c r="AN400"/>
  <c r="AL395"/>
  <c r="AM660"/>
  <c r="AM6"/>
  <c r="AN656"/>
  <c r="AO406"/>
  <c r="AM386"/>
  <c r="AO50"/>
  <c r="AO475"/>
  <c r="AM356"/>
  <c r="AM392"/>
  <c r="AM571"/>
  <c r="AN729"/>
  <c r="AM856"/>
  <c r="AM419"/>
  <c r="AN106"/>
  <c r="AM269"/>
  <c r="AN363"/>
  <c r="AM656"/>
  <c r="AM874"/>
  <c r="AO873"/>
  <c r="AO557"/>
  <c r="AM179"/>
  <c r="AM808"/>
  <c r="AO680"/>
  <c r="AM266"/>
  <c r="AM642"/>
  <c r="AO190"/>
  <c r="AO187"/>
  <c r="AO97"/>
  <c r="AM754"/>
  <c r="AN132"/>
  <c r="AM162"/>
  <c r="AN586"/>
  <c r="AM562"/>
  <c r="AM166"/>
  <c r="AL513"/>
  <c r="AL335"/>
  <c r="AL386"/>
  <c r="AL516"/>
  <c r="AL871"/>
  <c r="AL586"/>
  <c r="AL715"/>
  <c r="AL234"/>
  <c r="AL594"/>
  <c r="AL737"/>
  <c r="AL652"/>
  <c r="AL529"/>
  <c r="AN146"/>
  <c r="AO874"/>
  <c r="AM666"/>
  <c r="AM348"/>
  <c r="AN421"/>
  <c r="AO34"/>
  <c r="AO386"/>
  <c r="AM313"/>
  <c r="AO514"/>
  <c r="AM499"/>
  <c r="AO159"/>
  <c r="AO366"/>
  <c r="AO303"/>
  <c r="AM878"/>
  <c r="AN766"/>
  <c r="AM290"/>
  <c r="AN307"/>
  <c r="AM626"/>
  <c r="AM195"/>
  <c r="AM403"/>
  <c r="AM564"/>
  <c r="AO143"/>
  <c r="AN311"/>
  <c r="AN61"/>
  <c r="AN664"/>
  <c r="AO616"/>
  <c r="AN681"/>
  <c r="AN93"/>
  <c r="AM736"/>
  <c r="AN750"/>
  <c r="AO446"/>
  <c r="AO613"/>
  <c r="AO635"/>
  <c r="AO298"/>
  <c r="AN139"/>
  <c r="AO48"/>
  <c r="AM795"/>
  <c r="AO521"/>
  <c r="AN594"/>
  <c r="AO815"/>
  <c r="AO419"/>
  <c r="AN242"/>
  <c r="AO353"/>
  <c r="AM191"/>
  <c r="AO111"/>
  <c r="AN55"/>
  <c r="AO183"/>
  <c r="AN398"/>
  <c r="AO400"/>
  <c r="AO207"/>
  <c r="AN115"/>
  <c r="AM766"/>
  <c r="AM400"/>
  <c r="AO284"/>
  <c r="AN224"/>
  <c r="AO41"/>
  <c r="AM393"/>
  <c r="AN225"/>
  <c r="AL523"/>
  <c r="AL418"/>
  <c r="AL699"/>
  <c r="AL522"/>
  <c r="AL656"/>
  <c r="AL725"/>
  <c r="AL436"/>
  <c r="AL72"/>
  <c r="AL224"/>
  <c r="AL447"/>
  <c r="AL193"/>
  <c r="AL852"/>
  <c r="AL158"/>
  <c r="AL563"/>
  <c r="AL28"/>
  <c r="AL844"/>
  <c r="AL207"/>
  <c r="AL343"/>
  <c r="AL483"/>
  <c r="AL81"/>
  <c r="AL365"/>
  <c r="AL870"/>
  <c r="AM502"/>
  <c r="AM753"/>
  <c r="AN617"/>
  <c r="AM686"/>
  <c r="AM732"/>
  <c r="AM747"/>
  <c r="AN509"/>
  <c r="AM792"/>
  <c r="AM61"/>
  <c r="AN204"/>
  <c r="AN333"/>
  <c r="AM205"/>
  <c r="AO182"/>
  <c r="AM488"/>
  <c r="AN644"/>
  <c r="AM469"/>
  <c r="AO879"/>
  <c r="AM190"/>
  <c r="AN413"/>
  <c r="AM523"/>
  <c r="AM152"/>
  <c r="AO180"/>
  <c r="AO668"/>
  <c r="AM690"/>
  <c r="AM501"/>
  <c r="AN332"/>
  <c r="AO155"/>
  <c r="AN76"/>
  <c r="AM459"/>
  <c r="AM415"/>
  <c r="AM124"/>
  <c r="AO426"/>
  <c r="AN578"/>
  <c r="AO655"/>
  <c r="AO209"/>
  <c r="AN846"/>
  <c r="AO538"/>
  <c r="AM462"/>
  <c r="AM52"/>
  <c r="AL449"/>
  <c r="AL851"/>
  <c r="AL419"/>
  <c r="AL558"/>
  <c r="AL698"/>
  <c r="AL562"/>
  <c r="AL506"/>
  <c r="AL759"/>
  <c r="AL731"/>
  <c r="AL776"/>
  <c r="AL687"/>
  <c r="AL391"/>
  <c r="AL268"/>
  <c r="AO388"/>
  <c r="AO327"/>
  <c r="AM378"/>
  <c r="AO836"/>
  <c r="AO629"/>
  <c r="AO203"/>
  <c r="AO279"/>
  <c r="AN462"/>
  <c r="AN769"/>
  <c r="AO591"/>
  <c r="AO174"/>
  <c r="AO752"/>
  <c r="AN521"/>
  <c r="AN740"/>
  <c r="AM466"/>
  <c r="AM34"/>
  <c r="AN600"/>
  <c r="AN614"/>
  <c r="AN671"/>
  <c r="AN870"/>
  <c r="AN215"/>
  <c r="AO275"/>
  <c r="AO6"/>
  <c r="AM174"/>
  <c r="AM339"/>
  <c r="AO728"/>
  <c r="AO787"/>
  <c r="AO698"/>
  <c r="AO241"/>
  <c r="AM609"/>
  <c r="AM843"/>
  <c r="AO772"/>
  <c r="AO621"/>
  <c r="AO456"/>
  <c r="AO122"/>
  <c r="AM14"/>
  <c r="AN89"/>
  <c r="AO515"/>
  <c r="AO682"/>
  <c r="AM172"/>
  <c r="AN672"/>
  <c r="AO865"/>
  <c r="AM759"/>
  <c r="AN317"/>
  <c r="AO634"/>
  <c r="AN27"/>
  <c r="AM91"/>
  <c r="AO80"/>
  <c r="AN649"/>
  <c r="AN414"/>
  <c r="AO139"/>
  <c r="AN688"/>
  <c r="AO751"/>
  <c r="AM588"/>
  <c r="AM448"/>
  <c r="AM232"/>
  <c r="AL3"/>
  <c r="AL742"/>
  <c r="AL745"/>
  <c r="AL520"/>
  <c r="AL62"/>
  <c r="AL112"/>
  <c r="AL450"/>
  <c r="AL306"/>
  <c r="AL292"/>
  <c r="AL205"/>
  <c r="AL138"/>
  <c r="AL49"/>
  <c r="AL393"/>
  <c r="AL111"/>
  <c r="AL629"/>
  <c r="AL39"/>
  <c r="AL216"/>
  <c r="AL626"/>
  <c r="AL665"/>
  <c r="AL209"/>
  <c r="AL124"/>
  <c r="AL645"/>
  <c r="AL213"/>
  <c r="AL360"/>
  <c r="AL591"/>
  <c r="AL20"/>
  <c r="AM436"/>
  <c r="AL311"/>
  <c r="AM696"/>
  <c r="AN678"/>
  <c r="AM349"/>
  <c r="AM234"/>
  <c r="AN865"/>
  <c r="AM832"/>
  <c r="AO131"/>
  <c r="AO96"/>
  <c r="AM183"/>
  <c r="AM253"/>
  <c r="AN817"/>
  <c r="AM796"/>
  <c r="AN781"/>
  <c r="AM508"/>
  <c r="AO775"/>
  <c r="AO439"/>
  <c r="AO254"/>
  <c r="AO766"/>
  <c r="AN552"/>
  <c r="AM278"/>
  <c r="AO824"/>
  <c r="AO47"/>
  <c r="AN285"/>
  <c r="AM350"/>
  <c r="AM115"/>
  <c r="AM645"/>
  <c r="AN385"/>
  <c r="AM724"/>
  <c r="AN877"/>
  <c r="AL664"/>
  <c r="AL509"/>
  <c r="AL535"/>
  <c r="AL497"/>
  <c r="AL42"/>
  <c r="AL808"/>
  <c r="AL96"/>
  <c r="AL601"/>
  <c r="AL109"/>
  <c r="AL29"/>
  <c r="AL340"/>
  <c r="AL607"/>
  <c r="AL65"/>
  <c r="AM324"/>
  <c r="AO121"/>
  <c r="AO743"/>
  <c r="AM143"/>
  <c r="AO835"/>
  <c r="AO427"/>
  <c r="AO859"/>
  <c r="AO486"/>
  <c r="AN715"/>
  <c r="AO609"/>
  <c r="AO513"/>
  <c r="AO585"/>
  <c r="AO191"/>
  <c r="AN69"/>
  <c r="AO695"/>
  <c r="AO380"/>
  <c r="AM681"/>
  <c r="AM223"/>
  <c r="AM289"/>
  <c r="AN326"/>
  <c r="AM153"/>
  <c r="AN443"/>
  <c r="AO649"/>
  <c r="AO91"/>
  <c r="AO442"/>
  <c r="AM93"/>
  <c r="AO210"/>
  <c r="AO146"/>
  <c r="AN540"/>
  <c r="AM409"/>
  <c r="AN29"/>
  <c r="AL610"/>
  <c r="AN282"/>
  <c r="AN25"/>
  <c r="AM146"/>
  <c r="AM78"/>
  <c r="AN679"/>
  <c r="AN172"/>
  <c r="AM22"/>
  <c r="AM787"/>
  <c r="AN872"/>
  <c r="AM528"/>
  <c r="AM267"/>
  <c r="AM714"/>
  <c r="AN579"/>
  <c r="AN490"/>
  <c r="AN54"/>
  <c r="AN762"/>
  <c r="AO201"/>
  <c r="AN631"/>
  <c r="AO856"/>
  <c r="AM311"/>
  <c r="AO662"/>
  <c r="AO821"/>
  <c r="AO200"/>
  <c r="AO845"/>
  <c r="AO464"/>
  <c r="AN142"/>
  <c r="AN85"/>
  <c r="AN39"/>
  <c r="AO499"/>
  <c r="AO573"/>
  <c r="AO849"/>
  <c r="AM803"/>
  <c r="AN150"/>
  <c r="AM217"/>
  <c r="AN657"/>
  <c r="AN127"/>
  <c r="AM369"/>
  <c r="AO507"/>
  <c r="AN328"/>
  <c r="AO245"/>
  <c r="AO614"/>
  <c r="AO378"/>
  <c r="AO387"/>
  <c r="AN183"/>
  <c r="AM828"/>
  <c r="AM19"/>
  <c r="AN541"/>
  <c r="AM853"/>
  <c r="AM780"/>
  <c r="AN409"/>
  <c r="AM29"/>
  <c r="AN610"/>
  <c r="AN420"/>
  <c r="AM282"/>
  <c r="AM679"/>
  <c r="AM117"/>
  <c r="AN515"/>
  <c r="AN348"/>
  <c r="AN226"/>
  <c r="AN207"/>
  <c r="AN710"/>
  <c r="AN422"/>
  <c r="AM354"/>
  <c r="AN303"/>
  <c r="AM27"/>
  <c r="AN238"/>
  <c r="AN244"/>
  <c r="AN346"/>
  <c r="AM151"/>
  <c r="AN342"/>
  <c r="AN43"/>
  <c r="AM552"/>
  <c r="AO535"/>
  <c r="AN771"/>
  <c r="AM619"/>
  <c r="AO408"/>
  <c r="AM325"/>
  <c r="AO405"/>
  <c r="AO101"/>
  <c r="AO86"/>
  <c r="AM180"/>
  <c r="AO453"/>
  <c r="AO36"/>
  <c r="AO136"/>
  <c r="AO786"/>
  <c r="AN71"/>
  <c r="AO651"/>
  <c r="AO533"/>
  <c r="AO808"/>
  <c r="AO194"/>
  <c r="AM291"/>
  <c r="AM277"/>
  <c r="AN174"/>
  <c r="AM535"/>
  <c r="AN284"/>
  <c r="AN339"/>
  <c r="AN389"/>
  <c r="AO57"/>
  <c r="AN370"/>
  <c r="AO350"/>
  <c r="AM62"/>
  <c r="AO43"/>
  <c r="AM764"/>
  <c r="AO578"/>
  <c r="AM620"/>
  <c r="AO113"/>
  <c r="AM824"/>
  <c r="AO429"/>
  <c r="AN10"/>
  <c r="AO98"/>
  <c r="AO773"/>
  <c r="AO77"/>
  <c r="AO710"/>
  <c r="AO321"/>
  <c r="AM336"/>
  <c r="AO641"/>
  <c r="AM182"/>
  <c r="AN501"/>
  <c r="AN343"/>
  <c r="AM254"/>
  <c r="AM342"/>
  <c r="AO178"/>
  <c r="AM32"/>
  <c r="AM581"/>
  <c r="AN675"/>
  <c r="AN165"/>
  <c r="AM68"/>
  <c r="AM542"/>
  <c r="AM586"/>
  <c r="AM79"/>
  <c r="AM500"/>
  <c r="AO652"/>
  <c r="AM187"/>
  <c r="AL275"/>
  <c r="AL728"/>
  <c r="AL254"/>
  <c r="AL232"/>
  <c r="AL582"/>
  <c r="AL10"/>
  <c r="AL634"/>
  <c r="AL526"/>
  <c r="AL486"/>
  <c r="AL255"/>
  <c r="AL363"/>
  <c r="AL592"/>
  <c r="AL708"/>
  <c r="AL135"/>
  <c r="AL564"/>
  <c r="AL217"/>
  <c r="AL215"/>
  <c r="AL810"/>
  <c r="AL48"/>
  <c r="AL99"/>
  <c r="AL468"/>
  <c r="AL433"/>
  <c r="AL761"/>
  <c r="AL123"/>
  <c r="AL36"/>
  <c r="AL734"/>
  <c r="AL12"/>
  <c r="AL248"/>
  <c r="AL339"/>
  <c r="AL93"/>
  <c r="AN123"/>
  <c r="AO493"/>
  <c r="AM286"/>
  <c r="AM498"/>
  <c r="AN694"/>
  <c r="AN832"/>
  <c r="AL369"/>
  <c r="AL197"/>
  <c r="AL690"/>
  <c r="AL104"/>
  <c r="AL349"/>
  <c r="AL202"/>
  <c r="AL764"/>
  <c r="AL858"/>
  <c r="AL241"/>
  <c r="AL27"/>
  <c r="AL785"/>
  <c r="AL608"/>
  <c r="AL796"/>
  <c r="AL146"/>
  <c r="AL122"/>
  <c r="AL195"/>
  <c r="AL530"/>
  <c r="AL326"/>
  <c r="AO372"/>
  <c r="AM194"/>
  <c r="AN419"/>
  <c r="AO678"/>
  <c r="AM360"/>
  <c r="AO403"/>
  <c r="AO488"/>
  <c r="AN767"/>
  <c r="AN815"/>
  <c r="AM428"/>
  <c r="AO760"/>
  <c r="AO627"/>
  <c r="AN191"/>
  <c r="AN101"/>
  <c r="AO233"/>
  <c r="AO620"/>
  <c r="AN63"/>
  <c r="AM108"/>
  <c r="AN824"/>
  <c r="AO84"/>
  <c r="AL678"/>
  <c r="AL152"/>
  <c r="AL817"/>
  <c r="AL321"/>
  <c r="AL424"/>
  <c r="AL336"/>
  <c r="AL806"/>
  <c r="AL396"/>
  <c r="AL78"/>
  <c r="AL660"/>
  <c r="AL64"/>
  <c r="AL657"/>
  <c r="AM418"/>
  <c r="AM782"/>
  <c r="AM170"/>
  <c r="AN433"/>
  <c r="AO326"/>
  <c r="AN304"/>
  <c r="AO577"/>
  <c r="AO758"/>
  <c r="AO630"/>
  <c r="AO793"/>
  <c r="AN135"/>
  <c r="AO307"/>
  <c r="AM181"/>
  <c r="AN79"/>
  <c r="AN291"/>
  <c r="AL9"/>
  <c r="AL347"/>
  <c r="AL622"/>
  <c r="AL18"/>
  <c r="AL736"/>
  <c r="AL457"/>
  <c r="AL765"/>
  <c r="AN358"/>
  <c r="AM382"/>
  <c r="AO462"/>
  <c r="AM548"/>
  <c r="AN544"/>
  <c r="AM572"/>
  <c r="AM230"/>
  <c r="AN107"/>
  <c r="AO69"/>
  <c r="AN620"/>
  <c r="AN341"/>
  <c r="AO850"/>
  <c r="AO733"/>
  <c r="AL569"/>
  <c r="AL606"/>
  <c r="AL537"/>
  <c r="AL247"/>
  <c r="AL289"/>
  <c r="AL614"/>
  <c r="AL454"/>
  <c r="AL493"/>
  <c r="AN804"/>
  <c r="AM881"/>
  <c r="AM516"/>
  <c r="AM870"/>
  <c r="AN714"/>
  <c r="AL738"/>
  <c r="AN588"/>
  <c r="AM207"/>
  <c r="AM299"/>
  <c r="AM477"/>
  <c r="AM380"/>
  <c r="AN234"/>
  <c r="AM433"/>
  <c r="AM457"/>
  <c r="AM776"/>
  <c r="AM65"/>
  <c r="AL271"/>
  <c r="AL730"/>
  <c r="AL636"/>
  <c r="AL795"/>
  <c r="AL488"/>
  <c r="AL460"/>
  <c r="AO266"/>
  <c r="AN68"/>
  <c r="AN558"/>
  <c r="AM529"/>
  <c r="AN701"/>
  <c r="AN364"/>
  <c r="AO317"/>
  <c r="AM377"/>
  <c r="AM295"/>
  <c r="AO286"/>
  <c r="AO435"/>
  <c r="AN246"/>
  <c r="AN502"/>
  <c r="AL286"/>
  <c r="AL651"/>
  <c r="AL696"/>
  <c r="AL602"/>
  <c r="AL787"/>
  <c r="AL61"/>
  <c r="AO379"/>
  <c r="AN599"/>
  <c r="AN13"/>
  <c r="AM493"/>
  <c r="AM774"/>
  <c r="AM831"/>
  <c r="AO129"/>
  <c r="AM751"/>
  <c r="AO434"/>
  <c r="AO420"/>
  <c r="AO802"/>
  <c r="AO283"/>
  <c r="AO166"/>
  <c r="AM737"/>
  <c r="AO647"/>
  <c r="AM116"/>
  <c r="AN245"/>
  <c r="AN121"/>
  <c r="AN742"/>
  <c r="AO339"/>
  <c r="AM612"/>
  <c r="AM730"/>
  <c r="AM274"/>
  <c r="AN286"/>
  <c r="AN580"/>
  <c r="AO332"/>
  <c r="AO149"/>
  <c r="AN355"/>
  <c r="AO633"/>
  <c r="AO828"/>
  <c r="AN46"/>
  <c r="AM608"/>
  <c r="AO526"/>
  <c r="AM722"/>
  <c r="AM514"/>
  <c r="AO832"/>
  <c r="AN830"/>
  <c r="AO223"/>
  <c r="AO541"/>
  <c r="AN380"/>
  <c r="AN209"/>
  <c r="AN842"/>
  <c r="AO240"/>
  <c r="AN53"/>
  <c r="AO643"/>
  <c r="AO544"/>
  <c r="AM538"/>
  <c r="AO810"/>
  <c r="AM743"/>
  <c r="AM723"/>
  <c r="AM454"/>
  <c r="AM213"/>
  <c r="AL422"/>
  <c r="AL319"/>
  <c r="AL107"/>
  <c r="AL378"/>
  <c r="AL194"/>
  <c r="AL34"/>
  <c r="AL101"/>
  <c r="AL430"/>
  <c r="AL662"/>
  <c r="AL772"/>
  <c r="AL276"/>
  <c r="AL789"/>
  <c r="AO593"/>
  <c r="AN316"/>
  <c r="AN203"/>
  <c r="AM138"/>
  <c r="AN327"/>
  <c r="AO598"/>
  <c r="AM600"/>
  <c r="AN260"/>
  <c r="AO289"/>
  <c r="AO692"/>
  <c r="AN648"/>
  <c r="AO658"/>
  <c r="AN667"/>
  <c r="AN321"/>
  <c r="AM225"/>
  <c r="AN606"/>
  <c r="AL283"/>
  <c r="AL211"/>
  <c r="AL782"/>
  <c r="AL572"/>
  <c r="AL244"/>
  <c r="AL644"/>
  <c r="AL627"/>
  <c r="AL686"/>
  <c r="AL212"/>
  <c r="AL218"/>
  <c r="AO348"/>
  <c r="AN56"/>
  <c r="AN881"/>
  <c r="AO860"/>
  <c r="AO409"/>
  <c r="AM673"/>
  <c r="AM749"/>
  <c r="AM644"/>
  <c r="AO690"/>
  <c r="AN455"/>
  <c r="AM97"/>
  <c r="AO22"/>
  <c r="AN64"/>
  <c r="AM864"/>
  <c r="AM739"/>
  <c r="AL544"/>
  <c r="AL836"/>
  <c r="AL179"/>
  <c r="AL210"/>
  <c r="AL710"/>
  <c r="AL98"/>
  <c r="AL527"/>
  <c r="AO39"/>
  <c r="AN625"/>
  <c r="AN717"/>
  <c r="AO418"/>
  <c r="AO90"/>
  <c r="AO79"/>
  <c r="AM210"/>
  <c r="AN794"/>
  <c r="AO260"/>
  <c r="AO333"/>
  <c r="AM849"/>
  <c r="AN460"/>
  <c r="AO132"/>
  <c r="AM111"/>
  <c r="AL441"/>
  <c r="AL230"/>
  <c r="AL615"/>
  <c r="AL758"/>
  <c r="AL415"/>
  <c r="AL70"/>
  <c r="AM540"/>
  <c r="AM193"/>
  <c r="AM570"/>
  <c r="AN254"/>
  <c r="AM595"/>
  <c r="AM305"/>
  <c r="AL412"/>
  <c r="AM536"/>
  <c r="AO665"/>
  <c r="AO270"/>
  <c r="AM687"/>
  <c r="AM522"/>
  <c r="AN92"/>
  <c r="AO291"/>
  <c r="AM543"/>
  <c r="AM711"/>
  <c r="AN168"/>
  <c r="AO195"/>
  <c r="AN20"/>
  <c r="AN67"/>
  <c r="AL332"/>
  <c r="AL161"/>
  <c r="AL792"/>
  <c r="AL253"/>
  <c r="AL277"/>
  <c r="AM264"/>
  <c r="AM381"/>
  <c r="AM461"/>
  <c r="AM218"/>
  <c r="AN357"/>
  <c r="AO837"/>
  <c r="AN256"/>
  <c r="AN760"/>
  <c r="AN388"/>
  <c r="AO880"/>
  <c r="AO654"/>
  <c r="AM491"/>
  <c r="AM531"/>
  <c r="AL470"/>
  <c r="AL766"/>
  <c r="AL456"/>
  <c r="AL233"/>
  <c r="AL773"/>
  <c r="AL700"/>
  <c r="AO231"/>
  <c r="AL13"/>
  <c r="AO59"/>
  <c r="AO253"/>
  <c r="AN734"/>
  <c r="AN117"/>
  <c r="AN34"/>
  <c r="AM851"/>
  <c r="AO708"/>
  <c r="AN407"/>
  <c r="AN275"/>
  <c r="AM96"/>
  <c r="AN665"/>
  <c r="AN442"/>
  <c r="AM771"/>
  <c r="AM863"/>
  <c r="AM227"/>
  <c r="AL825"/>
  <c r="AN640"/>
  <c r="AN33"/>
  <c r="AN752"/>
  <c r="AN136"/>
  <c r="AL756"/>
  <c r="AN261"/>
  <c r="AN628"/>
  <c r="AO771"/>
  <c r="AO144"/>
  <c r="AO823"/>
  <c r="AO853"/>
  <c r="AN452"/>
  <c r="AM813"/>
  <c r="AN173"/>
  <c r="AO497"/>
  <c r="AM788"/>
  <c r="AN725"/>
  <c r="AN112"/>
  <c r="AO175"/>
  <c r="AM599"/>
  <c r="AM285"/>
  <c r="AM623"/>
  <c r="AL781"/>
  <c r="AL613"/>
  <c r="AL599"/>
  <c r="AL426"/>
  <c r="AL385"/>
  <c r="AL694"/>
  <c r="AM630"/>
  <c r="AO234"/>
  <c r="AN369"/>
  <c r="AM628"/>
  <c r="AM703"/>
  <c r="AO17"/>
  <c r="AL406"/>
  <c r="AL290"/>
  <c r="AL828"/>
  <c r="AL252"/>
  <c r="AL590"/>
  <c r="AL31"/>
  <c r="AL408"/>
  <c r="AL50"/>
  <c r="AN860"/>
  <c r="AN492"/>
  <c r="AN506"/>
  <c r="AO716"/>
  <c r="AM772"/>
  <c r="AN210"/>
  <c r="AO343"/>
  <c r="AM733"/>
  <c r="AN810"/>
  <c r="AN621"/>
  <c r="AM327"/>
  <c r="AM20"/>
  <c r="AL820"/>
  <c r="AL878"/>
  <c r="AL511"/>
  <c r="AL91"/>
  <c r="AL729"/>
  <c r="AL867"/>
  <c r="AN175"/>
  <c r="AM424"/>
  <c r="AN622"/>
  <c r="AN296"/>
  <c r="AM10"/>
  <c r="AM246"/>
  <c r="AM781"/>
  <c r="AN5"/>
  <c r="AN205"/>
  <c r="AM326"/>
  <c r="AN57"/>
  <c r="AN778"/>
  <c r="AN169"/>
  <c r="AO542"/>
  <c r="AN35"/>
  <c r="AN609"/>
  <c r="AN314"/>
  <c r="AN652"/>
  <c r="AM18"/>
  <c r="AN295"/>
  <c r="AO565"/>
  <c r="AO846"/>
  <c r="AM334"/>
  <c r="AO688"/>
  <c r="AL413"/>
  <c r="AL130"/>
  <c r="AL668"/>
  <c r="AL514"/>
  <c r="AL366"/>
  <c r="AO55"/>
  <c r="AM275"/>
  <c r="AM850"/>
  <c r="AO124"/>
  <c r="AO804"/>
  <c r="AN240"/>
  <c r="AN124"/>
  <c r="AM54"/>
  <c r="AM201"/>
  <c r="AM839"/>
  <c r="AM333"/>
  <c r="AM40"/>
  <c r="AL628"/>
  <c r="AL348"/>
  <c r="AL346"/>
  <c r="AL79"/>
  <c r="AL83"/>
  <c r="AL67"/>
  <c r="AM573"/>
  <c r="AO494"/>
  <c r="AO292"/>
  <c r="AM7"/>
  <c r="AM559"/>
  <c r="AO239"/>
  <c r="AM613"/>
  <c r="AN726"/>
  <c r="AO511"/>
  <c r="AM657"/>
  <c r="AN695"/>
  <c r="AN138"/>
  <c r="AM370"/>
  <c r="AN570"/>
  <c r="AM446"/>
  <c r="AM255"/>
  <c r="AN696"/>
  <c r="AN403"/>
  <c r="AN774"/>
  <c r="AN728"/>
  <c r="AN592"/>
  <c r="AM537"/>
  <c r="AN858"/>
  <c r="AM315"/>
  <c r="AN32"/>
  <c r="AN566"/>
  <c r="AL333"/>
  <c r="AN82"/>
  <c r="AN523"/>
  <c r="AM127"/>
  <c r="AM667"/>
  <c r="AN697"/>
  <c r="AN402"/>
  <c r="AN387"/>
  <c r="AM752"/>
  <c r="AM494"/>
  <c r="AN563"/>
  <c r="AN176"/>
  <c r="AN222"/>
  <c r="AO484"/>
  <c r="AO857"/>
  <c r="AN690"/>
  <c r="AM725"/>
  <c r="AM532"/>
  <c r="AM717"/>
  <c r="AN105"/>
  <c r="AM756"/>
  <c r="AN104"/>
  <c r="AM231"/>
  <c r="AO306"/>
  <c r="AO870"/>
  <c r="AN845"/>
  <c r="AO320"/>
  <c r="AM708"/>
  <c r="AN519"/>
  <c r="AN78"/>
  <c r="AL835"/>
  <c r="AL85"/>
  <c r="AL822"/>
  <c r="AL121"/>
  <c r="AL145"/>
  <c r="AM635"/>
  <c r="AN154"/>
  <c r="AN537"/>
  <c r="AM435"/>
  <c r="AN427"/>
  <c r="AO381"/>
  <c r="AO151"/>
  <c r="AN434"/>
  <c r="AN557"/>
  <c r="AO224"/>
  <c r="AO3"/>
  <c r="AO277"/>
  <c r="AO450"/>
  <c r="AM226"/>
  <c r="AM557"/>
  <c r="AL701"/>
  <c r="AL813"/>
  <c r="AL551"/>
  <c r="AL621"/>
  <c r="AL136"/>
  <c r="AL80"/>
  <c r="AL22"/>
  <c r="AN91"/>
  <c r="AN871"/>
  <c r="AN689"/>
  <c r="AN776"/>
  <c r="AM80"/>
  <c r="AM53"/>
  <c r="AO255"/>
  <c r="AO364"/>
  <c r="AN477"/>
  <c r="AM307"/>
  <c r="AO742"/>
  <c r="AO734"/>
  <c r="AO189"/>
  <c r="AO13"/>
  <c r="AO204"/>
  <c r="AN761"/>
  <c r="AO660"/>
  <c r="AN745"/>
  <c r="AL170"/>
  <c r="AL541"/>
  <c r="AL314"/>
  <c r="AL362"/>
  <c r="AL721"/>
  <c r="AM574"/>
  <c r="AM735"/>
  <c r="AN70"/>
  <c r="AO130"/>
  <c r="AO373"/>
  <c r="AM316"/>
  <c r="AM842"/>
  <c r="AM815"/>
  <c r="AO792"/>
  <c r="AN608"/>
  <c r="AN623"/>
  <c r="AN809"/>
  <c r="AN147"/>
  <c r="AL860"/>
  <c r="AL688"/>
  <c r="AL149"/>
  <c r="AL297"/>
  <c r="AL129"/>
  <c r="AL173"/>
  <c r="AO285"/>
  <c r="AN190"/>
  <c r="AO31"/>
  <c r="AO115"/>
  <c r="AN48"/>
  <c r="AM807"/>
  <c r="AM545"/>
  <c r="AM773"/>
  <c r="AN255"/>
  <c r="AM235"/>
  <c r="AO225"/>
  <c r="AN362"/>
  <c r="AO474"/>
  <c r="AO296"/>
  <c r="AO65"/>
  <c r="AO581"/>
  <c r="AM104"/>
  <c r="AO318"/>
  <c r="AM101"/>
  <c r="AO807"/>
  <c r="AO617"/>
  <c r="AM155"/>
  <c r="AO831"/>
  <c r="AO246"/>
  <c r="AO29"/>
  <c r="AM566"/>
  <c r="AM758"/>
  <c r="AO389"/>
  <c r="AO198"/>
  <c r="AN122"/>
  <c r="AO459"/>
  <c r="AO619"/>
  <c r="AN347"/>
  <c r="AM48"/>
  <c r="AM196"/>
  <c r="AO165"/>
  <c r="AO803"/>
  <c r="AM858"/>
  <c r="AM734"/>
  <c r="AO737"/>
  <c r="AO532"/>
  <c r="AM793"/>
  <c r="AO657"/>
  <c r="AO412"/>
  <c r="AM343"/>
  <c r="AN195"/>
  <c r="AO127"/>
  <c r="AO642"/>
  <c r="AM577"/>
  <c r="AM479"/>
  <c r="AO385"/>
  <c r="AM222"/>
  <c r="AM17"/>
  <c r="AM83"/>
  <c r="AO106"/>
  <c r="AM388"/>
  <c r="AO415"/>
  <c r="AO238"/>
  <c r="AO822"/>
  <c r="AO61"/>
  <c r="AM484"/>
  <c r="AO550"/>
  <c r="AO169"/>
  <c r="AO796"/>
  <c r="AM655"/>
  <c r="AN733"/>
  <c r="AM541"/>
  <c r="AM713"/>
  <c r="AN775"/>
  <c r="AN802"/>
  <c r="AN202"/>
  <c r="AM147"/>
  <c r="AM12"/>
  <c r="AN488"/>
  <c r="AL132"/>
  <c r="AM64"/>
  <c r="AN581"/>
  <c r="AN723"/>
  <c r="AN531"/>
  <c r="AN867"/>
  <c r="AM621"/>
  <c r="AN145"/>
  <c r="AN22"/>
  <c r="AN627"/>
  <c r="AM721"/>
  <c r="AL693"/>
  <c r="AN839"/>
  <c r="AN700"/>
  <c r="AM565"/>
  <c r="AM3"/>
  <c r="AN577"/>
  <c r="AM695"/>
  <c r="AN394"/>
  <c r="AM455"/>
  <c r="AN379"/>
  <c r="AM809"/>
  <c r="AM837"/>
  <c r="AN607"/>
  <c r="AN844"/>
  <c r="AN318"/>
  <c r="AN683"/>
  <c r="AN497"/>
  <c r="AN573"/>
  <c r="AN737"/>
  <c r="AN493"/>
  <c r="AN411"/>
  <c r="AO607"/>
  <c r="AN857"/>
  <c r="AN262"/>
  <c r="AO524"/>
  <c r="AN197"/>
  <c r="AO699"/>
  <c r="AM421"/>
  <c r="AM434"/>
  <c r="AN485"/>
  <c r="AN235"/>
  <c r="AN297"/>
  <c r="AM680"/>
  <c r="AM463"/>
  <c r="AN52"/>
  <c r="AM505"/>
  <c r="AN569"/>
  <c r="AO349"/>
  <c r="AO512"/>
  <c r="AO683"/>
  <c r="AN850"/>
  <c r="AO152"/>
  <c r="AM425"/>
  <c r="AO329"/>
  <c r="AM526"/>
  <c r="AM550"/>
  <c r="AN543"/>
  <c r="AO369"/>
  <c r="AN666"/>
  <c r="AO843"/>
  <c r="AO501"/>
  <c r="AN708"/>
  <c r="AM411"/>
  <c r="AM385"/>
  <c r="AM775"/>
  <c r="AN655"/>
  <c r="AN463"/>
  <c r="AN713"/>
  <c r="AN601"/>
  <c r="AO558"/>
  <c r="AO413"/>
  <c r="AM693"/>
  <c r="AO601"/>
  <c r="AM530"/>
  <c r="AN668"/>
  <c r="AN312"/>
  <c r="AM21"/>
  <c r="AL464"/>
  <c r="AL542"/>
  <c r="AN187"/>
  <c r="AL585"/>
  <c r="AN555"/>
  <c r="AL839"/>
  <c r="AN619"/>
  <c r="AN498"/>
  <c r="AN3"/>
  <c r="AN793"/>
  <c r="AM468"/>
  <c r="AN19"/>
  <c r="AM67"/>
  <c r="AN823"/>
  <c r="AN593"/>
  <c r="AL318"/>
  <c r="AN643"/>
  <c r="AN602"/>
  <c r="AM328"/>
  <c r="AO455"/>
  <c r="AN582"/>
  <c r="AO99"/>
  <c r="AO838"/>
  <c r="AN86"/>
  <c r="AM276"/>
  <c r="AO112"/>
  <c r="AN365"/>
  <c r="AN788"/>
  <c r="AM650"/>
  <c r="AM90"/>
  <c r="AM389"/>
  <c r="AN170"/>
  <c r="AM582"/>
  <c r="AM293"/>
  <c r="AN863"/>
  <c r="AO466"/>
  <c r="AO599"/>
  <c r="AO411"/>
  <c r="AM726"/>
  <c r="AO781"/>
  <c r="AO693"/>
  <c r="AO262"/>
  <c r="AM694"/>
  <c r="AM355"/>
  <c r="AM81"/>
  <c r="AM443"/>
  <c r="AN744"/>
  <c r="AO774"/>
  <c r="AN196"/>
  <c r="AN360"/>
  <c r="AN223"/>
  <c r="AN100"/>
  <c r="AN587"/>
  <c r="AN116"/>
  <c r="AN310"/>
  <c r="AN230"/>
  <c r="AO401"/>
  <c r="AO498"/>
  <c r="AN528"/>
  <c r="AO137"/>
  <c r="AN12"/>
  <c r="AN796"/>
  <c r="AM593"/>
  <c r="AO640"/>
  <c r="AN754"/>
  <c r="AM39"/>
  <c r="AM202"/>
  <c r="AM188"/>
  <c r="AO623"/>
  <c r="AM89"/>
  <c r="AL303"/>
  <c r="AL174"/>
  <c r="AL409"/>
  <c r="AL100"/>
  <c r="AL324"/>
  <c r="AL722"/>
  <c r="AL200"/>
  <c r="AL387"/>
  <c r="AL859"/>
  <c r="AL403"/>
  <c r="AL881"/>
  <c r="AL222"/>
  <c r="AL823"/>
  <c r="AL769"/>
  <c r="AL557"/>
  <c r="AL588"/>
  <c r="AL749"/>
  <c r="AL127"/>
  <c r="AL35"/>
  <c r="AL432"/>
  <c r="AL142"/>
  <c r="AL880"/>
  <c r="AL176"/>
  <c r="AL474"/>
  <c r="AL40"/>
  <c r="AL305"/>
  <c r="AL86"/>
  <c r="AN313"/>
  <c r="AM335"/>
  <c r="AO32"/>
  <c r="AO49"/>
  <c r="AO839"/>
  <c r="AM73"/>
  <c r="AO274"/>
  <c r="AM346"/>
  <c r="AN730"/>
  <c r="AM460"/>
  <c r="AM789"/>
  <c r="AN613"/>
  <c r="AN114"/>
  <c r="AN702"/>
  <c r="AN500"/>
  <c r="AN764"/>
  <c r="AO529"/>
  <c r="AO170"/>
  <c r="AO167"/>
  <c r="AN821"/>
  <c r="AO780"/>
  <c r="AO530"/>
  <c r="AO181"/>
  <c r="AN486"/>
  <c r="AO300"/>
  <c r="AM92"/>
  <c r="AO398"/>
  <c r="AO162"/>
  <c r="AN852"/>
  <c r="AM203"/>
  <c r="AO70"/>
  <c r="AN266"/>
  <c r="AO500"/>
  <c r="AM84"/>
  <c r="AN864"/>
  <c r="AN276"/>
  <c r="AO569"/>
  <c r="AN201"/>
  <c r="AO671"/>
  <c r="AO42"/>
  <c r="AM263"/>
  <c r="AO761"/>
  <c r="AN120"/>
  <c r="AM610"/>
  <c r="AN453"/>
  <c r="AO305"/>
  <c r="AO116"/>
  <c r="AN439"/>
  <c r="AN41"/>
  <c r="AM76"/>
  <c r="AN739"/>
  <c r="AO222"/>
  <c r="AM867"/>
  <c r="AN464"/>
  <c r="AM427"/>
  <c r="AN405"/>
  <c r="AL534"/>
  <c r="AL478"/>
  <c r="AL723"/>
  <c r="AL131"/>
  <c r="AL747"/>
  <c r="AL853"/>
  <c r="AL500"/>
  <c r="AL714"/>
  <c r="AL155"/>
  <c r="AL492"/>
  <c r="AL73"/>
  <c r="AL689"/>
  <c r="AL455"/>
  <c r="AL448"/>
  <c r="AL82"/>
  <c r="AL556"/>
  <c r="AL675"/>
  <c r="AL402"/>
  <c r="AL298"/>
  <c r="AL499"/>
  <c r="AL843"/>
  <c r="AL577"/>
  <c r="AL89"/>
  <c r="AL300"/>
  <c r="AL165"/>
  <c r="AL350"/>
  <c r="AL7"/>
  <c r="AL484"/>
  <c r="AL857"/>
  <c r="AM865"/>
  <c r="AM820"/>
  <c r="AN615"/>
  <c r="AM340"/>
  <c r="AM584"/>
  <c r="AN412"/>
  <c r="AN77"/>
  <c r="AO457"/>
  <c r="AN526"/>
  <c r="AM363"/>
  <c r="AO104"/>
  <c r="AO778"/>
  <c r="AM668"/>
  <c r="AN188"/>
  <c r="AN641"/>
  <c r="AL370"/>
  <c r="AL716"/>
  <c r="AL47"/>
  <c r="AL259"/>
  <c r="AL317"/>
  <c r="AL604"/>
  <c r="AL620"/>
  <c r="AL400"/>
  <c r="AM347"/>
  <c r="AO54"/>
  <c r="AM169"/>
  <c r="AO689"/>
  <c r="AN658"/>
  <c r="AM555"/>
  <c r="AN290"/>
  <c r="AO340"/>
  <c r="AL550"/>
  <c r="AL235"/>
  <c r="AL865"/>
  <c r="AL223"/>
  <c r="AL453"/>
  <c r="AL353"/>
  <c r="AM260"/>
  <c r="AN457"/>
  <c r="AN693"/>
  <c r="AN479"/>
  <c r="AM283"/>
  <c r="AO314"/>
  <c r="AM144"/>
  <c r="AN835"/>
  <c r="AN293"/>
  <c r="AO714"/>
  <c r="AM590"/>
  <c r="AM136"/>
  <c r="AM633"/>
  <c r="AN47"/>
  <c r="AM662"/>
  <c r="AM880"/>
  <c r="AN474"/>
  <c r="AO747"/>
  <c r="AN721"/>
  <c r="AL673"/>
  <c r="AL642"/>
  <c r="AL803"/>
  <c r="AL732"/>
  <c r="AL502"/>
  <c r="AL16"/>
  <c r="AL68"/>
  <c r="AO543"/>
  <c r="AL312"/>
  <c r="AL842"/>
  <c r="AL196"/>
  <c r="AL394"/>
  <c r="AO313"/>
  <c r="AM591"/>
  <c r="AN687"/>
  <c r="AM128"/>
  <c r="AL771"/>
  <c r="AL313"/>
  <c r="AL637"/>
  <c r="AL864"/>
  <c r="AM761"/>
  <c r="AM601"/>
  <c r="AM521"/>
  <c r="AO325"/>
  <c r="AN159"/>
  <c r="AN512"/>
  <c r="AL816"/>
  <c r="AL328"/>
  <c r="AL640"/>
  <c r="AN559"/>
  <c r="AO242"/>
  <c r="AM794"/>
  <c r="AL246"/>
  <c r="AN673"/>
  <c r="AM474"/>
  <c r="AN391"/>
  <c r="AM129"/>
  <c r="AN289"/>
  <c r="AO354"/>
  <c r="AM320"/>
  <c r="AL831"/>
  <c r="AL429"/>
  <c r="AN160"/>
  <c r="AN60"/>
  <c r="AL154"/>
  <c r="AL739"/>
  <c r="AO768"/>
  <c r="AO794"/>
  <c r="AL793"/>
  <c r="AL832"/>
  <c r="AN28"/>
  <c r="AM396"/>
  <c r="AL655"/>
  <c r="AL849"/>
  <c r="AM47"/>
  <c r="AL565"/>
  <c r="AM55"/>
  <c r="AN372"/>
  <c r="AM489"/>
  <c r="AN538"/>
  <c r="AN549"/>
  <c r="AN851"/>
  <c r="AM674"/>
  <c r="AN450"/>
  <c r="AM121"/>
  <c r="AO216"/>
  <c r="AN424"/>
  <c r="AN806"/>
  <c r="AM16"/>
  <c r="AM430"/>
  <c r="AN565"/>
  <c r="AL69"/>
  <c r="AL702"/>
  <c r="AL282"/>
  <c r="AN392"/>
  <c r="AN182"/>
  <c r="AM470"/>
  <c r="AL14"/>
  <c r="AL476"/>
  <c r="AL548"/>
  <c r="AL151"/>
  <c r="AL498"/>
  <c r="AM475"/>
  <c r="AO858"/>
  <c r="AN59"/>
  <c r="AO153"/>
  <c r="AM106"/>
  <c r="AN550"/>
  <c r="AM341"/>
  <c r="AN838"/>
  <c r="AN645"/>
  <c r="AM511"/>
  <c r="AN162"/>
  <c r="AN484"/>
  <c r="AN42"/>
  <c r="AM244"/>
  <c r="AO160"/>
  <c r="AL829"/>
  <c r="AL578"/>
  <c r="AN436"/>
  <c r="AO468"/>
  <c r="AM873"/>
  <c r="AN179"/>
  <c r="AN542"/>
  <c r="AM321"/>
  <c r="AM99"/>
  <c r="AM318"/>
  <c r="AO863"/>
  <c r="AN511"/>
  <c r="AL600"/>
  <c r="AL609"/>
  <c r="AM154"/>
  <c r="AO441"/>
  <c r="AL611"/>
  <c r="AL490"/>
  <c r="AN866"/>
  <c r="AL515"/>
  <c r="AL260"/>
  <c r="AM718"/>
  <c r="AO709"/>
  <c r="AL654"/>
  <c r="AL802"/>
  <c r="AM879"/>
  <c r="AN16"/>
  <c r="AL879"/>
  <c r="AL405"/>
  <c r="AO555"/>
  <c r="AL26"/>
  <c r="AO463"/>
  <c r="AL19"/>
  <c r="AL225"/>
  <c r="AL116"/>
  <c r="AN751"/>
  <c r="AM765"/>
  <c r="AM209"/>
  <c r="AO202"/>
  <c r="AM587"/>
  <c r="AN849"/>
  <c r="AM432"/>
  <c r="AM46"/>
  <c r="AN837"/>
  <c r="AM353"/>
  <c r="AN336"/>
  <c r="AL434"/>
  <c r="AL746"/>
  <c r="AL633"/>
  <c r="AL874"/>
  <c r="AL543"/>
  <c r="AL505"/>
  <c r="AL804"/>
  <c r="AM238"/>
  <c r="AN662"/>
  <c r="AM314"/>
  <c r="AM692"/>
  <c r="AL778"/>
  <c r="AL364"/>
  <c r="AO789"/>
  <c r="AO328"/>
  <c r="AO725"/>
  <c r="AO107"/>
  <c r="AO63"/>
  <c r="AN647"/>
  <c r="AN111"/>
  <c r="AN350"/>
  <c r="AM585"/>
  <c r="AM810"/>
  <c r="AM303"/>
  <c r="AO347"/>
  <c r="AN113"/>
  <c r="AL304"/>
  <c r="AL182"/>
  <c r="AM768"/>
  <c r="AN591"/>
  <c r="AL743"/>
  <c r="AL752"/>
  <c r="AM675"/>
  <c r="AO78"/>
  <c r="AL740"/>
  <c r="AM467"/>
  <c r="AO16"/>
  <c r="AL167"/>
  <c r="AM845"/>
  <c r="AO424"/>
  <c r="AL469"/>
  <c r="AL581"/>
  <c r="AO722"/>
  <c r="AM142"/>
  <c r="AO645"/>
  <c r="AO440"/>
  <c r="AM594"/>
  <c r="AO531"/>
  <c r="AM822"/>
  <c r="AO150"/>
  <c r="AL650"/>
  <c r="AL299"/>
  <c r="AL467"/>
  <c r="AL60"/>
  <c r="AL528"/>
  <c r="AL726"/>
  <c r="AL648"/>
  <c r="AL545"/>
  <c r="AM580"/>
  <c r="AN716"/>
  <c r="AM678"/>
  <c r="AN530"/>
  <c r="AO335"/>
  <c r="AO566"/>
  <c r="AN366"/>
  <c r="AO549"/>
  <c r="AL446"/>
  <c r="AL108"/>
  <c r="AL361"/>
  <c r="AL824"/>
  <c r="AL524"/>
  <c r="AL612"/>
  <c r="AL788"/>
  <c r="AL208"/>
  <c r="AM310"/>
  <c r="AO460"/>
  <c r="AL587"/>
  <c r="AN349"/>
  <c r="AM35"/>
  <c r="AO19"/>
  <c r="AL411"/>
  <c r="AL245"/>
  <c r="AO196"/>
  <c r="AM877"/>
  <c r="AL227"/>
  <c r="AL375"/>
  <c r="AO571"/>
  <c r="AO795"/>
  <c r="AM391"/>
  <c r="AL160"/>
  <c r="AL462"/>
  <c r="AR225" l="1"/>
  <c r="AS225" s="1"/>
  <c r="AR828"/>
  <c r="AS828" s="1"/>
  <c r="AR291"/>
  <c r="AS291" s="1"/>
  <c r="AR640"/>
  <c r="AS640" s="1"/>
  <c r="AR562"/>
  <c r="AS562" s="1"/>
  <c r="AR756"/>
  <c r="AS756" s="1"/>
  <c r="AR467"/>
  <c r="AS467" s="1"/>
  <c r="AR307"/>
  <c r="AS307" s="1"/>
  <c r="AR9"/>
  <c r="AS9" s="1"/>
  <c r="AR37"/>
  <c r="AS37" s="1"/>
  <c r="AR105"/>
  <c r="AS105" s="1"/>
  <c r="AR52"/>
  <c r="AS52" s="1"/>
  <c r="AR208"/>
  <c r="AS208" s="1"/>
  <c r="AR213"/>
  <c r="AS213" s="1"/>
  <c r="AR687"/>
  <c r="AS687" s="1"/>
  <c r="AR336"/>
  <c r="AS336" s="1"/>
  <c r="AR409"/>
  <c r="AS409" s="1"/>
  <c r="AR528"/>
  <c r="AS528" s="1"/>
  <c r="AR355"/>
  <c r="AS355" s="1"/>
  <c r="AR69"/>
  <c r="AS69" s="1"/>
  <c r="AR82"/>
  <c r="AS82" s="1"/>
  <c r="AR535"/>
  <c r="AS535" s="1"/>
  <c r="AR863"/>
  <c r="AS863" s="1"/>
  <c r="AR108"/>
  <c r="AS108" s="1"/>
  <c r="AR332"/>
  <c r="AS332" s="1"/>
  <c r="AR829"/>
  <c r="AS829" s="1"/>
  <c r="AR166"/>
  <c r="AS166" s="1"/>
  <c r="AR769"/>
  <c r="AS769" s="1"/>
  <c r="AR249"/>
  <c r="AS249" s="1"/>
  <c r="AR616"/>
  <c r="AS616" s="1"/>
  <c r="AR426"/>
  <c r="AS426" s="1"/>
  <c r="AR406"/>
  <c r="AS406" s="1"/>
  <c r="AR513"/>
  <c r="AS513" s="1"/>
  <c r="AR582"/>
  <c r="AS582" s="1"/>
  <c r="AR856"/>
  <c r="AS856" s="1"/>
  <c r="AR815"/>
  <c r="AS815" s="1"/>
  <c r="AR121"/>
  <c r="AS121" s="1"/>
  <c r="AR492"/>
  <c r="AS492" s="1"/>
  <c r="AR152"/>
  <c r="AS152" s="1"/>
  <c r="AR314"/>
  <c r="AS314" s="1"/>
  <c r="AR144"/>
  <c r="AS144" s="1"/>
  <c r="AR580"/>
  <c r="AS580" s="1"/>
  <c r="AR552"/>
  <c r="AS552" s="1"/>
  <c r="AR312"/>
  <c r="AS312" s="1"/>
  <c r="AR516"/>
  <c r="AS516" s="1"/>
  <c r="AR292"/>
  <c r="AS292" s="1"/>
  <c r="AR363"/>
  <c r="AS363" s="1"/>
  <c r="AR131"/>
  <c r="AS131" s="1"/>
  <c r="AR500"/>
  <c r="AS500" s="1"/>
  <c r="AR324"/>
  <c r="AS324" s="1"/>
  <c r="AR304"/>
  <c r="AS304" s="1"/>
  <c r="AR625"/>
  <c r="AS625" s="1"/>
  <c r="AR699"/>
  <c r="AS699" s="1"/>
  <c r="AR79"/>
  <c r="AS79" s="1"/>
  <c r="AR634"/>
  <c r="AS634" s="1"/>
  <c r="AR311"/>
  <c r="AS311" s="1"/>
  <c r="AR382"/>
  <c r="AS382" s="1"/>
  <c r="AR686"/>
  <c r="AS686" s="1"/>
  <c r="AR180"/>
  <c r="AS180" s="1"/>
  <c r="AR626"/>
  <c r="AS626" s="1"/>
  <c r="AR527"/>
  <c r="AS527" s="1"/>
  <c r="AR514"/>
  <c r="AS514" s="1"/>
  <c r="AR486"/>
  <c r="AS486" s="1"/>
  <c r="AR813"/>
  <c r="AS813" s="1"/>
  <c r="AR612"/>
  <c r="AS612" s="1"/>
  <c r="AR429"/>
  <c r="AS429" s="1"/>
  <c r="AR425"/>
  <c r="AS425" s="1"/>
  <c r="AR223"/>
  <c r="AS223" s="1"/>
  <c r="AR317"/>
  <c r="AS317" s="1"/>
  <c r="AR178"/>
  <c r="AS178" s="1"/>
  <c r="AR270"/>
  <c r="AS270" s="1"/>
  <c r="AR47"/>
  <c r="AS47" s="1"/>
  <c r="AR475"/>
  <c r="AS475" s="1"/>
  <c r="AR477"/>
  <c r="AS477" s="1"/>
  <c r="AR524"/>
  <c r="AS524" s="1"/>
  <c r="AR659"/>
  <c r="AS659" s="1"/>
  <c r="AR870"/>
  <c r="AS870" s="1"/>
  <c r="AR471"/>
  <c r="AS471" s="1"/>
  <c r="AR362"/>
  <c r="AS362" s="1"/>
  <c r="AR785"/>
  <c r="AS785" s="1"/>
  <c r="AR78"/>
  <c r="AS78" s="1"/>
  <c r="AR215"/>
  <c r="AS215" s="1"/>
  <c r="AR556"/>
  <c r="AS556" s="1"/>
  <c r="AR665"/>
  <c r="AS665" s="1"/>
  <c r="AR161"/>
  <c r="AS161" s="1"/>
  <c r="AR843"/>
  <c r="AS843" s="1"/>
  <c r="AR42"/>
  <c r="AS42" s="1"/>
  <c r="AR274"/>
  <c r="AS274" s="1"/>
  <c r="AR578"/>
  <c r="AS578" s="1"/>
  <c r="AR548"/>
  <c r="AS548" s="1"/>
  <c r="AR726"/>
  <c r="AS726" s="1"/>
  <c r="AR807"/>
  <c r="AS807" s="1"/>
  <c r="AR77"/>
  <c r="AS77" s="1"/>
  <c r="AR729"/>
  <c r="AS729" s="1"/>
  <c r="AR690"/>
  <c r="AS690" s="1"/>
  <c r="AR590"/>
  <c r="AS590" s="1"/>
  <c r="AR740"/>
  <c r="AS740" s="1"/>
  <c r="AR878"/>
  <c r="AS878" s="1"/>
  <c r="AR772"/>
  <c r="AS772" s="1"/>
  <c r="AR300"/>
  <c r="AS300" s="1"/>
  <c r="AR28"/>
  <c r="AS28" s="1"/>
  <c r="AR235"/>
  <c r="AS235" s="1"/>
  <c r="AR255"/>
  <c r="AS255" s="1"/>
  <c r="AR286"/>
  <c r="AS286" s="1"/>
  <c r="AR814"/>
  <c r="AS814" s="1"/>
  <c r="AR393"/>
  <c r="AS393" s="1"/>
  <c r="AR210"/>
  <c r="AS210" s="1"/>
  <c r="AR361"/>
  <c r="AS361" s="1"/>
  <c r="AR779"/>
  <c r="AS779" s="1"/>
  <c r="AR681"/>
  <c r="AS681" s="1"/>
  <c r="AR366"/>
  <c r="AS366" s="1"/>
  <c r="AR183"/>
  <c r="AS183" s="1"/>
  <c r="AR636"/>
  <c r="AS636" s="1"/>
  <c r="AR743"/>
  <c r="AS743" s="1"/>
  <c r="AR36"/>
  <c r="AS36" s="1"/>
  <c r="AR50"/>
  <c r="AS50" s="1"/>
  <c r="AR120"/>
  <c r="AS120" s="1"/>
  <c r="AR268"/>
  <c r="AS268" s="1"/>
  <c r="AR745"/>
  <c r="AS745" s="1"/>
  <c r="AR635"/>
  <c r="AS635" s="1"/>
  <c r="AR241"/>
  <c r="AS241" s="1"/>
  <c r="AR694"/>
  <c r="AS694" s="1"/>
  <c r="AR574"/>
  <c r="AS574" s="1"/>
  <c r="AR454"/>
  <c r="AS454" s="1"/>
  <c r="AR457"/>
  <c r="AS457" s="1"/>
  <c r="AR315"/>
  <c r="AS315" s="1"/>
  <c r="AR181"/>
  <c r="AS181" s="1"/>
  <c r="AR766"/>
  <c r="AS766" s="1"/>
  <c r="AR749"/>
  <c r="AS749" s="1"/>
  <c r="AR339"/>
  <c r="AS339" s="1"/>
  <c r="AR709"/>
  <c r="AS709" s="1"/>
  <c r="AR112"/>
  <c r="AS112" s="1"/>
  <c r="AR722"/>
  <c r="AS722" s="1"/>
  <c r="AR170"/>
  <c r="AS170" s="1"/>
  <c r="AR728"/>
  <c r="AS728" s="1"/>
  <c r="AR505"/>
  <c r="AS505" s="1"/>
  <c r="AR584"/>
  <c r="AS584" s="1"/>
  <c r="AR370"/>
  <c r="AS370" s="1"/>
  <c r="AR835"/>
  <c r="AS835" s="1"/>
  <c r="AR418"/>
  <c r="AS418" s="1"/>
  <c r="AR434"/>
  <c r="AS434" s="1"/>
  <c r="AR408"/>
  <c r="AS408" s="1"/>
  <c r="AR188"/>
  <c r="AS188" s="1"/>
  <c r="AR128"/>
  <c r="AS128" s="1"/>
  <c r="AR715"/>
  <c r="AS715" s="1"/>
  <c r="AR328"/>
  <c r="AS328" s="1"/>
  <c r="AR633"/>
  <c r="AS633" s="1"/>
  <c r="AR373"/>
  <c r="AS373" s="1"/>
  <c r="AR21"/>
  <c r="AS21" s="1"/>
  <c r="AR407"/>
  <c r="AS407" s="1"/>
  <c r="AR26"/>
  <c r="AS26" s="1"/>
  <c r="AR62"/>
  <c r="AS62" s="1"/>
  <c r="AR667"/>
  <c r="AS667" s="1"/>
  <c r="AR498"/>
  <c r="AS498" s="1"/>
  <c r="AR838"/>
  <c r="AS838" s="1"/>
  <c r="AR430"/>
  <c r="AS430" s="1"/>
  <c r="AR623"/>
  <c r="AS623" s="1"/>
  <c r="AR282"/>
  <c r="AS282" s="1"/>
  <c r="AR668"/>
  <c r="AS668" s="1"/>
  <c r="AR16"/>
  <c r="AS16" s="1"/>
  <c r="AR864"/>
  <c r="AS864" s="1"/>
  <c r="AR310"/>
  <c r="AS310" s="1"/>
  <c r="AR608"/>
  <c r="AS608" s="1"/>
  <c r="AR824"/>
  <c r="AS824" s="1"/>
  <c r="AR462"/>
  <c r="AS462" s="1"/>
  <c r="AR175"/>
  <c r="AS175" s="1"/>
  <c r="AR149"/>
  <c r="AS149" s="1"/>
  <c r="AR353"/>
  <c r="AS353" s="1"/>
  <c r="AR400"/>
  <c r="AS400" s="1"/>
  <c r="AR880"/>
  <c r="AS880" s="1"/>
  <c r="AR413"/>
  <c r="AS413" s="1"/>
  <c r="AR850"/>
  <c r="AS850" s="1"/>
  <c r="AR299"/>
  <c r="AS299" s="1"/>
  <c r="AR290"/>
  <c r="AS290" s="1"/>
  <c r="AR283"/>
  <c r="AS283" s="1"/>
  <c r="AR702"/>
  <c r="AS702" s="1"/>
  <c r="AR446"/>
  <c r="AS446" s="1"/>
  <c r="AR759"/>
  <c r="AS759" s="1"/>
  <c r="AR419"/>
  <c r="AS419" s="1"/>
  <c r="AR615"/>
  <c r="AS615" s="1"/>
  <c r="AR816"/>
  <c r="AS816" s="1"/>
  <c r="AR232"/>
  <c r="AS232" s="1"/>
  <c r="AR672"/>
  <c r="AS672" s="1"/>
  <c r="AR248"/>
  <c r="AS248" s="1"/>
  <c r="AR59"/>
  <c r="AS59" s="1"/>
  <c r="AR40"/>
  <c r="AS40" s="1"/>
  <c r="AR68"/>
  <c r="AS68" s="1"/>
  <c r="AR698"/>
  <c r="AS698" s="1"/>
  <c r="AR22"/>
  <c r="AS22" s="1"/>
  <c r="AR350"/>
  <c r="AS350" s="1"/>
  <c r="AR195"/>
  <c r="AS195" s="1"/>
  <c r="AR428"/>
  <c r="AS428" s="1"/>
  <c r="AR365"/>
  <c r="AS365" s="1"/>
  <c r="AR571"/>
  <c r="AS571" s="1"/>
  <c r="AR648"/>
  <c r="AS648" s="1"/>
  <c r="AR182"/>
  <c r="AS182" s="1"/>
  <c r="AR306"/>
  <c r="AS306" s="1"/>
  <c r="AR651"/>
  <c r="AS651" s="1"/>
  <c r="AR421"/>
  <c r="AS421" s="1"/>
  <c r="AR860"/>
  <c r="AS860" s="1"/>
  <c r="AR533"/>
  <c r="AS533" s="1"/>
  <c r="AR701"/>
  <c r="AS701" s="1"/>
  <c r="AR197"/>
  <c r="AS197" s="1"/>
  <c r="AR478"/>
  <c r="AS478" s="1"/>
  <c r="AR174"/>
  <c r="AS174" s="1"/>
  <c r="AR650"/>
  <c r="AS650" s="1"/>
  <c r="AR569"/>
  <c r="AS569" s="1"/>
  <c r="AR520"/>
  <c r="AS520" s="1"/>
  <c r="AR71"/>
  <c r="AS71" s="1"/>
  <c r="AR724"/>
  <c r="AS724" s="1"/>
  <c r="AR43"/>
  <c r="AS43" s="1"/>
  <c r="AR342"/>
  <c r="AS342" s="1"/>
  <c r="AR453"/>
  <c r="AS453" s="1"/>
  <c r="AR346"/>
  <c r="AS346" s="1"/>
  <c r="AR114"/>
  <c r="AS114" s="1"/>
  <c r="AR116"/>
  <c r="AS116" s="1"/>
  <c r="AR526"/>
  <c r="AS526" s="1"/>
  <c r="AR130"/>
  <c r="AS130" s="1"/>
  <c r="AR654"/>
  <c r="AS654" s="1"/>
  <c r="AR534"/>
  <c r="AS534" s="1"/>
  <c r="AR422"/>
  <c r="AS422" s="1"/>
  <c r="AR710"/>
  <c r="AS710" s="1"/>
  <c r="AR348"/>
  <c r="AS348" s="1"/>
  <c r="AR594"/>
  <c r="AS594" s="1"/>
  <c r="AR703"/>
  <c r="AS703" s="1"/>
  <c r="AR320"/>
  <c r="AS320" s="1"/>
  <c r="AR658"/>
  <c r="AS658" s="1"/>
  <c r="AR92"/>
  <c r="AS92" s="1"/>
  <c r="AR750"/>
  <c r="AS750" s="1"/>
  <c r="AR804"/>
  <c r="AS804" s="1"/>
  <c r="AR341"/>
  <c r="AS341" s="1"/>
  <c r="AR808"/>
  <c r="AS808" s="1"/>
  <c r="AR662"/>
  <c r="AS662" s="1"/>
  <c r="AR224"/>
  <c r="AS224" s="1"/>
  <c r="AR378"/>
  <c r="AS378" s="1"/>
  <c r="AR507"/>
  <c r="AS507" s="1"/>
  <c r="AR142"/>
  <c r="AS142" s="1"/>
  <c r="AR81"/>
  <c r="AS81" s="1"/>
  <c r="AR849"/>
  <c r="AS849" s="1"/>
  <c r="AR830"/>
  <c r="AS830" s="1"/>
  <c r="AR231"/>
  <c r="AS231" s="1"/>
  <c r="AR644"/>
  <c r="AS644" s="1"/>
  <c r="AR194"/>
  <c r="AS194" s="1"/>
  <c r="AR83"/>
  <c r="AS83" s="1"/>
  <c r="AR17"/>
  <c r="AS17" s="1"/>
  <c r="AR319"/>
  <c r="AS319" s="1"/>
  <c r="AR113"/>
  <c r="AS113" s="1"/>
  <c r="AR735"/>
  <c r="AS735" s="1"/>
  <c r="AR33"/>
  <c r="AS33" s="1"/>
  <c r="AR671"/>
  <c r="AS671" s="1"/>
  <c r="AR512"/>
  <c r="AS512" s="1"/>
  <c r="AR162"/>
  <c r="AS162" s="1"/>
  <c r="AR285"/>
  <c r="AS285" s="1"/>
  <c r="AR447"/>
  <c r="AS447" s="1"/>
  <c r="AR354"/>
  <c r="AS354" s="1"/>
  <c r="AR717"/>
  <c r="AS717" s="1"/>
  <c r="AR619"/>
  <c r="AS619" s="1"/>
  <c r="AR754"/>
  <c r="AS754" s="1"/>
  <c r="AR226"/>
  <c r="AS226" s="1"/>
  <c r="AR334"/>
  <c r="AS334" s="1"/>
  <c r="AR555"/>
  <c r="AS555" s="1"/>
  <c r="AR803"/>
  <c r="AS803" s="1"/>
  <c r="AR117"/>
  <c r="AS117" s="1"/>
  <c r="AR279"/>
  <c r="AS279" s="1"/>
  <c r="AR420"/>
  <c r="AS420" s="1"/>
  <c r="AR760"/>
  <c r="AS760" s="1"/>
  <c r="AR246"/>
  <c r="AS246" s="1"/>
  <c r="AR327"/>
  <c r="AS327" s="1"/>
  <c r="AR489"/>
  <c r="AS489" s="1"/>
  <c r="AR60"/>
  <c r="AS60" s="1"/>
  <c r="AR84"/>
  <c r="AS84" s="1"/>
  <c r="AR139"/>
  <c r="AS139" s="1"/>
  <c r="AR751"/>
  <c r="AS751" s="1"/>
  <c r="AR46"/>
  <c r="AS46" s="1"/>
  <c r="AR846"/>
  <c r="AS846" s="1"/>
  <c r="AR499"/>
  <c r="AS499" s="1"/>
  <c r="AR203"/>
  <c r="AS203" s="1"/>
  <c r="AR825"/>
  <c r="AS825" s="1"/>
  <c r="AR551"/>
  <c r="AS551" s="1"/>
  <c r="AR168"/>
  <c r="AS168" s="1"/>
  <c r="AR153"/>
  <c r="AS153" s="1"/>
  <c r="AR115"/>
  <c r="AS115" s="1"/>
  <c r="AR259"/>
  <c r="AS259" s="1"/>
  <c r="AR579"/>
  <c r="AS579" s="1"/>
  <c r="AR172"/>
  <c r="AS172" s="1"/>
  <c r="AR143"/>
  <c r="AS143" s="1"/>
  <c r="AR642"/>
  <c r="AS642" s="1"/>
  <c r="AR356"/>
  <c r="AS356" s="1"/>
  <c r="AR158"/>
  <c r="AS158" s="1"/>
  <c r="AR381"/>
  <c r="AS381" s="1"/>
  <c r="AR75"/>
  <c r="AS75" s="1"/>
  <c r="AR401"/>
  <c r="AS401" s="1"/>
  <c r="AR267"/>
  <c r="AS267" s="1"/>
  <c r="AR289"/>
  <c r="AS289" s="1"/>
  <c r="AR693"/>
  <c r="AS693" s="1"/>
  <c r="AR792"/>
  <c r="AS792" s="1"/>
  <c r="AR269"/>
  <c r="AS269" s="1"/>
  <c r="AR167"/>
  <c r="AS167" s="1"/>
  <c r="AR573"/>
  <c r="AS573" s="1"/>
  <c r="AR278"/>
  <c r="AS278" s="1"/>
  <c r="AR264"/>
  <c r="AS264" s="1"/>
  <c r="AR872"/>
  <c r="AS872" s="1"/>
  <c r="AR49"/>
  <c r="AS49" s="1"/>
  <c r="AR377"/>
  <c r="AS377" s="1"/>
  <c r="AR449"/>
  <c r="AS449" s="1"/>
  <c r="AR493"/>
  <c r="AS493" s="1"/>
  <c r="AR765"/>
  <c r="AS765" s="1"/>
  <c r="AR218"/>
  <c r="AS218" s="1"/>
  <c r="AR276"/>
  <c r="AS276" s="1"/>
  <c r="AR7"/>
  <c r="AR607"/>
  <c r="AS607" s="1"/>
  <c r="AR256"/>
  <c r="AS256" s="1"/>
  <c r="AR379"/>
  <c r="AS379" s="1"/>
  <c r="AR394"/>
  <c r="AS394" s="1"/>
  <c r="AR565"/>
  <c r="AS565" s="1"/>
  <c r="AR700"/>
  <c r="AS700" s="1"/>
  <c r="AR768"/>
  <c r="AS768" s="1"/>
  <c r="AR721"/>
  <c r="AS721" s="1"/>
  <c r="AR145"/>
  <c r="AS145" s="1"/>
  <c r="AR391"/>
  <c r="AS391" s="1"/>
  <c r="AR718"/>
  <c r="AS718" s="1"/>
  <c r="AR531"/>
  <c r="AS531" s="1"/>
  <c r="AR641"/>
  <c r="AS641" s="1"/>
  <c r="AR64"/>
  <c r="AS64" s="1"/>
  <c r="AR530"/>
  <c r="AS530" s="1"/>
  <c r="AR12"/>
  <c r="AS12" s="1"/>
  <c r="AR474"/>
  <c r="AS474" s="1"/>
  <c r="AR802"/>
  <c r="AS802" s="1"/>
  <c r="AR260"/>
  <c r="AS260" s="1"/>
  <c r="AR739"/>
  <c r="AS739" s="1"/>
  <c r="AR794"/>
  <c r="AS794" s="1"/>
  <c r="AR877"/>
  <c r="AS877" s="1"/>
  <c r="AR169"/>
  <c r="AS169" s="1"/>
  <c r="AR61"/>
  <c r="AS61" s="1"/>
  <c r="AR277"/>
  <c r="AS277" s="1"/>
  <c r="AR415"/>
  <c r="AS415" s="1"/>
  <c r="AR107"/>
  <c r="AS107" s="1"/>
  <c r="AR388"/>
  <c r="AS388" s="1"/>
  <c r="AR31"/>
  <c r="AS31" s="1"/>
  <c r="AR98"/>
  <c r="AS98" s="1"/>
  <c r="AR234"/>
  <c r="AS234" s="1"/>
  <c r="AR385"/>
  <c r="AS385" s="1"/>
  <c r="AR734"/>
  <c r="AS734" s="1"/>
  <c r="AR165"/>
  <c r="AS165" s="1"/>
  <c r="AR340"/>
  <c r="AS340" s="1"/>
  <c r="AR789"/>
  <c r="AS789" s="1"/>
  <c r="AR360"/>
  <c r="AS360" s="1"/>
  <c r="AR746"/>
  <c r="AS746" s="1"/>
  <c r="AR788"/>
  <c r="AS788" s="1"/>
  <c r="AR129"/>
  <c r="AS129" s="1"/>
  <c r="AR488"/>
  <c r="AS488" s="1"/>
  <c r="AR27"/>
  <c r="AS27" s="1"/>
  <c r="AR695"/>
  <c r="AS695" s="1"/>
  <c r="AR19"/>
  <c r="AS19" s="1"/>
  <c r="AR190"/>
  <c r="AS190" s="1"/>
  <c r="AR101"/>
  <c r="AS101" s="1"/>
  <c r="AR491"/>
  <c r="AS491" s="1"/>
  <c r="AR266"/>
  <c r="AS266" s="1"/>
  <c r="AR620"/>
  <c r="AS620" s="1"/>
  <c r="AR463"/>
  <c r="AS463" s="1"/>
  <c r="AR461"/>
  <c r="AS461" s="1"/>
  <c r="AR358"/>
  <c r="AS358" s="1"/>
  <c r="AR80"/>
  <c r="AS80" s="1"/>
  <c r="AR511"/>
  <c r="AS511" s="1"/>
  <c r="AR254"/>
  <c r="AS254" s="1"/>
  <c r="AR810"/>
  <c r="AS810" s="1"/>
  <c r="AR723"/>
  <c r="AS723" s="1"/>
  <c r="AR675"/>
  <c r="AS675" s="1"/>
  <c r="AR758"/>
  <c r="AS758" s="1"/>
  <c r="AR147"/>
  <c r="AS147" s="1"/>
  <c r="AR501"/>
  <c r="AS501" s="1"/>
  <c r="AR179"/>
  <c r="AS179" s="1"/>
  <c r="AR601"/>
  <c r="AS601" s="1"/>
  <c r="AR713"/>
  <c r="AS713" s="1"/>
  <c r="AR541"/>
  <c r="AS541" s="1"/>
  <c r="AR733"/>
  <c r="AS733" s="1"/>
  <c r="AR761"/>
  <c r="AS761" s="1"/>
  <c r="AR655"/>
  <c r="AS655" s="1"/>
  <c r="AR325"/>
  <c r="AS325" s="1"/>
  <c r="AR537"/>
  <c r="AS537" s="1"/>
  <c r="AR97"/>
  <c r="AS97" s="1"/>
  <c r="AR614"/>
  <c r="AS614" s="1"/>
  <c r="AR577"/>
  <c r="AS577" s="1"/>
  <c r="AR343"/>
  <c r="AS343" s="1"/>
  <c r="AR793"/>
  <c r="AS793" s="1"/>
  <c r="AR647"/>
  <c r="AS647" s="1"/>
  <c r="AR252"/>
  <c r="AS252" s="1"/>
  <c r="AR244"/>
  <c r="AS244" s="1"/>
  <c r="AR347"/>
  <c r="AS347" s="1"/>
  <c r="AR245"/>
  <c r="AS245" s="1"/>
  <c r="AR782"/>
  <c r="AS782" s="1"/>
  <c r="AR490"/>
  <c r="AS490" s="1"/>
  <c r="AR380"/>
  <c r="AS380" s="1"/>
  <c r="AR329"/>
  <c r="AS329" s="1"/>
  <c r="AR150"/>
  <c r="AS150" s="1"/>
  <c r="AR550"/>
  <c r="AS550" s="1"/>
  <c r="AR211"/>
  <c r="AS211" s="1"/>
  <c r="AR316"/>
  <c r="AS316" s="1"/>
  <c r="AR389"/>
  <c r="AS389" s="1"/>
  <c r="AR392"/>
  <c r="AS392" s="1"/>
  <c r="AR637"/>
  <c r="AS637" s="1"/>
  <c r="AR630"/>
  <c r="AS630" s="1"/>
  <c r="AR3"/>
  <c r="AS3" s="1"/>
  <c r="AR369"/>
  <c r="AS369" s="1"/>
  <c r="AR452"/>
  <c r="AS452" s="1"/>
  <c r="AR99"/>
  <c r="AS99" s="1"/>
  <c r="AR566"/>
  <c r="AS566" s="1"/>
  <c r="AR874"/>
  <c r="AS874" s="1"/>
  <c r="AR572"/>
  <c r="AS572" s="1"/>
  <c r="AR774"/>
  <c r="AS774" s="1"/>
  <c r="AR678"/>
  <c r="AS678" s="1"/>
  <c r="AR275"/>
  <c r="AS275" s="1"/>
  <c r="AR261"/>
  <c r="AS261" s="1"/>
  <c r="AR523"/>
  <c r="AS523" s="1"/>
  <c r="AR752"/>
  <c r="AS752" s="1"/>
  <c r="AR559"/>
  <c r="AS559" s="1"/>
  <c r="AR284"/>
  <c r="AS284" s="1"/>
  <c r="AR836"/>
  <c r="AS836" s="1"/>
  <c r="AR173"/>
  <c r="AS173" s="1"/>
  <c r="AR831"/>
  <c r="AS831" s="1"/>
  <c r="AR293"/>
  <c r="AS293" s="1"/>
  <c r="AR610"/>
  <c r="AS610" s="1"/>
  <c r="AR151"/>
  <c r="AS151" s="1"/>
  <c r="AR466"/>
  <c r="AS466" s="1"/>
  <c r="AR737"/>
  <c r="AS737" s="1"/>
  <c r="AR100"/>
  <c r="AS100" s="1"/>
  <c r="AR497"/>
  <c r="AS497" s="1"/>
  <c r="AR318"/>
  <c r="AS318" s="1"/>
  <c r="AR593"/>
  <c r="AS593" s="1"/>
  <c r="AR67"/>
  <c r="AS67" s="1"/>
  <c r="AR468"/>
  <c r="AS468" s="1"/>
  <c r="AR839"/>
  <c r="AS839" s="1"/>
  <c r="AR621"/>
  <c r="AS621" s="1"/>
  <c r="AR867"/>
  <c r="AS867" s="1"/>
  <c r="AR585"/>
  <c r="AS585" s="1"/>
  <c r="AR321"/>
  <c r="AS321" s="1"/>
  <c r="AR692"/>
  <c r="AS692" s="1"/>
  <c r="AR822"/>
  <c r="AS822" s="1"/>
  <c r="AR65"/>
  <c r="AS65" s="1"/>
  <c r="AR202"/>
  <c r="AS202" s="1"/>
  <c r="AR542"/>
  <c r="AS542" s="1"/>
  <c r="AR396"/>
  <c r="AS396" s="1"/>
  <c r="AR464"/>
  <c r="AS464" s="1"/>
  <c r="AR519"/>
  <c r="AS519" s="1"/>
  <c r="AR873"/>
  <c r="AS873" s="1"/>
  <c r="AR673"/>
  <c r="AS673" s="1"/>
  <c r="AR598"/>
  <c r="AS598" s="1"/>
  <c r="AR155"/>
  <c r="AS155" s="1"/>
  <c r="AR48"/>
  <c r="AS48" s="1"/>
  <c r="AR402"/>
  <c r="AS402" s="1"/>
  <c r="AR837"/>
  <c r="AS837" s="1"/>
  <c r="AR879"/>
  <c r="AS879" s="1"/>
  <c r="AR660"/>
  <c r="AS660" s="1"/>
  <c r="AR479"/>
  <c r="AS479" s="1"/>
  <c r="AR628"/>
  <c r="AS628" s="1"/>
  <c r="AR262"/>
  <c r="AS262" s="1"/>
  <c r="AR549"/>
  <c r="AS549" s="1"/>
  <c r="AR657"/>
  <c r="AS657" s="1"/>
  <c r="AR122"/>
  <c r="AS122" s="1"/>
  <c r="AR326"/>
  <c r="AS326" s="1"/>
  <c r="AR135"/>
  <c r="AS135" s="1"/>
  <c r="AR263"/>
  <c r="AS263" s="1"/>
  <c r="AR731"/>
  <c r="AS731" s="1"/>
  <c r="AR631"/>
  <c r="AS631" s="1"/>
  <c r="AR123"/>
  <c r="AS123" s="1"/>
  <c r="AR832"/>
  <c r="AS832" s="1"/>
  <c r="AR484"/>
  <c r="AS484" s="1"/>
  <c r="AR587"/>
  <c r="AS587" s="1"/>
  <c r="AR387"/>
  <c r="AS387" s="1"/>
  <c r="AR89"/>
  <c r="AS89" s="1"/>
  <c r="AR305"/>
  <c r="AS305" s="1"/>
  <c r="AR455"/>
  <c r="AS455" s="1"/>
  <c r="AR656"/>
  <c r="AS656" s="1"/>
  <c r="AR427"/>
  <c r="AS427" s="1"/>
  <c r="AR747"/>
  <c r="AS747" s="1"/>
  <c r="AR732"/>
  <c r="AS732" s="1"/>
  <c r="AR529"/>
  <c r="AS529" s="1"/>
  <c r="AR771"/>
  <c r="AS771" s="1"/>
  <c r="AR470"/>
  <c r="AS470" s="1"/>
  <c r="AR536"/>
  <c r="AS536" s="1"/>
  <c r="AR20"/>
  <c r="AS20" s="1"/>
  <c r="AR138"/>
  <c r="AS138" s="1"/>
  <c r="AR403"/>
  <c r="AS403" s="1"/>
  <c r="AR588"/>
  <c r="AS588" s="1"/>
  <c r="AR809"/>
  <c r="AS809" s="1"/>
  <c r="AR851"/>
  <c r="AS851" s="1"/>
  <c r="AR776"/>
  <c r="AS776" s="1"/>
  <c r="AR645"/>
  <c r="AS645" s="1"/>
  <c r="AR714"/>
  <c r="AS714" s="1"/>
  <c r="AR708"/>
  <c r="AS708" s="1"/>
  <c r="AR845"/>
  <c r="AS845" s="1"/>
  <c r="AR773"/>
  <c r="AS773" s="1"/>
  <c r="AR736"/>
  <c r="AS736" s="1"/>
  <c r="AR146"/>
  <c r="AS146" s="1"/>
  <c r="AR25"/>
  <c r="AS25" s="1"/>
  <c r="AR433"/>
  <c r="AS433" s="1"/>
  <c r="AR29"/>
  <c r="AS29" s="1"/>
  <c r="AR124"/>
  <c r="AS124" s="1"/>
  <c r="AR780"/>
  <c r="AS780" s="1"/>
  <c r="AR540"/>
  <c r="AS540" s="1"/>
  <c r="AR432"/>
  <c r="AS432" s="1"/>
  <c r="AR609"/>
  <c r="AS609" s="1"/>
  <c r="AR253"/>
  <c r="AS253" s="1"/>
  <c r="AR91"/>
  <c r="AS91" s="1"/>
  <c r="AR209"/>
  <c r="AS209" s="1"/>
  <c r="AR796"/>
  <c r="AS796" s="1"/>
  <c r="AR424"/>
  <c r="AS424" s="1"/>
  <c r="AR459"/>
  <c r="AS459" s="1"/>
  <c r="AR599"/>
  <c r="AS599" s="1"/>
  <c r="AR557"/>
  <c r="AS557" s="1"/>
  <c r="AR543"/>
  <c r="AS543" s="1"/>
  <c r="AR787"/>
  <c r="AS787" s="1"/>
  <c r="AR216"/>
  <c r="AS216" s="1"/>
  <c r="AR93"/>
  <c r="AS93" s="1"/>
  <c r="AR207"/>
  <c r="AS207" s="1"/>
  <c r="AR521"/>
  <c r="AS521" s="1"/>
  <c r="AR204"/>
  <c r="AS204" s="1"/>
  <c r="AR217"/>
  <c r="AS217" s="1"/>
  <c r="AR844"/>
  <c r="AS844" s="1"/>
  <c r="AR333"/>
  <c r="AS333" s="1"/>
  <c r="AR85"/>
  <c r="AS85" s="1"/>
  <c r="AR32"/>
  <c r="AS32" s="1"/>
  <c r="AR137"/>
  <c r="AS137" s="1"/>
  <c r="AR592"/>
  <c r="AS592" s="1"/>
  <c r="AR781"/>
  <c r="AS781" s="1"/>
  <c r="AR349"/>
  <c r="AS349" s="1"/>
  <c r="AR595"/>
  <c r="AS595" s="1"/>
  <c r="AR679"/>
  <c r="AS679" s="1"/>
  <c r="AR744"/>
  <c r="AS744" s="1"/>
  <c r="AR786"/>
  <c r="AS786" s="1"/>
  <c r="AR200"/>
  <c r="AS200" s="1"/>
  <c r="AR881"/>
  <c r="AS881" s="1"/>
  <c r="AR227"/>
  <c r="AS227" s="1"/>
  <c r="AR696"/>
  <c r="AS696" s="1"/>
  <c r="AR515"/>
  <c r="AS515" s="1"/>
  <c r="AR611"/>
  <c r="AS611" s="1"/>
  <c r="AR558"/>
  <c r="AS558" s="1"/>
  <c r="AR450"/>
  <c r="AS450" s="1"/>
  <c r="AR436"/>
  <c r="AS436" s="1"/>
  <c r="AR617"/>
  <c r="AS617" s="1"/>
  <c r="AR649"/>
  <c r="AS649" s="1"/>
  <c r="AR716"/>
  <c r="AS716" s="1"/>
  <c r="AR544"/>
  <c r="AS544" s="1"/>
  <c r="AR104"/>
  <c r="AS104" s="1"/>
  <c r="AR10"/>
  <c r="AS10" s="1"/>
  <c r="AR853"/>
  <c r="AS853" s="1"/>
  <c r="AR398"/>
  <c r="AS398" s="1"/>
  <c r="AR725"/>
  <c r="AS725" s="1"/>
  <c r="AR820"/>
  <c r="AS820" s="1"/>
  <c r="AR674"/>
  <c r="AS674" s="1"/>
  <c r="AR41"/>
  <c r="AS41" s="1"/>
  <c r="AR198"/>
  <c r="AS198" s="1"/>
  <c r="AR762"/>
  <c r="AS762" s="1"/>
  <c r="AR96"/>
  <c r="AS96" s="1"/>
  <c r="AR604"/>
  <c r="AS604" s="1"/>
  <c r="AR859"/>
  <c r="AS859" s="1"/>
  <c r="AR460"/>
  <c r="AS460" s="1"/>
  <c r="AR34"/>
  <c r="AS34" s="1"/>
  <c r="AR298"/>
  <c r="AS298" s="1"/>
  <c r="AR483"/>
  <c r="AS483" s="1"/>
  <c r="AR76"/>
  <c r="AS76" s="1"/>
  <c r="AR127"/>
  <c r="AS127" s="1"/>
  <c r="AR643"/>
  <c r="AS643" s="1"/>
  <c r="AR448"/>
  <c r="AS448" s="1"/>
  <c r="AR823"/>
  <c r="AS823" s="1"/>
  <c r="AR6"/>
  <c r="AS6" s="1"/>
  <c r="AR196"/>
  <c r="AS196" s="1"/>
  <c r="AR730"/>
  <c r="AS730" s="1"/>
  <c r="AR335"/>
  <c r="AS335" s="1"/>
  <c r="AR502"/>
  <c r="AS502" s="1"/>
  <c r="AR581"/>
  <c r="AS581" s="1"/>
  <c r="AR666"/>
  <c r="AS666" s="1"/>
  <c r="AR591"/>
  <c r="AS591" s="1"/>
  <c r="AR111"/>
  <c r="AS111" s="1"/>
  <c r="AR233"/>
  <c r="AS233" s="1"/>
  <c r="AR795"/>
  <c r="AS795" s="1"/>
  <c r="AR86"/>
  <c r="AS86" s="1"/>
  <c r="AR136"/>
  <c r="AS136" s="1"/>
  <c r="AR545"/>
  <c r="AS545" s="1"/>
  <c r="AR364"/>
  <c r="AS364" s="1"/>
  <c r="AR494"/>
  <c r="AS494" s="1"/>
  <c r="AR806"/>
  <c r="AS806" s="1"/>
  <c r="AR586"/>
  <c r="AS586" s="1"/>
  <c r="AR39"/>
  <c r="AS39" s="1"/>
  <c r="AR63"/>
  <c r="AS63" s="1"/>
  <c r="AR222"/>
  <c r="AS222" s="1"/>
  <c r="AR778"/>
  <c r="AS778" s="1"/>
  <c r="AR538"/>
  <c r="AS538" s="1"/>
  <c r="AR865"/>
  <c r="AS865" s="1"/>
  <c r="AR247"/>
  <c r="AS247" s="1"/>
  <c r="AR613"/>
  <c r="AS613" s="1"/>
  <c r="AR858"/>
  <c r="AS858" s="1"/>
  <c r="AR689"/>
  <c r="AS689" s="1"/>
  <c r="AR871"/>
  <c r="AS871" s="1"/>
  <c r="AR852"/>
  <c r="AS852" s="1"/>
  <c r="AR159"/>
  <c r="AS159" s="1"/>
  <c r="AR842"/>
  <c r="AS842" s="1"/>
  <c r="AR160"/>
  <c r="AS160" s="1"/>
  <c r="AR106"/>
  <c r="AS106" s="1"/>
  <c r="AR230"/>
  <c r="AS230" s="1"/>
  <c r="AR296"/>
  <c r="AS296" s="1"/>
  <c r="AR570"/>
  <c r="AS570" s="1"/>
  <c r="AR622"/>
  <c r="AS622" s="1"/>
  <c r="AR193"/>
  <c r="AS193" s="1"/>
  <c r="AR764"/>
  <c r="AS764" s="1"/>
  <c r="AR821"/>
  <c r="AS821" s="1"/>
  <c r="AR73"/>
  <c r="AS73" s="1"/>
  <c r="AR90"/>
  <c r="AS90" s="1"/>
  <c r="AR411"/>
  <c r="AS411" s="1"/>
  <c r="AR154"/>
  <c r="AS154" s="1"/>
  <c r="AR205"/>
  <c r="AS205" s="1"/>
  <c r="AR866"/>
  <c r="AS866" s="1"/>
  <c r="AR688"/>
  <c r="AS688" s="1"/>
  <c r="AR697"/>
  <c r="AS697" s="1"/>
  <c r="AR508"/>
  <c r="AS508" s="1"/>
  <c r="AR600"/>
  <c r="AS600" s="1"/>
  <c r="AR372"/>
  <c r="AS372" s="1"/>
  <c r="AR435"/>
  <c r="AS435" s="1"/>
  <c r="AR509"/>
  <c r="AS509" s="1"/>
  <c r="AR664"/>
  <c r="AS664" s="1"/>
  <c r="AR414"/>
  <c r="AS414" s="1"/>
  <c r="AR742"/>
  <c r="AS742" s="1"/>
  <c r="AR303"/>
  <c r="AS303" s="1"/>
  <c r="AR14"/>
  <c r="AS14" s="1"/>
  <c r="AR18"/>
  <c r="AS18" s="1"/>
  <c r="AS8"/>
  <c r="D14" i="3"/>
  <c r="D19" s="1"/>
  <c r="AC883" i="1"/>
  <c r="AD885"/>
  <c r="AD884"/>
  <c r="AD883"/>
  <c r="AB885"/>
  <c r="AC884"/>
  <c r="AA883"/>
  <c r="AA885"/>
  <c r="AA884"/>
  <c r="AB883"/>
  <c r="AC885"/>
  <c r="AB884"/>
  <c r="AF884"/>
  <c r="AF885"/>
  <c r="AF883"/>
  <c r="AN62"/>
  <c r="AL751"/>
  <c r="AO551"/>
  <c r="AL172"/>
  <c r="AL21"/>
  <c r="AN792"/>
  <c r="AN724"/>
  <c r="AM614"/>
  <c r="AL672"/>
  <c r="AL779"/>
  <c r="AN99"/>
  <c r="AL293"/>
  <c r="AN768"/>
  <c r="AN595"/>
  <c r="AO393"/>
  <c r="AL475"/>
  <c r="AL327"/>
  <c r="AL846"/>
  <c r="AL153"/>
  <c r="AN167"/>
  <c r="AN149"/>
  <c r="AN534"/>
  <c r="AL717"/>
  <c r="AN499"/>
  <c r="AL356"/>
  <c r="AL169"/>
  <c r="AO731"/>
  <c r="AO830"/>
  <c r="AL425"/>
  <c r="AL735"/>
  <c r="AN447"/>
  <c r="AL334"/>
  <c r="AL760"/>
  <c r="AN143"/>
  <c r="AM524"/>
  <c r="AN746"/>
  <c r="AL491"/>
  <c r="AL713"/>
  <c r="AN637"/>
  <c r="AL380"/>
  <c r="AL92"/>
  <c r="AL531"/>
  <c r="AN814"/>
  <c r="AL837"/>
  <c r="AN572"/>
  <c r="AL647"/>
  <c r="AM9"/>
  <c r="AL284"/>
  <c r="AL162"/>
  <c r="AL667"/>
  <c r="AL501"/>
  <c r="AL681"/>
  <c r="AM373"/>
  <c r="AL46"/>
  <c r="AL168"/>
  <c r="AL401"/>
  <c r="AL573"/>
  <c r="AL489"/>
  <c r="AN329"/>
  <c r="AN574"/>
  <c r="AN874"/>
  <c r="AL815"/>
  <c r="AL877"/>
  <c r="AL519"/>
  <c r="AM361"/>
  <c r="AN803"/>
  <c r="AN758"/>
  <c r="AL256"/>
  <c r="AL873"/>
  <c r="AL203"/>
  <c r="AL635"/>
  <c r="AL358"/>
  <c r="AM804"/>
  <c r="AL838"/>
  <c r="AL33"/>
  <c r="AL354"/>
  <c r="AL555"/>
  <c r="AN269"/>
  <c r="AM175"/>
  <c r="AL266"/>
  <c r="AL630"/>
  <c r="AN789"/>
  <c r="AM698"/>
  <c r="AL559"/>
  <c r="AL379"/>
  <c r="AL263"/>
  <c r="AN161"/>
  <c r="AL671"/>
  <c r="AL267"/>
  <c r="AN278"/>
  <c r="AL641"/>
  <c r="AN703"/>
  <c r="AL466"/>
  <c r="AL279"/>
  <c r="AN84"/>
  <c r="AN259"/>
  <c r="AN270"/>
  <c r="AL659"/>
  <c r="AL754"/>
  <c r="AL381"/>
  <c r="AL114"/>
  <c r="AL549"/>
  <c r="AL115"/>
  <c r="AM158"/>
  <c r="AL178"/>
  <c r="AL310"/>
  <c r="AL264"/>
  <c r="AN449"/>
  <c r="AN211"/>
  <c r="AL718"/>
  <c r="AM426"/>
  <c r="AL774"/>
  <c r="AN828"/>
  <c r="AL183"/>
  <c r="AL17"/>
  <c r="AL512"/>
  <c r="AL619"/>
  <c r="AL117"/>
  <c r="AL407"/>
  <c r="AL872"/>
  <c r="AN461"/>
  <c r="AL147"/>
  <c r="AL325"/>
  <c r="AO252"/>
  <c r="AL794"/>
  <c r="AN378"/>
  <c r="AM836"/>
  <c r="AL750"/>
  <c r="AL692"/>
  <c r="AL262"/>
  <c r="AL631"/>
  <c r="AL320"/>
  <c r="AL598"/>
  <c r="AM319"/>
  <c r="AO825"/>
  <c r="AL43"/>
  <c r="AM173"/>
  <c r="AL139"/>
  <c r="AL579"/>
  <c r="AN75"/>
  <c r="AL342"/>
  <c r="AM49"/>
  <c r="AL190"/>
  <c r="AL97"/>
  <c r="AL507"/>
  <c r="AM37"/>
  <c r="AL150"/>
  <c r="AL113"/>
  <c r="AL285"/>
  <c r="AL226"/>
  <c r="AL420"/>
  <c r="AN430"/>
  <c r="AN377"/>
  <c r="AL392"/>
  <c r="AL733"/>
  <c r="AL566"/>
  <c r="AL59"/>
  <c r="AN467"/>
  <c r="AL105"/>
  <c r="AL452"/>
  <c r="AO885" l="1"/>
  <c r="AO883"/>
  <c r="AO884"/>
  <c r="AL883"/>
  <c r="AL884"/>
  <c r="AL885"/>
  <c r="AM885"/>
  <c r="AM883"/>
  <c r="AM884"/>
  <c r="AN884"/>
  <c r="AN885"/>
  <c r="AN883"/>
  <c r="AR884"/>
  <c r="AS7"/>
  <c r="AS885" s="1"/>
  <c r="AR885"/>
  <c r="AS887"/>
  <c r="AR883"/>
  <c r="D16" i="3"/>
  <c r="D20"/>
  <c r="AS883" i="1" l="1"/>
  <c r="AS884"/>
  <c r="D17" i="3"/>
  <c r="D18"/>
</calcChain>
</file>

<file path=xl/sharedStrings.xml><?xml version="1.0" encoding="utf-8"?>
<sst xmlns="http://schemas.openxmlformats.org/spreadsheetml/2006/main" count="2854" uniqueCount="278">
  <si>
    <t>Team Name</t>
  </si>
  <si>
    <t>Team Id</t>
  </si>
  <si>
    <t>Team Score</t>
  </si>
  <si>
    <t>Passing Yards</t>
  </si>
  <si>
    <t>Passing Attempts</t>
  </si>
  <si>
    <t>Passing TDs</t>
  </si>
  <si>
    <t>Passing Completions</t>
  </si>
  <si>
    <t>INTs</t>
  </si>
  <si>
    <t>Rushing Yards</t>
  </si>
  <si>
    <t>Rushing Attempts</t>
  </si>
  <si>
    <t>Rushing TDs</t>
  </si>
  <si>
    <t>Fumbles</t>
  </si>
  <si>
    <t>Win</t>
  </si>
  <si>
    <t>Week Number</t>
  </si>
  <si>
    <t>Air Force</t>
  </si>
  <si>
    <t>South Dakota</t>
  </si>
  <si>
    <t>W</t>
  </si>
  <si>
    <t>Akron</t>
  </si>
  <si>
    <t>Ohio St.</t>
  </si>
  <si>
    <t>L</t>
  </si>
  <si>
    <t>Alabama</t>
  </si>
  <si>
    <t>Kent St.</t>
  </si>
  <si>
    <t>Arizona</t>
  </si>
  <si>
    <t>Northern Ariz.</t>
  </si>
  <si>
    <t>Arizona St.</t>
  </si>
  <si>
    <t>UC Davis</t>
  </si>
  <si>
    <t>Arkansas</t>
  </si>
  <si>
    <t>Missouri St.</t>
  </si>
  <si>
    <t>Arkansas St.</t>
  </si>
  <si>
    <t>Illinois</t>
  </si>
  <si>
    <t>Army</t>
  </si>
  <si>
    <t>Northern Ill.</t>
  </si>
  <si>
    <t>Auburn</t>
  </si>
  <si>
    <t>Utah St.</t>
  </si>
  <si>
    <t>Ball St.</t>
  </si>
  <si>
    <t>Indiana</t>
  </si>
  <si>
    <t>Baylor</t>
  </si>
  <si>
    <t>TCU</t>
  </si>
  <si>
    <t>Boise St.</t>
  </si>
  <si>
    <t>Georgia</t>
  </si>
  <si>
    <t>Boston College</t>
  </si>
  <si>
    <t>Northwestern</t>
  </si>
  <si>
    <t>Bowling Green</t>
  </si>
  <si>
    <t>Idaho</t>
  </si>
  <si>
    <t>Buffalo</t>
  </si>
  <si>
    <t>Pittsburgh</t>
  </si>
  <si>
    <t>BYU</t>
  </si>
  <si>
    <t>Ole Miss</t>
  </si>
  <si>
    <t>California</t>
  </si>
  <si>
    <t>Fresno St.</t>
  </si>
  <si>
    <t>Central Mich.</t>
  </si>
  <si>
    <t>South Carolina St.</t>
  </si>
  <si>
    <t>Cincinnati</t>
  </si>
  <si>
    <t>Austin Peay</t>
  </si>
  <si>
    <t>Clemson</t>
  </si>
  <si>
    <t>Troy</t>
  </si>
  <si>
    <t>Colorado</t>
  </si>
  <si>
    <t>Hawaii</t>
  </si>
  <si>
    <t>Colorado St.</t>
  </si>
  <si>
    <t>New Mexico</t>
  </si>
  <si>
    <t>Connecticut</t>
  </si>
  <si>
    <t>Fordham</t>
  </si>
  <si>
    <t>Duke</t>
  </si>
  <si>
    <t>Richmond</t>
  </si>
  <si>
    <t>East Carolina</t>
  </si>
  <si>
    <t>South Carolina</t>
  </si>
  <si>
    <t>FIU</t>
  </si>
  <si>
    <t>North Texas</t>
  </si>
  <si>
    <t>Fla. Atlantic</t>
  </si>
  <si>
    <t>Florida</t>
  </si>
  <si>
    <t>Florida St.</t>
  </si>
  <si>
    <t>La.-Monroe</t>
  </si>
  <si>
    <t>Georgia Tech</t>
  </si>
  <si>
    <t>Western Caro.</t>
  </si>
  <si>
    <t>Houston</t>
  </si>
  <si>
    <t>UCLA</t>
  </si>
  <si>
    <t>Iowa</t>
  </si>
  <si>
    <t>Tennessee Tech</t>
  </si>
  <si>
    <t>Iowa St.</t>
  </si>
  <si>
    <t>UNI</t>
  </si>
  <si>
    <t>Kansas</t>
  </si>
  <si>
    <t>McNeese St.</t>
  </si>
  <si>
    <t>Kansas St.</t>
  </si>
  <si>
    <t>Eastern Ky.</t>
  </si>
  <si>
    <t>Kentucky</t>
  </si>
  <si>
    <t>Western Ky.</t>
  </si>
  <si>
    <t>La.-Lafayette</t>
  </si>
  <si>
    <t>Oklahoma St.</t>
  </si>
  <si>
    <t>Louisiana Tech</t>
  </si>
  <si>
    <t>Southern Miss.</t>
  </si>
  <si>
    <t>Louisville</t>
  </si>
  <si>
    <t>Murray St.</t>
  </si>
  <si>
    <t>LSU</t>
  </si>
  <si>
    <t>Oregon</t>
  </si>
  <si>
    <t>Memphis</t>
  </si>
  <si>
    <t>Mississippi St.</t>
  </si>
  <si>
    <t>Miami (OH)</t>
  </si>
  <si>
    <t>Missouri</t>
  </si>
  <si>
    <t>Michigan St.</t>
  </si>
  <si>
    <t>Youngstown St.</t>
  </si>
  <si>
    <t>Middle Tenn.</t>
  </si>
  <si>
    <t>Purdue</t>
  </si>
  <si>
    <t>Minnesota</t>
  </si>
  <si>
    <t>Southern California</t>
  </si>
  <si>
    <t>Navy</t>
  </si>
  <si>
    <t>Delaware</t>
  </si>
  <si>
    <t>Nebraska</t>
  </si>
  <si>
    <t>Chattanooga</t>
  </si>
  <si>
    <t>New Mexico St.</t>
  </si>
  <si>
    <t>Ohio</t>
  </si>
  <si>
    <t>North Carolina</t>
  </si>
  <si>
    <t>James Madison</t>
  </si>
  <si>
    <t>North Carolina St.</t>
  </si>
  <si>
    <t>Liberty</t>
  </si>
  <si>
    <t>Notre Dame</t>
  </si>
  <si>
    <t>South Fla.</t>
  </si>
  <si>
    <t>Oklahoma</t>
  </si>
  <si>
    <t>Tulsa</t>
  </si>
  <si>
    <t>Oregon St.</t>
  </si>
  <si>
    <t>Sacramento St.</t>
  </si>
  <si>
    <t>Penn St.</t>
  </si>
  <si>
    <t>Indiana St.</t>
  </si>
  <si>
    <t>Rice</t>
  </si>
  <si>
    <t>Texas</t>
  </si>
  <si>
    <t>Rutgers</t>
  </si>
  <si>
    <t>N.C. Central</t>
  </si>
  <si>
    <t>San Diego St.</t>
  </si>
  <si>
    <t>Cal Poly</t>
  </si>
  <si>
    <t>San Jose St.</t>
  </si>
  <si>
    <t>Stanford</t>
  </si>
  <si>
    <t>Syracuse</t>
  </si>
  <si>
    <t>Wake Forest</t>
  </si>
  <si>
    <t>Temple</t>
  </si>
  <si>
    <t>Villanova</t>
  </si>
  <si>
    <t>Tennessee</t>
  </si>
  <si>
    <t>Montana</t>
  </si>
  <si>
    <t>Texas St.</t>
  </si>
  <si>
    <t>Texas Tech</t>
  </si>
  <si>
    <t>Toledo</t>
  </si>
  <si>
    <t>New Hampshire</t>
  </si>
  <si>
    <t>Tulane</t>
  </si>
  <si>
    <t>Southeastern La.</t>
  </si>
  <si>
    <t>UCF</t>
  </si>
  <si>
    <t>Charleston So.</t>
  </si>
  <si>
    <t>UNLV</t>
  </si>
  <si>
    <t>Wisconsin</t>
  </si>
  <si>
    <t>Utah</t>
  </si>
  <si>
    <t>Montana St.</t>
  </si>
  <si>
    <t>UTEP</t>
  </si>
  <si>
    <t>Stony Brook</t>
  </si>
  <si>
    <t>UTSA</t>
  </si>
  <si>
    <t>Northeastern St.</t>
  </si>
  <si>
    <t>Vanderbilt</t>
  </si>
  <si>
    <t>Elon</t>
  </si>
  <si>
    <t>Virginia</t>
  </si>
  <si>
    <t>William &amp; Mary</t>
  </si>
  <si>
    <t>Virginia Tech</t>
  </si>
  <si>
    <t>Appalachian St.</t>
  </si>
  <si>
    <t>Washington</t>
  </si>
  <si>
    <t>Eastern Wash.</t>
  </si>
  <si>
    <t>Washington St.</t>
  </si>
  <si>
    <t>Idaho St.</t>
  </si>
  <si>
    <t>Wyoming</t>
  </si>
  <si>
    <t>Weber St.</t>
  </si>
  <si>
    <t>Morgan St.</t>
  </si>
  <si>
    <t>Wofford</t>
  </si>
  <si>
    <t>Northern Colo.</t>
  </si>
  <si>
    <t>Eastern Mich.</t>
  </si>
  <si>
    <t>Howard</t>
  </si>
  <si>
    <t>Alabama St.</t>
  </si>
  <si>
    <t>UAB</t>
  </si>
  <si>
    <t>North Dakota</t>
  </si>
  <si>
    <t>South Dakota St.</t>
  </si>
  <si>
    <t>Grambling</t>
  </si>
  <si>
    <t>Central Ark.</t>
  </si>
  <si>
    <t>Northwestern St.</t>
  </si>
  <si>
    <t>Marshall</t>
  </si>
  <si>
    <t>West Virginia</t>
  </si>
  <si>
    <t>Maryland</t>
  </si>
  <si>
    <t>Miami (FL)</t>
  </si>
  <si>
    <t>Michigan</t>
  </si>
  <si>
    <t>Nevada</t>
  </si>
  <si>
    <t>Eastern Ill.</t>
  </si>
  <si>
    <t>Gardner-Webb</t>
  </si>
  <si>
    <t>Southern Ill.</t>
  </si>
  <si>
    <t>Maine</t>
  </si>
  <si>
    <t>SMU</t>
  </si>
  <si>
    <t>Texas A&amp;M</t>
  </si>
  <si>
    <t>Rhode Island</t>
  </si>
  <si>
    <t>McMurry</t>
  </si>
  <si>
    <t>Norfolk St.</t>
  </si>
  <si>
    <t>Western Mich.</t>
  </si>
  <si>
    <t>Nicholls St.</t>
  </si>
  <si>
    <t>Stephen F. Austin</t>
  </si>
  <si>
    <t>Presbyterian</t>
  </si>
  <si>
    <t>Coastal Caro.</t>
  </si>
  <si>
    <t>Western Ill.</t>
  </si>
  <si>
    <t>South Ala.</t>
  </si>
  <si>
    <t>Southeast Mo. St.</t>
  </si>
  <si>
    <t>Florida A&amp;M</t>
  </si>
  <si>
    <t>Southern Utah</t>
  </si>
  <si>
    <t>Tarleton St.</t>
  </si>
  <si>
    <t>Tennessee St.</t>
  </si>
  <si>
    <t>VMI</t>
  </si>
  <si>
    <t>Massachusetts</t>
  </si>
  <si>
    <t>Georgia St.</t>
  </si>
  <si>
    <t>North Dakota St.</t>
  </si>
  <si>
    <t>Sam Houston St.</t>
  </si>
  <si>
    <t>Portland St.</t>
  </si>
  <si>
    <t>Bacone</t>
  </si>
  <si>
    <t>Towson</t>
  </si>
  <si>
    <t>Bethune-Cookman</t>
  </si>
  <si>
    <t>Lamar</t>
  </si>
  <si>
    <t>Passing Efficiency</t>
  </si>
  <si>
    <t>Passing Defense Efficiency</t>
  </si>
  <si>
    <t>Averages</t>
  </si>
  <si>
    <t>Opp Team Name</t>
  </si>
  <si>
    <t>Opp Team Id</t>
  </si>
  <si>
    <t>Opp Team Score</t>
  </si>
  <si>
    <t>Opp Passing Yards</t>
  </si>
  <si>
    <t>Opp Passing Attempts</t>
  </si>
  <si>
    <t>Opp Passing TDs</t>
  </si>
  <si>
    <t>Opp Passing Completions</t>
  </si>
  <si>
    <t>Opp INTs</t>
  </si>
  <si>
    <t>Opp Rushing Yards</t>
  </si>
  <si>
    <t>Opp Rushing Attempts</t>
  </si>
  <si>
    <t>Opp Rushing TDs</t>
  </si>
  <si>
    <t>Opp Fumbles</t>
  </si>
  <si>
    <t>Rushing Efficiency</t>
  </si>
  <si>
    <t>Rushing Defense Efficiency</t>
  </si>
  <si>
    <t>Passing Weight</t>
  </si>
  <si>
    <t>Rushing Weight</t>
  </si>
  <si>
    <t>Against FCS Team</t>
  </si>
  <si>
    <t>Jacksonville St.</t>
  </si>
  <si>
    <t>Throw Out Pass Eff</t>
  </si>
  <si>
    <t>Throw Out Rush Eff</t>
  </si>
  <si>
    <t>Throw Out Pass Def Eff</t>
  </si>
  <si>
    <t>Throw Out Rush Def Eff</t>
  </si>
  <si>
    <t>Grand Total</t>
  </si>
  <si>
    <t>Average of Passing Efficiency</t>
  </si>
  <si>
    <t>Average of Passing Defense Efficiency</t>
  </si>
  <si>
    <t>Average of Rushing Efficiency</t>
  </si>
  <si>
    <t>Average of Rushing Defense Efficiency</t>
  </si>
  <si>
    <t>Weighted Passing Efficiency</t>
  </si>
  <si>
    <t>Weighted Passing Defense Efficiency</t>
  </si>
  <si>
    <t>Weighted Rushing Efficiency</t>
  </si>
  <si>
    <t>Weighted Rushing Defense Efficiency</t>
  </si>
  <si>
    <t>Average of Weighted Passing Efficiency</t>
  </si>
  <si>
    <t>Average of Weighted Passing Defense Efficiency</t>
  </si>
  <si>
    <t>Average of Weighted Rushing Efficiency</t>
  </si>
  <si>
    <t>Average of Weighted Rushing Defense Efficiency</t>
  </si>
  <si>
    <t>Team 1:</t>
  </si>
  <si>
    <t>Team 2:</t>
  </si>
  <si>
    <t>Passing</t>
  </si>
  <si>
    <t>Rushing</t>
  </si>
  <si>
    <t>Best Guess:</t>
  </si>
  <si>
    <t>Average of Passing Weight</t>
  </si>
  <si>
    <t>Average of Rushing Weight</t>
  </si>
  <si>
    <t>Efficiency Coefficient</t>
  </si>
  <si>
    <t>Winning Margin</t>
  </si>
  <si>
    <t>Total Score</t>
  </si>
  <si>
    <t>Efficiency Difference</t>
  </si>
  <si>
    <t>50% of the time:</t>
  </si>
  <si>
    <t>75% of the time:</t>
  </si>
  <si>
    <t>25% of the time:</t>
  </si>
  <si>
    <t>Spread:</t>
  </si>
  <si>
    <t>Scoring Margin</t>
  </si>
  <si>
    <t>Below y=0.2146x</t>
  </si>
  <si>
    <t>Below y=0.2146x + 7</t>
  </si>
  <si>
    <t>"+14"</t>
  </si>
  <si>
    <t>"+21"</t>
  </si>
  <si>
    <t>"-7"</t>
  </si>
  <si>
    <t>"-3"</t>
  </si>
  <si>
    <t>"-5"</t>
  </si>
  <si>
    <t>Chance of Beating the Spread:</t>
  </si>
  <si>
    <t>"-10"</t>
  </si>
  <si>
    <t>Diff</t>
  </si>
  <si>
    <t>Percent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</si>
</sst>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4659260841701"/>
      <name val="Calibri"/>
      <family val="2"/>
      <scheme val="minor"/>
    </font>
    <font>
      <sz val="11"/>
      <color theme="0" tint="-0.149967955565050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Protection="1">
      <protection locked="0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0" fontId="18" fillId="0" borderId="0" xfId="0" applyFont="1" applyProtection="1">
      <protection locked="0"/>
    </xf>
    <xf numFmtId="164" fontId="16" fillId="0" borderId="0" xfId="0" applyNumberFormat="1" applyFont="1"/>
    <xf numFmtId="2" fontId="19" fillId="0" borderId="0" xfId="0" applyNumberFormat="1" applyFont="1" applyProtection="1">
      <protection hidden="1"/>
    </xf>
    <xf numFmtId="2" fontId="20" fillId="0" borderId="0" xfId="0" applyNumberFormat="1" applyFont="1" applyProtection="1">
      <protection hidden="1"/>
    </xf>
    <xf numFmtId="2" fontId="16" fillId="0" borderId="0" xfId="0" applyNumberFormat="1" applyFont="1"/>
    <xf numFmtId="1" fontId="0" fillId="0" borderId="0" xfId="0" applyNumberFormat="1"/>
    <xf numFmtId="2" fontId="19" fillId="0" borderId="0" xfId="0" applyNumberFormat="1" applyFont="1"/>
    <xf numFmtId="10" fontId="16" fillId="0" borderId="0" xfId="0" applyNumberFormat="1" applyFont="1"/>
    <xf numFmtId="0" fontId="16" fillId="31" borderId="5" xfId="40" applyFont="1" applyBorder="1"/>
    <xf numFmtId="0" fontId="16" fillId="19" borderId="5" xfId="28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Eq val="1"/>
            <c:trendlineLbl>
              <c:numFmt formatCode="General" sourceLinked="0"/>
            </c:trendlineLbl>
          </c:trendline>
          <c:xVal>
            <c:numRef>
              <c:f>'Efficiency Math'!$B$2:$B$723</c:f>
              <c:numCache>
                <c:formatCode>0.00</c:formatCode>
                <c:ptCount val="722"/>
                <c:pt idx="0">
                  <c:v>16.370000000000005</c:v>
                </c:pt>
                <c:pt idx="1">
                  <c:v>132.85000000000002</c:v>
                </c:pt>
                <c:pt idx="2">
                  <c:v>95.769999999999953</c:v>
                </c:pt>
                <c:pt idx="3">
                  <c:v>86.110000000000014</c:v>
                </c:pt>
                <c:pt idx="4">
                  <c:v>184.89</c:v>
                </c:pt>
                <c:pt idx="5">
                  <c:v>133.66</c:v>
                </c:pt>
                <c:pt idx="6">
                  <c:v>80.549999999999983</c:v>
                </c:pt>
                <c:pt idx="7">
                  <c:v>61.300000000000011</c:v>
                </c:pt>
                <c:pt idx="8">
                  <c:v>95.449999999999989</c:v>
                </c:pt>
                <c:pt idx="9">
                  <c:v>164.82</c:v>
                </c:pt>
                <c:pt idx="10">
                  <c:v>102.06</c:v>
                </c:pt>
                <c:pt idx="11">
                  <c:v>256.83999999999997</c:v>
                </c:pt>
                <c:pt idx="12">
                  <c:v>163.80000000000001</c:v>
                </c:pt>
                <c:pt idx="13">
                  <c:v>109.34999999999997</c:v>
                </c:pt>
                <c:pt idx="14">
                  <c:v>105.54000000000002</c:v>
                </c:pt>
                <c:pt idx="15">
                  <c:v>292.79000000000008</c:v>
                </c:pt>
                <c:pt idx="16">
                  <c:v>105.56</c:v>
                </c:pt>
                <c:pt idx="17">
                  <c:v>125.85</c:v>
                </c:pt>
                <c:pt idx="18">
                  <c:v>116.49000000000001</c:v>
                </c:pt>
                <c:pt idx="19">
                  <c:v>157.27999999999997</c:v>
                </c:pt>
                <c:pt idx="20">
                  <c:v>52.09</c:v>
                </c:pt>
                <c:pt idx="21">
                  <c:v>40.789999999999992</c:v>
                </c:pt>
                <c:pt idx="22">
                  <c:v>136.71999999999997</c:v>
                </c:pt>
                <c:pt idx="23">
                  <c:v>89.02000000000001</c:v>
                </c:pt>
                <c:pt idx="24">
                  <c:v>2.3999999999999773</c:v>
                </c:pt>
                <c:pt idx="25">
                  <c:v>12.029999999999973</c:v>
                </c:pt>
                <c:pt idx="26">
                  <c:v>50.009999999999991</c:v>
                </c:pt>
                <c:pt idx="27">
                  <c:v>14.560000000000002</c:v>
                </c:pt>
                <c:pt idx="28">
                  <c:v>70.539999999999964</c:v>
                </c:pt>
                <c:pt idx="29">
                  <c:v>103.42000000000002</c:v>
                </c:pt>
                <c:pt idx="30">
                  <c:v>4.3599999999999852</c:v>
                </c:pt>
                <c:pt idx="31">
                  <c:v>163.80000000000001</c:v>
                </c:pt>
                <c:pt idx="32">
                  <c:v>86.28000000000003</c:v>
                </c:pt>
                <c:pt idx="33">
                  <c:v>92.94</c:v>
                </c:pt>
                <c:pt idx="34">
                  <c:v>82.35</c:v>
                </c:pt>
                <c:pt idx="35">
                  <c:v>100.85</c:v>
                </c:pt>
                <c:pt idx="36">
                  <c:v>174.57999999999998</c:v>
                </c:pt>
                <c:pt idx="37">
                  <c:v>73.269999999999982</c:v>
                </c:pt>
                <c:pt idx="38">
                  <c:v>27.560000000000002</c:v>
                </c:pt>
                <c:pt idx="39">
                  <c:v>49.330000000000041</c:v>
                </c:pt>
                <c:pt idx="40">
                  <c:v>84.739999999999952</c:v>
                </c:pt>
                <c:pt idx="41">
                  <c:v>90.990000000000009</c:v>
                </c:pt>
                <c:pt idx="42">
                  <c:v>5.6800000000000068</c:v>
                </c:pt>
                <c:pt idx="43">
                  <c:v>47.45999999999998</c:v>
                </c:pt>
                <c:pt idx="44">
                  <c:v>5.4800000000000182</c:v>
                </c:pt>
                <c:pt idx="45">
                  <c:v>35.170000000000016</c:v>
                </c:pt>
                <c:pt idx="46">
                  <c:v>27.319999999999993</c:v>
                </c:pt>
                <c:pt idx="47">
                  <c:v>92.940000000000026</c:v>
                </c:pt>
                <c:pt idx="48">
                  <c:v>85.669999999999959</c:v>
                </c:pt>
                <c:pt idx="49">
                  <c:v>124.15</c:v>
                </c:pt>
                <c:pt idx="50">
                  <c:v>38.47</c:v>
                </c:pt>
                <c:pt idx="51">
                  <c:v>68.16</c:v>
                </c:pt>
                <c:pt idx="52">
                  <c:v>9.4799999999999898</c:v>
                </c:pt>
                <c:pt idx="53">
                  <c:v>171.64</c:v>
                </c:pt>
                <c:pt idx="54">
                  <c:v>8.3800000000000239</c:v>
                </c:pt>
                <c:pt idx="55">
                  <c:v>15.230000000000018</c:v>
                </c:pt>
                <c:pt idx="56">
                  <c:v>37.289999999999964</c:v>
                </c:pt>
                <c:pt idx="57">
                  <c:v>236.54999999999995</c:v>
                </c:pt>
                <c:pt idx="58">
                  <c:v>112.69</c:v>
                </c:pt>
                <c:pt idx="59">
                  <c:v>12.800000000000011</c:v>
                </c:pt>
                <c:pt idx="60">
                  <c:v>42.309999999999974</c:v>
                </c:pt>
                <c:pt idx="61">
                  <c:v>106.97</c:v>
                </c:pt>
                <c:pt idx="62">
                  <c:v>10.699999999999989</c:v>
                </c:pt>
                <c:pt idx="63">
                  <c:v>87.38</c:v>
                </c:pt>
                <c:pt idx="64">
                  <c:v>31.860000000000014</c:v>
                </c:pt>
                <c:pt idx="65">
                  <c:v>92.020000000000039</c:v>
                </c:pt>
                <c:pt idx="66">
                  <c:v>92.22</c:v>
                </c:pt>
                <c:pt idx="67">
                  <c:v>212.12</c:v>
                </c:pt>
                <c:pt idx="68">
                  <c:v>86.110000000000014</c:v>
                </c:pt>
                <c:pt idx="69">
                  <c:v>27.300000000000011</c:v>
                </c:pt>
                <c:pt idx="70">
                  <c:v>154.52000000000001</c:v>
                </c:pt>
                <c:pt idx="71">
                  <c:v>19.109999999999985</c:v>
                </c:pt>
                <c:pt idx="72">
                  <c:v>37.899999999999977</c:v>
                </c:pt>
                <c:pt idx="73">
                  <c:v>51.069999999999993</c:v>
                </c:pt>
                <c:pt idx="74">
                  <c:v>98.62</c:v>
                </c:pt>
                <c:pt idx="75">
                  <c:v>116.18</c:v>
                </c:pt>
                <c:pt idx="76">
                  <c:v>70.39</c:v>
                </c:pt>
                <c:pt idx="77">
                  <c:v>88.71999999999997</c:v>
                </c:pt>
                <c:pt idx="78">
                  <c:v>217.8</c:v>
                </c:pt>
                <c:pt idx="79">
                  <c:v>89.580000000000041</c:v>
                </c:pt>
                <c:pt idx="80">
                  <c:v>89.269999999999982</c:v>
                </c:pt>
                <c:pt idx="81">
                  <c:v>82.610000000000014</c:v>
                </c:pt>
                <c:pt idx="82">
                  <c:v>9.4799999999999898</c:v>
                </c:pt>
                <c:pt idx="83">
                  <c:v>7.039999999999992</c:v>
                </c:pt>
                <c:pt idx="84">
                  <c:v>59.360000000000014</c:v>
                </c:pt>
                <c:pt idx="85">
                  <c:v>39.220000000000027</c:v>
                </c:pt>
                <c:pt idx="86">
                  <c:v>11.259999999999991</c:v>
                </c:pt>
                <c:pt idx="87">
                  <c:v>47.46999999999997</c:v>
                </c:pt>
                <c:pt idx="88">
                  <c:v>43.099999999999994</c:v>
                </c:pt>
                <c:pt idx="89">
                  <c:v>231.26999999999998</c:v>
                </c:pt>
                <c:pt idx="90">
                  <c:v>1.1199999999999761</c:v>
                </c:pt>
                <c:pt idx="91">
                  <c:v>75.02000000000001</c:v>
                </c:pt>
                <c:pt idx="92">
                  <c:v>50.879999999999995</c:v>
                </c:pt>
                <c:pt idx="93">
                  <c:v>103.29000000000002</c:v>
                </c:pt>
                <c:pt idx="94">
                  <c:v>46.260000000000019</c:v>
                </c:pt>
                <c:pt idx="95">
                  <c:v>13.299999999999983</c:v>
                </c:pt>
                <c:pt idx="96">
                  <c:v>42.579999999999984</c:v>
                </c:pt>
                <c:pt idx="97">
                  <c:v>73.96999999999997</c:v>
                </c:pt>
                <c:pt idx="98">
                  <c:v>66.659999999999982</c:v>
                </c:pt>
                <c:pt idx="99">
                  <c:v>141.20999999999998</c:v>
                </c:pt>
                <c:pt idx="100">
                  <c:v>77.539999999999992</c:v>
                </c:pt>
                <c:pt idx="101">
                  <c:v>0.46999999999999886</c:v>
                </c:pt>
                <c:pt idx="102">
                  <c:v>178.44</c:v>
                </c:pt>
                <c:pt idx="103">
                  <c:v>86.610000000000014</c:v>
                </c:pt>
                <c:pt idx="104">
                  <c:v>46.53</c:v>
                </c:pt>
                <c:pt idx="105">
                  <c:v>15.230000000000018</c:v>
                </c:pt>
                <c:pt idx="106">
                  <c:v>34.999999999999943</c:v>
                </c:pt>
                <c:pt idx="107">
                  <c:v>80.550000000000011</c:v>
                </c:pt>
                <c:pt idx="108">
                  <c:v>177.65</c:v>
                </c:pt>
                <c:pt idx="109">
                  <c:v>78.420000000000016</c:v>
                </c:pt>
                <c:pt idx="110">
                  <c:v>84.920000000000016</c:v>
                </c:pt>
                <c:pt idx="111">
                  <c:v>43.239999999999981</c:v>
                </c:pt>
                <c:pt idx="112">
                  <c:v>67.509999999999991</c:v>
                </c:pt>
                <c:pt idx="113">
                  <c:v>5.4800000000000182</c:v>
                </c:pt>
                <c:pt idx="114">
                  <c:v>15.080000000000013</c:v>
                </c:pt>
                <c:pt idx="115">
                  <c:v>18.810000000000002</c:v>
                </c:pt>
                <c:pt idx="116">
                  <c:v>51.069999999999993</c:v>
                </c:pt>
                <c:pt idx="117">
                  <c:v>56.75</c:v>
                </c:pt>
                <c:pt idx="118">
                  <c:v>9.4699999999999989</c:v>
                </c:pt>
                <c:pt idx="119">
                  <c:v>110.92000000000002</c:v>
                </c:pt>
                <c:pt idx="120">
                  <c:v>13.299999999999983</c:v>
                </c:pt>
                <c:pt idx="121">
                  <c:v>47.06</c:v>
                </c:pt>
                <c:pt idx="122">
                  <c:v>54.509999999999991</c:v>
                </c:pt>
                <c:pt idx="123">
                  <c:v>12.95999999999998</c:v>
                </c:pt>
                <c:pt idx="124">
                  <c:v>116.53000000000003</c:v>
                </c:pt>
                <c:pt idx="125">
                  <c:v>164.09999999999997</c:v>
                </c:pt>
                <c:pt idx="126">
                  <c:v>179.21000000000004</c:v>
                </c:pt>
                <c:pt idx="127">
                  <c:v>44</c:v>
                </c:pt>
                <c:pt idx="128">
                  <c:v>47.06</c:v>
                </c:pt>
                <c:pt idx="129">
                  <c:v>62.34</c:v>
                </c:pt>
                <c:pt idx="130">
                  <c:v>16.230000000000018</c:v>
                </c:pt>
                <c:pt idx="131">
                  <c:v>212.11999999999998</c:v>
                </c:pt>
                <c:pt idx="132">
                  <c:v>186.82999999999998</c:v>
                </c:pt>
                <c:pt idx="133">
                  <c:v>65.34</c:v>
                </c:pt>
                <c:pt idx="134">
                  <c:v>36.639999999999986</c:v>
                </c:pt>
                <c:pt idx="135">
                  <c:v>7.0399999999999636</c:v>
                </c:pt>
                <c:pt idx="136">
                  <c:v>88.02000000000001</c:v>
                </c:pt>
                <c:pt idx="137">
                  <c:v>39.289999999999992</c:v>
                </c:pt>
                <c:pt idx="138">
                  <c:v>36.759999999999991</c:v>
                </c:pt>
                <c:pt idx="139">
                  <c:v>171.88000000000002</c:v>
                </c:pt>
                <c:pt idx="140">
                  <c:v>19.109999999999985</c:v>
                </c:pt>
                <c:pt idx="141">
                  <c:v>56.690000000000026</c:v>
                </c:pt>
                <c:pt idx="142">
                  <c:v>38.909999999999968</c:v>
                </c:pt>
                <c:pt idx="143">
                  <c:v>38.81</c:v>
                </c:pt>
                <c:pt idx="144">
                  <c:v>61.25</c:v>
                </c:pt>
                <c:pt idx="145">
                  <c:v>111.05000000000001</c:v>
                </c:pt>
                <c:pt idx="146">
                  <c:v>54.240000000000009</c:v>
                </c:pt>
                <c:pt idx="147">
                  <c:v>135.72999999999999</c:v>
                </c:pt>
                <c:pt idx="148">
                  <c:v>199.36</c:v>
                </c:pt>
                <c:pt idx="149">
                  <c:v>120.62999999999997</c:v>
                </c:pt>
                <c:pt idx="150">
                  <c:v>17.579999999999984</c:v>
                </c:pt>
                <c:pt idx="151">
                  <c:v>96.850000000000009</c:v>
                </c:pt>
                <c:pt idx="152">
                  <c:v>162.45000000000002</c:v>
                </c:pt>
                <c:pt idx="153">
                  <c:v>105.07999999999998</c:v>
                </c:pt>
                <c:pt idx="154">
                  <c:v>30.740000000000009</c:v>
                </c:pt>
                <c:pt idx="155">
                  <c:v>9.1599999999999966</c:v>
                </c:pt>
                <c:pt idx="156">
                  <c:v>38.650000000000006</c:v>
                </c:pt>
                <c:pt idx="157">
                  <c:v>38.909999999999968</c:v>
                </c:pt>
                <c:pt idx="158">
                  <c:v>61.300000000000011</c:v>
                </c:pt>
                <c:pt idx="159">
                  <c:v>84.739999999999981</c:v>
                </c:pt>
                <c:pt idx="160">
                  <c:v>145.11999999999998</c:v>
                </c:pt>
                <c:pt idx="161">
                  <c:v>35.170000000000016</c:v>
                </c:pt>
                <c:pt idx="162">
                  <c:v>17.420000000000016</c:v>
                </c:pt>
                <c:pt idx="163">
                  <c:v>13.040000000000049</c:v>
                </c:pt>
                <c:pt idx="164">
                  <c:v>92.88</c:v>
                </c:pt>
                <c:pt idx="165">
                  <c:v>75.149999999999991</c:v>
                </c:pt>
                <c:pt idx="166">
                  <c:v>145.12</c:v>
                </c:pt>
                <c:pt idx="167">
                  <c:v>123.43</c:v>
                </c:pt>
                <c:pt idx="168">
                  <c:v>124.54999999999998</c:v>
                </c:pt>
                <c:pt idx="169">
                  <c:v>145.29000000000002</c:v>
                </c:pt>
                <c:pt idx="170">
                  <c:v>109.34999999999997</c:v>
                </c:pt>
                <c:pt idx="171">
                  <c:v>85.669999999999987</c:v>
                </c:pt>
                <c:pt idx="172">
                  <c:v>72.600000000000023</c:v>
                </c:pt>
                <c:pt idx="173">
                  <c:v>64.09</c:v>
                </c:pt>
                <c:pt idx="174">
                  <c:v>15.079999999999984</c:v>
                </c:pt>
                <c:pt idx="175">
                  <c:v>29.120000000000005</c:v>
                </c:pt>
                <c:pt idx="176">
                  <c:v>110.74000000000001</c:v>
                </c:pt>
                <c:pt idx="177">
                  <c:v>46.259999999999991</c:v>
                </c:pt>
                <c:pt idx="178">
                  <c:v>52.69</c:v>
                </c:pt>
                <c:pt idx="179">
                  <c:v>93.419999999999959</c:v>
                </c:pt>
                <c:pt idx="180">
                  <c:v>33.75</c:v>
                </c:pt>
                <c:pt idx="181">
                  <c:v>92.22</c:v>
                </c:pt>
                <c:pt idx="182">
                  <c:v>38.010000000000019</c:v>
                </c:pt>
                <c:pt idx="183">
                  <c:v>25.839999999999975</c:v>
                </c:pt>
                <c:pt idx="184">
                  <c:v>10.699999999999989</c:v>
                </c:pt>
                <c:pt idx="185">
                  <c:v>16.5</c:v>
                </c:pt>
                <c:pt idx="186">
                  <c:v>127.59000000000003</c:v>
                </c:pt>
                <c:pt idx="187">
                  <c:v>44.620000000000033</c:v>
                </c:pt>
                <c:pt idx="188">
                  <c:v>122.39999999999998</c:v>
                </c:pt>
                <c:pt idx="189">
                  <c:v>22.70999999999998</c:v>
                </c:pt>
                <c:pt idx="190">
                  <c:v>9.7400000000000091</c:v>
                </c:pt>
                <c:pt idx="191">
                  <c:v>110.92000000000002</c:v>
                </c:pt>
                <c:pt idx="192">
                  <c:v>83.54000000000002</c:v>
                </c:pt>
                <c:pt idx="193">
                  <c:v>156.86999999999998</c:v>
                </c:pt>
                <c:pt idx="194">
                  <c:v>153.07</c:v>
                </c:pt>
                <c:pt idx="195">
                  <c:v>54.340000000000032</c:v>
                </c:pt>
                <c:pt idx="196">
                  <c:v>102.84000000000003</c:v>
                </c:pt>
                <c:pt idx="197">
                  <c:v>42.510000000000019</c:v>
                </c:pt>
                <c:pt idx="198">
                  <c:v>22.96999999999997</c:v>
                </c:pt>
                <c:pt idx="199">
                  <c:v>59.329999999999984</c:v>
                </c:pt>
                <c:pt idx="200">
                  <c:v>0.15000000000003411</c:v>
                </c:pt>
                <c:pt idx="201">
                  <c:v>43.050000000000011</c:v>
                </c:pt>
                <c:pt idx="202">
                  <c:v>199.36</c:v>
                </c:pt>
                <c:pt idx="203">
                  <c:v>135.40999999999997</c:v>
                </c:pt>
                <c:pt idx="204">
                  <c:v>116.17999999999999</c:v>
                </c:pt>
                <c:pt idx="205">
                  <c:v>69.81</c:v>
                </c:pt>
                <c:pt idx="206">
                  <c:v>93.419999999999973</c:v>
                </c:pt>
                <c:pt idx="207">
                  <c:v>43.429999999999978</c:v>
                </c:pt>
                <c:pt idx="208">
                  <c:v>100.19</c:v>
                </c:pt>
                <c:pt idx="209">
                  <c:v>85.490000000000009</c:v>
                </c:pt>
                <c:pt idx="210">
                  <c:v>100.85000000000002</c:v>
                </c:pt>
                <c:pt idx="211">
                  <c:v>12.029999999999973</c:v>
                </c:pt>
                <c:pt idx="212">
                  <c:v>87.889999999999986</c:v>
                </c:pt>
                <c:pt idx="213">
                  <c:v>61.870000000000005</c:v>
                </c:pt>
                <c:pt idx="214">
                  <c:v>137.17000000000002</c:v>
                </c:pt>
                <c:pt idx="215">
                  <c:v>1.9900000000000091</c:v>
                </c:pt>
                <c:pt idx="216">
                  <c:v>38.47</c:v>
                </c:pt>
                <c:pt idx="217">
                  <c:v>6.2399999999999807</c:v>
                </c:pt>
                <c:pt idx="218">
                  <c:v>82.359999999999985</c:v>
                </c:pt>
                <c:pt idx="219">
                  <c:v>46.799999999999983</c:v>
                </c:pt>
                <c:pt idx="220">
                  <c:v>137.17000000000002</c:v>
                </c:pt>
                <c:pt idx="221">
                  <c:v>178.01000000000002</c:v>
                </c:pt>
                <c:pt idx="222">
                  <c:v>86.810000000000031</c:v>
                </c:pt>
                <c:pt idx="223">
                  <c:v>6.9399999999999977</c:v>
                </c:pt>
                <c:pt idx="224">
                  <c:v>18.659999999999997</c:v>
                </c:pt>
                <c:pt idx="225">
                  <c:v>94.800000000000011</c:v>
                </c:pt>
                <c:pt idx="226">
                  <c:v>88.4</c:v>
                </c:pt>
                <c:pt idx="227">
                  <c:v>63.309999999999974</c:v>
                </c:pt>
                <c:pt idx="228">
                  <c:v>86.810000000000031</c:v>
                </c:pt>
                <c:pt idx="229">
                  <c:v>6.9399999999999977</c:v>
                </c:pt>
                <c:pt idx="230">
                  <c:v>36.639999999999986</c:v>
                </c:pt>
                <c:pt idx="231">
                  <c:v>70.890000000000015</c:v>
                </c:pt>
                <c:pt idx="232">
                  <c:v>42.309999999999974</c:v>
                </c:pt>
                <c:pt idx="233">
                  <c:v>84.359999999999985</c:v>
                </c:pt>
                <c:pt idx="234">
                  <c:v>60.850000000000023</c:v>
                </c:pt>
                <c:pt idx="235">
                  <c:v>44.840000000000032</c:v>
                </c:pt>
                <c:pt idx="236">
                  <c:v>4.1599999999999682</c:v>
                </c:pt>
                <c:pt idx="237">
                  <c:v>77.789999999999964</c:v>
                </c:pt>
                <c:pt idx="238">
                  <c:v>69.169999999999959</c:v>
                </c:pt>
                <c:pt idx="239">
                  <c:v>147.55000000000001</c:v>
                </c:pt>
                <c:pt idx="240">
                  <c:v>97.899999999999977</c:v>
                </c:pt>
                <c:pt idx="241">
                  <c:v>29.599999999999966</c:v>
                </c:pt>
                <c:pt idx="242">
                  <c:v>12.800000000000011</c:v>
                </c:pt>
                <c:pt idx="243">
                  <c:v>1.3000000000000114</c:v>
                </c:pt>
                <c:pt idx="244">
                  <c:v>39.610000000000014</c:v>
                </c:pt>
                <c:pt idx="245">
                  <c:v>147.55000000000001</c:v>
                </c:pt>
                <c:pt idx="246">
                  <c:v>164.82</c:v>
                </c:pt>
                <c:pt idx="247">
                  <c:v>3.5599999999999739</c:v>
                </c:pt>
                <c:pt idx="248">
                  <c:v>97.9</c:v>
                </c:pt>
                <c:pt idx="249">
                  <c:v>80.47</c:v>
                </c:pt>
                <c:pt idx="250">
                  <c:v>212.75</c:v>
                </c:pt>
                <c:pt idx="251">
                  <c:v>30.710000000000022</c:v>
                </c:pt>
                <c:pt idx="252">
                  <c:v>10.969999999999999</c:v>
                </c:pt>
                <c:pt idx="253">
                  <c:v>77.539999999999992</c:v>
                </c:pt>
                <c:pt idx="254">
                  <c:v>95.63000000000001</c:v>
                </c:pt>
                <c:pt idx="255">
                  <c:v>145.29</c:v>
                </c:pt>
                <c:pt idx="256">
                  <c:v>95.52</c:v>
                </c:pt>
                <c:pt idx="257">
                  <c:v>252.45</c:v>
                </c:pt>
                <c:pt idx="258">
                  <c:v>91.200000000000017</c:v>
                </c:pt>
                <c:pt idx="259">
                  <c:v>3.5600000000000307</c:v>
                </c:pt>
                <c:pt idx="260">
                  <c:v>38.650000000000006</c:v>
                </c:pt>
                <c:pt idx="261">
                  <c:v>17.420000000000016</c:v>
                </c:pt>
                <c:pt idx="262">
                  <c:v>32.329999999999984</c:v>
                </c:pt>
                <c:pt idx="263">
                  <c:v>79.680000000000007</c:v>
                </c:pt>
                <c:pt idx="264">
                  <c:v>63.069999999999993</c:v>
                </c:pt>
                <c:pt idx="265">
                  <c:v>72.599999999999994</c:v>
                </c:pt>
                <c:pt idx="266">
                  <c:v>55.539999999999992</c:v>
                </c:pt>
                <c:pt idx="267">
                  <c:v>94.799999999999983</c:v>
                </c:pt>
                <c:pt idx="268">
                  <c:v>49.33</c:v>
                </c:pt>
                <c:pt idx="269">
                  <c:v>215.23000000000002</c:v>
                </c:pt>
                <c:pt idx="270">
                  <c:v>48.170000000000016</c:v>
                </c:pt>
                <c:pt idx="271">
                  <c:v>34.69</c:v>
                </c:pt>
                <c:pt idx="272">
                  <c:v>0.15000000000003411</c:v>
                </c:pt>
                <c:pt idx="273">
                  <c:v>11.400000000000006</c:v>
                </c:pt>
                <c:pt idx="274">
                  <c:v>54.34</c:v>
                </c:pt>
                <c:pt idx="275">
                  <c:v>100.19</c:v>
                </c:pt>
                <c:pt idx="276">
                  <c:v>36.930000000000007</c:v>
                </c:pt>
                <c:pt idx="277">
                  <c:v>30.740000000000009</c:v>
                </c:pt>
                <c:pt idx="278">
                  <c:v>95.630000000000024</c:v>
                </c:pt>
                <c:pt idx="279">
                  <c:v>25.039999999999992</c:v>
                </c:pt>
                <c:pt idx="280">
                  <c:v>31.849999999999966</c:v>
                </c:pt>
                <c:pt idx="281">
                  <c:v>84.920000000000016</c:v>
                </c:pt>
                <c:pt idx="282">
                  <c:v>74.799999999999983</c:v>
                </c:pt>
                <c:pt idx="283">
                  <c:v>28.120000000000005</c:v>
                </c:pt>
                <c:pt idx="284">
                  <c:v>103.35999999999996</c:v>
                </c:pt>
                <c:pt idx="285">
                  <c:v>78.439999999999969</c:v>
                </c:pt>
                <c:pt idx="286">
                  <c:v>95.52000000000001</c:v>
                </c:pt>
                <c:pt idx="287">
                  <c:v>121.76999999999998</c:v>
                </c:pt>
                <c:pt idx="288">
                  <c:v>124.15000000000003</c:v>
                </c:pt>
                <c:pt idx="289">
                  <c:v>9.0199999999999818</c:v>
                </c:pt>
                <c:pt idx="290">
                  <c:v>57.840000000000032</c:v>
                </c:pt>
                <c:pt idx="291">
                  <c:v>114.85000000000002</c:v>
                </c:pt>
                <c:pt idx="292">
                  <c:v>143.64999999999998</c:v>
                </c:pt>
                <c:pt idx="293">
                  <c:v>25.039999999999964</c:v>
                </c:pt>
                <c:pt idx="294">
                  <c:v>101.53999999999999</c:v>
                </c:pt>
                <c:pt idx="295">
                  <c:v>15.740000000000009</c:v>
                </c:pt>
                <c:pt idx="296">
                  <c:v>135.40999999999997</c:v>
                </c:pt>
                <c:pt idx="297">
                  <c:v>32.800000000000011</c:v>
                </c:pt>
                <c:pt idx="298">
                  <c:v>45.989999999999981</c:v>
                </c:pt>
                <c:pt idx="299">
                  <c:v>9.7399999999999807</c:v>
                </c:pt>
                <c:pt idx="300">
                  <c:v>56.75</c:v>
                </c:pt>
                <c:pt idx="301">
                  <c:v>110.74000000000001</c:v>
                </c:pt>
                <c:pt idx="302">
                  <c:v>179.03000000000003</c:v>
                </c:pt>
                <c:pt idx="303">
                  <c:v>174.58</c:v>
                </c:pt>
                <c:pt idx="304">
                  <c:v>168.39000000000001</c:v>
                </c:pt>
                <c:pt idx="305">
                  <c:v>45.990000000000009</c:v>
                </c:pt>
                <c:pt idx="306">
                  <c:v>65.079999999999984</c:v>
                </c:pt>
                <c:pt idx="307">
                  <c:v>120.63000000000001</c:v>
                </c:pt>
                <c:pt idx="308">
                  <c:v>10.389999999999986</c:v>
                </c:pt>
                <c:pt idx="309">
                  <c:v>32.800000000000011</c:v>
                </c:pt>
                <c:pt idx="310">
                  <c:v>104.67000000000002</c:v>
                </c:pt>
                <c:pt idx="311">
                  <c:v>29.599999999999966</c:v>
                </c:pt>
                <c:pt idx="312">
                  <c:v>26.45999999999998</c:v>
                </c:pt>
                <c:pt idx="313">
                  <c:v>35.820000000000022</c:v>
                </c:pt>
                <c:pt idx="314">
                  <c:v>61.400000000000006</c:v>
                </c:pt>
                <c:pt idx="315">
                  <c:v>32.849999999999966</c:v>
                </c:pt>
                <c:pt idx="316">
                  <c:v>88.72</c:v>
                </c:pt>
                <c:pt idx="317">
                  <c:v>78.42</c:v>
                </c:pt>
                <c:pt idx="318">
                  <c:v>30.710000000000022</c:v>
                </c:pt>
                <c:pt idx="319">
                  <c:v>151.51</c:v>
                </c:pt>
                <c:pt idx="320">
                  <c:v>8.2900000000000205</c:v>
                </c:pt>
                <c:pt idx="321">
                  <c:v>59.420000000000016</c:v>
                </c:pt>
                <c:pt idx="322">
                  <c:v>202.64</c:v>
                </c:pt>
                <c:pt idx="323">
                  <c:v>2.1200000000000045</c:v>
                </c:pt>
                <c:pt idx="324">
                  <c:v>88.670000000000016</c:v>
                </c:pt>
                <c:pt idx="325">
                  <c:v>60.890000000000015</c:v>
                </c:pt>
                <c:pt idx="326">
                  <c:v>178.44</c:v>
                </c:pt>
                <c:pt idx="327">
                  <c:v>40.489999999999981</c:v>
                </c:pt>
                <c:pt idx="328">
                  <c:v>88.670000000000044</c:v>
                </c:pt>
                <c:pt idx="329">
                  <c:v>31.240000000000009</c:v>
                </c:pt>
                <c:pt idx="330">
                  <c:v>5.4999999999999716</c:v>
                </c:pt>
                <c:pt idx="331">
                  <c:v>6.1500000000000057</c:v>
                </c:pt>
                <c:pt idx="332">
                  <c:v>45.990000000000009</c:v>
                </c:pt>
                <c:pt idx="333">
                  <c:v>29.829999999999984</c:v>
                </c:pt>
                <c:pt idx="334">
                  <c:v>75.149999999999977</c:v>
                </c:pt>
                <c:pt idx="335">
                  <c:v>0.61999999999997613</c:v>
                </c:pt>
                <c:pt idx="336">
                  <c:v>3.5699999999999932</c:v>
                </c:pt>
                <c:pt idx="337">
                  <c:v>32.849999999999966</c:v>
                </c:pt>
                <c:pt idx="338">
                  <c:v>202.64</c:v>
                </c:pt>
                <c:pt idx="339">
                  <c:v>111.87</c:v>
                </c:pt>
                <c:pt idx="340">
                  <c:v>93.360000000000014</c:v>
                </c:pt>
                <c:pt idx="341">
                  <c:v>179.03000000000003</c:v>
                </c:pt>
                <c:pt idx="342">
                  <c:v>47.45999999999998</c:v>
                </c:pt>
                <c:pt idx="343">
                  <c:v>103.35999999999999</c:v>
                </c:pt>
                <c:pt idx="344">
                  <c:v>11.400000000000006</c:v>
                </c:pt>
                <c:pt idx="345">
                  <c:v>44.61999999999999</c:v>
                </c:pt>
                <c:pt idx="346">
                  <c:v>95.049999999999983</c:v>
                </c:pt>
                <c:pt idx="347">
                  <c:v>14.22999999999999</c:v>
                </c:pt>
                <c:pt idx="348">
                  <c:v>61.400000000000006</c:v>
                </c:pt>
                <c:pt idx="349">
                  <c:v>2.3999999999999773</c:v>
                </c:pt>
                <c:pt idx="350">
                  <c:v>30.920000000000016</c:v>
                </c:pt>
                <c:pt idx="351">
                  <c:v>1.3000000000000114</c:v>
                </c:pt>
                <c:pt idx="352">
                  <c:v>84.359999999999985</c:v>
                </c:pt>
                <c:pt idx="353">
                  <c:v>87.009999999999962</c:v>
                </c:pt>
                <c:pt idx="354">
                  <c:v>17.579999999999984</c:v>
                </c:pt>
                <c:pt idx="355">
                  <c:v>52.69</c:v>
                </c:pt>
                <c:pt idx="356">
                  <c:v>36.379999999999995</c:v>
                </c:pt>
                <c:pt idx="357">
                  <c:v>86.419999999999987</c:v>
                </c:pt>
                <c:pt idx="358">
                  <c:v>125.22000000000003</c:v>
                </c:pt>
                <c:pt idx="359">
                  <c:v>36.260000000000019</c:v>
                </c:pt>
                <c:pt idx="360">
                  <c:v>93.360000000000014</c:v>
                </c:pt>
                <c:pt idx="361">
                  <c:v>108.49999999999994</c:v>
                </c:pt>
                <c:pt idx="362">
                  <c:v>6.6700000000000159</c:v>
                </c:pt>
                <c:pt idx="363">
                  <c:v>41.949999999999989</c:v>
                </c:pt>
                <c:pt idx="364">
                  <c:v>92.019999999999982</c:v>
                </c:pt>
                <c:pt idx="365">
                  <c:v>118.63999999999999</c:v>
                </c:pt>
                <c:pt idx="366">
                  <c:v>25.839999999999975</c:v>
                </c:pt>
                <c:pt idx="367">
                  <c:v>44</c:v>
                </c:pt>
                <c:pt idx="368">
                  <c:v>103.42000000000002</c:v>
                </c:pt>
                <c:pt idx="369">
                  <c:v>151.43000000000004</c:v>
                </c:pt>
                <c:pt idx="370">
                  <c:v>82.199999999999989</c:v>
                </c:pt>
                <c:pt idx="371">
                  <c:v>40.239999999999981</c:v>
                </c:pt>
                <c:pt idx="372">
                  <c:v>118.63999999999999</c:v>
                </c:pt>
                <c:pt idx="373">
                  <c:v>109.32000000000001</c:v>
                </c:pt>
                <c:pt idx="374">
                  <c:v>3.5699999999999932</c:v>
                </c:pt>
                <c:pt idx="375">
                  <c:v>58.320000000000007</c:v>
                </c:pt>
                <c:pt idx="376">
                  <c:v>3.3199999999999932</c:v>
                </c:pt>
                <c:pt idx="377">
                  <c:v>40.239999999999981</c:v>
                </c:pt>
                <c:pt idx="378">
                  <c:v>85.490000000000009</c:v>
                </c:pt>
                <c:pt idx="379">
                  <c:v>42.510000000000019</c:v>
                </c:pt>
                <c:pt idx="380">
                  <c:v>111.88</c:v>
                </c:pt>
                <c:pt idx="381">
                  <c:v>54.319999999999993</c:v>
                </c:pt>
                <c:pt idx="382">
                  <c:v>135.73000000000002</c:v>
                </c:pt>
                <c:pt idx="383">
                  <c:v>31.849999999999966</c:v>
                </c:pt>
                <c:pt idx="384">
                  <c:v>35.820000000000022</c:v>
                </c:pt>
                <c:pt idx="385">
                  <c:v>9.4699999999999989</c:v>
                </c:pt>
                <c:pt idx="386">
                  <c:v>8.6800000000000068</c:v>
                </c:pt>
                <c:pt idx="387">
                  <c:v>177.65</c:v>
                </c:pt>
                <c:pt idx="388">
                  <c:v>46.53</c:v>
                </c:pt>
                <c:pt idx="389">
                  <c:v>44.129999999999995</c:v>
                </c:pt>
                <c:pt idx="390">
                  <c:v>105.07999999999998</c:v>
                </c:pt>
                <c:pt idx="391">
                  <c:v>59.329999999999984</c:v>
                </c:pt>
                <c:pt idx="392">
                  <c:v>256.83999999999997</c:v>
                </c:pt>
                <c:pt idx="393">
                  <c:v>82.360000000000014</c:v>
                </c:pt>
                <c:pt idx="394">
                  <c:v>40.210000000000008</c:v>
                </c:pt>
                <c:pt idx="395">
                  <c:v>13.039999999999964</c:v>
                </c:pt>
                <c:pt idx="396">
                  <c:v>79.679999999999993</c:v>
                </c:pt>
                <c:pt idx="397">
                  <c:v>48.170000000000016</c:v>
                </c:pt>
                <c:pt idx="398">
                  <c:v>90.990000000000009</c:v>
                </c:pt>
                <c:pt idx="399">
                  <c:v>44.840000000000032</c:v>
                </c:pt>
                <c:pt idx="400">
                  <c:v>112.70000000000005</c:v>
                </c:pt>
                <c:pt idx="401">
                  <c:v>86.610000000000014</c:v>
                </c:pt>
                <c:pt idx="402">
                  <c:v>212.75</c:v>
                </c:pt>
                <c:pt idx="403">
                  <c:v>153.42999999999998</c:v>
                </c:pt>
                <c:pt idx="404">
                  <c:v>11.259999999999991</c:v>
                </c:pt>
                <c:pt idx="405">
                  <c:v>27.300000000000011</c:v>
                </c:pt>
                <c:pt idx="406">
                  <c:v>61.869999999999976</c:v>
                </c:pt>
                <c:pt idx="407">
                  <c:v>2.1200000000000045</c:v>
                </c:pt>
                <c:pt idx="408">
                  <c:v>63.309999999999974</c:v>
                </c:pt>
                <c:pt idx="409">
                  <c:v>54.5</c:v>
                </c:pt>
                <c:pt idx="410">
                  <c:v>14.740000000000009</c:v>
                </c:pt>
                <c:pt idx="411">
                  <c:v>8.2900000000000205</c:v>
                </c:pt>
                <c:pt idx="412">
                  <c:v>60.889999999999986</c:v>
                </c:pt>
                <c:pt idx="413">
                  <c:v>46.430000000000007</c:v>
                </c:pt>
                <c:pt idx="414">
                  <c:v>135.22999999999999</c:v>
                </c:pt>
                <c:pt idx="415">
                  <c:v>132.85000000000002</c:v>
                </c:pt>
                <c:pt idx="416">
                  <c:v>109.31999999999996</c:v>
                </c:pt>
                <c:pt idx="417">
                  <c:v>114.84999999999997</c:v>
                </c:pt>
                <c:pt idx="418">
                  <c:v>12.120000000000005</c:v>
                </c:pt>
                <c:pt idx="419">
                  <c:v>80.47</c:v>
                </c:pt>
                <c:pt idx="420">
                  <c:v>39.220000000000027</c:v>
                </c:pt>
                <c:pt idx="421">
                  <c:v>8.3800000000000239</c:v>
                </c:pt>
                <c:pt idx="422">
                  <c:v>95.44999999999996</c:v>
                </c:pt>
                <c:pt idx="423">
                  <c:v>184.89000000000001</c:v>
                </c:pt>
                <c:pt idx="424">
                  <c:v>40.630000000000024</c:v>
                </c:pt>
                <c:pt idx="425">
                  <c:v>104.67000000000002</c:v>
                </c:pt>
                <c:pt idx="426">
                  <c:v>54.509999999999991</c:v>
                </c:pt>
                <c:pt idx="427">
                  <c:v>40.490000000000009</c:v>
                </c:pt>
                <c:pt idx="428">
                  <c:v>36.260000000000019</c:v>
                </c:pt>
                <c:pt idx="429">
                  <c:v>74.449999999999989</c:v>
                </c:pt>
                <c:pt idx="430">
                  <c:v>64.089999999999975</c:v>
                </c:pt>
                <c:pt idx="431">
                  <c:v>30.920000000000016</c:v>
                </c:pt>
                <c:pt idx="432">
                  <c:v>171.63999999999993</c:v>
                </c:pt>
                <c:pt idx="433">
                  <c:v>128.47000000000003</c:v>
                </c:pt>
                <c:pt idx="434">
                  <c:v>69.169999999999959</c:v>
                </c:pt>
                <c:pt idx="435">
                  <c:v>16.439999999999998</c:v>
                </c:pt>
                <c:pt idx="436">
                  <c:v>91.200000000000017</c:v>
                </c:pt>
                <c:pt idx="437">
                  <c:v>125.84999999999997</c:v>
                </c:pt>
                <c:pt idx="438">
                  <c:v>56.509999999999991</c:v>
                </c:pt>
                <c:pt idx="439">
                  <c:v>66.94999999999996</c:v>
                </c:pt>
                <c:pt idx="440">
                  <c:v>77.789999999999964</c:v>
                </c:pt>
                <c:pt idx="441">
                  <c:v>99.550000000000011</c:v>
                </c:pt>
                <c:pt idx="442">
                  <c:v>87.009999999999962</c:v>
                </c:pt>
                <c:pt idx="443">
                  <c:v>47.469999999999985</c:v>
                </c:pt>
                <c:pt idx="444">
                  <c:v>112.54</c:v>
                </c:pt>
                <c:pt idx="445">
                  <c:v>127.59</c:v>
                </c:pt>
                <c:pt idx="446">
                  <c:v>33.75</c:v>
                </c:pt>
                <c:pt idx="447">
                  <c:v>292.79000000000008</c:v>
                </c:pt>
                <c:pt idx="448">
                  <c:v>82.35</c:v>
                </c:pt>
                <c:pt idx="449">
                  <c:v>28.120000000000005</c:v>
                </c:pt>
                <c:pt idx="450">
                  <c:v>108.49999999999994</c:v>
                </c:pt>
                <c:pt idx="451">
                  <c:v>157.28</c:v>
                </c:pt>
                <c:pt idx="452">
                  <c:v>73.96999999999997</c:v>
                </c:pt>
                <c:pt idx="453">
                  <c:v>70.539999999999964</c:v>
                </c:pt>
                <c:pt idx="454">
                  <c:v>179.21000000000004</c:v>
                </c:pt>
                <c:pt idx="455">
                  <c:v>153.47</c:v>
                </c:pt>
                <c:pt idx="456">
                  <c:v>40.789999999999964</c:v>
                </c:pt>
                <c:pt idx="457">
                  <c:v>103.29000000000002</c:v>
                </c:pt>
                <c:pt idx="458">
                  <c:v>115.91</c:v>
                </c:pt>
                <c:pt idx="459">
                  <c:v>102.05999999999999</c:v>
                </c:pt>
                <c:pt idx="460">
                  <c:v>53.19</c:v>
                </c:pt>
                <c:pt idx="461">
                  <c:v>96.850000000000023</c:v>
                </c:pt>
                <c:pt idx="462">
                  <c:v>46.799999999999983</c:v>
                </c:pt>
                <c:pt idx="463">
                  <c:v>88.400000000000034</c:v>
                </c:pt>
                <c:pt idx="464">
                  <c:v>4.6799999999999784</c:v>
                </c:pt>
                <c:pt idx="465">
                  <c:v>54.499999999999972</c:v>
                </c:pt>
                <c:pt idx="466">
                  <c:v>82.610000000000014</c:v>
                </c:pt>
                <c:pt idx="467">
                  <c:v>18.659999999999997</c:v>
                </c:pt>
                <c:pt idx="468">
                  <c:v>46.430000000000007</c:v>
                </c:pt>
                <c:pt idx="469">
                  <c:v>35.659999999999997</c:v>
                </c:pt>
                <c:pt idx="470">
                  <c:v>19.999999999999986</c:v>
                </c:pt>
                <c:pt idx="471">
                  <c:v>91.010000000000019</c:v>
                </c:pt>
                <c:pt idx="472">
                  <c:v>5.4999999999999716</c:v>
                </c:pt>
                <c:pt idx="473">
                  <c:v>38.860000000000014</c:v>
                </c:pt>
                <c:pt idx="474">
                  <c:v>135.22999999999999</c:v>
                </c:pt>
                <c:pt idx="475">
                  <c:v>111.87</c:v>
                </c:pt>
                <c:pt idx="476">
                  <c:v>4.6799999999999784</c:v>
                </c:pt>
                <c:pt idx="477">
                  <c:v>1.9900000000000091</c:v>
                </c:pt>
                <c:pt idx="478">
                  <c:v>85.649999999999977</c:v>
                </c:pt>
                <c:pt idx="479">
                  <c:v>38.860000000000014</c:v>
                </c:pt>
                <c:pt idx="480">
                  <c:v>112.69</c:v>
                </c:pt>
                <c:pt idx="481">
                  <c:v>181.8</c:v>
                </c:pt>
                <c:pt idx="482">
                  <c:v>65.079999999999984</c:v>
                </c:pt>
                <c:pt idx="483">
                  <c:v>15.740000000000009</c:v>
                </c:pt>
                <c:pt idx="484">
                  <c:v>82.06</c:v>
                </c:pt>
                <c:pt idx="485">
                  <c:v>111.88</c:v>
                </c:pt>
                <c:pt idx="486">
                  <c:v>12.120000000000033</c:v>
                </c:pt>
                <c:pt idx="487">
                  <c:v>68.809999999999988</c:v>
                </c:pt>
                <c:pt idx="488">
                  <c:v>19.999999999999972</c:v>
                </c:pt>
                <c:pt idx="489">
                  <c:v>74.799999999999983</c:v>
                </c:pt>
                <c:pt idx="490">
                  <c:v>116.26000000000005</c:v>
                </c:pt>
                <c:pt idx="491">
                  <c:v>110.85000000000002</c:v>
                </c:pt>
                <c:pt idx="492">
                  <c:v>59.419999999999987</c:v>
                </c:pt>
                <c:pt idx="493">
                  <c:v>88.129999999999981</c:v>
                </c:pt>
                <c:pt idx="494">
                  <c:v>95.769999999999953</c:v>
                </c:pt>
                <c:pt idx="495">
                  <c:v>145.4</c:v>
                </c:pt>
                <c:pt idx="496">
                  <c:v>16.359999999999985</c:v>
                </c:pt>
                <c:pt idx="497">
                  <c:v>6.6700000000000159</c:v>
                </c:pt>
                <c:pt idx="498">
                  <c:v>3.3199999999999932</c:v>
                </c:pt>
                <c:pt idx="499">
                  <c:v>16.230000000000018</c:v>
                </c:pt>
                <c:pt idx="500">
                  <c:v>50.880000000000024</c:v>
                </c:pt>
                <c:pt idx="501">
                  <c:v>102.84000000000003</c:v>
                </c:pt>
                <c:pt idx="502">
                  <c:v>136.29</c:v>
                </c:pt>
                <c:pt idx="503">
                  <c:v>107.71999999999997</c:v>
                </c:pt>
                <c:pt idx="504">
                  <c:v>168.39000000000004</c:v>
                </c:pt>
                <c:pt idx="505">
                  <c:v>17.860000000000014</c:v>
                </c:pt>
                <c:pt idx="506">
                  <c:v>71.440000000000055</c:v>
                </c:pt>
                <c:pt idx="507">
                  <c:v>4.660000000000025</c:v>
                </c:pt>
                <c:pt idx="508">
                  <c:v>61.249999999999972</c:v>
                </c:pt>
                <c:pt idx="509">
                  <c:v>16.5</c:v>
                </c:pt>
                <c:pt idx="510">
                  <c:v>86.710000000000036</c:v>
                </c:pt>
                <c:pt idx="511">
                  <c:v>27.319999999999965</c:v>
                </c:pt>
                <c:pt idx="512">
                  <c:v>252.45</c:v>
                </c:pt>
                <c:pt idx="513">
                  <c:v>14.230000000000018</c:v>
                </c:pt>
                <c:pt idx="514">
                  <c:v>14.740000000000009</c:v>
                </c:pt>
                <c:pt idx="515">
                  <c:v>68.160000000000025</c:v>
                </c:pt>
                <c:pt idx="516">
                  <c:v>171.29</c:v>
                </c:pt>
                <c:pt idx="517">
                  <c:v>35.659999999999997</c:v>
                </c:pt>
                <c:pt idx="518">
                  <c:v>36.759999999999962</c:v>
                </c:pt>
                <c:pt idx="519">
                  <c:v>43.239999999999981</c:v>
                </c:pt>
                <c:pt idx="520">
                  <c:v>72.079999999999984</c:v>
                </c:pt>
                <c:pt idx="521">
                  <c:v>0.61999999999997613</c:v>
                </c:pt>
                <c:pt idx="522">
                  <c:v>31.03</c:v>
                </c:pt>
                <c:pt idx="523">
                  <c:v>64.929999999999978</c:v>
                </c:pt>
                <c:pt idx="524">
                  <c:v>50.009999999999991</c:v>
                </c:pt>
                <c:pt idx="525">
                  <c:v>52.09</c:v>
                </c:pt>
                <c:pt idx="526">
                  <c:v>66.660000000000025</c:v>
                </c:pt>
                <c:pt idx="527">
                  <c:v>172.18</c:v>
                </c:pt>
                <c:pt idx="528">
                  <c:v>34.69</c:v>
                </c:pt>
                <c:pt idx="529">
                  <c:v>57.839999999999989</c:v>
                </c:pt>
                <c:pt idx="530">
                  <c:v>18.180000000000007</c:v>
                </c:pt>
                <c:pt idx="531">
                  <c:v>181.79999999999995</c:v>
                </c:pt>
                <c:pt idx="532">
                  <c:v>4.660000000000025</c:v>
                </c:pt>
                <c:pt idx="533">
                  <c:v>34.240000000000009</c:v>
                </c:pt>
                <c:pt idx="534">
                  <c:v>145.40000000000003</c:v>
                </c:pt>
                <c:pt idx="535">
                  <c:v>171.88</c:v>
                </c:pt>
                <c:pt idx="536">
                  <c:v>116.49000000000001</c:v>
                </c:pt>
                <c:pt idx="537">
                  <c:v>79.499999999999972</c:v>
                </c:pt>
                <c:pt idx="538">
                  <c:v>116.53000000000003</c:v>
                </c:pt>
                <c:pt idx="539">
                  <c:v>95.07</c:v>
                </c:pt>
                <c:pt idx="540">
                  <c:v>138.64000000000001</c:v>
                </c:pt>
                <c:pt idx="541">
                  <c:v>85.039999999999992</c:v>
                </c:pt>
                <c:pt idx="542">
                  <c:v>67.03</c:v>
                </c:pt>
                <c:pt idx="543">
                  <c:v>64.929999999999978</c:v>
                </c:pt>
                <c:pt idx="544">
                  <c:v>8.6900000000000261</c:v>
                </c:pt>
                <c:pt idx="545">
                  <c:v>68.810000000000016</c:v>
                </c:pt>
                <c:pt idx="546">
                  <c:v>40.669999999999987</c:v>
                </c:pt>
                <c:pt idx="547">
                  <c:v>82.080000000000013</c:v>
                </c:pt>
                <c:pt idx="548">
                  <c:v>37.289999999999964</c:v>
                </c:pt>
                <c:pt idx="549">
                  <c:v>16.370000000000005</c:v>
                </c:pt>
                <c:pt idx="550">
                  <c:v>55.539999999999992</c:v>
                </c:pt>
                <c:pt idx="551">
                  <c:v>17.860000000000014</c:v>
                </c:pt>
                <c:pt idx="552">
                  <c:v>88.13</c:v>
                </c:pt>
                <c:pt idx="553">
                  <c:v>133.65999999999997</c:v>
                </c:pt>
                <c:pt idx="554">
                  <c:v>53.190000000000026</c:v>
                </c:pt>
                <c:pt idx="555">
                  <c:v>122.94999999999999</c:v>
                </c:pt>
                <c:pt idx="556">
                  <c:v>34.999999999999943</c:v>
                </c:pt>
                <c:pt idx="557">
                  <c:v>124.55</c:v>
                </c:pt>
                <c:pt idx="558">
                  <c:v>59.360000000000014</c:v>
                </c:pt>
                <c:pt idx="559">
                  <c:v>122.39999999999999</c:v>
                </c:pt>
                <c:pt idx="560">
                  <c:v>121.77000000000001</c:v>
                </c:pt>
                <c:pt idx="561">
                  <c:v>105.56000000000002</c:v>
                </c:pt>
                <c:pt idx="562">
                  <c:v>85.65</c:v>
                </c:pt>
                <c:pt idx="563">
                  <c:v>43.099999999999966</c:v>
                </c:pt>
                <c:pt idx="564">
                  <c:v>149.08000000000004</c:v>
                </c:pt>
                <c:pt idx="565">
                  <c:v>70.889999999999986</c:v>
                </c:pt>
                <c:pt idx="566">
                  <c:v>128.47000000000003</c:v>
                </c:pt>
                <c:pt idx="567">
                  <c:v>99.550000000000011</c:v>
                </c:pt>
                <c:pt idx="568">
                  <c:v>136.29</c:v>
                </c:pt>
                <c:pt idx="569">
                  <c:v>69.81</c:v>
                </c:pt>
                <c:pt idx="570">
                  <c:v>66.94999999999996</c:v>
                </c:pt>
                <c:pt idx="571">
                  <c:v>86.28000000000003</c:v>
                </c:pt>
                <c:pt idx="572">
                  <c:v>35.010000000000019</c:v>
                </c:pt>
                <c:pt idx="573">
                  <c:v>106.97</c:v>
                </c:pt>
                <c:pt idx="574">
                  <c:v>60.850000000000023</c:v>
                </c:pt>
                <c:pt idx="575">
                  <c:v>85.099999999999966</c:v>
                </c:pt>
                <c:pt idx="576">
                  <c:v>170.08000000000004</c:v>
                </c:pt>
                <c:pt idx="577">
                  <c:v>85.039999999999992</c:v>
                </c:pt>
                <c:pt idx="578">
                  <c:v>72.079999999999984</c:v>
                </c:pt>
                <c:pt idx="579">
                  <c:v>85.1</c:v>
                </c:pt>
                <c:pt idx="580">
                  <c:v>151.43</c:v>
                </c:pt>
                <c:pt idx="581">
                  <c:v>41.949999999999989</c:v>
                </c:pt>
                <c:pt idx="582">
                  <c:v>4.1599999999999682</c:v>
                </c:pt>
                <c:pt idx="583">
                  <c:v>35.010000000000019</c:v>
                </c:pt>
                <c:pt idx="584">
                  <c:v>39.610000000000014</c:v>
                </c:pt>
                <c:pt idx="585">
                  <c:v>16.439999999999998</c:v>
                </c:pt>
                <c:pt idx="586">
                  <c:v>40.629999999999995</c:v>
                </c:pt>
                <c:pt idx="587">
                  <c:v>87.38</c:v>
                </c:pt>
                <c:pt idx="588">
                  <c:v>8.6900000000000261</c:v>
                </c:pt>
                <c:pt idx="589">
                  <c:v>122.94999999999999</c:v>
                </c:pt>
                <c:pt idx="590">
                  <c:v>162.44999999999999</c:v>
                </c:pt>
                <c:pt idx="591">
                  <c:v>89.269999999999982</c:v>
                </c:pt>
                <c:pt idx="592">
                  <c:v>151.51</c:v>
                </c:pt>
                <c:pt idx="593">
                  <c:v>67.509999999999991</c:v>
                </c:pt>
                <c:pt idx="594">
                  <c:v>4.3599999999999852</c:v>
                </c:pt>
                <c:pt idx="595">
                  <c:v>6.1500000000000057</c:v>
                </c:pt>
                <c:pt idx="596">
                  <c:v>28.379999999999995</c:v>
                </c:pt>
                <c:pt idx="597">
                  <c:v>32.330000000000013</c:v>
                </c:pt>
                <c:pt idx="598">
                  <c:v>215.23</c:v>
                </c:pt>
                <c:pt idx="599">
                  <c:v>59.740000000000009</c:v>
                </c:pt>
                <c:pt idx="600">
                  <c:v>132.46</c:v>
                </c:pt>
                <c:pt idx="601">
                  <c:v>190.84000000000003</c:v>
                </c:pt>
                <c:pt idx="602">
                  <c:v>56.690000000000026</c:v>
                </c:pt>
                <c:pt idx="603">
                  <c:v>40.669999999999987</c:v>
                </c:pt>
                <c:pt idx="604">
                  <c:v>25.820000000000022</c:v>
                </c:pt>
                <c:pt idx="605">
                  <c:v>10.389999999999986</c:v>
                </c:pt>
                <c:pt idx="606">
                  <c:v>74.449999999999989</c:v>
                </c:pt>
                <c:pt idx="607">
                  <c:v>132.46000000000004</c:v>
                </c:pt>
                <c:pt idx="608">
                  <c:v>31.860000000000014</c:v>
                </c:pt>
                <c:pt idx="609">
                  <c:v>56.509999999999991</c:v>
                </c:pt>
                <c:pt idx="610">
                  <c:v>40.210000000000008</c:v>
                </c:pt>
                <c:pt idx="611">
                  <c:v>69.28</c:v>
                </c:pt>
                <c:pt idx="612">
                  <c:v>82.059999999999974</c:v>
                </c:pt>
                <c:pt idx="613">
                  <c:v>123.42999999999998</c:v>
                </c:pt>
                <c:pt idx="614">
                  <c:v>190.83999999999997</c:v>
                </c:pt>
                <c:pt idx="615">
                  <c:v>54.240000000000009</c:v>
                </c:pt>
                <c:pt idx="616">
                  <c:v>28.380000000000024</c:v>
                </c:pt>
                <c:pt idx="617">
                  <c:v>95.049999999999983</c:v>
                </c:pt>
                <c:pt idx="618">
                  <c:v>69.28</c:v>
                </c:pt>
                <c:pt idx="619">
                  <c:v>33.199999999999989</c:v>
                </c:pt>
                <c:pt idx="620">
                  <c:v>25.829999999999984</c:v>
                </c:pt>
                <c:pt idx="621">
                  <c:v>154.52000000000004</c:v>
                </c:pt>
                <c:pt idx="622">
                  <c:v>9.1599999999999966</c:v>
                </c:pt>
                <c:pt idx="623">
                  <c:v>1.1200000000000045</c:v>
                </c:pt>
                <c:pt idx="624">
                  <c:v>101.53999999999999</c:v>
                </c:pt>
                <c:pt idx="625">
                  <c:v>71.440000000000026</c:v>
                </c:pt>
                <c:pt idx="626">
                  <c:v>33.199999999999989</c:v>
                </c:pt>
                <c:pt idx="627">
                  <c:v>22.96999999999997</c:v>
                </c:pt>
                <c:pt idx="628">
                  <c:v>16.359999999999985</c:v>
                </c:pt>
                <c:pt idx="629">
                  <c:v>149.08000000000001</c:v>
                </c:pt>
                <c:pt idx="630">
                  <c:v>79.499999999999972</c:v>
                </c:pt>
                <c:pt idx="631">
                  <c:v>44.690000000000026</c:v>
                </c:pt>
                <c:pt idx="632">
                  <c:v>136.71999999999997</c:v>
                </c:pt>
                <c:pt idx="633">
                  <c:v>157.55000000000001</c:v>
                </c:pt>
                <c:pt idx="634">
                  <c:v>120.94000000000003</c:v>
                </c:pt>
                <c:pt idx="635">
                  <c:v>156.86999999999998</c:v>
                </c:pt>
                <c:pt idx="636">
                  <c:v>9.289999999999992</c:v>
                </c:pt>
                <c:pt idx="637">
                  <c:v>97.54000000000002</c:v>
                </c:pt>
                <c:pt idx="638">
                  <c:v>31.03</c:v>
                </c:pt>
                <c:pt idx="639">
                  <c:v>231.27000000000004</c:v>
                </c:pt>
                <c:pt idx="640">
                  <c:v>135.60999999999999</c:v>
                </c:pt>
                <c:pt idx="641">
                  <c:v>14.560000000000002</c:v>
                </c:pt>
                <c:pt idx="642">
                  <c:v>91.010000000000048</c:v>
                </c:pt>
                <c:pt idx="643">
                  <c:v>141.20999999999998</c:v>
                </c:pt>
                <c:pt idx="644">
                  <c:v>5.6800000000000068</c:v>
                </c:pt>
                <c:pt idx="645">
                  <c:v>62.339999999999975</c:v>
                </c:pt>
                <c:pt idx="646">
                  <c:v>75.02000000000001</c:v>
                </c:pt>
                <c:pt idx="647">
                  <c:v>127.60999999999999</c:v>
                </c:pt>
                <c:pt idx="648">
                  <c:v>38.010000000000019</c:v>
                </c:pt>
                <c:pt idx="649">
                  <c:v>36.930000000000035</c:v>
                </c:pt>
                <c:pt idx="650">
                  <c:v>107.72000000000001</c:v>
                </c:pt>
                <c:pt idx="651">
                  <c:v>58.319999999999993</c:v>
                </c:pt>
                <c:pt idx="652">
                  <c:v>171.29</c:v>
                </c:pt>
                <c:pt idx="653">
                  <c:v>43.050000000000011</c:v>
                </c:pt>
                <c:pt idx="654">
                  <c:v>25.820000000000022</c:v>
                </c:pt>
                <c:pt idx="655">
                  <c:v>186.82999999999998</c:v>
                </c:pt>
                <c:pt idx="656">
                  <c:v>34.240000000000009</c:v>
                </c:pt>
                <c:pt idx="657">
                  <c:v>116.26</c:v>
                </c:pt>
                <c:pt idx="658">
                  <c:v>25.829999999999984</c:v>
                </c:pt>
                <c:pt idx="659">
                  <c:v>65.339999999999975</c:v>
                </c:pt>
                <c:pt idx="660">
                  <c:v>112.54000000000002</c:v>
                </c:pt>
                <c:pt idx="661">
                  <c:v>86.710000000000008</c:v>
                </c:pt>
                <c:pt idx="662">
                  <c:v>105.53999999999999</c:v>
                </c:pt>
                <c:pt idx="663">
                  <c:v>22.70999999999998</c:v>
                </c:pt>
                <c:pt idx="664">
                  <c:v>6.2399999999999807</c:v>
                </c:pt>
                <c:pt idx="665">
                  <c:v>54.319999999999993</c:v>
                </c:pt>
                <c:pt idx="666">
                  <c:v>18.179999999999978</c:v>
                </c:pt>
                <c:pt idx="667">
                  <c:v>43.430000000000007</c:v>
                </c:pt>
                <c:pt idx="668">
                  <c:v>44.129999999999981</c:v>
                </c:pt>
                <c:pt idx="669">
                  <c:v>111.05000000000001</c:v>
                </c:pt>
                <c:pt idx="670">
                  <c:v>73.269999999999982</c:v>
                </c:pt>
                <c:pt idx="671">
                  <c:v>143.64999999999998</c:v>
                </c:pt>
                <c:pt idx="672">
                  <c:v>18.810000000000002</c:v>
                </c:pt>
                <c:pt idx="673">
                  <c:v>26.45999999999998</c:v>
                </c:pt>
                <c:pt idx="674">
                  <c:v>94.159999999999968</c:v>
                </c:pt>
                <c:pt idx="675">
                  <c:v>98.619999999999976</c:v>
                </c:pt>
                <c:pt idx="676">
                  <c:v>67.03</c:v>
                </c:pt>
                <c:pt idx="677">
                  <c:v>8.6800000000000068</c:v>
                </c:pt>
                <c:pt idx="678">
                  <c:v>37.900000000000006</c:v>
                </c:pt>
                <c:pt idx="679">
                  <c:v>29.120000000000005</c:v>
                </c:pt>
                <c:pt idx="680">
                  <c:v>94.16</c:v>
                </c:pt>
                <c:pt idx="681">
                  <c:v>38.81</c:v>
                </c:pt>
                <c:pt idx="682">
                  <c:v>83.54000000000002</c:v>
                </c:pt>
                <c:pt idx="683">
                  <c:v>36.379999999999995</c:v>
                </c:pt>
                <c:pt idx="684">
                  <c:v>42.579999999999984</c:v>
                </c:pt>
                <c:pt idx="685">
                  <c:v>135.60999999999996</c:v>
                </c:pt>
                <c:pt idx="686">
                  <c:v>164.1</c:v>
                </c:pt>
                <c:pt idx="687">
                  <c:v>138.64000000000001</c:v>
                </c:pt>
                <c:pt idx="688">
                  <c:v>120.94000000000003</c:v>
                </c:pt>
                <c:pt idx="689">
                  <c:v>110.85000000000002</c:v>
                </c:pt>
                <c:pt idx="690">
                  <c:v>12.95999999999998</c:v>
                </c:pt>
                <c:pt idx="691">
                  <c:v>44.690000000000026</c:v>
                </c:pt>
                <c:pt idx="692">
                  <c:v>95.07</c:v>
                </c:pt>
                <c:pt idx="693">
                  <c:v>115.91</c:v>
                </c:pt>
                <c:pt idx="694">
                  <c:v>9.0199999999999818</c:v>
                </c:pt>
                <c:pt idx="695">
                  <c:v>45.989999999999981</c:v>
                </c:pt>
                <c:pt idx="696">
                  <c:v>78.44</c:v>
                </c:pt>
                <c:pt idx="697">
                  <c:v>217.8</c:v>
                </c:pt>
                <c:pt idx="698">
                  <c:v>39.289999999999964</c:v>
                </c:pt>
                <c:pt idx="699">
                  <c:v>82.080000000000013</c:v>
                </c:pt>
                <c:pt idx="700">
                  <c:v>10.969999999999985</c:v>
                </c:pt>
                <c:pt idx="701">
                  <c:v>27.560000000000002</c:v>
                </c:pt>
                <c:pt idx="702">
                  <c:v>29.829999999999984</c:v>
                </c:pt>
                <c:pt idx="703">
                  <c:v>92.88</c:v>
                </c:pt>
                <c:pt idx="704">
                  <c:v>63.069999999999993</c:v>
                </c:pt>
                <c:pt idx="705">
                  <c:v>0.46999999999999886</c:v>
                </c:pt>
                <c:pt idx="706">
                  <c:v>87.890000000000015</c:v>
                </c:pt>
                <c:pt idx="707">
                  <c:v>88.02</c:v>
                </c:pt>
                <c:pt idx="708">
                  <c:v>89.580000000000041</c:v>
                </c:pt>
                <c:pt idx="709">
                  <c:v>153.42999999999998</c:v>
                </c:pt>
                <c:pt idx="710">
                  <c:v>157.55000000000001</c:v>
                </c:pt>
                <c:pt idx="711">
                  <c:v>153.47000000000003</c:v>
                </c:pt>
                <c:pt idx="712">
                  <c:v>112.70000000000005</c:v>
                </c:pt>
                <c:pt idx="713">
                  <c:v>125.22000000000003</c:v>
                </c:pt>
                <c:pt idx="714">
                  <c:v>178.01000000000005</c:v>
                </c:pt>
                <c:pt idx="715">
                  <c:v>31.240000000000009</c:v>
                </c:pt>
                <c:pt idx="716">
                  <c:v>170.08000000000004</c:v>
                </c:pt>
                <c:pt idx="717">
                  <c:v>70.390000000000015</c:v>
                </c:pt>
                <c:pt idx="718">
                  <c:v>86.419999999999987</c:v>
                </c:pt>
                <c:pt idx="719">
                  <c:v>127.60999999999999</c:v>
                </c:pt>
                <c:pt idx="720">
                  <c:v>97.54000000000002</c:v>
                </c:pt>
                <c:pt idx="721">
                  <c:v>75.599999999999994</c:v>
                </c:pt>
              </c:numCache>
            </c:numRef>
          </c:xVal>
          <c:yVal>
            <c:numRef>
              <c:f>'Efficiency Math'!$C$2:$C$723</c:f>
              <c:numCache>
                <c:formatCode>0.00</c:formatCode>
                <c:ptCount val="722"/>
                <c:pt idx="0">
                  <c:v>16</c:v>
                </c:pt>
                <c:pt idx="1">
                  <c:v>26</c:v>
                </c:pt>
                <c:pt idx="2">
                  <c:v>14</c:v>
                </c:pt>
                <c:pt idx="3">
                  <c:v>11</c:v>
                </c:pt>
                <c:pt idx="4">
                  <c:v>42</c:v>
                </c:pt>
                <c:pt idx="5">
                  <c:v>38</c:v>
                </c:pt>
                <c:pt idx="6">
                  <c:v>45</c:v>
                </c:pt>
                <c:pt idx="7">
                  <c:v>10</c:v>
                </c:pt>
                <c:pt idx="8">
                  <c:v>17</c:v>
                </c:pt>
                <c:pt idx="9">
                  <c:v>41</c:v>
                </c:pt>
                <c:pt idx="10">
                  <c:v>16</c:v>
                </c:pt>
                <c:pt idx="11">
                  <c:v>41</c:v>
                </c:pt>
                <c:pt idx="12">
                  <c:v>24</c:v>
                </c:pt>
                <c:pt idx="13">
                  <c:v>28</c:v>
                </c:pt>
                <c:pt idx="14">
                  <c:v>34</c:v>
                </c:pt>
                <c:pt idx="15">
                  <c:v>45</c:v>
                </c:pt>
                <c:pt idx="16">
                  <c:v>31</c:v>
                </c:pt>
                <c:pt idx="17">
                  <c:v>23</c:v>
                </c:pt>
                <c:pt idx="18">
                  <c:v>27</c:v>
                </c:pt>
                <c:pt idx="19">
                  <c:v>25</c:v>
                </c:pt>
                <c:pt idx="20">
                  <c:v>7</c:v>
                </c:pt>
                <c:pt idx="21">
                  <c:v>10</c:v>
                </c:pt>
                <c:pt idx="22">
                  <c:v>36</c:v>
                </c:pt>
                <c:pt idx="23">
                  <c:v>34</c:v>
                </c:pt>
                <c:pt idx="24">
                  <c:v>7</c:v>
                </c:pt>
                <c:pt idx="25">
                  <c:v>3</c:v>
                </c:pt>
                <c:pt idx="26">
                  <c:v>21</c:v>
                </c:pt>
                <c:pt idx="27">
                  <c:v>21</c:v>
                </c:pt>
                <c:pt idx="28">
                  <c:v>14</c:v>
                </c:pt>
                <c:pt idx="29">
                  <c:v>49</c:v>
                </c:pt>
                <c:pt idx="30">
                  <c:v>10</c:v>
                </c:pt>
                <c:pt idx="31">
                  <c:v>24</c:v>
                </c:pt>
                <c:pt idx="32">
                  <c:v>4</c:v>
                </c:pt>
                <c:pt idx="33">
                  <c:v>24</c:v>
                </c:pt>
                <c:pt idx="34">
                  <c:v>5</c:v>
                </c:pt>
                <c:pt idx="35">
                  <c:v>18</c:v>
                </c:pt>
                <c:pt idx="36">
                  <c:v>44</c:v>
                </c:pt>
                <c:pt idx="37">
                  <c:v>19</c:v>
                </c:pt>
                <c:pt idx="38">
                  <c:v>4</c:v>
                </c:pt>
                <c:pt idx="39">
                  <c:v>5</c:v>
                </c:pt>
                <c:pt idx="40">
                  <c:v>18</c:v>
                </c:pt>
                <c:pt idx="41">
                  <c:v>23</c:v>
                </c:pt>
                <c:pt idx="42">
                  <c:v>4</c:v>
                </c:pt>
                <c:pt idx="43">
                  <c:v>7</c:v>
                </c:pt>
                <c:pt idx="44">
                  <c:v>14</c:v>
                </c:pt>
                <c:pt idx="45">
                  <c:v>16</c:v>
                </c:pt>
                <c:pt idx="46">
                  <c:v>3</c:v>
                </c:pt>
                <c:pt idx="47">
                  <c:v>24</c:v>
                </c:pt>
                <c:pt idx="48">
                  <c:v>11</c:v>
                </c:pt>
                <c:pt idx="49">
                  <c:v>35</c:v>
                </c:pt>
                <c:pt idx="50">
                  <c:v>7</c:v>
                </c:pt>
                <c:pt idx="51">
                  <c:v>30</c:v>
                </c:pt>
                <c:pt idx="52">
                  <c:v>3</c:v>
                </c:pt>
                <c:pt idx="53">
                  <c:v>56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48</c:v>
                </c:pt>
                <c:pt idx="58">
                  <c:v>25</c:v>
                </c:pt>
                <c:pt idx="59">
                  <c:v>1</c:v>
                </c:pt>
                <c:pt idx="60">
                  <c:v>23</c:v>
                </c:pt>
                <c:pt idx="61">
                  <c:v>27</c:v>
                </c:pt>
                <c:pt idx="62">
                  <c:v>14</c:v>
                </c:pt>
                <c:pt idx="63">
                  <c:v>25</c:v>
                </c:pt>
                <c:pt idx="64">
                  <c:v>20</c:v>
                </c:pt>
                <c:pt idx="65">
                  <c:v>20</c:v>
                </c:pt>
                <c:pt idx="66">
                  <c:v>50</c:v>
                </c:pt>
                <c:pt idx="67">
                  <c:v>50</c:v>
                </c:pt>
                <c:pt idx="68">
                  <c:v>11</c:v>
                </c:pt>
                <c:pt idx="69">
                  <c:v>7</c:v>
                </c:pt>
                <c:pt idx="70">
                  <c:v>27</c:v>
                </c:pt>
                <c:pt idx="71">
                  <c:v>1</c:v>
                </c:pt>
                <c:pt idx="72">
                  <c:v>8</c:v>
                </c:pt>
                <c:pt idx="73">
                  <c:v>22</c:v>
                </c:pt>
                <c:pt idx="74">
                  <c:v>16</c:v>
                </c:pt>
                <c:pt idx="75">
                  <c:v>17</c:v>
                </c:pt>
                <c:pt idx="76">
                  <c:v>1</c:v>
                </c:pt>
                <c:pt idx="77">
                  <c:v>14</c:v>
                </c:pt>
                <c:pt idx="78">
                  <c:v>45</c:v>
                </c:pt>
                <c:pt idx="79">
                  <c:v>24</c:v>
                </c:pt>
                <c:pt idx="80">
                  <c:v>7</c:v>
                </c:pt>
                <c:pt idx="81">
                  <c:v>19</c:v>
                </c:pt>
                <c:pt idx="82">
                  <c:v>3</c:v>
                </c:pt>
                <c:pt idx="83">
                  <c:v>14</c:v>
                </c:pt>
                <c:pt idx="84">
                  <c:v>31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44</c:v>
                </c:pt>
                <c:pt idx="90">
                  <c:v>7</c:v>
                </c:pt>
                <c:pt idx="91">
                  <c:v>3</c:v>
                </c:pt>
                <c:pt idx="92">
                  <c:v>13</c:v>
                </c:pt>
                <c:pt idx="93">
                  <c:v>10</c:v>
                </c:pt>
                <c:pt idx="94">
                  <c:v>15</c:v>
                </c:pt>
                <c:pt idx="95">
                  <c:v>3</c:v>
                </c:pt>
                <c:pt idx="96">
                  <c:v>8</c:v>
                </c:pt>
                <c:pt idx="97">
                  <c:v>28</c:v>
                </c:pt>
                <c:pt idx="98">
                  <c:v>21</c:v>
                </c:pt>
                <c:pt idx="99">
                  <c:v>24</c:v>
                </c:pt>
                <c:pt idx="100">
                  <c:v>14</c:v>
                </c:pt>
                <c:pt idx="101">
                  <c:v>30</c:v>
                </c:pt>
                <c:pt idx="102">
                  <c:v>38</c:v>
                </c:pt>
                <c:pt idx="103">
                  <c:v>7</c:v>
                </c:pt>
                <c:pt idx="104">
                  <c:v>14</c:v>
                </c:pt>
                <c:pt idx="105">
                  <c:v>4</c:v>
                </c:pt>
                <c:pt idx="106">
                  <c:v>22</c:v>
                </c:pt>
                <c:pt idx="107">
                  <c:v>45</c:v>
                </c:pt>
                <c:pt idx="108">
                  <c:v>30</c:v>
                </c:pt>
                <c:pt idx="109">
                  <c:v>27</c:v>
                </c:pt>
                <c:pt idx="110">
                  <c:v>9</c:v>
                </c:pt>
                <c:pt idx="111">
                  <c:v>3</c:v>
                </c:pt>
                <c:pt idx="112">
                  <c:v>24</c:v>
                </c:pt>
                <c:pt idx="113">
                  <c:v>14</c:v>
                </c:pt>
                <c:pt idx="114">
                  <c:v>5</c:v>
                </c:pt>
                <c:pt idx="115">
                  <c:v>20</c:v>
                </c:pt>
                <c:pt idx="116">
                  <c:v>22</c:v>
                </c:pt>
                <c:pt idx="117">
                  <c:v>11</c:v>
                </c:pt>
                <c:pt idx="118">
                  <c:v>21</c:v>
                </c:pt>
                <c:pt idx="119">
                  <c:v>17</c:v>
                </c:pt>
                <c:pt idx="120">
                  <c:v>3</c:v>
                </c:pt>
                <c:pt idx="121">
                  <c:v>14</c:v>
                </c:pt>
                <c:pt idx="122">
                  <c:v>20</c:v>
                </c:pt>
                <c:pt idx="123">
                  <c:v>4</c:v>
                </c:pt>
                <c:pt idx="124">
                  <c:v>41</c:v>
                </c:pt>
                <c:pt idx="125">
                  <c:v>28</c:v>
                </c:pt>
                <c:pt idx="126">
                  <c:v>43</c:v>
                </c:pt>
                <c:pt idx="127">
                  <c:v>4</c:v>
                </c:pt>
                <c:pt idx="128">
                  <c:v>14</c:v>
                </c:pt>
                <c:pt idx="129">
                  <c:v>1</c:v>
                </c:pt>
                <c:pt idx="130">
                  <c:v>7</c:v>
                </c:pt>
                <c:pt idx="131">
                  <c:v>50</c:v>
                </c:pt>
                <c:pt idx="132">
                  <c:v>14</c:v>
                </c:pt>
                <c:pt idx="133">
                  <c:v>3</c:v>
                </c:pt>
                <c:pt idx="134">
                  <c:v>4</c:v>
                </c:pt>
                <c:pt idx="135">
                  <c:v>14</c:v>
                </c:pt>
                <c:pt idx="136">
                  <c:v>7</c:v>
                </c:pt>
                <c:pt idx="137">
                  <c:v>27</c:v>
                </c:pt>
                <c:pt idx="138">
                  <c:v>6</c:v>
                </c:pt>
                <c:pt idx="139">
                  <c:v>30</c:v>
                </c:pt>
                <c:pt idx="140">
                  <c:v>1</c:v>
                </c:pt>
                <c:pt idx="141">
                  <c:v>21</c:v>
                </c:pt>
                <c:pt idx="142">
                  <c:v>4</c:v>
                </c:pt>
                <c:pt idx="143">
                  <c:v>1</c:v>
                </c:pt>
                <c:pt idx="144">
                  <c:v>19</c:v>
                </c:pt>
                <c:pt idx="145">
                  <c:v>7</c:v>
                </c:pt>
                <c:pt idx="146">
                  <c:v>5</c:v>
                </c:pt>
                <c:pt idx="147">
                  <c:v>15</c:v>
                </c:pt>
                <c:pt idx="148">
                  <c:v>53</c:v>
                </c:pt>
                <c:pt idx="149">
                  <c:v>18</c:v>
                </c:pt>
                <c:pt idx="150">
                  <c:v>3</c:v>
                </c:pt>
                <c:pt idx="151">
                  <c:v>28</c:v>
                </c:pt>
                <c:pt idx="152">
                  <c:v>38</c:v>
                </c:pt>
                <c:pt idx="153">
                  <c:v>25</c:v>
                </c:pt>
                <c:pt idx="154">
                  <c:v>7</c:v>
                </c:pt>
                <c:pt idx="155">
                  <c:v>7</c:v>
                </c:pt>
                <c:pt idx="156">
                  <c:v>5</c:v>
                </c:pt>
                <c:pt idx="157">
                  <c:v>4</c:v>
                </c:pt>
                <c:pt idx="158">
                  <c:v>10</c:v>
                </c:pt>
                <c:pt idx="159">
                  <c:v>18</c:v>
                </c:pt>
                <c:pt idx="160">
                  <c:v>38</c:v>
                </c:pt>
                <c:pt idx="161">
                  <c:v>16</c:v>
                </c:pt>
                <c:pt idx="162">
                  <c:v>3</c:v>
                </c:pt>
                <c:pt idx="163">
                  <c:v>14</c:v>
                </c:pt>
                <c:pt idx="164">
                  <c:v>20</c:v>
                </c:pt>
                <c:pt idx="165">
                  <c:v>24</c:v>
                </c:pt>
                <c:pt idx="166">
                  <c:v>38</c:v>
                </c:pt>
                <c:pt idx="167">
                  <c:v>39</c:v>
                </c:pt>
                <c:pt idx="168">
                  <c:v>10</c:v>
                </c:pt>
                <c:pt idx="169">
                  <c:v>38</c:v>
                </c:pt>
                <c:pt idx="170">
                  <c:v>28</c:v>
                </c:pt>
                <c:pt idx="171">
                  <c:v>11</c:v>
                </c:pt>
                <c:pt idx="172">
                  <c:v>34</c:v>
                </c:pt>
                <c:pt idx="173">
                  <c:v>10</c:v>
                </c:pt>
                <c:pt idx="174">
                  <c:v>5</c:v>
                </c:pt>
                <c:pt idx="175">
                  <c:v>5</c:v>
                </c:pt>
                <c:pt idx="176">
                  <c:v>25</c:v>
                </c:pt>
                <c:pt idx="177">
                  <c:v>15</c:v>
                </c:pt>
                <c:pt idx="178">
                  <c:v>13</c:v>
                </c:pt>
                <c:pt idx="179">
                  <c:v>24</c:v>
                </c:pt>
                <c:pt idx="180">
                  <c:v>10</c:v>
                </c:pt>
                <c:pt idx="181">
                  <c:v>50</c:v>
                </c:pt>
                <c:pt idx="182">
                  <c:v>10</c:v>
                </c:pt>
                <c:pt idx="183">
                  <c:v>7</c:v>
                </c:pt>
                <c:pt idx="184">
                  <c:v>14</c:v>
                </c:pt>
                <c:pt idx="185">
                  <c:v>3</c:v>
                </c:pt>
                <c:pt idx="186">
                  <c:v>14</c:v>
                </c:pt>
                <c:pt idx="187">
                  <c:v>14</c:v>
                </c:pt>
                <c:pt idx="188">
                  <c:v>8</c:v>
                </c:pt>
                <c:pt idx="189">
                  <c:v>5</c:v>
                </c:pt>
                <c:pt idx="190">
                  <c:v>5</c:v>
                </c:pt>
                <c:pt idx="191">
                  <c:v>17</c:v>
                </c:pt>
                <c:pt idx="192">
                  <c:v>8</c:v>
                </c:pt>
                <c:pt idx="193">
                  <c:v>20</c:v>
                </c:pt>
                <c:pt idx="194">
                  <c:v>42</c:v>
                </c:pt>
                <c:pt idx="195">
                  <c:v>18</c:v>
                </c:pt>
                <c:pt idx="196">
                  <c:v>1</c:v>
                </c:pt>
                <c:pt idx="197">
                  <c:v>11</c:v>
                </c:pt>
                <c:pt idx="198">
                  <c:v>4</c:v>
                </c:pt>
                <c:pt idx="199">
                  <c:v>25</c:v>
                </c:pt>
                <c:pt idx="200">
                  <c:v>1</c:v>
                </c:pt>
                <c:pt idx="201">
                  <c:v>7</c:v>
                </c:pt>
                <c:pt idx="202">
                  <c:v>53</c:v>
                </c:pt>
                <c:pt idx="203">
                  <c:v>35</c:v>
                </c:pt>
                <c:pt idx="204">
                  <c:v>17</c:v>
                </c:pt>
                <c:pt idx="205">
                  <c:v>30</c:v>
                </c:pt>
                <c:pt idx="206">
                  <c:v>24</c:v>
                </c:pt>
                <c:pt idx="207">
                  <c:v>1</c:v>
                </c:pt>
                <c:pt idx="208">
                  <c:v>13</c:v>
                </c:pt>
                <c:pt idx="209">
                  <c:v>7</c:v>
                </c:pt>
                <c:pt idx="210">
                  <c:v>18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21</c:v>
                </c:pt>
                <c:pt idx="215">
                  <c:v>7</c:v>
                </c:pt>
                <c:pt idx="216">
                  <c:v>7</c:v>
                </c:pt>
                <c:pt idx="217">
                  <c:v>3</c:v>
                </c:pt>
                <c:pt idx="218">
                  <c:v>3</c:v>
                </c:pt>
                <c:pt idx="219">
                  <c:v>6</c:v>
                </c:pt>
                <c:pt idx="220">
                  <c:v>21</c:v>
                </c:pt>
                <c:pt idx="221">
                  <c:v>52</c:v>
                </c:pt>
                <c:pt idx="222">
                  <c:v>21</c:v>
                </c:pt>
                <c:pt idx="223">
                  <c:v>3</c:v>
                </c:pt>
                <c:pt idx="224">
                  <c:v>4</c:v>
                </c:pt>
                <c:pt idx="225">
                  <c:v>28</c:v>
                </c:pt>
                <c:pt idx="226">
                  <c:v>10</c:v>
                </c:pt>
                <c:pt idx="227">
                  <c:v>10</c:v>
                </c:pt>
                <c:pt idx="228">
                  <c:v>21</c:v>
                </c:pt>
                <c:pt idx="229">
                  <c:v>3</c:v>
                </c:pt>
                <c:pt idx="230">
                  <c:v>4</c:v>
                </c:pt>
                <c:pt idx="231">
                  <c:v>23</c:v>
                </c:pt>
                <c:pt idx="232">
                  <c:v>23</c:v>
                </c:pt>
                <c:pt idx="233">
                  <c:v>35</c:v>
                </c:pt>
                <c:pt idx="234">
                  <c:v>16</c:v>
                </c:pt>
                <c:pt idx="235">
                  <c:v>3</c:v>
                </c:pt>
                <c:pt idx="236">
                  <c:v>11</c:v>
                </c:pt>
                <c:pt idx="237">
                  <c:v>42</c:v>
                </c:pt>
                <c:pt idx="238">
                  <c:v>30</c:v>
                </c:pt>
                <c:pt idx="239">
                  <c:v>38</c:v>
                </c:pt>
                <c:pt idx="240">
                  <c:v>37</c:v>
                </c:pt>
                <c:pt idx="241">
                  <c:v>4</c:v>
                </c:pt>
                <c:pt idx="242">
                  <c:v>1</c:v>
                </c:pt>
                <c:pt idx="243">
                  <c:v>7</c:v>
                </c:pt>
                <c:pt idx="244">
                  <c:v>7</c:v>
                </c:pt>
                <c:pt idx="245">
                  <c:v>38</c:v>
                </c:pt>
                <c:pt idx="246">
                  <c:v>41</c:v>
                </c:pt>
                <c:pt idx="247">
                  <c:v>8</c:v>
                </c:pt>
                <c:pt idx="248">
                  <c:v>37</c:v>
                </c:pt>
                <c:pt idx="249">
                  <c:v>7</c:v>
                </c:pt>
                <c:pt idx="250">
                  <c:v>30</c:v>
                </c:pt>
                <c:pt idx="251">
                  <c:v>6</c:v>
                </c:pt>
                <c:pt idx="252">
                  <c:v>11</c:v>
                </c:pt>
                <c:pt idx="253">
                  <c:v>14</c:v>
                </c:pt>
                <c:pt idx="254">
                  <c:v>7</c:v>
                </c:pt>
                <c:pt idx="255">
                  <c:v>38</c:v>
                </c:pt>
                <c:pt idx="256">
                  <c:v>28</c:v>
                </c:pt>
                <c:pt idx="257">
                  <c:v>51</c:v>
                </c:pt>
                <c:pt idx="258">
                  <c:v>27</c:v>
                </c:pt>
                <c:pt idx="259">
                  <c:v>8</c:v>
                </c:pt>
                <c:pt idx="260">
                  <c:v>5</c:v>
                </c:pt>
                <c:pt idx="261">
                  <c:v>3</c:v>
                </c:pt>
                <c:pt idx="262">
                  <c:v>14</c:v>
                </c:pt>
                <c:pt idx="263">
                  <c:v>20</c:v>
                </c:pt>
                <c:pt idx="264">
                  <c:v>19</c:v>
                </c:pt>
                <c:pt idx="265">
                  <c:v>34</c:v>
                </c:pt>
                <c:pt idx="266">
                  <c:v>21</c:v>
                </c:pt>
                <c:pt idx="267">
                  <c:v>28</c:v>
                </c:pt>
                <c:pt idx="268">
                  <c:v>5</c:v>
                </c:pt>
                <c:pt idx="269">
                  <c:v>28</c:v>
                </c:pt>
                <c:pt idx="270">
                  <c:v>17</c:v>
                </c:pt>
                <c:pt idx="271">
                  <c:v>2</c:v>
                </c:pt>
                <c:pt idx="272">
                  <c:v>1</c:v>
                </c:pt>
                <c:pt idx="273">
                  <c:v>6</c:v>
                </c:pt>
                <c:pt idx="274">
                  <c:v>18</c:v>
                </c:pt>
                <c:pt idx="275">
                  <c:v>13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4</c:v>
                </c:pt>
                <c:pt idx="280">
                  <c:v>7</c:v>
                </c:pt>
                <c:pt idx="281">
                  <c:v>9</c:v>
                </c:pt>
                <c:pt idx="282">
                  <c:v>2</c:v>
                </c:pt>
                <c:pt idx="283">
                  <c:v>13</c:v>
                </c:pt>
                <c:pt idx="284">
                  <c:v>13</c:v>
                </c:pt>
                <c:pt idx="285">
                  <c:v>26</c:v>
                </c:pt>
                <c:pt idx="286">
                  <c:v>28</c:v>
                </c:pt>
                <c:pt idx="287">
                  <c:v>31</c:v>
                </c:pt>
                <c:pt idx="288">
                  <c:v>35</c:v>
                </c:pt>
                <c:pt idx="289">
                  <c:v>21</c:v>
                </c:pt>
                <c:pt idx="290">
                  <c:v>6</c:v>
                </c:pt>
                <c:pt idx="291">
                  <c:v>37</c:v>
                </c:pt>
                <c:pt idx="292">
                  <c:v>20</c:v>
                </c:pt>
                <c:pt idx="293">
                  <c:v>4</c:v>
                </c:pt>
                <c:pt idx="294">
                  <c:v>10</c:v>
                </c:pt>
                <c:pt idx="295">
                  <c:v>4</c:v>
                </c:pt>
                <c:pt idx="296">
                  <c:v>35</c:v>
                </c:pt>
                <c:pt idx="297">
                  <c:v>8</c:v>
                </c:pt>
                <c:pt idx="298">
                  <c:v>6</c:v>
                </c:pt>
                <c:pt idx="299">
                  <c:v>5</c:v>
                </c:pt>
                <c:pt idx="300">
                  <c:v>11</c:v>
                </c:pt>
                <c:pt idx="301">
                  <c:v>25</c:v>
                </c:pt>
                <c:pt idx="302">
                  <c:v>45</c:v>
                </c:pt>
                <c:pt idx="303">
                  <c:v>44</c:v>
                </c:pt>
                <c:pt idx="304">
                  <c:v>42</c:v>
                </c:pt>
                <c:pt idx="305">
                  <c:v>7</c:v>
                </c:pt>
                <c:pt idx="306">
                  <c:v>22</c:v>
                </c:pt>
                <c:pt idx="307">
                  <c:v>18</c:v>
                </c:pt>
                <c:pt idx="308">
                  <c:v>16</c:v>
                </c:pt>
                <c:pt idx="309">
                  <c:v>8</c:v>
                </c:pt>
                <c:pt idx="310">
                  <c:v>18</c:v>
                </c:pt>
                <c:pt idx="311">
                  <c:v>4</c:v>
                </c:pt>
                <c:pt idx="312">
                  <c:v>3</c:v>
                </c:pt>
                <c:pt idx="313">
                  <c:v>6</c:v>
                </c:pt>
                <c:pt idx="314">
                  <c:v>11</c:v>
                </c:pt>
                <c:pt idx="315">
                  <c:v>6</c:v>
                </c:pt>
                <c:pt idx="316">
                  <c:v>14</c:v>
                </c:pt>
                <c:pt idx="317">
                  <c:v>27</c:v>
                </c:pt>
                <c:pt idx="318">
                  <c:v>6</c:v>
                </c:pt>
                <c:pt idx="319">
                  <c:v>21</c:v>
                </c:pt>
                <c:pt idx="320">
                  <c:v>4</c:v>
                </c:pt>
                <c:pt idx="321">
                  <c:v>21</c:v>
                </c:pt>
                <c:pt idx="322">
                  <c:v>58</c:v>
                </c:pt>
                <c:pt idx="323">
                  <c:v>18</c:v>
                </c:pt>
                <c:pt idx="324">
                  <c:v>14</c:v>
                </c:pt>
                <c:pt idx="325">
                  <c:v>18</c:v>
                </c:pt>
                <c:pt idx="326">
                  <c:v>38</c:v>
                </c:pt>
                <c:pt idx="327">
                  <c:v>3</c:v>
                </c:pt>
                <c:pt idx="328">
                  <c:v>14</c:v>
                </c:pt>
                <c:pt idx="329">
                  <c:v>6</c:v>
                </c:pt>
                <c:pt idx="330">
                  <c:v>3</c:v>
                </c:pt>
                <c:pt idx="331">
                  <c:v>3</c:v>
                </c:pt>
                <c:pt idx="332">
                  <c:v>7</c:v>
                </c:pt>
                <c:pt idx="333">
                  <c:v>3</c:v>
                </c:pt>
                <c:pt idx="334">
                  <c:v>24</c:v>
                </c:pt>
                <c:pt idx="335">
                  <c:v>2</c:v>
                </c:pt>
                <c:pt idx="336">
                  <c:v>7</c:v>
                </c:pt>
                <c:pt idx="337">
                  <c:v>6</c:v>
                </c:pt>
                <c:pt idx="338">
                  <c:v>58</c:v>
                </c:pt>
                <c:pt idx="339">
                  <c:v>28</c:v>
                </c:pt>
                <c:pt idx="340">
                  <c:v>27</c:v>
                </c:pt>
                <c:pt idx="341">
                  <c:v>45</c:v>
                </c:pt>
                <c:pt idx="342">
                  <c:v>7</c:v>
                </c:pt>
                <c:pt idx="343">
                  <c:v>13</c:v>
                </c:pt>
                <c:pt idx="344">
                  <c:v>6</c:v>
                </c:pt>
                <c:pt idx="345">
                  <c:v>14</c:v>
                </c:pt>
                <c:pt idx="346">
                  <c:v>18</c:v>
                </c:pt>
                <c:pt idx="347">
                  <c:v>2</c:v>
                </c:pt>
                <c:pt idx="348">
                  <c:v>11</c:v>
                </c:pt>
                <c:pt idx="349">
                  <c:v>7</c:v>
                </c:pt>
                <c:pt idx="350">
                  <c:v>10</c:v>
                </c:pt>
                <c:pt idx="351">
                  <c:v>7</c:v>
                </c:pt>
                <c:pt idx="352">
                  <c:v>35</c:v>
                </c:pt>
                <c:pt idx="353">
                  <c:v>21</c:v>
                </c:pt>
                <c:pt idx="354">
                  <c:v>3</c:v>
                </c:pt>
                <c:pt idx="355">
                  <c:v>13</c:v>
                </c:pt>
                <c:pt idx="356">
                  <c:v>13</c:v>
                </c:pt>
                <c:pt idx="357">
                  <c:v>24</c:v>
                </c:pt>
                <c:pt idx="358">
                  <c:v>31</c:v>
                </c:pt>
                <c:pt idx="359">
                  <c:v>7</c:v>
                </c:pt>
                <c:pt idx="360">
                  <c:v>27</c:v>
                </c:pt>
                <c:pt idx="361">
                  <c:v>49</c:v>
                </c:pt>
                <c:pt idx="362">
                  <c:v>3</c:v>
                </c:pt>
                <c:pt idx="363">
                  <c:v>1</c:v>
                </c:pt>
                <c:pt idx="364">
                  <c:v>20</c:v>
                </c:pt>
                <c:pt idx="365">
                  <c:v>42</c:v>
                </c:pt>
                <c:pt idx="366">
                  <c:v>7</c:v>
                </c:pt>
                <c:pt idx="367">
                  <c:v>4</c:v>
                </c:pt>
                <c:pt idx="368">
                  <c:v>49</c:v>
                </c:pt>
                <c:pt idx="369">
                  <c:v>46</c:v>
                </c:pt>
                <c:pt idx="370">
                  <c:v>3</c:v>
                </c:pt>
                <c:pt idx="371">
                  <c:v>14</c:v>
                </c:pt>
                <c:pt idx="372">
                  <c:v>42</c:v>
                </c:pt>
                <c:pt idx="373">
                  <c:v>20</c:v>
                </c:pt>
                <c:pt idx="374">
                  <c:v>7</c:v>
                </c:pt>
                <c:pt idx="375">
                  <c:v>6</c:v>
                </c:pt>
                <c:pt idx="376">
                  <c:v>10</c:v>
                </c:pt>
                <c:pt idx="377">
                  <c:v>14</c:v>
                </c:pt>
                <c:pt idx="378">
                  <c:v>7</c:v>
                </c:pt>
                <c:pt idx="379">
                  <c:v>11</c:v>
                </c:pt>
                <c:pt idx="380">
                  <c:v>2</c:v>
                </c:pt>
                <c:pt idx="381">
                  <c:v>11</c:v>
                </c:pt>
                <c:pt idx="382">
                  <c:v>15</c:v>
                </c:pt>
                <c:pt idx="383">
                  <c:v>7</c:v>
                </c:pt>
                <c:pt idx="384">
                  <c:v>6</c:v>
                </c:pt>
                <c:pt idx="385">
                  <c:v>21</c:v>
                </c:pt>
                <c:pt idx="386">
                  <c:v>7</c:v>
                </c:pt>
                <c:pt idx="387">
                  <c:v>30</c:v>
                </c:pt>
                <c:pt idx="388">
                  <c:v>14</c:v>
                </c:pt>
                <c:pt idx="389">
                  <c:v>14</c:v>
                </c:pt>
                <c:pt idx="390">
                  <c:v>25</c:v>
                </c:pt>
                <c:pt idx="391">
                  <c:v>25</c:v>
                </c:pt>
                <c:pt idx="392">
                  <c:v>41</c:v>
                </c:pt>
                <c:pt idx="393">
                  <c:v>3</c:v>
                </c:pt>
                <c:pt idx="394">
                  <c:v>17</c:v>
                </c:pt>
                <c:pt idx="395">
                  <c:v>14</c:v>
                </c:pt>
                <c:pt idx="396">
                  <c:v>20</c:v>
                </c:pt>
                <c:pt idx="397">
                  <c:v>17</c:v>
                </c:pt>
                <c:pt idx="398">
                  <c:v>23</c:v>
                </c:pt>
                <c:pt idx="399">
                  <c:v>3</c:v>
                </c:pt>
                <c:pt idx="400">
                  <c:v>42</c:v>
                </c:pt>
                <c:pt idx="401">
                  <c:v>7</c:v>
                </c:pt>
                <c:pt idx="402">
                  <c:v>30</c:v>
                </c:pt>
                <c:pt idx="403">
                  <c:v>29</c:v>
                </c:pt>
                <c:pt idx="404">
                  <c:v>1</c:v>
                </c:pt>
                <c:pt idx="405">
                  <c:v>7</c:v>
                </c:pt>
                <c:pt idx="406">
                  <c:v>3</c:v>
                </c:pt>
                <c:pt idx="407">
                  <c:v>18</c:v>
                </c:pt>
                <c:pt idx="408">
                  <c:v>10</c:v>
                </c:pt>
                <c:pt idx="409">
                  <c:v>10</c:v>
                </c:pt>
                <c:pt idx="410">
                  <c:v>3</c:v>
                </c:pt>
                <c:pt idx="411">
                  <c:v>4</c:v>
                </c:pt>
                <c:pt idx="412">
                  <c:v>18</c:v>
                </c:pt>
                <c:pt idx="413">
                  <c:v>3</c:v>
                </c:pt>
                <c:pt idx="414">
                  <c:v>28</c:v>
                </c:pt>
                <c:pt idx="415">
                  <c:v>26</c:v>
                </c:pt>
                <c:pt idx="416">
                  <c:v>20</c:v>
                </c:pt>
                <c:pt idx="417">
                  <c:v>37</c:v>
                </c:pt>
                <c:pt idx="418">
                  <c:v>12</c:v>
                </c:pt>
                <c:pt idx="419">
                  <c:v>7</c:v>
                </c:pt>
                <c:pt idx="420">
                  <c:v>1</c:v>
                </c:pt>
                <c:pt idx="421">
                  <c:v>3</c:v>
                </c:pt>
                <c:pt idx="422">
                  <c:v>17</c:v>
                </c:pt>
                <c:pt idx="423">
                  <c:v>42</c:v>
                </c:pt>
                <c:pt idx="424">
                  <c:v>5</c:v>
                </c:pt>
                <c:pt idx="425">
                  <c:v>18</c:v>
                </c:pt>
                <c:pt idx="426">
                  <c:v>20</c:v>
                </c:pt>
                <c:pt idx="427">
                  <c:v>3</c:v>
                </c:pt>
                <c:pt idx="428">
                  <c:v>7</c:v>
                </c:pt>
                <c:pt idx="429">
                  <c:v>33</c:v>
                </c:pt>
                <c:pt idx="430">
                  <c:v>10</c:v>
                </c:pt>
                <c:pt idx="431">
                  <c:v>10</c:v>
                </c:pt>
                <c:pt idx="432">
                  <c:v>56</c:v>
                </c:pt>
                <c:pt idx="433">
                  <c:v>38</c:v>
                </c:pt>
                <c:pt idx="434">
                  <c:v>30</c:v>
                </c:pt>
                <c:pt idx="435">
                  <c:v>3</c:v>
                </c:pt>
                <c:pt idx="436">
                  <c:v>27</c:v>
                </c:pt>
                <c:pt idx="437">
                  <c:v>23</c:v>
                </c:pt>
                <c:pt idx="438">
                  <c:v>26</c:v>
                </c:pt>
                <c:pt idx="439">
                  <c:v>1</c:v>
                </c:pt>
                <c:pt idx="440">
                  <c:v>42</c:v>
                </c:pt>
                <c:pt idx="441">
                  <c:v>12</c:v>
                </c:pt>
                <c:pt idx="442">
                  <c:v>21</c:v>
                </c:pt>
                <c:pt idx="443">
                  <c:v>1</c:v>
                </c:pt>
                <c:pt idx="444">
                  <c:v>23</c:v>
                </c:pt>
                <c:pt idx="445">
                  <c:v>14</c:v>
                </c:pt>
                <c:pt idx="446">
                  <c:v>10</c:v>
                </c:pt>
                <c:pt idx="447">
                  <c:v>45</c:v>
                </c:pt>
                <c:pt idx="448">
                  <c:v>5</c:v>
                </c:pt>
                <c:pt idx="449">
                  <c:v>13</c:v>
                </c:pt>
                <c:pt idx="450">
                  <c:v>49</c:v>
                </c:pt>
                <c:pt idx="451">
                  <c:v>25</c:v>
                </c:pt>
                <c:pt idx="452">
                  <c:v>28</c:v>
                </c:pt>
                <c:pt idx="453">
                  <c:v>14</c:v>
                </c:pt>
                <c:pt idx="454">
                  <c:v>43</c:v>
                </c:pt>
                <c:pt idx="455">
                  <c:v>35</c:v>
                </c:pt>
                <c:pt idx="456">
                  <c:v>10</c:v>
                </c:pt>
                <c:pt idx="457">
                  <c:v>10</c:v>
                </c:pt>
                <c:pt idx="458">
                  <c:v>23</c:v>
                </c:pt>
                <c:pt idx="459">
                  <c:v>16</c:v>
                </c:pt>
                <c:pt idx="460">
                  <c:v>4</c:v>
                </c:pt>
                <c:pt idx="461">
                  <c:v>28</c:v>
                </c:pt>
                <c:pt idx="462">
                  <c:v>6</c:v>
                </c:pt>
                <c:pt idx="463">
                  <c:v>10</c:v>
                </c:pt>
                <c:pt idx="464">
                  <c:v>5</c:v>
                </c:pt>
                <c:pt idx="465">
                  <c:v>10</c:v>
                </c:pt>
                <c:pt idx="466">
                  <c:v>19</c:v>
                </c:pt>
                <c:pt idx="467">
                  <c:v>4</c:v>
                </c:pt>
                <c:pt idx="468">
                  <c:v>3</c:v>
                </c:pt>
                <c:pt idx="469">
                  <c:v>27</c:v>
                </c:pt>
                <c:pt idx="470">
                  <c:v>24</c:v>
                </c:pt>
                <c:pt idx="471">
                  <c:v>12</c:v>
                </c:pt>
                <c:pt idx="472">
                  <c:v>3</c:v>
                </c:pt>
                <c:pt idx="473">
                  <c:v>2</c:v>
                </c:pt>
                <c:pt idx="474">
                  <c:v>28</c:v>
                </c:pt>
                <c:pt idx="475">
                  <c:v>28</c:v>
                </c:pt>
                <c:pt idx="476">
                  <c:v>5</c:v>
                </c:pt>
                <c:pt idx="477">
                  <c:v>7</c:v>
                </c:pt>
                <c:pt idx="478">
                  <c:v>25</c:v>
                </c:pt>
                <c:pt idx="479">
                  <c:v>2</c:v>
                </c:pt>
                <c:pt idx="480">
                  <c:v>25</c:v>
                </c:pt>
                <c:pt idx="481">
                  <c:v>24</c:v>
                </c:pt>
                <c:pt idx="482">
                  <c:v>22</c:v>
                </c:pt>
                <c:pt idx="483">
                  <c:v>4</c:v>
                </c:pt>
                <c:pt idx="484">
                  <c:v>18</c:v>
                </c:pt>
                <c:pt idx="485">
                  <c:v>2</c:v>
                </c:pt>
                <c:pt idx="486">
                  <c:v>12</c:v>
                </c:pt>
                <c:pt idx="487">
                  <c:v>3</c:v>
                </c:pt>
                <c:pt idx="488">
                  <c:v>24</c:v>
                </c:pt>
                <c:pt idx="489">
                  <c:v>2</c:v>
                </c:pt>
                <c:pt idx="490">
                  <c:v>15</c:v>
                </c:pt>
                <c:pt idx="491">
                  <c:v>18</c:v>
                </c:pt>
                <c:pt idx="492">
                  <c:v>21</c:v>
                </c:pt>
                <c:pt idx="493">
                  <c:v>13</c:v>
                </c:pt>
                <c:pt idx="494">
                  <c:v>14</c:v>
                </c:pt>
                <c:pt idx="495">
                  <c:v>54</c:v>
                </c:pt>
                <c:pt idx="496">
                  <c:v>10</c:v>
                </c:pt>
                <c:pt idx="497">
                  <c:v>3</c:v>
                </c:pt>
                <c:pt idx="498">
                  <c:v>10</c:v>
                </c:pt>
                <c:pt idx="499">
                  <c:v>7</c:v>
                </c:pt>
                <c:pt idx="500">
                  <c:v>13</c:v>
                </c:pt>
                <c:pt idx="501">
                  <c:v>1</c:v>
                </c:pt>
                <c:pt idx="502">
                  <c:v>32</c:v>
                </c:pt>
                <c:pt idx="503">
                  <c:v>11</c:v>
                </c:pt>
                <c:pt idx="504">
                  <c:v>42</c:v>
                </c:pt>
                <c:pt idx="505">
                  <c:v>7</c:v>
                </c:pt>
                <c:pt idx="506">
                  <c:v>21</c:v>
                </c:pt>
                <c:pt idx="507">
                  <c:v>24</c:v>
                </c:pt>
                <c:pt idx="508">
                  <c:v>19</c:v>
                </c:pt>
                <c:pt idx="509">
                  <c:v>3</c:v>
                </c:pt>
                <c:pt idx="510">
                  <c:v>18</c:v>
                </c:pt>
                <c:pt idx="511">
                  <c:v>3</c:v>
                </c:pt>
                <c:pt idx="512">
                  <c:v>51</c:v>
                </c:pt>
                <c:pt idx="513">
                  <c:v>2</c:v>
                </c:pt>
                <c:pt idx="514">
                  <c:v>3</c:v>
                </c:pt>
                <c:pt idx="515">
                  <c:v>30</c:v>
                </c:pt>
                <c:pt idx="516">
                  <c:v>28</c:v>
                </c:pt>
                <c:pt idx="517">
                  <c:v>27</c:v>
                </c:pt>
                <c:pt idx="518">
                  <c:v>6</c:v>
                </c:pt>
                <c:pt idx="519">
                  <c:v>3</c:v>
                </c:pt>
                <c:pt idx="520">
                  <c:v>10</c:v>
                </c:pt>
                <c:pt idx="521">
                  <c:v>2</c:v>
                </c:pt>
                <c:pt idx="522">
                  <c:v>9</c:v>
                </c:pt>
                <c:pt idx="523">
                  <c:v>21</c:v>
                </c:pt>
                <c:pt idx="524">
                  <c:v>21</c:v>
                </c:pt>
                <c:pt idx="525">
                  <c:v>7</c:v>
                </c:pt>
                <c:pt idx="526">
                  <c:v>21</c:v>
                </c:pt>
                <c:pt idx="527">
                  <c:v>46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24</c:v>
                </c:pt>
                <c:pt idx="532">
                  <c:v>24</c:v>
                </c:pt>
                <c:pt idx="533">
                  <c:v>23</c:v>
                </c:pt>
                <c:pt idx="534">
                  <c:v>54</c:v>
                </c:pt>
                <c:pt idx="535">
                  <c:v>30</c:v>
                </c:pt>
                <c:pt idx="536">
                  <c:v>27</c:v>
                </c:pt>
                <c:pt idx="537">
                  <c:v>26</c:v>
                </c:pt>
                <c:pt idx="538">
                  <c:v>41</c:v>
                </c:pt>
                <c:pt idx="539">
                  <c:v>30</c:v>
                </c:pt>
                <c:pt idx="540">
                  <c:v>44</c:v>
                </c:pt>
                <c:pt idx="541">
                  <c:v>9</c:v>
                </c:pt>
                <c:pt idx="542">
                  <c:v>7</c:v>
                </c:pt>
                <c:pt idx="543">
                  <c:v>21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26</c:v>
                </c:pt>
                <c:pt idx="548">
                  <c:v>2</c:v>
                </c:pt>
                <c:pt idx="549">
                  <c:v>16</c:v>
                </c:pt>
                <c:pt idx="550">
                  <c:v>21</c:v>
                </c:pt>
                <c:pt idx="551">
                  <c:v>7</c:v>
                </c:pt>
                <c:pt idx="552">
                  <c:v>13</c:v>
                </c:pt>
                <c:pt idx="553">
                  <c:v>38</c:v>
                </c:pt>
                <c:pt idx="554">
                  <c:v>4</c:v>
                </c:pt>
                <c:pt idx="555">
                  <c:v>23</c:v>
                </c:pt>
                <c:pt idx="556">
                  <c:v>22</c:v>
                </c:pt>
                <c:pt idx="557">
                  <c:v>10</c:v>
                </c:pt>
                <c:pt idx="558">
                  <c:v>31</c:v>
                </c:pt>
                <c:pt idx="559">
                  <c:v>8</c:v>
                </c:pt>
                <c:pt idx="560">
                  <c:v>31</c:v>
                </c:pt>
                <c:pt idx="561">
                  <c:v>31</c:v>
                </c:pt>
                <c:pt idx="562">
                  <c:v>25</c:v>
                </c:pt>
                <c:pt idx="563">
                  <c:v>1</c:v>
                </c:pt>
                <c:pt idx="564">
                  <c:v>29</c:v>
                </c:pt>
                <c:pt idx="565">
                  <c:v>23</c:v>
                </c:pt>
                <c:pt idx="566">
                  <c:v>38</c:v>
                </c:pt>
                <c:pt idx="567">
                  <c:v>12</c:v>
                </c:pt>
                <c:pt idx="568">
                  <c:v>32</c:v>
                </c:pt>
                <c:pt idx="569">
                  <c:v>30</c:v>
                </c:pt>
                <c:pt idx="570">
                  <c:v>1</c:v>
                </c:pt>
                <c:pt idx="571">
                  <c:v>4</c:v>
                </c:pt>
                <c:pt idx="572">
                  <c:v>5</c:v>
                </c:pt>
                <c:pt idx="573">
                  <c:v>27</c:v>
                </c:pt>
                <c:pt idx="574">
                  <c:v>16</c:v>
                </c:pt>
                <c:pt idx="575">
                  <c:v>40</c:v>
                </c:pt>
                <c:pt idx="576">
                  <c:v>35</c:v>
                </c:pt>
                <c:pt idx="577">
                  <c:v>9</c:v>
                </c:pt>
                <c:pt idx="578">
                  <c:v>10</c:v>
                </c:pt>
                <c:pt idx="579">
                  <c:v>40</c:v>
                </c:pt>
                <c:pt idx="580">
                  <c:v>46</c:v>
                </c:pt>
                <c:pt idx="581">
                  <c:v>1</c:v>
                </c:pt>
                <c:pt idx="582">
                  <c:v>11</c:v>
                </c:pt>
                <c:pt idx="583">
                  <c:v>5</c:v>
                </c:pt>
                <c:pt idx="584">
                  <c:v>7</c:v>
                </c:pt>
                <c:pt idx="585">
                  <c:v>3</c:v>
                </c:pt>
                <c:pt idx="586">
                  <c:v>5</c:v>
                </c:pt>
                <c:pt idx="587">
                  <c:v>25</c:v>
                </c:pt>
                <c:pt idx="588">
                  <c:v>3</c:v>
                </c:pt>
                <c:pt idx="589">
                  <c:v>23</c:v>
                </c:pt>
                <c:pt idx="590">
                  <c:v>38</c:v>
                </c:pt>
                <c:pt idx="591">
                  <c:v>7</c:v>
                </c:pt>
                <c:pt idx="592">
                  <c:v>21</c:v>
                </c:pt>
                <c:pt idx="593">
                  <c:v>24</c:v>
                </c:pt>
                <c:pt idx="594">
                  <c:v>10</c:v>
                </c:pt>
                <c:pt idx="595">
                  <c:v>3</c:v>
                </c:pt>
                <c:pt idx="596">
                  <c:v>1</c:v>
                </c:pt>
                <c:pt idx="597">
                  <c:v>14</c:v>
                </c:pt>
                <c:pt idx="598">
                  <c:v>28</c:v>
                </c:pt>
                <c:pt idx="599">
                  <c:v>14</c:v>
                </c:pt>
                <c:pt idx="600">
                  <c:v>28</c:v>
                </c:pt>
                <c:pt idx="601">
                  <c:v>39</c:v>
                </c:pt>
                <c:pt idx="602">
                  <c:v>21</c:v>
                </c:pt>
                <c:pt idx="603">
                  <c:v>3</c:v>
                </c:pt>
                <c:pt idx="604">
                  <c:v>37</c:v>
                </c:pt>
                <c:pt idx="605">
                  <c:v>16</c:v>
                </c:pt>
                <c:pt idx="606">
                  <c:v>33</c:v>
                </c:pt>
                <c:pt idx="607">
                  <c:v>28</c:v>
                </c:pt>
                <c:pt idx="608">
                  <c:v>20</c:v>
                </c:pt>
                <c:pt idx="609">
                  <c:v>26</c:v>
                </c:pt>
                <c:pt idx="610">
                  <c:v>17</c:v>
                </c:pt>
                <c:pt idx="611">
                  <c:v>17</c:v>
                </c:pt>
                <c:pt idx="612">
                  <c:v>18</c:v>
                </c:pt>
                <c:pt idx="613">
                  <c:v>39</c:v>
                </c:pt>
                <c:pt idx="614">
                  <c:v>39</c:v>
                </c:pt>
                <c:pt idx="615">
                  <c:v>5</c:v>
                </c:pt>
                <c:pt idx="616">
                  <c:v>1</c:v>
                </c:pt>
                <c:pt idx="617">
                  <c:v>18</c:v>
                </c:pt>
                <c:pt idx="618">
                  <c:v>17</c:v>
                </c:pt>
                <c:pt idx="619">
                  <c:v>2</c:v>
                </c:pt>
                <c:pt idx="620">
                  <c:v>21</c:v>
                </c:pt>
                <c:pt idx="621">
                  <c:v>27</c:v>
                </c:pt>
                <c:pt idx="622">
                  <c:v>7</c:v>
                </c:pt>
                <c:pt idx="623">
                  <c:v>7</c:v>
                </c:pt>
                <c:pt idx="624">
                  <c:v>10</c:v>
                </c:pt>
                <c:pt idx="625">
                  <c:v>21</c:v>
                </c:pt>
                <c:pt idx="626">
                  <c:v>2</c:v>
                </c:pt>
                <c:pt idx="627">
                  <c:v>4</c:v>
                </c:pt>
                <c:pt idx="628">
                  <c:v>10</c:v>
                </c:pt>
                <c:pt idx="629">
                  <c:v>29</c:v>
                </c:pt>
                <c:pt idx="630">
                  <c:v>26</c:v>
                </c:pt>
                <c:pt idx="631">
                  <c:v>3</c:v>
                </c:pt>
                <c:pt idx="632">
                  <c:v>36</c:v>
                </c:pt>
                <c:pt idx="633">
                  <c:v>34</c:v>
                </c:pt>
                <c:pt idx="634">
                  <c:v>52</c:v>
                </c:pt>
                <c:pt idx="635">
                  <c:v>20</c:v>
                </c:pt>
                <c:pt idx="636">
                  <c:v>25</c:v>
                </c:pt>
                <c:pt idx="637">
                  <c:v>27</c:v>
                </c:pt>
                <c:pt idx="638">
                  <c:v>9</c:v>
                </c:pt>
                <c:pt idx="639">
                  <c:v>44</c:v>
                </c:pt>
                <c:pt idx="640">
                  <c:v>17</c:v>
                </c:pt>
                <c:pt idx="641">
                  <c:v>21</c:v>
                </c:pt>
                <c:pt idx="642">
                  <c:v>12</c:v>
                </c:pt>
                <c:pt idx="643">
                  <c:v>24</c:v>
                </c:pt>
                <c:pt idx="644">
                  <c:v>4</c:v>
                </c:pt>
                <c:pt idx="645">
                  <c:v>1</c:v>
                </c:pt>
                <c:pt idx="646">
                  <c:v>3</c:v>
                </c:pt>
                <c:pt idx="647">
                  <c:v>44</c:v>
                </c:pt>
                <c:pt idx="648">
                  <c:v>10</c:v>
                </c:pt>
                <c:pt idx="649">
                  <c:v>7</c:v>
                </c:pt>
                <c:pt idx="650">
                  <c:v>11</c:v>
                </c:pt>
                <c:pt idx="651">
                  <c:v>6</c:v>
                </c:pt>
                <c:pt idx="652">
                  <c:v>28</c:v>
                </c:pt>
                <c:pt idx="653">
                  <c:v>7</c:v>
                </c:pt>
                <c:pt idx="654">
                  <c:v>37</c:v>
                </c:pt>
                <c:pt idx="655">
                  <c:v>14</c:v>
                </c:pt>
                <c:pt idx="656">
                  <c:v>23</c:v>
                </c:pt>
                <c:pt idx="657">
                  <c:v>15</c:v>
                </c:pt>
                <c:pt idx="658">
                  <c:v>21</c:v>
                </c:pt>
                <c:pt idx="659">
                  <c:v>3</c:v>
                </c:pt>
                <c:pt idx="660">
                  <c:v>23</c:v>
                </c:pt>
                <c:pt idx="661">
                  <c:v>18</c:v>
                </c:pt>
                <c:pt idx="662">
                  <c:v>34</c:v>
                </c:pt>
                <c:pt idx="663">
                  <c:v>5</c:v>
                </c:pt>
                <c:pt idx="664">
                  <c:v>3</c:v>
                </c:pt>
                <c:pt idx="665">
                  <c:v>11</c:v>
                </c:pt>
                <c:pt idx="666">
                  <c:v>6</c:v>
                </c:pt>
                <c:pt idx="667">
                  <c:v>1</c:v>
                </c:pt>
                <c:pt idx="668">
                  <c:v>14</c:v>
                </c:pt>
                <c:pt idx="669">
                  <c:v>7</c:v>
                </c:pt>
                <c:pt idx="670">
                  <c:v>19</c:v>
                </c:pt>
                <c:pt idx="671">
                  <c:v>20</c:v>
                </c:pt>
                <c:pt idx="672">
                  <c:v>20</c:v>
                </c:pt>
                <c:pt idx="673">
                  <c:v>3</c:v>
                </c:pt>
                <c:pt idx="674">
                  <c:v>21</c:v>
                </c:pt>
                <c:pt idx="675">
                  <c:v>16</c:v>
                </c:pt>
                <c:pt idx="676">
                  <c:v>7</c:v>
                </c:pt>
                <c:pt idx="677">
                  <c:v>7</c:v>
                </c:pt>
                <c:pt idx="678">
                  <c:v>8</c:v>
                </c:pt>
                <c:pt idx="679">
                  <c:v>5</c:v>
                </c:pt>
                <c:pt idx="680">
                  <c:v>21</c:v>
                </c:pt>
                <c:pt idx="681">
                  <c:v>1</c:v>
                </c:pt>
                <c:pt idx="682">
                  <c:v>8</c:v>
                </c:pt>
                <c:pt idx="683">
                  <c:v>13</c:v>
                </c:pt>
                <c:pt idx="684">
                  <c:v>8</c:v>
                </c:pt>
                <c:pt idx="685">
                  <c:v>17</c:v>
                </c:pt>
                <c:pt idx="686">
                  <c:v>28</c:v>
                </c:pt>
                <c:pt idx="687">
                  <c:v>44</c:v>
                </c:pt>
                <c:pt idx="688">
                  <c:v>52</c:v>
                </c:pt>
                <c:pt idx="689">
                  <c:v>18</c:v>
                </c:pt>
                <c:pt idx="690">
                  <c:v>4</c:v>
                </c:pt>
                <c:pt idx="691">
                  <c:v>3</c:v>
                </c:pt>
                <c:pt idx="692">
                  <c:v>30</c:v>
                </c:pt>
                <c:pt idx="693">
                  <c:v>23</c:v>
                </c:pt>
                <c:pt idx="694">
                  <c:v>21</c:v>
                </c:pt>
                <c:pt idx="695">
                  <c:v>6</c:v>
                </c:pt>
                <c:pt idx="696">
                  <c:v>26</c:v>
                </c:pt>
                <c:pt idx="697">
                  <c:v>45</c:v>
                </c:pt>
                <c:pt idx="698">
                  <c:v>27</c:v>
                </c:pt>
                <c:pt idx="699">
                  <c:v>26</c:v>
                </c:pt>
                <c:pt idx="700">
                  <c:v>11</c:v>
                </c:pt>
                <c:pt idx="701">
                  <c:v>4</c:v>
                </c:pt>
                <c:pt idx="702">
                  <c:v>3</c:v>
                </c:pt>
                <c:pt idx="703">
                  <c:v>20</c:v>
                </c:pt>
                <c:pt idx="704">
                  <c:v>19</c:v>
                </c:pt>
                <c:pt idx="705">
                  <c:v>30</c:v>
                </c:pt>
                <c:pt idx="706">
                  <c:v>3</c:v>
                </c:pt>
                <c:pt idx="707">
                  <c:v>7</c:v>
                </c:pt>
                <c:pt idx="708">
                  <c:v>24</c:v>
                </c:pt>
                <c:pt idx="709">
                  <c:v>29</c:v>
                </c:pt>
                <c:pt idx="710">
                  <c:v>34</c:v>
                </c:pt>
                <c:pt idx="711">
                  <c:v>35</c:v>
                </c:pt>
                <c:pt idx="712">
                  <c:v>42</c:v>
                </c:pt>
                <c:pt idx="713">
                  <c:v>31</c:v>
                </c:pt>
                <c:pt idx="714">
                  <c:v>52</c:v>
                </c:pt>
                <c:pt idx="715">
                  <c:v>6</c:v>
                </c:pt>
                <c:pt idx="716">
                  <c:v>35</c:v>
                </c:pt>
                <c:pt idx="717">
                  <c:v>1</c:v>
                </c:pt>
                <c:pt idx="718">
                  <c:v>24</c:v>
                </c:pt>
                <c:pt idx="719">
                  <c:v>44</c:v>
                </c:pt>
                <c:pt idx="720">
                  <c:v>27</c:v>
                </c:pt>
                <c:pt idx="721">
                  <c:v>18.96</c:v>
                </c:pt>
              </c:numCache>
            </c:numRef>
          </c:yVal>
        </c:ser>
        <c:axId val="86274816"/>
        <c:axId val="86276352"/>
      </c:scatterChart>
      <c:valAx>
        <c:axId val="86274816"/>
        <c:scaling>
          <c:orientation val="minMax"/>
        </c:scaling>
        <c:axPos val="b"/>
        <c:numFmt formatCode="0.00" sourceLinked="1"/>
        <c:tickLblPos val="nextTo"/>
        <c:crossAx val="86276352"/>
        <c:crosses val="autoZero"/>
        <c:crossBetween val="midCat"/>
      </c:valAx>
      <c:valAx>
        <c:axId val="86276352"/>
        <c:scaling>
          <c:orientation val="minMax"/>
        </c:scaling>
        <c:axPos val="l"/>
        <c:majorGridlines/>
        <c:numFmt formatCode="0.00" sourceLinked="1"/>
        <c:tickLblPos val="nextTo"/>
        <c:crossAx val="862748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forward val="5"/>
            <c:backward val="5"/>
            <c:dispEq val="1"/>
            <c:trendlineLbl>
              <c:layout>
                <c:manualLayout>
                  <c:x val="0.23340638670166253"/>
                  <c:y val="-0.1555573782443862"/>
                </c:manualLayout>
              </c:layout>
              <c:numFmt formatCode="General" sourceLinked="0"/>
            </c:trendlineLbl>
          </c:trendline>
          <c:xVal>
            <c:numRef>
              <c:f>'Efficiency Math'!$AI$5:$AI$20</c:f>
              <c:numCache>
                <c:formatCode>General</c:formatCode>
                <c:ptCount val="16"/>
                <c:pt idx="0">
                  <c:v>-30</c:v>
                </c:pt>
                <c:pt idx="1">
                  <c:v>-25</c:v>
                </c:pt>
                <c:pt idx="2">
                  <c:v>-21</c:v>
                </c:pt>
                <c:pt idx="3">
                  <c:v>-18</c:v>
                </c:pt>
                <c:pt idx="4">
                  <c:v>-14</c:v>
                </c:pt>
                <c:pt idx="5" formatCode="0">
                  <c:v>-10</c:v>
                </c:pt>
                <c:pt idx="6" formatCode="0">
                  <c:v>-7</c:v>
                </c:pt>
                <c:pt idx="7" formatCode="0">
                  <c:v>-5</c:v>
                </c:pt>
                <c:pt idx="8" formatCode="0">
                  <c:v>-3</c:v>
                </c:pt>
                <c:pt idx="9" formatCode="0">
                  <c:v>0</c:v>
                </c:pt>
                <c:pt idx="10" formatCode="0">
                  <c:v>7</c:v>
                </c:pt>
                <c:pt idx="11" formatCode="0">
                  <c:v>14</c:v>
                </c:pt>
                <c:pt idx="12" formatCode="0">
                  <c:v>21</c:v>
                </c:pt>
                <c:pt idx="13" formatCode="0">
                  <c:v>25</c:v>
                </c:pt>
                <c:pt idx="14" formatCode="0">
                  <c:v>28</c:v>
                </c:pt>
                <c:pt idx="15" formatCode="0">
                  <c:v>35</c:v>
                </c:pt>
              </c:numCache>
            </c:numRef>
          </c:xVal>
          <c:yVal>
            <c:numRef>
              <c:f>'Efficiency Math'!$AJ$5:$AJ$20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 formatCode="0">
                  <c:v>11</c:v>
                </c:pt>
                <c:pt idx="6" formatCode="0">
                  <c:v>18</c:v>
                </c:pt>
                <c:pt idx="7" formatCode="0">
                  <c:v>26</c:v>
                </c:pt>
                <c:pt idx="8" formatCode="0">
                  <c:v>32</c:v>
                </c:pt>
                <c:pt idx="9" formatCode="0">
                  <c:v>50</c:v>
                </c:pt>
                <c:pt idx="10" formatCode="0">
                  <c:v>75</c:v>
                </c:pt>
                <c:pt idx="11" formatCode="0">
                  <c:v>90</c:v>
                </c:pt>
                <c:pt idx="12" formatCode="0">
                  <c:v>97</c:v>
                </c:pt>
                <c:pt idx="13" formatCode="0">
                  <c:v>99</c:v>
                </c:pt>
                <c:pt idx="14" formatCode="0">
                  <c:v>99</c:v>
                </c:pt>
                <c:pt idx="15" formatCode="0">
                  <c:v>100</c:v>
                </c:pt>
              </c:numCache>
            </c:numRef>
          </c:yVal>
        </c:ser>
        <c:axId val="86305408"/>
        <c:axId val="90120576"/>
      </c:scatterChart>
      <c:valAx>
        <c:axId val="86305408"/>
        <c:scaling>
          <c:orientation val="minMax"/>
        </c:scaling>
        <c:axPos val="b"/>
        <c:numFmt formatCode="General" sourceLinked="1"/>
        <c:tickLblPos val="nextTo"/>
        <c:crossAx val="90120576"/>
        <c:crosses val="autoZero"/>
        <c:crossBetween val="midCat"/>
      </c:valAx>
      <c:valAx>
        <c:axId val="90120576"/>
        <c:scaling>
          <c:orientation val="minMax"/>
        </c:scaling>
        <c:axPos val="l"/>
        <c:majorGridlines/>
        <c:numFmt formatCode="General" sourceLinked="1"/>
        <c:tickLblPos val="nextTo"/>
        <c:crossAx val="863054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152400</xdr:rowOff>
    </xdr:from>
    <xdr:to>
      <xdr:col>21</xdr:col>
      <xdr:colOff>400050</xdr:colOff>
      <xdr:row>41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561975</xdr:colOff>
      <xdr:row>4</xdr:row>
      <xdr:rowOff>123825</xdr:rowOff>
    </xdr:from>
    <xdr:to>
      <xdr:col>45</xdr:col>
      <xdr:colOff>257175</xdr:colOff>
      <xdr:row>19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yland User" refreshedDate="40842.475056365744" createdVersion="4" refreshedVersion="4" minRefreshableVersion="3" recordCount="880">
  <cacheSource type="worksheet">
    <worksheetSource name="Table1"/>
  </cacheSource>
  <cacheFields count="45">
    <cacheField name="Team Name" numFmtId="0">
      <sharedItems count="128">
        <s v="Air Force"/>
        <s v="Akron"/>
        <s v="Alabama"/>
        <s v="Arizona"/>
        <s v="Arizona St."/>
        <s v="Arkansas"/>
        <s v="Arkansas St."/>
        <s v="Army"/>
        <s v="Auburn"/>
        <s v="Ball St."/>
        <s v="Baylor"/>
        <s v="Boise St."/>
        <s v="Boston College"/>
        <s v="Bowling Green"/>
        <s v="Buffalo"/>
        <s v="BYU"/>
        <s v="California"/>
        <s v="Central Mich."/>
        <s v="Cincinnati"/>
        <s v="Clemson"/>
        <s v="Colorado"/>
        <s v="Colorado St."/>
        <s v="Connecticut"/>
        <s v="Duke"/>
        <s v="East Carolina"/>
        <s v="Eastern Mich."/>
        <s v="FIU"/>
        <s v="Fla. Atlantic"/>
        <s v="Florida"/>
        <s v="Florida St."/>
        <s v="Fresno St."/>
        <s v="Georgia"/>
        <s v="Georgia Tech"/>
        <s v="Hawaii"/>
        <s v="Houston"/>
        <s v="Idaho"/>
        <s v="Illinois"/>
        <s v="Indiana"/>
        <s v="Iowa"/>
        <s v="Iowa St."/>
        <s v="Kansas"/>
        <s v="Kansas St."/>
        <s v="Kent St."/>
        <s v="Kentucky"/>
        <s v="La.-Lafayette"/>
        <s v="La.-Monroe"/>
        <s v="Louisiana Tech"/>
        <s v="Louisville"/>
        <s v="LSU"/>
        <s v="Marshall"/>
        <s v="Maryland"/>
        <s v="McNeese St."/>
        <s v="Memphis"/>
        <s v="Miami (FL)"/>
        <s v="Miami (OH)"/>
        <s v="Michigan"/>
        <s v="Michigan St."/>
        <s v="Middle Tenn."/>
        <s v="Minnesota"/>
        <s v="Mississippi St."/>
        <s v="Missouri"/>
        <s v="Navy"/>
        <s v="Nebraska"/>
        <s v="Nevada"/>
        <s v="New Mexico"/>
        <s v="New Mexico St."/>
        <s v="North Carolina"/>
        <s v="North Carolina St."/>
        <s v="North Texas"/>
        <s v="Northern Ill."/>
        <s v="Northwestern"/>
        <s v="Notre Dame"/>
        <s v="Ohio"/>
        <s v="Ohio St."/>
        <s v="Oklahoma"/>
        <s v="Oklahoma St."/>
        <s v="Ole Miss"/>
        <s v="Oregon"/>
        <s v="Oregon St."/>
        <s v="Penn St."/>
        <s v="Pittsburgh"/>
        <s v="Purdue"/>
        <s v="Rice"/>
        <s v="Rutgers"/>
        <s v="Sam Houston St."/>
        <s v="San Diego St."/>
        <s v="San Jose St."/>
        <s v="SMU"/>
        <s v="South Carolina"/>
        <s v="South Fla."/>
        <s v="Southeastern La."/>
        <s v="Southern California"/>
        <s v="Southern Miss."/>
        <s v="Southern Utah"/>
        <s v="Stanford"/>
        <s v="Stephen F. Austin"/>
        <s v="Syracuse"/>
        <s v="TCU"/>
        <s v="Temple"/>
        <s v="Tennessee"/>
        <s v="Texas"/>
        <s v="Texas A&amp;M"/>
        <s v="Texas St."/>
        <s v="Texas Tech"/>
        <s v="Toledo"/>
        <s v="Troy"/>
        <s v="Tulane"/>
        <s v="Tulsa"/>
        <s v="UAB"/>
        <s v="UC Davis"/>
        <s v="UCF"/>
        <s v="UCLA"/>
        <s v="UNLV"/>
        <s v="Utah"/>
        <s v="Utah St."/>
        <s v="UTEP"/>
        <s v="UTSA"/>
        <s v="Vanderbilt"/>
        <s v="Virginia"/>
        <s v="Virginia Tech"/>
        <s v="Wake Forest"/>
        <s v="Washington"/>
        <s v="Washington St."/>
        <s v="West Virginia"/>
        <s v="Western Ky."/>
        <s v="Western Mich."/>
        <s v="Wisconsin"/>
        <s v="Wyoming"/>
      </sharedItems>
    </cacheField>
    <cacheField name="Team Id" numFmtId="0">
      <sharedItems containsSemiMixedTypes="0" containsString="0" containsNumber="1" containsInteger="1" minValue="5" maxValue="811"/>
    </cacheField>
    <cacheField name="Team Score" numFmtId="0">
      <sharedItems containsSemiMixedTypes="0" containsString="0" containsNumber="1" containsInteger="1" minValue="0" maxValue="72"/>
    </cacheField>
    <cacheField name="Passing Yards" numFmtId="0">
      <sharedItems containsSemiMixedTypes="0" containsString="0" containsNumber="1" containsInteger="1" minValue="0" maxValue="563"/>
    </cacheField>
    <cacheField name="Passing Attempts" numFmtId="0">
      <sharedItems containsSemiMixedTypes="0" containsString="0" containsNumber="1" containsInteger="1" minValue="3" maxValue="66"/>
    </cacheField>
    <cacheField name="Passing TDs" numFmtId="0">
      <sharedItems containsSemiMixedTypes="0" containsString="0" containsNumber="1" containsInteger="1" minValue="0" maxValue="7"/>
    </cacheField>
    <cacheField name="Passing Completions" numFmtId="0">
      <sharedItems containsSemiMixedTypes="0" containsString="0" containsNumber="1" containsInteger="1" minValue="0" maxValue="47"/>
    </cacheField>
    <cacheField name="INTs" numFmtId="0">
      <sharedItems containsSemiMixedTypes="0" containsString="0" containsNumber="1" containsInteger="1" minValue="0" maxValue="5"/>
    </cacheField>
    <cacheField name="Rushing Yards" numFmtId="0">
      <sharedItems containsSemiMixedTypes="0" containsString="0" containsNumber="1" containsInteger="1" minValue="-26" maxValue="604"/>
    </cacheField>
    <cacheField name="Rushing Attempts" numFmtId="0">
      <sharedItems containsSemiMixedTypes="0" containsString="0" containsNumber="1" containsInteger="1" minValue="14" maxValue="80"/>
    </cacheField>
    <cacheField name="Rushing TDs" numFmtId="0">
      <sharedItems containsSemiMixedTypes="0" containsString="0" containsNumber="1" containsInteger="1" minValue="0" maxValue="8"/>
    </cacheField>
    <cacheField name="Fumbles" numFmtId="0">
      <sharedItems containsSemiMixedTypes="0" containsString="0" containsNumber="1" containsInteger="1" minValue="0" maxValue="6"/>
    </cacheField>
    <cacheField name="Opp Team Name" numFmtId="0">
      <sharedItems count="198">
        <s v="South Dakota"/>
        <s v="TCU"/>
        <s v="Tennessee St."/>
        <s v="Navy"/>
        <s v="Notre Dame"/>
        <s v="San Diego St."/>
        <s v="Boise St."/>
        <s v="Ohio St."/>
        <s v="Temple"/>
        <s v="VMI"/>
        <s v="Cincinnati"/>
        <s v="Eastern Mich."/>
        <s v="FIU"/>
        <s v="Ohio"/>
        <s v="Kent St."/>
        <s v="Penn St."/>
        <s v="North Texas"/>
        <s v="Arkansas"/>
        <s v="Florida"/>
        <s v="Vanderbilt"/>
        <s v="Ole Miss"/>
        <s v="Tennessee"/>
        <s v="Northern Ariz."/>
        <s v="Oklahoma St."/>
        <s v="Stanford"/>
        <s v="Oregon"/>
        <s v="Southern California"/>
        <s v="Oregon St."/>
        <s v="UCLA"/>
        <s v="UC Davis"/>
        <s v="Missouri"/>
        <s v="Illinois"/>
        <s v="Utah"/>
        <s v="Missouri St."/>
        <s v="New Mexico"/>
        <s v="Troy"/>
        <s v="Alabama"/>
        <s v="Texas A&amp;M"/>
        <s v="Auburn"/>
        <s v="Central Ark."/>
        <s v="Memphis"/>
        <s v="Virginia Tech"/>
        <s v="Western Ky."/>
        <s v="La.-Monroe"/>
        <s v="Northern Ill."/>
        <s v="Northwestern"/>
        <s v="Ball St."/>
        <s v="Tulane"/>
        <s v="Miami (OH)"/>
        <s v="Utah St."/>
        <s v="Mississippi St."/>
        <s v="Clemson"/>
        <s v="Fla. Atlantic"/>
        <s v="South Carolina"/>
        <s v="LSU"/>
        <s v="Indiana"/>
        <s v="South Fla."/>
        <s v="Buffalo"/>
        <s v="Army"/>
        <s v="Oklahoma"/>
        <s v="Central Mich."/>
        <s v="Stephen F. Austin"/>
        <s v="Rice"/>
        <s v="Kansas St."/>
        <s v="Iowa St."/>
        <s v="Georgia"/>
        <s v="Toledo"/>
        <s v="Tulsa"/>
        <s v="Nevada"/>
        <s v="Fresno St."/>
        <s v="Colorado St."/>
        <s v="Air Force"/>
        <s v="Massachusetts"/>
        <s v="UCF"/>
        <s v="Duke"/>
        <s v="Wake Forest"/>
        <s v="Morgan St."/>
        <s v="Idaho"/>
        <s v="Wyoming"/>
        <s v="West Virginia"/>
        <s v="Western Mich."/>
        <s v="Stony Brook"/>
        <s v="Pittsburgh"/>
        <s v="Connecticut"/>
        <s v="Texas"/>
        <s v="San Jose St."/>
        <s v="Idaho St."/>
        <s v="Presbyterian"/>
        <s v="Colorado"/>
        <s v="Washington"/>
        <s v="South Carolina St."/>
        <s v="Kentucky"/>
        <s v="Michigan St."/>
        <s v="North Carolina St."/>
        <s v="Austin Peay"/>
        <s v="Akron"/>
        <s v="Louisville"/>
        <s v="Wofford"/>
        <s v="Florida St."/>
        <s v="Boston College"/>
        <s v="Maryland"/>
        <s v="North Carolina"/>
        <s v="Hawaii"/>
        <s v="California"/>
        <s v="Washington St."/>
        <s v="Northern Colo."/>
        <s v="UTEP"/>
        <s v="Fordham"/>
        <s v="Richmond"/>
        <s v="UAB"/>
        <s v="Houston"/>
        <s v="Howard"/>
        <s v="Alabama St."/>
        <s v="Michigan"/>
        <s v="La.-Lafayette"/>
        <s v="Arkansas St."/>
        <s v="Middle Tenn."/>
        <s v="Charleston So."/>
        <s v="North Dakota"/>
        <s v="Nebraska"/>
        <s v="Coastal Caro."/>
        <s v="Western Caro."/>
        <s v="Kansas"/>
        <s v="Virginia"/>
        <s v="Miami (FL)"/>
        <s v="UNLV"/>
        <s v="Louisiana Tech"/>
        <s v="New Mexico St."/>
        <s v="Georgia St."/>
        <s v="East Carolina"/>
        <s v="Marshall"/>
        <s v="Bowling Green"/>
        <s v="South Dakota St."/>
        <s v="Arizona St."/>
        <s v="Purdue"/>
        <s v="Wisconsin"/>
        <s v="Iowa"/>
        <s v="Tennessee Tech"/>
        <s v="UNI"/>
        <s v="Baylor"/>
        <s v="McNeese St."/>
        <s v="Georgia Tech"/>
        <s v="Texas Tech"/>
        <s v="Eastern Ky."/>
        <s v="South Ala."/>
        <s v="Jacksonville St."/>
        <s v="Nicholls St."/>
        <s v="Grambling"/>
        <s v="Southern Miss."/>
        <s v="Murray St."/>
        <s v="Rutgers"/>
        <s v="Northwestern St."/>
        <s v="Towson"/>
        <s v="Texas St."/>
        <s v="SMU"/>
        <s v="Bethune-Cookman"/>
        <s v="Minnesota"/>
        <s v="Youngstown St."/>
        <s v="North Dakota St."/>
        <s v="Western Ill."/>
        <s v="Delaware"/>
        <s v="Chattanooga"/>
        <s v="Sam Houston St."/>
        <s v="James Madison"/>
        <s v="Liberty"/>
        <s v="Cal Poly"/>
        <s v="Eastern Ill."/>
        <s v="Gardner-Webb"/>
        <s v="Arizona"/>
        <s v="Southern Ill."/>
        <s v="BYU"/>
        <s v="Sacramento St."/>
        <s v="Indiana St."/>
        <s v="Maine"/>
        <s v="Southeast Mo. St."/>
        <s v="N.C. Central"/>
        <s v="Syracuse"/>
        <s v="UTSA"/>
        <s v="Florida A&amp;M"/>
        <s v="Southeastern La."/>
        <s v="Rhode Island"/>
        <s v="Portland St."/>
        <s v="Villanova"/>
        <s v="Montana"/>
        <s v="Tarleton St."/>
        <s v="Lamar"/>
        <s v="New Hampshire"/>
        <s v="Southern Utah"/>
        <s v="Montana St."/>
        <s v="Weber St."/>
        <s v="Northeastern St."/>
        <s v="McMurry"/>
        <s v="Bacone"/>
        <s v="Elon"/>
        <s v="William &amp; Mary"/>
        <s v="Appalachian St."/>
        <s v="Eastern Wash."/>
        <s v="Norfolk St."/>
      </sharedItems>
    </cacheField>
    <cacheField name="Opp Team Id" numFmtId="0">
      <sharedItems containsSemiMixedTypes="0" containsString="0" containsNumber="1" containsInteger="1" minValue="5" maxValue="506174"/>
    </cacheField>
    <cacheField name="Opp Team Score" numFmtId="0">
      <sharedItems containsSemiMixedTypes="0" containsString="0" containsNumber="1" containsInteger="1" minValue="0" maxValue="70"/>
    </cacheField>
    <cacheField name="Opp Passing Yards" numFmtId="0">
      <sharedItems containsSemiMixedTypes="0" containsString="0" containsNumber="1" containsInteger="1" minValue="0" maxValue="563"/>
    </cacheField>
    <cacheField name="Opp Passing Attempts" numFmtId="0">
      <sharedItems containsSemiMixedTypes="0" containsString="0" containsNumber="1" containsInteger="1" minValue="3" maxValue="69"/>
    </cacheField>
    <cacheField name="Opp Passing TDs" numFmtId="0">
      <sharedItems containsSemiMixedTypes="0" containsString="0" containsNumber="1" containsInteger="1" minValue="0" maxValue="7"/>
    </cacheField>
    <cacheField name="Opp Passing Completions" numFmtId="0">
      <sharedItems containsSemiMixedTypes="0" containsString="0" containsNumber="1" containsInteger="1" minValue="0" maxValue="47"/>
    </cacheField>
    <cacheField name="Opp INTs" numFmtId="0">
      <sharedItems containsSemiMixedTypes="0" containsString="0" containsNumber="1" containsInteger="1" minValue="0" maxValue="5"/>
    </cacheField>
    <cacheField name="Opp Rushing Yards" numFmtId="0">
      <sharedItems containsSemiMixedTypes="0" containsString="0" containsNumber="1" containsInteger="1" minValue="-26" maxValue="604"/>
    </cacheField>
    <cacheField name="Opp Rushing Attempts" numFmtId="0">
      <sharedItems containsSemiMixedTypes="0" containsString="0" containsNumber="1" containsInteger="1" minValue="14" maxValue="80"/>
    </cacheField>
    <cacheField name="Opp Rushing TDs" numFmtId="0">
      <sharedItems containsSemiMixedTypes="0" containsString="0" containsNumber="1" containsInteger="1" minValue="0" maxValue="7"/>
    </cacheField>
    <cacheField name="Opp Fumbles" numFmtId="0">
      <sharedItems containsSemiMixedTypes="0" containsString="0" containsNumber="1" containsInteger="1" minValue="0" maxValue="6"/>
    </cacheField>
    <cacheField name="Win" numFmtId="0">
      <sharedItems/>
    </cacheField>
    <cacheField name="Week Number" numFmtId="0">
      <sharedItems containsSemiMixedTypes="0" containsString="0" containsNumber="1" containsInteger="1" minValue="1" maxValue="8"/>
    </cacheField>
    <cacheField name="Passing Efficiency" numFmtId="0">
      <sharedItems containsMixedTypes="1" containsNumber="1" minValue="-27.21" maxValue="198.68"/>
    </cacheField>
    <cacheField name="Passing Defense Efficiency" numFmtId="0">
      <sharedItems containsMixedTypes="1" containsNumber="1" minValue="1.3199999999999932" maxValue="227.21"/>
    </cacheField>
    <cacheField name="Rushing Efficiency" numFmtId="0">
      <sharedItems containsMixedTypes="1" containsNumber="1" minValue="-70.22" maxValue="301.26"/>
    </cacheField>
    <cacheField name="Rushing Defense Efficiency" numFmtId="0">
      <sharedItems containsMixedTypes="1" containsNumber="1" minValue="-101.25999999999999" maxValue="270.22000000000003"/>
    </cacheField>
    <cacheField name="Passing Weight" numFmtId="0">
      <sharedItems containsSemiMixedTypes="0" containsString="0" containsNumber="1" minValue="0.05" maxValue="0.83"/>
    </cacheField>
    <cacheField name="Rushing Weight" numFmtId="0">
      <sharedItems containsSemiMixedTypes="0" containsString="0" containsNumber="1" minValue="0.17000000000000004" maxValue="0.95"/>
    </cacheField>
    <cacheField name="Against FCS Team" numFmtId="0">
      <sharedItems/>
    </cacheField>
    <cacheField name="Throw Out Pass Eff" numFmtId="0">
      <sharedItems/>
    </cacheField>
    <cacheField name="Throw Out Rush Eff" numFmtId="0">
      <sharedItems/>
    </cacheField>
    <cacheField name="Throw Out Pass Def Eff" numFmtId="0">
      <sharedItems/>
    </cacheField>
    <cacheField name="Throw Out Rush Def Eff" numFmtId="0">
      <sharedItems/>
    </cacheField>
    <cacheField name="Weighted Passing Efficiency" numFmtId="0">
      <sharedItems containsMixedTypes="1" containsNumber="1" minValue="-38.64" maxValue="183.51"/>
    </cacheField>
    <cacheField name="Weighted Passing Defense Efficiency" numFmtId="0">
      <sharedItems containsMixedTypes="1" containsNumber="1" minValue="1.58" maxValue="178.06"/>
    </cacheField>
    <cacheField name="Weighted Rushing Efficiency" numFmtId="0">
      <sharedItems containsMixedTypes="1" containsNumber="1" minValue="-107.54" maxValue="262.42"/>
    </cacheField>
    <cacheField name="Weighted Rushing Defense Efficiency" numFmtId="0">
      <sharedItems containsMixedTypes="1" containsNumber="1" minValue="-144.61000000000001" maxValue="232.58"/>
    </cacheField>
    <cacheField name="Winning Margin" numFmtId="0">
      <sharedItems containsSemiMixedTypes="0" containsString="0" containsNumber="1" containsInteger="1" minValue="1" maxValue="69" count="59">
        <n v="17"/>
        <n v="16"/>
        <n v="39"/>
        <n v="1"/>
        <n v="26"/>
        <n v="14"/>
        <n v="11"/>
        <n v="42"/>
        <n v="38"/>
        <n v="23"/>
        <n v="45"/>
        <n v="8"/>
        <n v="10"/>
        <n v="41"/>
        <n v="24"/>
        <n v="28"/>
        <n v="34"/>
        <n v="31"/>
        <n v="27"/>
        <n v="25"/>
        <n v="7"/>
        <n v="36"/>
        <n v="3"/>
        <n v="21"/>
        <n v="15"/>
        <n v="44"/>
        <n v="49"/>
        <n v="4"/>
        <n v="5"/>
        <n v="29"/>
        <n v="18"/>
        <n v="19"/>
        <n v="35"/>
        <n v="30"/>
        <n v="56"/>
        <n v="2"/>
        <n v="48"/>
        <n v="20"/>
        <n v="50"/>
        <n v="22"/>
        <n v="13"/>
        <n v="53"/>
        <n v="51"/>
        <n v="62"/>
        <n v="9"/>
        <n v="43"/>
        <n v="32"/>
        <n v="6"/>
        <n v="52"/>
        <n v="59"/>
        <n v="37"/>
        <n v="12"/>
        <n v="46"/>
        <n v="58"/>
        <n v="69"/>
        <n v="33"/>
        <n v="54"/>
        <n v="40"/>
        <n v="47"/>
      </sharedItems>
    </cacheField>
    <cacheField name="Total Score" numFmtId="0">
      <sharedItems containsSemiMixedTypes="0" containsString="0" containsNumber="1" containsInteger="1" minValue="12" maxValue="101"/>
    </cacheField>
    <cacheField name="Efficiency Difference" numFmtId="0">
      <sharedItems containsMixedTypes="1" containsNumber="1" minValue="0.15000000000003411" maxValue="292.79000000000008" count="488">
        <s v=" "/>
        <n v="16.370000000000005"/>
        <n v="132.85000000000002"/>
        <n v="95.769999999999953"/>
        <n v="86.110000000000014"/>
        <n v="184.89"/>
        <n v="133.66"/>
        <n v="80.549999999999983"/>
        <n v="61.300000000000011"/>
        <n v="95.449999999999989"/>
        <n v="164.82"/>
        <n v="102.06"/>
        <n v="256.83999999999997"/>
        <n v="163.80000000000001"/>
        <n v="109.34999999999997"/>
        <n v="105.54000000000002"/>
        <n v="292.79000000000008"/>
        <n v="105.56"/>
        <n v="125.85"/>
        <n v="116.49000000000001"/>
        <n v="157.27999999999997"/>
        <n v="52.09"/>
        <n v="40.789999999999992"/>
        <n v="136.71999999999997"/>
        <n v="89.02000000000001"/>
        <n v="2.3999999999999773"/>
        <n v="12.029999999999973"/>
        <n v="50.009999999999991"/>
        <n v="14.560000000000002"/>
        <n v="70.539999999999964"/>
        <n v="103.42000000000002"/>
        <n v="4.3599999999999852"/>
        <n v="86.28000000000003"/>
        <n v="92.94"/>
        <n v="82.35"/>
        <n v="100.85"/>
        <n v="174.57999999999998"/>
        <n v="73.269999999999982"/>
        <n v="27.560000000000002"/>
        <n v="49.330000000000041"/>
        <n v="84.739999999999952"/>
        <n v="90.990000000000009"/>
        <n v="5.6800000000000068"/>
        <n v="47.45999999999998"/>
        <n v="5.4800000000000182"/>
        <n v="35.170000000000016"/>
        <n v="27.319999999999993"/>
        <n v="92.940000000000026"/>
        <n v="85.669999999999959"/>
        <n v="124.15"/>
        <n v="38.47"/>
        <n v="68.16"/>
        <n v="9.4799999999999898"/>
        <n v="171.64"/>
        <n v="8.3800000000000239"/>
        <n v="15.230000000000018"/>
        <n v="37.289999999999964"/>
        <n v="236.54999999999995"/>
        <n v="112.69"/>
        <n v="12.800000000000011"/>
        <n v="42.309999999999974"/>
        <n v="106.97"/>
        <n v="10.699999999999989"/>
        <n v="87.38"/>
        <n v="31.860000000000014"/>
        <n v="92.020000000000039"/>
        <n v="92.22"/>
        <n v="212.12"/>
        <n v="27.300000000000011"/>
        <n v="154.52000000000001"/>
        <n v="19.109999999999985"/>
        <n v="37.899999999999977"/>
        <n v="51.069999999999993"/>
        <n v="98.62"/>
        <n v="116.18"/>
        <n v="70.39"/>
        <n v="88.71999999999997"/>
        <n v="217.8"/>
        <n v="89.580000000000041"/>
        <n v="89.269999999999982"/>
        <n v="82.610000000000014"/>
        <n v="7.039999999999992"/>
        <n v="59.360000000000014"/>
        <n v="39.220000000000027"/>
        <n v="11.259999999999991"/>
        <n v="47.46999999999997"/>
        <n v="43.099999999999994"/>
        <n v="231.26999999999998"/>
        <n v="1.1199999999999761"/>
        <n v="75.02000000000001"/>
        <n v="50.879999999999995"/>
        <n v="103.29000000000002"/>
        <n v="46.260000000000019"/>
        <n v="13.299999999999983"/>
        <n v="42.579999999999984"/>
        <n v="73.96999999999997"/>
        <n v="66.659999999999982"/>
        <n v="141.20999999999998"/>
        <n v="77.539999999999992"/>
        <n v="0.46999999999999886"/>
        <n v="178.44"/>
        <n v="86.610000000000014"/>
        <n v="46.53"/>
        <n v="34.999999999999943"/>
        <n v="80.550000000000011"/>
        <n v="177.65"/>
        <n v="78.420000000000016"/>
        <n v="84.920000000000016"/>
        <n v="43.239999999999981"/>
        <n v="67.509999999999991"/>
        <n v="15.080000000000013"/>
        <n v="18.810000000000002"/>
        <n v="56.75"/>
        <n v="9.4699999999999989"/>
        <n v="110.92000000000002"/>
        <n v="47.06"/>
        <n v="54.509999999999991"/>
        <n v="12.95999999999998"/>
        <n v="116.53000000000003"/>
        <n v="164.09999999999997"/>
        <n v="179.21000000000004"/>
        <n v="44"/>
        <n v="62.34"/>
        <n v="16.230000000000018"/>
        <n v="212.11999999999998"/>
        <n v="186.82999999999998"/>
        <n v="65.34"/>
        <n v="36.639999999999986"/>
        <n v="7.0399999999999636"/>
        <n v="88.02000000000001"/>
        <n v="39.289999999999992"/>
        <n v="36.759999999999991"/>
        <n v="171.88000000000002"/>
        <n v="56.690000000000026"/>
        <n v="38.909999999999968"/>
        <n v="38.81"/>
        <n v="61.25"/>
        <n v="111.05000000000001"/>
        <n v="54.240000000000009"/>
        <n v="135.72999999999999"/>
        <n v="199.36"/>
        <n v="120.62999999999997"/>
        <n v="17.579999999999984"/>
        <n v="96.850000000000009"/>
        <n v="162.45000000000002"/>
        <n v="105.07999999999998"/>
        <n v="30.740000000000009"/>
        <n v="9.1599999999999966"/>
        <n v="38.650000000000006"/>
        <n v="84.739999999999981"/>
        <n v="145.11999999999998"/>
        <n v="17.420000000000016"/>
        <n v="13.040000000000049"/>
        <n v="92.88"/>
        <n v="75.149999999999991"/>
        <n v="145.12"/>
        <n v="123.43"/>
        <n v="124.54999999999998"/>
        <n v="145.29000000000002"/>
        <n v="85.669999999999987"/>
        <n v="72.600000000000023"/>
        <n v="64.09"/>
        <n v="15.079999999999984"/>
        <n v="29.120000000000005"/>
        <n v="110.74000000000001"/>
        <n v="46.259999999999991"/>
        <n v="52.69"/>
        <n v="93.419999999999959"/>
        <n v="33.75"/>
        <n v="38.010000000000019"/>
        <n v="25.839999999999975"/>
        <n v="16.5"/>
        <n v="127.59000000000003"/>
        <n v="44.620000000000033"/>
        <n v="122.39999999999998"/>
        <n v="22.70999999999998"/>
        <n v="9.7400000000000091"/>
        <n v="83.54000000000002"/>
        <n v="156.86999999999998"/>
        <n v="153.07"/>
        <n v="54.340000000000032"/>
        <n v="102.84000000000003"/>
        <n v="42.510000000000019"/>
        <n v="22.96999999999997"/>
        <n v="59.329999999999984"/>
        <n v="0.15000000000003411"/>
        <n v="43.050000000000011"/>
        <n v="135.40999999999997"/>
        <n v="116.17999999999999"/>
        <n v="69.81"/>
        <n v="93.419999999999973"/>
        <n v="43.429999999999978"/>
        <n v="100.19"/>
        <n v="85.490000000000009"/>
        <n v="100.85000000000002"/>
        <n v="87.889999999999986"/>
        <n v="61.870000000000005"/>
        <n v="137.17000000000002"/>
        <n v="1.9900000000000091"/>
        <n v="6.2399999999999807"/>
        <n v="82.359999999999985"/>
        <n v="46.799999999999983"/>
        <n v="178.01000000000002"/>
        <n v="86.810000000000031"/>
        <n v="6.9399999999999977"/>
        <n v="18.659999999999997"/>
        <n v="94.800000000000011"/>
        <n v="88.4"/>
        <n v="63.309999999999974"/>
        <n v="70.890000000000015"/>
        <n v="84.359999999999985"/>
        <n v="60.850000000000023"/>
        <n v="44.840000000000032"/>
        <n v="4.1599999999999682"/>
        <n v="77.789999999999964"/>
        <n v="69.169999999999959"/>
        <n v="147.55000000000001"/>
        <n v="97.899999999999977"/>
        <n v="29.599999999999966"/>
        <n v="1.3000000000000114"/>
        <n v="39.610000000000014"/>
        <n v="3.5599999999999739"/>
        <n v="97.9"/>
        <n v="80.47"/>
        <n v="212.75"/>
        <n v="30.710000000000022"/>
        <n v="10.969999999999999"/>
        <n v="95.63000000000001"/>
        <n v="145.29"/>
        <n v="95.52"/>
        <n v="252.45"/>
        <n v="91.200000000000017"/>
        <n v="3.5600000000000307"/>
        <n v="32.329999999999984"/>
        <n v="79.680000000000007"/>
        <n v="63.069999999999993"/>
        <n v="72.599999999999994"/>
        <n v="55.539999999999992"/>
        <n v="94.799999999999983"/>
        <n v="49.33"/>
        <n v="215.23000000000002"/>
        <n v="48.170000000000016"/>
        <n v="34.69"/>
        <n v="11.400000000000006"/>
        <n v="54.34"/>
        <n v="36.930000000000007"/>
        <n v="95.630000000000024"/>
        <n v="25.039999999999992"/>
        <n v="31.849999999999966"/>
        <n v="74.799999999999983"/>
        <n v="28.120000000000005"/>
        <n v="103.35999999999996"/>
        <n v="78.439999999999969"/>
        <n v="95.52000000000001"/>
        <n v="121.76999999999998"/>
        <n v="124.15000000000003"/>
        <n v="9.0199999999999818"/>
        <n v="57.840000000000032"/>
        <n v="114.85000000000002"/>
        <n v="143.64999999999998"/>
        <n v="25.039999999999964"/>
        <n v="101.53999999999999"/>
        <n v="15.740000000000009"/>
        <n v="32.800000000000011"/>
        <n v="45.989999999999981"/>
        <n v="9.7399999999999807"/>
        <n v="179.03000000000003"/>
        <n v="174.58"/>
        <n v="168.39000000000001"/>
        <n v="45.990000000000009"/>
        <n v="65.079999999999984"/>
        <n v="120.63000000000001"/>
        <n v="10.389999999999986"/>
        <n v="104.67000000000002"/>
        <n v="26.45999999999998"/>
        <n v="35.820000000000022"/>
        <n v="61.400000000000006"/>
        <n v="32.849999999999966"/>
        <n v="88.72"/>
        <n v="78.42"/>
        <n v="151.51"/>
        <n v="8.2900000000000205"/>
        <n v="59.420000000000016"/>
        <n v="202.64"/>
        <n v="2.1200000000000045"/>
        <n v="88.670000000000016"/>
        <n v="60.890000000000015"/>
        <n v="40.489999999999981"/>
        <n v="88.670000000000044"/>
        <n v="31.240000000000009"/>
        <n v="5.4999999999999716"/>
        <n v="6.1500000000000057"/>
        <n v="29.829999999999984"/>
        <n v="75.149999999999977"/>
        <n v="0.61999999999997613"/>
        <n v="3.5699999999999932"/>
        <n v="111.87"/>
        <n v="93.360000000000014"/>
        <n v="103.35999999999999"/>
        <n v="44.61999999999999"/>
        <n v="95.049999999999983"/>
        <n v="14.22999999999999"/>
        <n v="30.920000000000016"/>
        <n v="87.009999999999962"/>
        <n v="36.379999999999995"/>
        <n v="86.419999999999987"/>
        <n v="125.22000000000003"/>
        <n v="36.260000000000019"/>
        <n v="108.49999999999994"/>
        <n v="6.6700000000000159"/>
        <n v="41.949999999999989"/>
        <n v="92.019999999999982"/>
        <n v="118.63999999999999"/>
        <n v="151.43000000000004"/>
        <n v="82.199999999999989"/>
        <n v="40.239999999999981"/>
        <n v="109.32000000000001"/>
        <n v="58.320000000000007"/>
        <n v="3.3199999999999932"/>
        <n v="111.88"/>
        <n v="54.319999999999993"/>
        <n v="135.73000000000002"/>
        <n v="8.6800000000000068"/>
        <n v="44.129999999999995"/>
        <n v="82.360000000000014"/>
        <n v="40.210000000000008"/>
        <n v="13.039999999999964"/>
        <n v="79.679999999999993"/>
        <n v="112.70000000000005"/>
        <n v="153.42999999999998"/>
        <n v="61.869999999999976"/>
        <n v="54.5"/>
        <n v="14.740000000000009"/>
        <n v="60.889999999999986"/>
        <n v="46.430000000000007"/>
        <n v="135.22999999999999"/>
        <n v="109.31999999999996"/>
        <n v="114.84999999999997"/>
        <n v="12.120000000000005"/>
        <n v="95.44999999999996"/>
        <n v="184.89000000000001"/>
        <n v="40.630000000000024"/>
        <n v="40.490000000000009"/>
        <n v="74.449999999999989"/>
        <n v="64.089999999999975"/>
        <n v="171.63999999999993"/>
        <n v="128.47000000000003"/>
        <n v="16.439999999999998"/>
        <n v="125.84999999999997"/>
        <n v="56.509999999999991"/>
        <n v="66.94999999999996"/>
        <n v="99.550000000000011"/>
        <n v="47.469999999999985"/>
        <n v="112.54"/>
        <n v="127.59"/>
        <n v="157.28"/>
        <n v="153.47"/>
        <n v="40.789999999999964"/>
        <n v="115.91"/>
        <n v="102.05999999999999"/>
        <n v="53.19"/>
        <n v="96.850000000000023"/>
        <n v="88.400000000000034"/>
        <n v="4.6799999999999784"/>
        <n v="54.499999999999972"/>
        <n v="35.659999999999997"/>
        <n v="19.999999999999986"/>
        <n v="91.010000000000019"/>
        <n v="38.860000000000014"/>
        <n v="85.649999999999977"/>
        <n v="181.8"/>
        <n v="82.06"/>
        <n v="12.120000000000033"/>
        <n v="68.809999999999988"/>
        <n v="19.999999999999972"/>
        <n v="116.26000000000005"/>
        <n v="110.85000000000002"/>
        <n v="59.419999999999987"/>
        <n v="88.129999999999981"/>
        <n v="145.4"/>
        <n v="16.359999999999985"/>
        <n v="50.880000000000024"/>
        <n v="136.29"/>
        <n v="107.71999999999997"/>
        <n v="168.39000000000004"/>
        <n v="17.860000000000014"/>
        <n v="71.440000000000055"/>
        <n v="4.660000000000025"/>
        <n v="61.249999999999972"/>
        <n v="86.710000000000036"/>
        <n v="27.319999999999965"/>
        <n v="14.230000000000018"/>
        <n v="68.160000000000025"/>
        <n v="171.29"/>
        <n v="36.759999999999962"/>
        <n v="72.079999999999984"/>
        <n v="31.03"/>
        <n v="64.929999999999978"/>
        <n v="66.660000000000025"/>
        <n v="172.18"/>
        <n v="57.839999999999989"/>
        <n v="18.180000000000007"/>
        <n v="181.79999999999995"/>
        <n v="34.240000000000009"/>
        <n v="145.40000000000003"/>
        <n v="171.88"/>
        <n v="79.499999999999972"/>
        <n v="95.07"/>
        <n v="138.64000000000001"/>
        <n v="85.039999999999992"/>
        <n v="67.03"/>
        <n v="8.6900000000000261"/>
        <n v="68.810000000000016"/>
        <n v="40.669999999999987"/>
        <n v="82.080000000000013"/>
        <n v="88.13"/>
        <n v="133.65999999999997"/>
        <n v="53.190000000000026"/>
        <n v="122.94999999999999"/>
        <n v="124.55"/>
        <n v="122.39999999999999"/>
        <n v="121.77000000000001"/>
        <n v="105.56000000000002"/>
        <n v="85.65"/>
        <n v="43.099999999999966"/>
        <n v="149.08000000000004"/>
        <n v="70.889999999999986"/>
        <n v="35.010000000000019"/>
        <n v="85.099999999999966"/>
        <n v="170.08000000000004"/>
        <n v="85.1"/>
        <n v="151.43"/>
        <n v="40.629999999999995"/>
        <n v="162.44999999999999"/>
        <n v="28.379999999999995"/>
        <n v="32.330000000000013"/>
        <n v="215.23"/>
        <n v="59.740000000000009"/>
        <n v="132.46"/>
        <n v="190.84000000000003"/>
        <n v="25.820000000000022"/>
        <n v="132.46000000000004"/>
        <n v="69.28"/>
        <n v="82.059999999999974"/>
        <n v="123.42999999999998"/>
        <n v="190.83999999999997"/>
        <n v="28.380000000000024"/>
        <n v="33.199999999999989"/>
        <n v="25.829999999999984"/>
        <n v="154.52000000000004"/>
        <n v="1.1200000000000045"/>
        <n v="71.440000000000026"/>
        <n v="149.08000000000001"/>
        <n v="44.690000000000026"/>
        <n v="157.55000000000001"/>
        <n v="120.94000000000003"/>
        <n v="9.289999999999992"/>
        <n v="97.54000000000002"/>
        <n v="231.27000000000004"/>
        <n v="135.60999999999999"/>
        <n v="91.010000000000048"/>
        <n v="62.339999999999975"/>
        <n v="127.60999999999999"/>
        <n v="36.930000000000035"/>
        <n v="107.72000000000001"/>
        <n v="58.319999999999993"/>
        <n v="116.26"/>
        <n v="65.339999999999975"/>
        <n v="112.54000000000002"/>
        <n v="86.710000000000008"/>
        <n v="105.53999999999999"/>
        <n v="18.179999999999978"/>
        <n v="43.430000000000007"/>
        <n v="44.129999999999981"/>
        <n v="94.159999999999968"/>
        <n v="98.619999999999976"/>
        <n v="37.900000000000006"/>
        <n v="94.16"/>
        <n v="135.60999999999996"/>
        <n v="164.1"/>
        <n v="78.44"/>
        <n v="39.289999999999964"/>
        <n v="10.969999999999985"/>
        <n v="87.890000000000015"/>
        <n v="88.02"/>
        <n v="153.47000000000003"/>
        <n v="178.01000000000005"/>
        <n v="70.390000000000015"/>
      </sharedItems>
    </cacheField>
    <cacheField name="Efficiency Coefficient" numFmtId="0">
      <sharedItems containsMixedTypes="1" containsNumber="1" minValue="0.97" maxValue="6382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0">
  <r>
    <x v="0"/>
    <n v="721"/>
    <n v="37"/>
    <n v="96"/>
    <n v="9"/>
    <n v="1"/>
    <n v="4"/>
    <n v="2"/>
    <n v="391"/>
    <n v="61"/>
    <n v="4"/>
    <n v="1"/>
    <x v="0"/>
    <n v="650"/>
    <n v="20"/>
    <n v="184"/>
    <n v="26"/>
    <n v="2"/>
    <n v="15"/>
    <n v="3"/>
    <n v="184"/>
    <n v="44"/>
    <n v="1"/>
    <n v="0"/>
    <s v="W"/>
    <n v="1"/>
    <s v=" "/>
    <s v=" "/>
    <s v=" "/>
    <s v=" "/>
    <n v="0.37"/>
    <n v="0.63"/>
    <s v="Y"/>
    <s v="Y"/>
    <s v="N"/>
    <s v="N"/>
    <s v="N"/>
    <s v=" "/>
    <s v=" "/>
    <s v=" "/>
    <s v=" "/>
    <x v="0"/>
    <n v="57"/>
    <x v="0"/>
    <s v=" "/>
  </r>
  <r>
    <x v="0"/>
    <n v="721"/>
    <n v="19"/>
    <n v="167"/>
    <n v="21"/>
    <n v="1"/>
    <n v="12"/>
    <n v="0"/>
    <n v="249"/>
    <n v="43"/>
    <n v="1"/>
    <n v="2"/>
    <x v="1"/>
    <n v="698"/>
    <n v="35"/>
    <n v="206"/>
    <n v="25"/>
    <n v="2"/>
    <n v="20"/>
    <n v="0"/>
    <n v="204"/>
    <n v="44"/>
    <n v="3"/>
    <n v="1"/>
    <s v="L"/>
    <n v="2"/>
    <n v="107.63"/>
    <n v="63.09"/>
    <n v="123.88"/>
    <n v="89.03"/>
    <n v="0.36"/>
    <n v="0.64"/>
    <s v="N"/>
    <s v="N"/>
    <s v="N"/>
    <s v="N"/>
    <s v="N"/>
    <n v="96.29"/>
    <n v="77.11"/>
    <n v="152.44"/>
    <n v="106.8"/>
    <x v="1"/>
    <n v="54"/>
    <x v="1"/>
    <n v="97.74"/>
  </r>
  <r>
    <x v="0"/>
    <n v="721"/>
    <n v="63"/>
    <n v="197"/>
    <n v="15"/>
    <n v="3"/>
    <n v="13"/>
    <n v="0"/>
    <n v="595"/>
    <n v="66"/>
    <n v="6"/>
    <n v="2"/>
    <x v="2"/>
    <n v="691"/>
    <n v="24"/>
    <n v="206"/>
    <n v="25"/>
    <n v="2"/>
    <n v="9"/>
    <n v="1"/>
    <n v="188"/>
    <n v="45"/>
    <n v="1"/>
    <n v="0"/>
    <s v="W"/>
    <n v="4"/>
    <s v=" "/>
    <s v=" "/>
    <s v=" "/>
    <s v=" "/>
    <n v="0.36"/>
    <n v="0.64"/>
    <s v="Y"/>
    <s v="N"/>
    <s v="N"/>
    <s v="N"/>
    <s v="N"/>
    <s v=" "/>
    <s v=" "/>
    <s v=" "/>
    <s v=" "/>
    <x v="2"/>
    <n v="87"/>
    <x v="0"/>
    <s v=" "/>
  </r>
  <r>
    <x v="0"/>
    <n v="721"/>
    <n v="35"/>
    <n v="136"/>
    <n v="10"/>
    <n v="1"/>
    <n v="9"/>
    <n v="0"/>
    <n v="223"/>
    <n v="41"/>
    <n v="4"/>
    <n v="1"/>
    <x v="3"/>
    <n v="726"/>
    <n v="34"/>
    <n v="132"/>
    <n v="25"/>
    <n v="1"/>
    <n v="14"/>
    <n v="1"/>
    <n v="334"/>
    <n v="80"/>
    <n v="3"/>
    <n v="0"/>
    <s v="W"/>
    <n v="5"/>
    <s v=" "/>
    <n v="121.22"/>
    <n v="133.5"/>
    <n v="97.51"/>
    <n v="0.24"/>
    <n v="0.76"/>
    <s v="N"/>
    <s v="Y"/>
    <s v="N"/>
    <s v="N"/>
    <s v="N"/>
    <s v=" "/>
    <n v="113.71"/>
    <n v="120.21"/>
    <n v="128.06"/>
    <x v="3"/>
    <n v="69"/>
    <x v="0"/>
    <s v=" "/>
  </r>
  <r>
    <x v="0"/>
    <n v="721"/>
    <n v="33"/>
    <n v="202"/>
    <n v="28"/>
    <n v="2"/>
    <n v="16"/>
    <n v="1"/>
    <n v="363"/>
    <n v="60"/>
    <n v="2"/>
    <n v="1"/>
    <x v="4"/>
    <n v="513"/>
    <n v="59"/>
    <n v="294"/>
    <n v="36"/>
    <n v="4"/>
    <n v="27"/>
    <n v="0"/>
    <n v="266"/>
    <n v="29"/>
    <n v="4"/>
    <n v="0"/>
    <s v="L"/>
    <n v="6"/>
    <n v="96.46"/>
    <n v="63.819999999999993"/>
    <n v="140.36000000000001"/>
    <n v="-33.490000000000009"/>
    <n v="0.55000000000000004"/>
    <n v="0.44999999999999996"/>
    <s v="N"/>
    <s v="N"/>
    <s v="N"/>
    <s v="N"/>
    <s v="N"/>
    <n v="99.27"/>
    <n v="64.95"/>
    <n v="163.58000000000001"/>
    <n v="-44.8"/>
    <x v="4"/>
    <n v="92"/>
    <x v="2"/>
    <n v="19.57"/>
  </r>
  <r>
    <x v="0"/>
    <n v="721"/>
    <n v="27"/>
    <n v="224"/>
    <n v="37"/>
    <n v="2"/>
    <n v="22"/>
    <n v="2"/>
    <n v="195"/>
    <n v="47"/>
    <n v="1"/>
    <n v="1"/>
    <x v="5"/>
    <n v="626"/>
    <n v="41"/>
    <n v="209"/>
    <n v="21"/>
    <n v="2"/>
    <n v="15"/>
    <n v="0"/>
    <n v="201"/>
    <n v="35"/>
    <n v="2"/>
    <n v="1"/>
    <s v="L"/>
    <n v="7"/>
    <n v="84.35"/>
    <n v="60.050000000000011"/>
    <n v="93.06"/>
    <n v="66.77000000000001"/>
    <n v="0.38"/>
    <n v="0.62"/>
    <s v="N"/>
    <s v="N"/>
    <s v="N"/>
    <s v="N"/>
    <s v="N"/>
    <n v="101.17"/>
    <n v="55.75"/>
    <n v="94.88"/>
    <n v="71.34"/>
    <x v="5"/>
    <n v="68"/>
    <x v="3"/>
    <n v="14.62"/>
  </r>
  <r>
    <x v="0"/>
    <n v="721"/>
    <n v="26"/>
    <n v="144"/>
    <n v="17"/>
    <n v="0"/>
    <n v="8"/>
    <n v="1"/>
    <n v="264"/>
    <n v="65"/>
    <n v="3"/>
    <n v="1"/>
    <x v="6"/>
    <n v="66"/>
    <n v="37"/>
    <n v="281"/>
    <n v="29"/>
    <n v="3"/>
    <n v="23"/>
    <n v="1"/>
    <n v="142"/>
    <n v="26"/>
    <n v="1"/>
    <n v="1"/>
    <s v="L"/>
    <n v="8"/>
    <n v="75.58"/>
    <n v="62.710000000000008"/>
    <n v="96.54"/>
    <n v="79.06"/>
    <n v="0.53"/>
    <n v="0.47"/>
    <s v="N"/>
    <s v="N"/>
    <s v="N"/>
    <s v="N"/>
    <s v="N"/>
    <n v="95.8"/>
    <n v="82.32"/>
    <n v="110.8"/>
    <n v="90.68"/>
    <x v="6"/>
    <n v="63"/>
    <x v="4"/>
    <n v="12.77"/>
  </r>
  <r>
    <x v="1"/>
    <n v="5"/>
    <n v="0"/>
    <n v="55"/>
    <n v="19"/>
    <n v="0"/>
    <n v="7"/>
    <n v="1"/>
    <n v="35"/>
    <n v="27"/>
    <n v="0"/>
    <n v="0"/>
    <x v="7"/>
    <n v="518"/>
    <n v="42"/>
    <n v="293"/>
    <n v="28"/>
    <n v="4"/>
    <n v="20"/>
    <n v="0"/>
    <n v="224"/>
    <n v="51"/>
    <n v="2"/>
    <n v="1"/>
    <s v="L"/>
    <n v="1"/>
    <n v="36.83"/>
    <n v="50.110000000000014"/>
    <n v="30.07"/>
    <n v="98.1"/>
    <n v="0.35"/>
    <n v="0.65"/>
    <s v="N"/>
    <s v="N"/>
    <s v="N"/>
    <s v="N"/>
    <s v="N"/>
    <n v="42.54"/>
    <n v="41.44"/>
    <n v="38.549999999999997"/>
    <n v="91.72"/>
    <x v="7"/>
    <n v="42"/>
    <x v="5"/>
    <n v="22.72"/>
  </r>
  <r>
    <x v="1"/>
    <n v="5"/>
    <n v="3"/>
    <n v="227"/>
    <n v="34"/>
    <n v="0"/>
    <n v="16"/>
    <n v="1"/>
    <n v="42"/>
    <n v="28"/>
    <n v="0"/>
    <n v="1"/>
    <x v="8"/>
    <n v="690"/>
    <n v="41"/>
    <n v="111"/>
    <n v="19"/>
    <n v="1"/>
    <n v="8"/>
    <n v="0"/>
    <n v="305"/>
    <n v="49"/>
    <n v="4"/>
    <n v="1"/>
    <s v="L"/>
    <n v="2"/>
    <n v="74.62"/>
    <n v="118.16"/>
    <n v="24.09"/>
    <n v="49.47"/>
    <n v="0.28000000000000003"/>
    <n v="0.72"/>
    <s v="N"/>
    <s v="N"/>
    <s v="N"/>
    <s v="N"/>
    <s v="N"/>
    <n v="85.35"/>
    <n v="79.5"/>
    <n v="33.24"/>
    <n v="54.99"/>
    <x v="8"/>
    <n v="44"/>
    <x v="6"/>
    <n v="28.43"/>
  </r>
  <r>
    <x v="1"/>
    <n v="5"/>
    <n v="36"/>
    <n v="240"/>
    <n v="29"/>
    <n v="3"/>
    <n v="14"/>
    <n v="0"/>
    <n v="294"/>
    <n v="52"/>
    <n v="2"/>
    <n v="0"/>
    <x v="9"/>
    <n v="741"/>
    <n v="13"/>
    <n v="139"/>
    <n v="31"/>
    <n v="1"/>
    <n v="14"/>
    <n v="0"/>
    <n v="100"/>
    <n v="25"/>
    <n v="1"/>
    <n v="2"/>
    <s v="W"/>
    <n v="4"/>
    <s v=" "/>
    <s v=" "/>
    <s v=" "/>
    <s v=" "/>
    <n v="0.55000000000000004"/>
    <n v="0.44999999999999996"/>
    <s v="Y"/>
    <s v="N"/>
    <s v="N"/>
    <s v="N"/>
    <s v="N"/>
    <s v=" "/>
    <s v=" "/>
    <s v=" "/>
    <s v=" "/>
    <x v="9"/>
    <n v="49"/>
    <x v="0"/>
    <s v=" "/>
  </r>
  <r>
    <x v="1"/>
    <n v="5"/>
    <n v="14"/>
    <n v="220"/>
    <n v="36"/>
    <n v="2"/>
    <n v="17"/>
    <n v="4"/>
    <n v="129"/>
    <n v="34"/>
    <n v="0"/>
    <n v="2"/>
    <x v="10"/>
    <n v="140"/>
    <n v="59"/>
    <n v="178"/>
    <n v="21"/>
    <n v="1"/>
    <n v="13"/>
    <n v="0"/>
    <n v="164"/>
    <n v="45"/>
    <n v="4"/>
    <n v="1"/>
    <s v="L"/>
    <n v="3"/>
    <n v="55.53"/>
    <n v="84.76"/>
    <n v="70.38"/>
    <n v="108.78"/>
    <n v="0.32"/>
    <n v="0.67999999999999994"/>
    <s v="N"/>
    <s v="N"/>
    <s v="N"/>
    <s v="N"/>
    <s v="N"/>
    <n v="54.77"/>
    <n v="88.87"/>
    <n v="119.84"/>
    <n v="119.16"/>
    <x v="10"/>
    <n v="73"/>
    <x v="7"/>
    <n v="55.87"/>
  </r>
  <r>
    <x v="1"/>
    <n v="5"/>
    <n v="23"/>
    <n v="163"/>
    <n v="29"/>
    <n v="2"/>
    <n v="15"/>
    <n v="0"/>
    <n v="139"/>
    <n v="34"/>
    <n v="1"/>
    <n v="1"/>
    <x v="11"/>
    <n v="204"/>
    <n v="31"/>
    <n v="94"/>
    <n v="9"/>
    <n v="0"/>
    <n v="4"/>
    <n v="0"/>
    <n v="228"/>
    <n v="56"/>
    <n v="4"/>
    <n v="1"/>
    <s v="L"/>
    <n v="5"/>
    <n v="92.7"/>
    <s v=" "/>
    <n v="90.44"/>
    <n v="100.19"/>
    <n v="0.14000000000000001"/>
    <n v="0.86"/>
    <s v="N"/>
    <s v="N"/>
    <s v="N"/>
    <s v="Y"/>
    <s v="N"/>
    <n v="83.37"/>
    <s v=" "/>
    <n v="82.86"/>
    <n v="91.8"/>
    <x v="11"/>
    <n v="54"/>
    <x v="0"/>
    <s v=" "/>
  </r>
  <r>
    <x v="1"/>
    <n v="5"/>
    <n v="17"/>
    <n v="157"/>
    <n v="23"/>
    <n v="0"/>
    <n v="11"/>
    <n v="1"/>
    <n v="105"/>
    <n v="31"/>
    <n v="2"/>
    <n v="1"/>
    <x v="12"/>
    <n v="231"/>
    <n v="27"/>
    <n v="308"/>
    <n v="38"/>
    <n v="0"/>
    <n v="26"/>
    <n v="1"/>
    <n v="206"/>
    <n v="46"/>
    <n v="3"/>
    <n v="1"/>
    <s v="L"/>
    <n v="6"/>
    <n v="71.98"/>
    <n v="95.3"/>
    <n v="78.58"/>
    <n v="92.84"/>
    <n v="0.45"/>
    <n v="0.55000000000000004"/>
    <s v="N"/>
    <s v="N"/>
    <s v="N"/>
    <s v="N"/>
    <s v="N"/>
    <n v="74.06"/>
    <n v="102.87"/>
    <n v="94.14"/>
    <n v="80.55"/>
    <x v="12"/>
    <n v="44"/>
    <x v="8"/>
    <n v="16.309999999999999"/>
  </r>
  <r>
    <x v="1"/>
    <n v="5"/>
    <n v="20"/>
    <n v="168"/>
    <n v="33"/>
    <n v="2"/>
    <n v="17"/>
    <n v="0"/>
    <n v="81"/>
    <n v="35"/>
    <n v="0"/>
    <n v="1"/>
    <x v="13"/>
    <n v="519"/>
    <n v="37"/>
    <n v="344"/>
    <n v="31"/>
    <n v="2"/>
    <n v="23"/>
    <n v="1"/>
    <n v="212"/>
    <n v="49"/>
    <n v="2"/>
    <n v="2"/>
    <s v="L"/>
    <n v="8"/>
    <n v="88.35"/>
    <n v="65.330000000000013"/>
    <n v="45.12"/>
    <n v="105.75"/>
    <n v="0.39"/>
    <n v="0.61"/>
    <s v="N"/>
    <s v="N"/>
    <s v="N"/>
    <s v="N"/>
    <s v="N"/>
    <n v="105.51"/>
    <n v="74.53"/>
    <n v="58.31"/>
    <n v="105.22"/>
    <x v="0"/>
    <n v="57"/>
    <x v="9"/>
    <n v="17.809999999999999"/>
  </r>
  <r>
    <x v="2"/>
    <n v="8"/>
    <n v="48"/>
    <n v="299"/>
    <n v="37"/>
    <n v="1"/>
    <n v="21"/>
    <n v="4"/>
    <n v="183"/>
    <n v="35"/>
    <n v="5"/>
    <n v="1"/>
    <x v="14"/>
    <n v="331"/>
    <n v="7"/>
    <n v="99"/>
    <n v="47"/>
    <n v="1"/>
    <n v="20"/>
    <n v="1"/>
    <n v="-9"/>
    <n v="23"/>
    <n v="0"/>
    <n v="0"/>
    <s v="W"/>
    <n v="1"/>
    <n v="72.42"/>
    <n v="149.16"/>
    <n v="134.16"/>
    <n v="209.08"/>
    <n v="0.67"/>
    <n v="0.32999999999999996"/>
    <s v="N"/>
    <s v="N"/>
    <s v="N"/>
    <s v="N"/>
    <s v="N"/>
    <n v="82.48"/>
    <n v="70.69"/>
    <n v="162.16999999999999"/>
    <n v="62.12"/>
    <x v="13"/>
    <n v="55"/>
    <x v="10"/>
    <n v="24.88"/>
  </r>
  <r>
    <x v="2"/>
    <n v="8"/>
    <n v="27"/>
    <n v="163"/>
    <n v="31"/>
    <n v="1"/>
    <n v="19"/>
    <n v="0"/>
    <n v="196"/>
    <n v="41"/>
    <n v="2"/>
    <n v="0"/>
    <x v="15"/>
    <n v="539"/>
    <n v="11"/>
    <n v="144"/>
    <n v="39"/>
    <n v="0"/>
    <n v="12"/>
    <n v="1"/>
    <n v="107"/>
    <n v="30"/>
    <n v="1"/>
    <n v="2"/>
    <s v="W"/>
    <n v="2"/>
    <n v="94.79"/>
    <n v="156.80000000000001"/>
    <n v="118.22"/>
    <n v="132.25"/>
    <n v="0.56999999999999995"/>
    <n v="0.43000000000000005"/>
    <s v="N"/>
    <s v="N"/>
    <s v="N"/>
    <s v="N"/>
    <s v="N"/>
    <n v="119.49"/>
    <n v="137.1"/>
    <n v="155.74"/>
    <n v="116.46"/>
    <x v="1"/>
    <n v="38"/>
    <x v="11"/>
    <n v="15.68"/>
  </r>
  <r>
    <x v="2"/>
    <n v="8"/>
    <n v="41"/>
    <n v="239"/>
    <n v="29"/>
    <n v="0"/>
    <n v="21"/>
    <n v="0"/>
    <n v="347"/>
    <n v="33"/>
    <n v="5"/>
    <n v="2"/>
    <x v="16"/>
    <n v="497"/>
    <n v="0"/>
    <n v="101"/>
    <n v="31"/>
    <n v="0"/>
    <n v="13"/>
    <n v="0"/>
    <n v="68"/>
    <n v="32"/>
    <n v="0"/>
    <n v="0"/>
    <s v="W"/>
    <n v="3"/>
    <n v="117.33"/>
    <n v="140.31"/>
    <n v="248.5"/>
    <n v="150.69999999999999"/>
    <n v="0.49"/>
    <n v="0.51"/>
    <s v="N"/>
    <s v="N"/>
    <s v="N"/>
    <s v="N"/>
    <s v="N"/>
    <n v="109.85"/>
    <n v="125.35"/>
    <n v="240.39"/>
    <n v="101.5"/>
    <x v="13"/>
    <n v="41"/>
    <x v="12"/>
    <n v="15.96"/>
  </r>
  <r>
    <x v="2"/>
    <n v="8"/>
    <n v="38"/>
    <n v="200"/>
    <n v="20"/>
    <n v="2"/>
    <n v="15"/>
    <n v="0"/>
    <n v="197"/>
    <n v="39"/>
    <n v="1"/>
    <n v="0"/>
    <x v="17"/>
    <n v="31"/>
    <n v="14"/>
    <n v="209"/>
    <n v="40"/>
    <n v="2"/>
    <n v="24"/>
    <n v="2"/>
    <n v="17"/>
    <n v="19"/>
    <n v="0"/>
    <n v="0"/>
    <s v="W"/>
    <n v="4"/>
    <n v="144.5"/>
    <n v="119.02"/>
    <n v="121.04"/>
    <n v="179.24"/>
    <n v="0.68"/>
    <n v="0.31999999999999995"/>
    <s v="N"/>
    <s v="N"/>
    <s v="N"/>
    <s v="N"/>
    <s v="N"/>
    <n v="157.28"/>
    <n v="126.54"/>
    <n v="104.05"/>
    <n v="187.08"/>
    <x v="14"/>
    <n v="52"/>
    <x v="13"/>
    <n v="14.65"/>
  </r>
  <r>
    <x v="2"/>
    <n v="8"/>
    <n v="38"/>
    <n v="140"/>
    <n v="25"/>
    <n v="0"/>
    <n v="12"/>
    <n v="0"/>
    <n v="226"/>
    <n v="43"/>
    <n v="4"/>
    <n v="0"/>
    <x v="18"/>
    <n v="235"/>
    <n v="10"/>
    <n v="207"/>
    <n v="23"/>
    <n v="1"/>
    <n v="14"/>
    <n v="1"/>
    <n v="15"/>
    <n v="29"/>
    <n v="0"/>
    <n v="1"/>
    <s v="W"/>
    <n v="5"/>
    <n v="78.52"/>
    <n v="96.6"/>
    <n v="135.88999999999999"/>
    <n v="198.34"/>
    <n v="0.44"/>
    <n v="0.56000000000000005"/>
    <s v="N"/>
    <s v="N"/>
    <s v="N"/>
    <s v="N"/>
    <s v="N"/>
    <n v="95.64"/>
    <n v="88.15"/>
    <n v="177.36"/>
    <n v="193.36"/>
    <x v="15"/>
    <n v="48"/>
    <x v="14"/>
    <n v="25.61"/>
  </r>
  <r>
    <x v="2"/>
    <n v="8"/>
    <n v="34"/>
    <n v="266"/>
    <n v="33"/>
    <n v="4"/>
    <n v="26"/>
    <n v="0"/>
    <n v="153"/>
    <n v="43"/>
    <n v="1"/>
    <n v="0"/>
    <x v="19"/>
    <n v="736"/>
    <n v="0"/>
    <n v="149"/>
    <n v="24"/>
    <n v="0"/>
    <n v="15"/>
    <n v="2"/>
    <n v="41"/>
    <n v="19"/>
    <n v="0"/>
    <n v="0"/>
    <s v="W"/>
    <n v="6"/>
    <n v="140.9"/>
    <n v="128.66"/>
    <n v="86.04"/>
    <n v="149.94"/>
    <n v="0.56000000000000005"/>
    <n v="0.43999999999999995"/>
    <s v="N"/>
    <s v="N"/>
    <s v="N"/>
    <s v="N"/>
    <s v="N"/>
    <n v="177.95"/>
    <n v="80.790000000000006"/>
    <n v="105.07"/>
    <n v="132.58000000000001"/>
    <x v="16"/>
    <n v="34"/>
    <x v="15"/>
    <n v="32.22"/>
  </r>
  <r>
    <x v="2"/>
    <n v="8"/>
    <n v="52"/>
    <n v="226"/>
    <n v="25"/>
    <n v="1"/>
    <n v="20"/>
    <n v="0"/>
    <n v="389"/>
    <n v="42"/>
    <n v="6"/>
    <n v="0"/>
    <x v="20"/>
    <n v="433"/>
    <n v="7"/>
    <n v="113"/>
    <n v="21"/>
    <n v="0"/>
    <n v="10"/>
    <n v="1"/>
    <n v="28"/>
    <n v="31"/>
    <n v="1"/>
    <n v="1"/>
    <s v="W"/>
    <n v="7"/>
    <n v="135.27000000000001"/>
    <n v="137.34"/>
    <n v="236.3"/>
    <n v="183.88"/>
    <n v="0.4"/>
    <n v="0.6"/>
    <s v="N"/>
    <s v="N"/>
    <s v="N"/>
    <s v="N"/>
    <s v="N"/>
    <n v="131.13999999999999"/>
    <n v="102.03"/>
    <n v="156.75"/>
    <n v="105.9"/>
    <x v="10"/>
    <n v="59"/>
    <x v="16"/>
    <n v="15.37"/>
  </r>
  <r>
    <x v="2"/>
    <n v="8"/>
    <n v="37"/>
    <n v="294"/>
    <n v="28"/>
    <n v="1"/>
    <n v="18"/>
    <n v="1"/>
    <n v="143"/>
    <n v="38"/>
    <n v="3"/>
    <n v="0"/>
    <x v="21"/>
    <n v="694"/>
    <n v="6"/>
    <n v="63"/>
    <n v="18"/>
    <n v="0"/>
    <n v="9"/>
    <n v="1"/>
    <n v="92"/>
    <n v="32"/>
    <n v="0"/>
    <n v="1"/>
    <s v="W"/>
    <n v="8"/>
    <n v="116.15"/>
    <n v="147.59"/>
    <n v="99.15"/>
    <n v="142.67000000000002"/>
    <n v="0.36"/>
    <n v="0.64"/>
    <s v="N"/>
    <s v="N"/>
    <s v="N"/>
    <s v="N"/>
    <s v="N"/>
    <n v="105.49"/>
    <n v="138.77000000000001"/>
    <n v="90"/>
    <n v="70.47"/>
    <x v="17"/>
    <n v="43"/>
    <x v="17"/>
    <n v="29.37"/>
  </r>
  <r>
    <x v="3"/>
    <n v="29"/>
    <n v="41"/>
    <n v="417"/>
    <n v="42"/>
    <n v="5"/>
    <n v="34"/>
    <n v="0"/>
    <n v="75"/>
    <n v="20"/>
    <n v="1"/>
    <n v="0"/>
    <x v="22"/>
    <n v="501"/>
    <n v="10"/>
    <n v="179"/>
    <n v="26"/>
    <n v="1"/>
    <n v="20"/>
    <n v="1"/>
    <n v="80"/>
    <n v="33"/>
    <n v="0"/>
    <n v="0"/>
    <s v="W"/>
    <n v="1"/>
    <s v=" "/>
    <s v=" "/>
    <s v=" "/>
    <s v=" "/>
    <n v="0.44"/>
    <n v="0.56000000000000005"/>
    <s v="Y"/>
    <s v="N"/>
    <s v="N"/>
    <s v="N"/>
    <s v="N"/>
    <s v=" "/>
    <s v=" "/>
    <s v=" "/>
    <s v=" "/>
    <x v="17"/>
    <n v="51"/>
    <x v="0"/>
    <s v=" "/>
  </r>
  <r>
    <x v="3"/>
    <n v="29"/>
    <n v="14"/>
    <n v="398"/>
    <n v="51"/>
    <n v="1"/>
    <n v="37"/>
    <n v="0"/>
    <n v="41"/>
    <n v="21"/>
    <n v="1"/>
    <n v="1"/>
    <x v="23"/>
    <n v="521"/>
    <n v="37"/>
    <n v="397"/>
    <n v="53"/>
    <n v="2"/>
    <n v="42"/>
    <n v="1"/>
    <n v="197"/>
    <n v="31"/>
    <n v="3"/>
    <n v="0"/>
    <s v="L"/>
    <n v="2"/>
    <n v="118.02"/>
    <n v="79.930000000000007"/>
    <n v="38.15"/>
    <n v="38.050000000000011"/>
    <n v="0.63"/>
    <n v="0.37"/>
    <s v="N"/>
    <s v="N"/>
    <s v="N"/>
    <s v="N"/>
    <s v="N"/>
    <n v="145.65"/>
    <n v="94.42"/>
    <n v="39.69"/>
    <n v="46.31"/>
    <x v="9"/>
    <n v="51"/>
    <x v="18"/>
    <n v="18.28"/>
  </r>
  <r>
    <x v="3"/>
    <n v="29"/>
    <n v="10"/>
    <n v="282"/>
    <n v="39"/>
    <n v="1"/>
    <n v="28"/>
    <n v="0"/>
    <n v="51"/>
    <n v="23"/>
    <n v="0"/>
    <n v="0"/>
    <x v="24"/>
    <n v="674"/>
    <n v="37"/>
    <n v="325"/>
    <n v="31"/>
    <n v="2"/>
    <n v="20"/>
    <n v="0"/>
    <n v="242"/>
    <n v="39"/>
    <n v="2"/>
    <n v="0"/>
    <s v="L"/>
    <n v="3"/>
    <n v="115.05"/>
    <n v="68.669999999999987"/>
    <n v="51.44"/>
    <n v="48.349999999999994"/>
    <n v="0.44"/>
    <n v="0.56000000000000005"/>
    <s v="N"/>
    <s v="N"/>
    <s v="N"/>
    <s v="N"/>
    <s v="N"/>
    <n v="118.81"/>
    <n v="91.65"/>
    <n v="73.37"/>
    <n v="69.62"/>
    <x v="18"/>
    <n v="47"/>
    <x v="19"/>
    <n v="23.18"/>
  </r>
  <r>
    <x v="3"/>
    <n v="29"/>
    <n v="31"/>
    <n v="398"/>
    <n v="57"/>
    <n v="3"/>
    <n v="34"/>
    <n v="0"/>
    <n v="82"/>
    <n v="35"/>
    <n v="1"/>
    <n v="0"/>
    <x v="25"/>
    <n v="529"/>
    <n v="56"/>
    <n v="101"/>
    <n v="20"/>
    <n v="2"/>
    <n v="11"/>
    <n v="0"/>
    <n v="415"/>
    <n v="47"/>
    <n v="6"/>
    <n v="0"/>
    <s v="L"/>
    <n v="4"/>
    <n v="105.6"/>
    <n v="102.48"/>
    <n v="58.64"/>
    <n v="-24"/>
    <n v="0.3"/>
    <n v="0.7"/>
    <s v="N"/>
    <s v="N"/>
    <s v="N"/>
    <s v="N"/>
    <s v="N"/>
    <n v="126.35"/>
    <n v="113.81"/>
    <n v="60.66"/>
    <n v="-38.26"/>
    <x v="19"/>
    <n v="87"/>
    <x v="20"/>
    <n v="15.9"/>
  </r>
  <r>
    <x v="3"/>
    <n v="29"/>
    <n v="41"/>
    <n v="425"/>
    <n v="53"/>
    <n v="4"/>
    <n v="41"/>
    <n v="2"/>
    <n v="129"/>
    <n v="33"/>
    <n v="2"/>
    <n v="0"/>
    <x v="26"/>
    <n v="657"/>
    <n v="48"/>
    <n v="468"/>
    <n v="39"/>
    <n v="4"/>
    <n v="32"/>
    <n v="1"/>
    <n v="114"/>
    <n v="25"/>
    <n v="2"/>
    <n v="0"/>
    <s v="L"/>
    <n v="5"/>
    <n v="121.06"/>
    <n v="44.860000000000014"/>
    <n v="99.78"/>
    <n v="82.21"/>
    <n v="0.61"/>
    <n v="0.39"/>
    <s v="N"/>
    <s v="N"/>
    <s v="N"/>
    <s v="N"/>
    <s v="N"/>
    <n v="123.04"/>
    <n v="51.78"/>
    <n v="124.71"/>
    <n v="75.41"/>
    <x v="20"/>
    <n v="89"/>
    <x v="21"/>
    <n v="13.44"/>
  </r>
  <r>
    <x v="3"/>
    <n v="29"/>
    <n v="27"/>
    <n v="378"/>
    <n v="45"/>
    <n v="1"/>
    <n v="31"/>
    <n v="2"/>
    <n v="53"/>
    <n v="19"/>
    <n v="2"/>
    <n v="2"/>
    <x v="27"/>
    <n v="528"/>
    <n v="37"/>
    <n v="280"/>
    <n v="43"/>
    <n v="2"/>
    <n v="33"/>
    <n v="2"/>
    <n v="128"/>
    <n v="35"/>
    <n v="1"/>
    <n v="0"/>
    <s v="L"/>
    <n v="6"/>
    <n v="104.67"/>
    <n v="94.74"/>
    <n v="48.93"/>
    <n v="110.87"/>
    <n v="0.55000000000000004"/>
    <n v="0.44999999999999996"/>
    <s v="N"/>
    <s v="N"/>
    <s v="N"/>
    <s v="N"/>
    <s v="N"/>
    <n v="96.75"/>
    <n v="96.43"/>
    <n v="53.56"/>
    <n v="73"/>
    <x v="12"/>
    <n v="64"/>
    <x v="22"/>
    <n v="24.52"/>
  </r>
  <r>
    <x v="3"/>
    <n v="29"/>
    <n v="48"/>
    <n v="319"/>
    <n v="44"/>
    <n v="3"/>
    <n v="28"/>
    <n v="1"/>
    <n v="254"/>
    <n v="46"/>
    <n v="3"/>
    <n v="0"/>
    <x v="28"/>
    <n v="110"/>
    <n v="12"/>
    <n v="286"/>
    <n v="35"/>
    <n v="1"/>
    <n v="17"/>
    <n v="0"/>
    <n v="37"/>
    <n v="25"/>
    <n v="0"/>
    <n v="2"/>
    <s v="W"/>
    <n v="8"/>
    <n v="106.56"/>
    <n v="102.61"/>
    <n v="137.88999999999999"/>
    <n v="189.66"/>
    <n v="0.57999999999999996"/>
    <n v="0.42000000000000004"/>
    <s v="N"/>
    <s v="N"/>
    <s v="N"/>
    <s v="N"/>
    <s v="N"/>
    <n v="93.91"/>
    <n v="100.32"/>
    <n v="110.29"/>
    <n v="192.1"/>
    <x v="21"/>
    <n v="60"/>
    <x v="23"/>
    <n v="26.33"/>
  </r>
  <r>
    <x v="4"/>
    <n v="28"/>
    <n v="48"/>
    <n v="300"/>
    <n v="32"/>
    <n v="2"/>
    <n v="24"/>
    <n v="1"/>
    <n v="217"/>
    <n v="40"/>
    <n v="3"/>
    <n v="1"/>
    <x v="29"/>
    <n v="108"/>
    <n v="14"/>
    <n v="155"/>
    <n v="30"/>
    <n v="0"/>
    <n v="18"/>
    <n v="0"/>
    <n v="88"/>
    <n v="26"/>
    <n v="2"/>
    <n v="1"/>
    <s v="W"/>
    <n v="1"/>
    <n v="126.09"/>
    <n v="111.84"/>
    <n v="129.61000000000001"/>
    <n v="121.48"/>
    <n v="0.54"/>
    <n v="0.45999999999999996"/>
    <s v="N"/>
    <s v="N"/>
    <s v="N"/>
    <s v="N"/>
    <s v="N"/>
    <n v="93.52"/>
    <n v="148.88999999999999"/>
    <n v="186.59"/>
    <n v="90.59"/>
    <x v="16"/>
    <n v="62"/>
    <x v="24"/>
    <n v="38.19"/>
  </r>
  <r>
    <x v="4"/>
    <n v="28"/>
    <n v="37"/>
    <n v="388"/>
    <n v="33"/>
    <n v="4"/>
    <n v="25"/>
    <n v="0"/>
    <n v="104"/>
    <n v="31"/>
    <n v="1"/>
    <n v="1"/>
    <x v="30"/>
    <n v="434"/>
    <n v="30"/>
    <n v="319"/>
    <n v="42"/>
    <n v="2"/>
    <n v="26"/>
    <n v="0"/>
    <n v="182"/>
    <n v="37"/>
    <n v="1"/>
    <n v="0"/>
    <s v="W"/>
    <n v="2"/>
    <n v="158.02000000000001"/>
    <n v="89.56"/>
    <n v="72.989999999999995"/>
    <n v="81.83"/>
    <n v="0.53"/>
    <n v="0.47"/>
    <s v="N"/>
    <s v="N"/>
    <s v="N"/>
    <s v="N"/>
    <s v="N"/>
    <n v="151.02000000000001"/>
    <n v="84.18"/>
    <n v="79.88"/>
    <n v="94.73"/>
    <x v="20"/>
    <n v="67"/>
    <x v="25"/>
    <n v="291.67"/>
  </r>
  <r>
    <x v="4"/>
    <n v="28"/>
    <n v="14"/>
    <n v="256"/>
    <n v="45"/>
    <n v="1"/>
    <n v="25"/>
    <n v="2"/>
    <n v="106"/>
    <n v="34"/>
    <n v="1"/>
    <n v="1"/>
    <x v="31"/>
    <n v="301"/>
    <n v="17"/>
    <n v="135"/>
    <n v="15"/>
    <n v="1"/>
    <n v="11"/>
    <n v="1"/>
    <n v="105"/>
    <n v="45"/>
    <n v="1"/>
    <n v="2"/>
    <s v="L"/>
    <n v="3"/>
    <n v="76.56"/>
    <n v="87.62"/>
    <n v="67.92"/>
    <n v="155.87"/>
    <n v="0.25"/>
    <n v="0.75"/>
    <s v="N"/>
    <s v="N"/>
    <s v="N"/>
    <s v="N"/>
    <s v="N"/>
    <n v="72.709999999999994"/>
    <n v="96.55"/>
    <n v="95.36"/>
    <n v="132.75"/>
    <x v="22"/>
    <n v="31"/>
    <x v="26"/>
    <n v="24.94"/>
  </r>
  <r>
    <x v="4"/>
    <n v="28"/>
    <n v="43"/>
    <n v="223"/>
    <n v="32"/>
    <n v="2"/>
    <n v="25"/>
    <n v="0"/>
    <n v="169"/>
    <n v="36"/>
    <n v="3"/>
    <n v="0"/>
    <x v="26"/>
    <n v="657"/>
    <n v="22"/>
    <n v="227"/>
    <n v="33"/>
    <n v="1"/>
    <n v="21"/>
    <n v="2"/>
    <n v="175"/>
    <n v="33"/>
    <n v="1"/>
    <n v="2"/>
    <s v="W"/>
    <n v="4"/>
    <n v="125.48"/>
    <n v="112.51"/>
    <n v="121.41"/>
    <n v="90.61"/>
    <n v="0.5"/>
    <n v="0.5"/>
    <s v="N"/>
    <s v="N"/>
    <s v="N"/>
    <s v="N"/>
    <s v="N"/>
    <n v="127.53"/>
    <n v="129.87"/>
    <n v="151.74"/>
    <n v="83.12"/>
    <x v="23"/>
    <n v="65"/>
    <x v="27"/>
    <n v="41.99"/>
  </r>
  <r>
    <x v="4"/>
    <n v="28"/>
    <n v="35"/>
    <n v="258"/>
    <n v="37"/>
    <n v="2"/>
    <n v="24"/>
    <n v="3"/>
    <n v="108"/>
    <n v="34"/>
    <n v="2"/>
    <n v="1"/>
    <x v="27"/>
    <n v="528"/>
    <n v="20"/>
    <n v="341"/>
    <n v="66"/>
    <n v="1"/>
    <n v="40"/>
    <n v="4"/>
    <n v="47"/>
    <n v="14"/>
    <n v="1"/>
    <n v="1"/>
    <s v="W"/>
    <n v="5"/>
    <n v="86.65"/>
    <n v="127.14"/>
    <n v="73.69"/>
    <s v=" "/>
    <n v="0.83"/>
    <n v="0.17000000000000004"/>
    <s v="N"/>
    <s v="N"/>
    <s v="N"/>
    <s v="N"/>
    <s v="Y"/>
    <n v="80.09"/>
    <n v="129.41"/>
    <n v="80.66"/>
    <s v=" "/>
    <x v="24"/>
    <n v="55"/>
    <x v="0"/>
    <s v=" "/>
  </r>
  <r>
    <x v="4"/>
    <n v="28"/>
    <n v="35"/>
    <n v="325"/>
    <n v="41"/>
    <n v="3"/>
    <n v="25"/>
    <n v="0"/>
    <n v="74"/>
    <n v="38"/>
    <n v="1"/>
    <n v="0"/>
    <x v="32"/>
    <n v="732"/>
    <n v="14"/>
    <n v="199"/>
    <n v="30"/>
    <n v="1"/>
    <n v="18"/>
    <n v="3"/>
    <n v="121"/>
    <n v="30"/>
    <n v="1"/>
    <n v="2"/>
    <s v="W"/>
    <n v="6"/>
    <n v="115.15"/>
    <n v="128.85"/>
    <n v="49.13"/>
    <n v="121.43"/>
    <n v="0.5"/>
    <n v="0.5"/>
    <s v="N"/>
    <s v="N"/>
    <s v="N"/>
    <s v="N"/>
    <s v="N"/>
    <n v="122.96"/>
    <n v="107.73"/>
    <n v="75.239999999999995"/>
    <n v="68.53"/>
    <x v="23"/>
    <n v="49"/>
    <x v="28"/>
    <n v="144.22999999999999"/>
  </r>
  <r>
    <x v="4"/>
    <n v="28"/>
    <n v="27"/>
    <n v="291"/>
    <n v="46"/>
    <n v="2"/>
    <n v="29"/>
    <n v="2"/>
    <n v="169"/>
    <n v="35"/>
    <n v="1"/>
    <n v="0"/>
    <x v="25"/>
    <n v="529"/>
    <n v="41"/>
    <n v="209"/>
    <n v="22"/>
    <n v="2"/>
    <n v="15"/>
    <n v="1"/>
    <n v="327"/>
    <n v="49"/>
    <n v="3"/>
    <n v="1"/>
    <s v="L"/>
    <n v="7"/>
    <n v="91"/>
    <n v="80.040000000000006"/>
    <n v="116.31"/>
    <n v="42.110000000000014"/>
    <n v="0.31"/>
    <n v="0.69"/>
    <s v="N"/>
    <s v="N"/>
    <s v="N"/>
    <s v="N"/>
    <s v="N"/>
    <n v="108.88"/>
    <n v="88.89"/>
    <n v="120.32"/>
    <n v="67.13"/>
    <x v="5"/>
    <n v="68"/>
    <x v="29"/>
    <n v="19.850000000000001"/>
  </r>
  <r>
    <x v="5"/>
    <n v="31"/>
    <n v="51"/>
    <n v="364"/>
    <n v="35"/>
    <n v="3"/>
    <n v="28"/>
    <n v="0"/>
    <n v="102"/>
    <n v="33"/>
    <n v="2"/>
    <n v="1"/>
    <x v="33"/>
    <n v="669"/>
    <n v="7"/>
    <n v="79"/>
    <n v="18"/>
    <n v="1"/>
    <n v="9"/>
    <n v="1"/>
    <n v="84"/>
    <n v="31"/>
    <n v="0"/>
    <n v="0"/>
    <s v="W"/>
    <n v="1"/>
    <s v=" "/>
    <s v=" "/>
    <s v=" "/>
    <s v=" "/>
    <n v="0.37"/>
    <n v="0.63"/>
    <s v="Y"/>
    <s v="N"/>
    <s v="N"/>
    <s v="N"/>
    <s v="N"/>
    <s v=" "/>
    <s v=" "/>
    <s v=" "/>
    <s v=" "/>
    <x v="25"/>
    <n v="58"/>
    <x v="0"/>
    <s v=" "/>
  </r>
  <r>
    <x v="5"/>
    <n v="31"/>
    <n v="52"/>
    <n v="373"/>
    <n v="39"/>
    <n v="2"/>
    <n v="26"/>
    <n v="1"/>
    <n v="259"/>
    <n v="42"/>
    <n v="4"/>
    <n v="1"/>
    <x v="34"/>
    <n v="473"/>
    <n v="3"/>
    <n v="202"/>
    <n v="38"/>
    <n v="0"/>
    <n v="22"/>
    <n v="0"/>
    <n v="95"/>
    <n v="28"/>
    <n v="0"/>
    <n v="0"/>
    <s v="W"/>
    <n v="2"/>
    <n v="118.79"/>
    <n v="113.13"/>
    <n v="150.21"/>
    <n v="121.29"/>
    <n v="0.57999999999999996"/>
    <n v="0.42000000000000004"/>
    <s v="N"/>
    <s v="N"/>
    <s v="N"/>
    <s v="N"/>
    <s v="N"/>
    <n v="79.16"/>
    <n v="96.61"/>
    <n v="101.41"/>
    <n v="88.46"/>
    <x v="26"/>
    <n v="55"/>
    <x v="30"/>
    <n v="47.38"/>
  </r>
  <r>
    <x v="5"/>
    <n v="31"/>
    <n v="38"/>
    <n v="303"/>
    <n v="36"/>
    <n v="2"/>
    <n v="23"/>
    <n v="1"/>
    <n v="151"/>
    <n v="40"/>
    <n v="3"/>
    <n v="2"/>
    <x v="35"/>
    <n v="716"/>
    <n v="28"/>
    <n v="373"/>
    <n v="63"/>
    <n v="3"/>
    <n v="36"/>
    <n v="1"/>
    <n v="84"/>
    <n v="20"/>
    <n v="0"/>
    <n v="0"/>
    <s v="W"/>
    <n v="3"/>
    <n v="109.76"/>
    <n v="108.21"/>
    <n v="83.83"/>
    <n v="102.56"/>
    <n v="0.76"/>
    <n v="0.24"/>
    <s v="N"/>
    <s v="N"/>
    <s v="N"/>
    <s v="N"/>
    <s v="N"/>
    <n v="97.25"/>
    <n v="98.64"/>
    <n v="86.04"/>
    <n v="69.81"/>
    <x v="12"/>
    <n v="66"/>
    <x v="31"/>
    <n v="229.36"/>
  </r>
  <r>
    <x v="5"/>
    <n v="31"/>
    <n v="14"/>
    <n v="209"/>
    <n v="40"/>
    <n v="2"/>
    <n v="24"/>
    <n v="2"/>
    <n v="17"/>
    <n v="19"/>
    <n v="0"/>
    <n v="0"/>
    <x v="36"/>
    <n v="8"/>
    <n v="38"/>
    <n v="200"/>
    <n v="20"/>
    <n v="2"/>
    <n v="15"/>
    <n v="0"/>
    <n v="197"/>
    <n v="39"/>
    <n v="1"/>
    <n v="0"/>
    <s v="L"/>
    <n v="4"/>
    <n v="80.98"/>
    <n v="55.5"/>
    <n v="20.76"/>
    <n v="78.959999999999994"/>
    <n v="0.34"/>
    <n v="0.65999999999999992"/>
    <s v="N"/>
    <s v="N"/>
    <s v="N"/>
    <s v="N"/>
    <s v="N"/>
    <n v="108.87"/>
    <n v="62.43"/>
    <n v="34.93"/>
    <n v="116.4"/>
    <x v="14"/>
    <n v="52"/>
    <x v="13"/>
    <n v="14.65"/>
  </r>
  <r>
    <x v="5"/>
    <n v="31"/>
    <n v="42"/>
    <n v="510"/>
    <n v="51"/>
    <n v="3"/>
    <n v="30"/>
    <n v="0"/>
    <n v="71"/>
    <n v="30"/>
    <n v="2"/>
    <n v="0"/>
    <x v="37"/>
    <n v="697"/>
    <n v="38"/>
    <n v="247"/>
    <n v="35"/>
    <n v="0"/>
    <n v="25"/>
    <n v="1"/>
    <n v="381"/>
    <n v="54"/>
    <n v="5"/>
    <n v="1"/>
    <s v="W"/>
    <n v="5"/>
    <n v="122.15"/>
    <n v="98.68"/>
    <n v="64.91"/>
    <n v="27.97999999999999"/>
    <n v="0.39"/>
    <n v="0.61"/>
    <s v="N"/>
    <s v="N"/>
    <s v="N"/>
    <s v="N"/>
    <s v="N"/>
    <n v="120.27"/>
    <n v="111.27"/>
    <n v="90.44"/>
    <n v="36.299999999999997"/>
    <x v="27"/>
    <n v="80"/>
    <x v="32"/>
    <n v="4.6399999999999997"/>
  </r>
  <r>
    <x v="5"/>
    <n v="31"/>
    <n v="38"/>
    <n v="262"/>
    <n v="36"/>
    <n v="2"/>
    <n v="24"/>
    <n v="0"/>
    <n v="176"/>
    <n v="31"/>
    <n v="3"/>
    <n v="1"/>
    <x v="38"/>
    <n v="37"/>
    <n v="14"/>
    <n v="104"/>
    <n v="25"/>
    <n v="0"/>
    <n v="9"/>
    <n v="3"/>
    <n v="291"/>
    <n v="52"/>
    <n v="2"/>
    <n v="0"/>
    <s v="W"/>
    <n v="6"/>
    <n v="114.66"/>
    <n v="177.32999999999998"/>
    <n v="136.55000000000001"/>
    <n v="64.400000000000006"/>
    <n v="0.32"/>
    <n v="0.67999999999999994"/>
    <s v="N"/>
    <s v="N"/>
    <s v="N"/>
    <s v="N"/>
    <s v="N"/>
    <n v="116.18"/>
    <n v="147.88"/>
    <n v="136.93"/>
    <n v="67.95"/>
    <x v="14"/>
    <n v="52"/>
    <x v="33"/>
    <n v="25.82"/>
  </r>
  <r>
    <x v="5"/>
    <n v="31"/>
    <n v="29"/>
    <n v="232"/>
    <n v="28"/>
    <n v="0"/>
    <n v="13"/>
    <n v="0"/>
    <n v="206"/>
    <n v="29"/>
    <n v="3"/>
    <n v="1"/>
    <x v="20"/>
    <n v="433"/>
    <n v="24"/>
    <n v="219"/>
    <n v="30"/>
    <n v="2"/>
    <n v="18"/>
    <n v="1"/>
    <n v="151"/>
    <n v="46"/>
    <n v="1"/>
    <n v="0"/>
    <s v="W"/>
    <n v="8"/>
    <n v="91.59"/>
    <n v="100.21"/>
    <n v="169.97"/>
    <n v="120.58"/>
    <n v="0.39"/>
    <n v="0.61"/>
    <s v="N"/>
    <s v="N"/>
    <s v="N"/>
    <s v="N"/>
    <s v="N"/>
    <n v="88.8"/>
    <n v="74.45"/>
    <n v="112.75"/>
    <n v="69.44"/>
    <x v="28"/>
    <n v="53"/>
    <x v="34"/>
    <n v="6.07"/>
  </r>
  <r>
    <x v="6"/>
    <n v="30"/>
    <n v="53"/>
    <n v="271"/>
    <n v="32"/>
    <n v="1"/>
    <n v="23"/>
    <n v="1"/>
    <n v="375"/>
    <n v="56"/>
    <n v="3"/>
    <n v="1"/>
    <x v="39"/>
    <n v="1004"/>
    <n v="24"/>
    <n v="225"/>
    <n v="32"/>
    <n v="2"/>
    <n v="17"/>
    <n v="1"/>
    <n v="97"/>
    <n v="32"/>
    <n v="1"/>
    <n v="0"/>
    <s v="W"/>
    <n v="4"/>
    <s v=" "/>
    <s v=" "/>
    <s v=" "/>
    <s v=" "/>
    <n v="0.5"/>
    <n v="0.5"/>
    <s v="Y"/>
    <s v="N"/>
    <s v="N"/>
    <s v="N"/>
    <s v="N"/>
    <s v=" "/>
    <s v=" "/>
    <s v=" "/>
    <s v=" "/>
    <x v="29"/>
    <n v="77"/>
    <x v="0"/>
    <s v=" "/>
  </r>
  <r>
    <x v="6"/>
    <n v="30"/>
    <n v="15"/>
    <n v="290"/>
    <n v="32"/>
    <n v="0"/>
    <n v="20"/>
    <n v="1"/>
    <n v="60"/>
    <n v="32"/>
    <n v="1"/>
    <n v="2"/>
    <x v="31"/>
    <n v="301"/>
    <n v="33"/>
    <n v="271"/>
    <n v="25"/>
    <n v="2"/>
    <n v="17"/>
    <n v="0"/>
    <n v="202"/>
    <n v="50"/>
    <n v="2"/>
    <n v="1"/>
    <s v="L"/>
    <n v="1"/>
    <n v="102.52"/>
    <n v="60.919999999999987"/>
    <n v="29.44"/>
    <n v="106.27"/>
    <n v="0.33"/>
    <n v="0.66999999999999993"/>
    <s v="N"/>
    <s v="N"/>
    <s v="N"/>
    <s v="N"/>
    <s v="N"/>
    <n v="97.37"/>
    <n v="67.13"/>
    <n v="41.33"/>
    <n v="90.51"/>
    <x v="30"/>
    <n v="48"/>
    <x v="35"/>
    <n v="17.850000000000001"/>
  </r>
  <r>
    <x v="6"/>
    <n v="30"/>
    <n v="47"/>
    <n v="375"/>
    <n v="33"/>
    <n v="4"/>
    <n v="29"/>
    <n v="1"/>
    <n v="236"/>
    <n v="46"/>
    <n v="2"/>
    <n v="1"/>
    <x v="40"/>
    <n v="404"/>
    <n v="3"/>
    <n v="87"/>
    <n v="29"/>
    <n v="0"/>
    <n v="13"/>
    <n v="0"/>
    <n v="82"/>
    <n v="38"/>
    <n v="0"/>
    <n v="1"/>
    <s v="W"/>
    <n v="2"/>
    <n v="158.9"/>
    <n v="138.82"/>
    <n v="119.03"/>
    <n v="157.82999999999998"/>
    <n v="0.43"/>
    <n v="0.57000000000000006"/>
    <s v="N"/>
    <s v="N"/>
    <s v="N"/>
    <s v="N"/>
    <s v="N"/>
    <n v="128.82"/>
    <n v="115.98"/>
    <n v="98.34"/>
    <n v="73.510000000000005"/>
    <x v="25"/>
    <n v="50"/>
    <x v="36"/>
    <n v="25.2"/>
  </r>
  <r>
    <x v="6"/>
    <n v="30"/>
    <n v="7"/>
    <n v="205"/>
    <n v="36"/>
    <n v="0"/>
    <n v="16"/>
    <n v="2"/>
    <n v="64"/>
    <n v="31"/>
    <n v="1"/>
    <n v="0"/>
    <x v="41"/>
    <n v="742"/>
    <n v="26"/>
    <n v="292"/>
    <n v="33"/>
    <n v="2"/>
    <n v="21"/>
    <n v="2"/>
    <n v="135"/>
    <n v="40"/>
    <n v="1"/>
    <n v="0"/>
    <s v="L"/>
    <n v="3"/>
    <n v="58.81"/>
    <n v="97.23"/>
    <n v="52.74"/>
    <n v="117.95"/>
    <n v="0.45"/>
    <n v="0.55000000000000004"/>
    <s v="N"/>
    <s v="N"/>
    <s v="N"/>
    <s v="N"/>
    <s v="N"/>
    <n v="66.61"/>
    <n v="98.8"/>
    <n v="76.78"/>
    <n v="126.76"/>
    <x v="31"/>
    <n v="33"/>
    <x v="37"/>
    <n v="25.93"/>
  </r>
  <r>
    <x v="6"/>
    <n v="30"/>
    <n v="26"/>
    <n v="419"/>
    <n v="50"/>
    <n v="2"/>
    <n v="38"/>
    <n v="0"/>
    <n v="25"/>
    <n v="28"/>
    <n v="1"/>
    <n v="0"/>
    <x v="42"/>
    <n v="772"/>
    <n v="22"/>
    <n v="159"/>
    <n v="24"/>
    <n v="2"/>
    <n v="14"/>
    <n v="2"/>
    <n v="152"/>
    <n v="37"/>
    <n v="1"/>
    <n v="0"/>
    <s v="W"/>
    <n v="5"/>
    <n v="127.67"/>
    <n v="118.06"/>
    <n v="26.07"/>
    <n v="100.64"/>
    <n v="0.39"/>
    <n v="0.61"/>
    <s v="N"/>
    <s v="N"/>
    <s v="N"/>
    <s v="N"/>
    <s v="N"/>
    <n v="151.78"/>
    <n v="94.55"/>
    <n v="29.23"/>
    <n v="95.92"/>
    <x v="27"/>
    <n v="48"/>
    <x v="38"/>
    <n v="14.51"/>
  </r>
  <r>
    <x v="6"/>
    <n v="30"/>
    <n v="24"/>
    <n v="261"/>
    <n v="43"/>
    <n v="1"/>
    <n v="27"/>
    <n v="3"/>
    <n v="84"/>
    <n v="25"/>
    <n v="1"/>
    <n v="1"/>
    <x v="43"/>
    <n v="498"/>
    <n v="19"/>
    <n v="298"/>
    <n v="55"/>
    <n v="2"/>
    <n v="26"/>
    <n v="3"/>
    <n v="69"/>
    <n v="37"/>
    <n v="0"/>
    <n v="1"/>
    <s v="W"/>
    <n v="6"/>
    <n v="78.430000000000007"/>
    <n v="134.11000000000001"/>
    <n v="71.95"/>
    <n v="164.84"/>
    <n v="0.6"/>
    <n v="0.4"/>
    <s v="N"/>
    <s v="N"/>
    <s v="N"/>
    <s v="N"/>
    <s v="N"/>
    <n v="76.540000000000006"/>
    <n v="119.64"/>
    <n v="89.29"/>
    <n v="117.97"/>
    <x v="28"/>
    <n v="43"/>
    <x v="39"/>
    <n v="10.14"/>
  </r>
  <r>
    <x v="6"/>
    <n v="30"/>
    <n v="34"/>
    <n v="147"/>
    <n v="24"/>
    <n v="1"/>
    <n v="14"/>
    <n v="1"/>
    <n v="238"/>
    <n v="45"/>
    <n v="3"/>
    <n v="0"/>
    <x v="12"/>
    <n v="231"/>
    <n v="16"/>
    <n v="223"/>
    <n v="37"/>
    <n v="1"/>
    <n v="23"/>
    <n v="1"/>
    <n v="66"/>
    <n v="29"/>
    <n v="0"/>
    <n v="1"/>
    <s v="W"/>
    <n v="8"/>
    <n v="85.46"/>
    <n v="109.04"/>
    <n v="132.69999999999999"/>
    <n v="157.54"/>
    <n v="0.56000000000000005"/>
    <n v="0.43999999999999995"/>
    <s v="N"/>
    <s v="N"/>
    <s v="N"/>
    <s v="N"/>
    <s v="N"/>
    <n v="87.93"/>
    <n v="117.7"/>
    <n v="158.97999999999999"/>
    <n v="136.69"/>
    <x v="30"/>
    <n v="50"/>
    <x v="40"/>
    <n v="21.24"/>
  </r>
  <r>
    <x v="7"/>
    <n v="725"/>
    <n v="26"/>
    <n v="106"/>
    <n v="16"/>
    <n v="1"/>
    <n v="7"/>
    <n v="1"/>
    <n v="303"/>
    <n v="63"/>
    <n v="3"/>
    <n v="2"/>
    <x v="44"/>
    <n v="503"/>
    <n v="49"/>
    <n v="220"/>
    <n v="24"/>
    <n v="5"/>
    <n v="15"/>
    <n v="1"/>
    <n v="289"/>
    <n v="47"/>
    <n v="1"/>
    <n v="1"/>
    <s v="L"/>
    <n v="1"/>
    <n v="70.48"/>
    <n v="68.789999999999992"/>
    <n v="109.2"/>
    <n v="60.539999999999992"/>
    <n v="0.34"/>
    <n v="0.65999999999999992"/>
    <s v="N"/>
    <s v="N"/>
    <s v="N"/>
    <s v="N"/>
    <s v="N"/>
    <n v="69.86"/>
    <n v="72.400000000000006"/>
    <n v="120.69"/>
    <n v="76.73"/>
    <x v="9"/>
    <n v="75"/>
    <x v="41"/>
    <n v="25.28"/>
  </r>
  <r>
    <x v="7"/>
    <n v="725"/>
    <n v="20"/>
    <n v="43"/>
    <n v="7"/>
    <n v="0"/>
    <n v="2"/>
    <n v="0"/>
    <n v="403"/>
    <n v="77"/>
    <n v="3"/>
    <n v="3"/>
    <x v="5"/>
    <n v="626"/>
    <n v="23"/>
    <n v="146"/>
    <n v="18"/>
    <n v="1"/>
    <n v="8"/>
    <n v="0"/>
    <n v="146"/>
    <n v="25"/>
    <n v="2"/>
    <n v="0"/>
    <s v="L"/>
    <n v="2"/>
    <s v=" "/>
    <n v="103.02"/>
    <n v="115.58"/>
    <n v="52.509999999999991"/>
    <n v="0.42"/>
    <n v="0.58000000000000007"/>
    <s v="N"/>
    <s v="Y"/>
    <s v="N"/>
    <s v="N"/>
    <s v="N"/>
    <s v=" "/>
    <n v="95.65"/>
    <n v="117.85"/>
    <n v="56.1"/>
    <x v="22"/>
    <n v="43"/>
    <x v="0"/>
    <s v=" "/>
  </r>
  <r>
    <x v="7"/>
    <n v="725"/>
    <n v="21"/>
    <n v="6"/>
    <n v="7"/>
    <n v="0"/>
    <n v="1"/>
    <n v="0"/>
    <n v="381"/>
    <n v="75"/>
    <n v="3"/>
    <n v="1"/>
    <x v="45"/>
    <n v="509"/>
    <n v="14"/>
    <n v="194"/>
    <n v="30"/>
    <n v="2"/>
    <n v="17"/>
    <n v="0"/>
    <n v="115"/>
    <n v="27"/>
    <n v="0"/>
    <n v="0"/>
    <s v="W"/>
    <n v="3"/>
    <s v=" "/>
    <n v="98.09"/>
    <n v="119.86"/>
    <n v="101.19"/>
    <n v="0.53"/>
    <n v="0.47"/>
    <s v="N"/>
    <s v="Y"/>
    <s v="N"/>
    <s v="N"/>
    <s v="N"/>
    <s v=" "/>
    <n v="114.45"/>
    <n v="118.48"/>
    <n v="90.04"/>
    <x v="20"/>
    <n v="35"/>
    <x v="0"/>
    <s v=" "/>
  </r>
  <r>
    <x v="7"/>
    <n v="725"/>
    <n v="21"/>
    <n v="0"/>
    <n v="4"/>
    <n v="0"/>
    <n v="0"/>
    <n v="1"/>
    <n v="402"/>
    <n v="59"/>
    <n v="3"/>
    <n v="0"/>
    <x v="46"/>
    <n v="47"/>
    <n v="48"/>
    <n v="383"/>
    <n v="33"/>
    <n v="3"/>
    <n v="26"/>
    <n v="0"/>
    <n v="162"/>
    <n v="42"/>
    <n v="3"/>
    <n v="0"/>
    <s v="L"/>
    <n v="4"/>
    <s v=" "/>
    <n v="44.319999999999993"/>
    <n v="165.7"/>
    <n v="99.8"/>
    <n v="0.44"/>
    <n v="0.56000000000000005"/>
    <s v="N"/>
    <s v="Y"/>
    <s v="N"/>
    <s v="N"/>
    <s v="N"/>
    <s v=" "/>
    <n v="43.14"/>
    <n v="143.31"/>
    <n v="85.93"/>
    <x v="18"/>
    <n v="69"/>
    <x v="0"/>
    <s v=" "/>
  </r>
  <r>
    <x v="7"/>
    <n v="725"/>
    <n v="45"/>
    <n v="70"/>
    <n v="3"/>
    <n v="1"/>
    <n v="3"/>
    <n v="0"/>
    <n v="353"/>
    <n v="62"/>
    <n v="5"/>
    <n v="2"/>
    <x v="47"/>
    <n v="718"/>
    <n v="6"/>
    <n v="74"/>
    <n v="20"/>
    <n v="0"/>
    <n v="10"/>
    <n v="2"/>
    <n v="125"/>
    <n v="28"/>
    <n v="1"/>
    <n v="2"/>
    <s v="W"/>
    <n v="5"/>
    <s v=" "/>
    <n v="159.82999999999998"/>
    <n v="134.51"/>
    <n v="112.5"/>
    <n v="0.42"/>
    <n v="0.58000000000000007"/>
    <s v="N"/>
    <s v="Y"/>
    <s v="N"/>
    <s v="N"/>
    <s v="N"/>
    <s v=" "/>
    <n v="153.25"/>
    <n v="136.76"/>
    <n v="94.32"/>
    <x v="2"/>
    <n v="51"/>
    <x v="0"/>
    <s v=" "/>
  </r>
  <r>
    <x v="7"/>
    <n v="725"/>
    <n v="28"/>
    <n v="124"/>
    <n v="9"/>
    <n v="1"/>
    <n v="8"/>
    <n v="0"/>
    <n v="326"/>
    <n v="65"/>
    <n v="3"/>
    <n v="2"/>
    <x v="48"/>
    <n v="414"/>
    <n v="35"/>
    <n v="342"/>
    <n v="37"/>
    <n v="4"/>
    <n v="24"/>
    <n v="0"/>
    <n v="161"/>
    <n v="33"/>
    <n v="1"/>
    <n v="1"/>
    <s v="L"/>
    <n v="6"/>
    <s v=" "/>
    <n v="68.539999999999992"/>
    <n v="114.05"/>
    <n v="91.36"/>
    <n v="0.53"/>
    <n v="0.47"/>
    <s v="N"/>
    <s v="Y"/>
    <s v="N"/>
    <s v="N"/>
    <s v="N"/>
    <s v=" "/>
    <n v="66.37"/>
    <n v="114.86"/>
    <n v="37.86"/>
    <x v="20"/>
    <n v="63"/>
    <x v="0"/>
    <s v=" "/>
  </r>
  <r>
    <x v="7"/>
    <n v="725"/>
    <n v="21"/>
    <n v="18"/>
    <n v="6"/>
    <n v="0"/>
    <n v="1"/>
    <n v="0"/>
    <n v="270"/>
    <n v="51"/>
    <n v="2"/>
    <n v="3"/>
    <x v="19"/>
    <n v="736"/>
    <n v="44"/>
    <n v="186"/>
    <n v="27"/>
    <n v="1"/>
    <n v="10"/>
    <n v="2"/>
    <n v="344"/>
    <n v="54"/>
    <n v="5"/>
    <n v="0"/>
    <s v="L"/>
    <n v="8"/>
    <s v=" "/>
    <n v="142.09"/>
    <n v="111.06"/>
    <n v="38.319999999999993"/>
    <n v="0.33"/>
    <n v="0.66999999999999993"/>
    <s v="N"/>
    <s v="Y"/>
    <s v="N"/>
    <s v="N"/>
    <s v="N"/>
    <s v=" "/>
    <n v="89.22"/>
    <n v="135.62"/>
    <n v="33.880000000000003"/>
    <x v="9"/>
    <n v="65"/>
    <x v="0"/>
    <s v=" "/>
  </r>
  <r>
    <x v="8"/>
    <n v="37"/>
    <n v="42"/>
    <n v="286"/>
    <n v="24"/>
    <n v="3"/>
    <n v="18"/>
    <n v="0"/>
    <n v="78"/>
    <n v="30"/>
    <n v="2"/>
    <n v="0"/>
    <x v="49"/>
    <n v="731"/>
    <n v="38"/>
    <n v="221"/>
    <n v="31"/>
    <n v="0"/>
    <n v="22"/>
    <n v="0"/>
    <n v="227"/>
    <n v="53"/>
    <n v="5"/>
    <n v="0"/>
    <s v="W"/>
    <n v="1"/>
    <n v="158.69999999999999"/>
    <n v="90.18"/>
    <n v="70.319999999999993"/>
    <n v="86.48"/>
    <n v="0.37"/>
    <n v="0.63"/>
    <s v="N"/>
    <s v="N"/>
    <s v="N"/>
    <s v="N"/>
    <s v="N"/>
    <n v="157.36000000000001"/>
    <n v="93.6"/>
    <n v="85.84"/>
    <n v="113.02"/>
    <x v="27"/>
    <n v="80"/>
    <x v="42"/>
    <n v="70.42"/>
  </r>
  <r>
    <x v="8"/>
    <n v="37"/>
    <n v="41"/>
    <n v="146"/>
    <n v="23"/>
    <n v="2"/>
    <n v="16"/>
    <n v="1"/>
    <n v="235"/>
    <n v="36"/>
    <n v="2"/>
    <n v="0"/>
    <x v="50"/>
    <n v="430"/>
    <n v="34"/>
    <n v="198"/>
    <n v="34"/>
    <n v="1"/>
    <n v="21"/>
    <n v="1"/>
    <n v="333"/>
    <n v="63"/>
    <n v="2"/>
    <n v="0"/>
    <s v="W"/>
    <n v="2"/>
    <n v="104.16"/>
    <n v="110.91"/>
    <n v="159.78"/>
    <n v="72.61"/>
    <n v="0.35"/>
    <n v="0.65"/>
    <s v="N"/>
    <s v="N"/>
    <s v="N"/>
    <s v="N"/>
    <s v="N"/>
    <n v="116.17"/>
    <n v="99.07"/>
    <n v="180.01"/>
    <n v="70.66"/>
    <x v="20"/>
    <n v="75"/>
    <x v="43"/>
    <n v="14.75"/>
  </r>
  <r>
    <x v="8"/>
    <n v="37"/>
    <n v="24"/>
    <n v="198"/>
    <n v="25"/>
    <n v="1"/>
    <n v="12"/>
    <n v="1"/>
    <n v="237"/>
    <n v="38"/>
    <n v="2"/>
    <n v="0"/>
    <x v="51"/>
    <n v="147"/>
    <n v="38"/>
    <n v="386"/>
    <n v="42"/>
    <n v="4"/>
    <n v="30"/>
    <n v="0"/>
    <n v="238"/>
    <n v="50"/>
    <n v="1"/>
    <n v="1"/>
    <s v="L"/>
    <n v="3"/>
    <n v="85.16"/>
    <n v="64.199999999999989"/>
    <n v="152.59"/>
    <n v="92.57"/>
    <n v="0.46"/>
    <n v="0.54"/>
    <s v="N"/>
    <s v="N"/>
    <s v="N"/>
    <s v="N"/>
    <s v="N"/>
    <n v="95.34"/>
    <n v="73.19"/>
    <n v="163.46"/>
    <n v="91.6"/>
    <x v="5"/>
    <n v="62"/>
    <x v="44"/>
    <n v="255.47"/>
  </r>
  <r>
    <x v="8"/>
    <n v="37"/>
    <n v="30"/>
    <n v="178"/>
    <n v="29"/>
    <n v="2"/>
    <n v="16"/>
    <n v="1"/>
    <n v="137"/>
    <n v="33"/>
    <n v="0"/>
    <n v="0"/>
    <x v="52"/>
    <n v="229"/>
    <n v="14"/>
    <n v="199"/>
    <n v="32"/>
    <n v="1"/>
    <n v="21"/>
    <n v="3"/>
    <n v="108"/>
    <n v="34"/>
    <n v="0"/>
    <n v="0"/>
    <s v="W"/>
    <n v="4"/>
    <n v="88.62"/>
    <n v="123.92"/>
    <n v="96.32"/>
    <n v="126.31"/>
    <n v="0.48"/>
    <n v="0.52"/>
    <s v="N"/>
    <s v="N"/>
    <s v="N"/>
    <s v="N"/>
    <s v="N"/>
    <n v="88.8"/>
    <n v="87.29"/>
    <n v="100.91"/>
    <n v="70.2"/>
    <x v="1"/>
    <n v="44"/>
    <x v="45"/>
    <n v="45.49"/>
  </r>
  <r>
    <x v="8"/>
    <n v="37"/>
    <n v="16"/>
    <n v="112"/>
    <n v="25"/>
    <n v="1"/>
    <n v="12"/>
    <n v="4"/>
    <n v="246"/>
    <n v="67"/>
    <n v="1"/>
    <n v="0"/>
    <x v="53"/>
    <n v="648"/>
    <n v="13"/>
    <n v="160"/>
    <n v="23"/>
    <n v="1"/>
    <n v="9"/>
    <n v="2"/>
    <n v="129"/>
    <n v="29"/>
    <n v="1"/>
    <n v="2"/>
    <s v="W"/>
    <n v="5"/>
    <n v="30.42"/>
    <n v="142.52000000000001"/>
    <n v="87.42"/>
    <n v="112.32"/>
    <n v="0.44"/>
    <n v="0.56000000000000005"/>
    <s v="N"/>
    <s v="N"/>
    <s v="N"/>
    <s v="N"/>
    <s v="N"/>
    <n v="43.2"/>
    <n v="115.78"/>
    <n v="115.44"/>
    <n v="125.81"/>
    <x v="22"/>
    <n v="29"/>
    <x v="46"/>
    <n v="10.98"/>
  </r>
  <r>
    <x v="8"/>
    <n v="37"/>
    <n v="14"/>
    <n v="104"/>
    <n v="25"/>
    <n v="0"/>
    <n v="9"/>
    <n v="3"/>
    <n v="291"/>
    <n v="52"/>
    <n v="2"/>
    <n v="0"/>
    <x v="17"/>
    <n v="31"/>
    <n v="38"/>
    <n v="262"/>
    <n v="36"/>
    <n v="2"/>
    <n v="24"/>
    <n v="0"/>
    <n v="176"/>
    <n v="31"/>
    <n v="3"/>
    <n v="1"/>
    <s v="L"/>
    <n v="6"/>
    <n v="22.67"/>
    <n v="85.34"/>
    <n v="135.6"/>
    <n v="63.449999999999989"/>
    <n v="0.54"/>
    <n v="0.45999999999999996"/>
    <s v="N"/>
    <s v="N"/>
    <s v="N"/>
    <s v="N"/>
    <s v="N"/>
    <n v="24.67"/>
    <n v="90.73"/>
    <n v="116.56"/>
    <n v="66.22"/>
    <x v="14"/>
    <n v="52"/>
    <x v="47"/>
    <n v="25.82"/>
  </r>
  <r>
    <x v="8"/>
    <n v="37"/>
    <n v="17"/>
    <n v="123"/>
    <n v="16"/>
    <n v="1"/>
    <n v="7"/>
    <n v="0"/>
    <n v="155"/>
    <n v="43"/>
    <n v="1"/>
    <n v="0"/>
    <x v="18"/>
    <n v="235"/>
    <n v="6"/>
    <n v="128"/>
    <n v="29"/>
    <n v="0"/>
    <n v="15"/>
    <n v="1"/>
    <n v="66"/>
    <n v="30"/>
    <n v="0"/>
    <n v="2"/>
    <s v="W"/>
    <n v="7"/>
    <n v="95.02"/>
    <n v="134.57"/>
    <n v="87.12"/>
    <n v="168.96"/>
    <n v="0.49"/>
    <n v="0.51"/>
    <s v="N"/>
    <s v="N"/>
    <s v="N"/>
    <s v="N"/>
    <s v="N"/>
    <n v="115.74"/>
    <n v="122.79"/>
    <n v="113.7"/>
    <n v="164.72"/>
    <x v="6"/>
    <n v="23"/>
    <x v="48"/>
    <n v="12.84"/>
  </r>
  <r>
    <x v="8"/>
    <n v="37"/>
    <n v="10"/>
    <n v="161"/>
    <n v="24"/>
    <n v="0"/>
    <n v="14"/>
    <n v="1"/>
    <n v="87"/>
    <n v="34"/>
    <n v="1"/>
    <n v="1"/>
    <x v="54"/>
    <n v="365"/>
    <n v="45"/>
    <n v="219"/>
    <n v="23"/>
    <n v="3"/>
    <n v="16"/>
    <n v="0"/>
    <n v="174"/>
    <n v="36"/>
    <n v="2"/>
    <n v="0"/>
    <s v="L"/>
    <n v="8"/>
    <n v="82.39"/>
    <n v="58.97999999999999"/>
    <n v="54.95"/>
    <n v="79.53"/>
    <n v="0.39"/>
    <n v="0.61"/>
    <s v="N"/>
    <s v="N"/>
    <s v="N"/>
    <s v="N"/>
    <s v="N"/>
    <n v="109.92"/>
    <n v="65.12"/>
    <n v="76.75"/>
    <n v="85.78"/>
    <x v="32"/>
    <n v="55"/>
    <x v="49"/>
    <n v="28.19"/>
  </r>
  <r>
    <x v="9"/>
    <n v="47"/>
    <n v="27"/>
    <n v="173"/>
    <n v="29"/>
    <n v="2"/>
    <n v="23"/>
    <n v="0"/>
    <n v="210"/>
    <n v="46"/>
    <n v="1"/>
    <n v="0"/>
    <x v="55"/>
    <n v="306"/>
    <n v="20"/>
    <n v="272"/>
    <n v="32"/>
    <n v="1"/>
    <n v="20"/>
    <n v="0"/>
    <n v="103"/>
    <n v="32"/>
    <n v="1"/>
    <n v="0"/>
    <s v="W"/>
    <n v="1"/>
    <n v="122.17"/>
    <n v="86.49"/>
    <n v="109.17"/>
    <n v="120.64"/>
    <n v="0.5"/>
    <n v="0.5"/>
    <s v="N"/>
    <s v="N"/>
    <s v="N"/>
    <s v="N"/>
    <s v="N"/>
    <n v="99.46"/>
    <n v="70.44"/>
    <n v="91.22"/>
    <n v="86.05"/>
    <x v="20"/>
    <n v="47"/>
    <x v="50"/>
    <n v="18.2"/>
  </r>
  <r>
    <x v="9"/>
    <n v="47"/>
    <n v="7"/>
    <n v="148"/>
    <n v="35"/>
    <n v="0"/>
    <n v="24"/>
    <n v="0"/>
    <n v="77"/>
    <n v="33"/>
    <n v="1"/>
    <n v="3"/>
    <x v="56"/>
    <n v="651"/>
    <n v="37"/>
    <n v="372"/>
    <n v="50"/>
    <n v="1"/>
    <n v="31"/>
    <n v="2"/>
    <n v="147"/>
    <n v="38"/>
    <n v="2"/>
    <n v="0"/>
    <s v="L"/>
    <n v="2"/>
    <n v="91.62"/>
    <n v="106.45"/>
    <n v="31.41"/>
    <n v="102.36"/>
    <n v="0.56999999999999995"/>
    <n v="0.43000000000000005"/>
    <s v="N"/>
    <s v="N"/>
    <s v="N"/>
    <s v="N"/>
    <s v="N"/>
    <n v="95.96"/>
    <n v="100.6"/>
    <n v="39.99"/>
    <n v="106.31"/>
    <x v="33"/>
    <n v="44"/>
    <x v="51"/>
    <n v="44.01"/>
  </r>
  <r>
    <x v="9"/>
    <n v="47"/>
    <n v="28"/>
    <n v="226"/>
    <n v="36"/>
    <n v="2"/>
    <n v="24"/>
    <n v="0"/>
    <n v="174"/>
    <n v="39"/>
    <n v="2"/>
    <n v="0"/>
    <x v="57"/>
    <n v="86"/>
    <n v="25"/>
    <n v="176"/>
    <n v="24"/>
    <n v="2"/>
    <n v="14"/>
    <n v="0"/>
    <n v="177"/>
    <n v="37"/>
    <n v="2"/>
    <n v="0"/>
    <s v="W"/>
    <n v="3"/>
    <n v="109.21"/>
    <n v="89.2"/>
    <n v="111.2"/>
    <n v="80.91"/>
    <n v="0.39"/>
    <n v="0.61"/>
    <s v="N"/>
    <s v="N"/>
    <s v="N"/>
    <s v="N"/>
    <s v="N"/>
    <n v="102.57"/>
    <n v="74.91"/>
    <n v="91.67"/>
    <n v="75.31"/>
    <x v="22"/>
    <n v="53"/>
    <x v="52"/>
    <n v="31.65"/>
  </r>
  <r>
    <x v="9"/>
    <n v="47"/>
    <n v="48"/>
    <n v="383"/>
    <n v="33"/>
    <n v="3"/>
    <n v="26"/>
    <n v="0"/>
    <n v="162"/>
    <n v="42"/>
    <n v="3"/>
    <n v="0"/>
    <x v="58"/>
    <n v="725"/>
    <n v="21"/>
    <n v="0"/>
    <n v="4"/>
    <n v="0"/>
    <n v="0"/>
    <n v="1"/>
    <n v="402"/>
    <n v="59"/>
    <n v="3"/>
    <n v="0"/>
    <s v="W"/>
    <n v="4"/>
    <n v="155.68"/>
    <s v=" "/>
    <n v="100.2"/>
    <n v="34.300000000000011"/>
    <n v="0.06"/>
    <n v="0.94"/>
    <s v="N"/>
    <s v="N"/>
    <s v="N"/>
    <s v="Y"/>
    <s v="N"/>
    <n v="152.27000000000001"/>
    <s v=" "/>
    <n v="79.62"/>
    <n v="42.63"/>
    <x v="18"/>
    <n v="69"/>
    <x v="0"/>
    <s v=" "/>
  </r>
  <r>
    <x v="9"/>
    <n v="47"/>
    <n v="6"/>
    <n v="95"/>
    <n v="36"/>
    <n v="0"/>
    <n v="14"/>
    <n v="3"/>
    <n v="119"/>
    <n v="35"/>
    <n v="0"/>
    <n v="1"/>
    <x v="59"/>
    <n v="522"/>
    <n v="62"/>
    <n v="447"/>
    <n v="39"/>
    <n v="5"/>
    <n v="27"/>
    <n v="1"/>
    <n v="208"/>
    <n v="38"/>
    <n v="2"/>
    <n v="1"/>
    <s v="L"/>
    <n v="5"/>
    <n v="28.27"/>
    <n v="56.77000000000001"/>
    <n v="70.31"/>
    <n v="73.010000000000005"/>
    <n v="0.51"/>
    <n v="0.49"/>
    <s v="N"/>
    <s v="N"/>
    <s v="N"/>
    <s v="N"/>
    <s v="N"/>
    <n v="33.32"/>
    <n v="63.76"/>
    <n v="92.61"/>
    <n v="79.27"/>
    <x v="34"/>
    <n v="68"/>
    <x v="53"/>
    <n v="32.630000000000003"/>
  </r>
  <r>
    <x v="9"/>
    <n v="47"/>
    <n v="0"/>
    <n v="155"/>
    <n v="34"/>
    <n v="0"/>
    <n v="19"/>
    <n v="2"/>
    <n v="81"/>
    <n v="25"/>
    <n v="0"/>
    <n v="1"/>
    <x v="8"/>
    <n v="690"/>
    <n v="42"/>
    <n v="160"/>
    <n v="13"/>
    <n v="1"/>
    <n v="10"/>
    <n v="0"/>
    <n v="350"/>
    <n v="62"/>
    <n v="5"/>
    <n v="0"/>
    <s v="L"/>
    <n v="6"/>
    <n v="63.08"/>
    <s v=" "/>
    <n v="63.17"/>
    <n v="56.94"/>
    <n v="0.17"/>
    <n v="0.83"/>
    <s v="N"/>
    <s v="N"/>
    <s v="N"/>
    <s v="Y"/>
    <s v="N"/>
    <n v="72.150000000000006"/>
    <s v=" "/>
    <n v="87.16"/>
    <n v="63.29"/>
    <x v="7"/>
    <n v="42"/>
    <x v="0"/>
    <s v=" "/>
  </r>
  <r>
    <x v="9"/>
    <n v="47"/>
    <n v="23"/>
    <n v="206"/>
    <n v="37"/>
    <n v="0"/>
    <n v="21"/>
    <n v="0"/>
    <n v="166"/>
    <n v="41"/>
    <n v="2"/>
    <n v="0"/>
    <x v="13"/>
    <n v="519"/>
    <n v="20"/>
    <n v="283"/>
    <n v="31"/>
    <n v="3"/>
    <n v="19"/>
    <n v="2"/>
    <n v="130"/>
    <n v="30"/>
    <n v="0"/>
    <n v="1"/>
    <s v="W"/>
    <n v="7"/>
    <n v="87.1"/>
    <n v="93.8"/>
    <n v="101.25"/>
    <n v="109.47"/>
    <n v="0.51"/>
    <n v="0.49"/>
    <s v="N"/>
    <s v="N"/>
    <s v="N"/>
    <s v="N"/>
    <s v="N"/>
    <n v="104.02"/>
    <n v="107"/>
    <n v="130.84"/>
    <n v="108.92"/>
    <x v="22"/>
    <n v="43"/>
    <x v="54"/>
    <n v="35.799999999999997"/>
  </r>
  <r>
    <x v="9"/>
    <n v="47"/>
    <n v="31"/>
    <n v="325"/>
    <n v="38"/>
    <n v="3"/>
    <n v="27"/>
    <n v="1"/>
    <n v="130"/>
    <n v="31"/>
    <n v="1"/>
    <n v="0"/>
    <x v="60"/>
    <n v="129"/>
    <n v="27"/>
    <n v="436"/>
    <n v="45"/>
    <n v="3"/>
    <n v="30"/>
    <n v="1"/>
    <n v="133"/>
    <n v="29"/>
    <n v="0"/>
    <n v="2"/>
    <s v="W"/>
    <n v="8"/>
    <n v="121.61"/>
    <n v="77.2"/>
    <n v="102.13"/>
    <n v="114.29"/>
    <n v="0.61"/>
    <n v="0.39"/>
    <s v="N"/>
    <s v="N"/>
    <s v="N"/>
    <s v="N"/>
    <s v="N"/>
    <n v="113.43"/>
    <n v="71.38"/>
    <n v="88.54"/>
    <n v="106.06"/>
    <x v="27"/>
    <n v="58"/>
    <x v="55"/>
    <n v="26.26"/>
  </r>
  <r>
    <x v="10"/>
    <n v="51"/>
    <n v="50"/>
    <n v="414"/>
    <n v="29"/>
    <n v="6"/>
    <n v="23"/>
    <n v="0"/>
    <n v="150"/>
    <n v="36"/>
    <n v="1"/>
    <n v="1"/>
    <x v="1"/>
    <n v="698"/>
    <n v="48"/>
    <n v="251"/>
    <n v="40"/>
    <n v="4"/>
    <n v="25"/>
    <n v="1"/>
    <n v="215"/>
    <n v="38"/>
    <n v="2"/>
    <n v="0"/>
    <s v="W"/>
    <n v="1"/>
    <n v="188.15"/>
    <n v="95.8"/>
    <n v="92.5"/>
    <n v="60.84"/>
    <n v="0.51"/>
    <n v="0.49"/>
    <s v="N"/>
    <s v="N"/>
    <s v="N"/>
    <s v="N"/>
    <s v="N"/>
    <n v="168.33"/>
    <n v="117.09"/>
    <n v="113.82"/>
    <n v="72.98"/>
    <x v="35"/>
    <n v="98"/>
    <x v="56"/>
    <n v="5.36"/>
  </r>
  <r>
    <x v="10"/>
    <n v="51"/>
    <n v="48"/>
    <n v="279"/>
    <n v="23"/>
    <n v="3"/>
    <n v="20"/>
    <n v="0"/>
    <n v="266"/>
    <n v="31"/>
    <n v="3"/>
    <n v="1"/>
    <x v="61"/>
    <n v="676"/>
    <n v="0"/>
    <n v="122"/>
    <n v="22"/>
    <n v="0"/>
    <n v="13"/>
    <n v="1"/>
    <n v="85"/>
    <n v="26"/>
    <n v="0"/>
    <n v="1"/>
    <s v="W"/>
    <n v="3"/>
    <n v="172.63"/>
    <n v="124.32"/>
    <n v="203.91"/>
    <n v="135.69"/>
    <n v="0.46"/>
    <n v="0.54"/>
    <s v="N"/>
    <s v="N"/>
    <s v="N"/>
    <s v="N"/>
    <s v="N"/>
    <n v="79.88"/>
    <n v="92.26"/>
    <n v="194.92"/>
    <n v="134.18"/>
    <x v="36"/>
    <n v="48"/>
    <x v="57"/>
    <n v="20.29"/>
  </r>
  <r>
    <x v="10"/>
    <n v="51"/>
    <n v="56"/>
    <n v="367"/>
    <n v="35"/>
    <n v="5"/>
    <n v="31"/>
    <n v="0"/>
    <n v="306"/>
    <n v="50"/>
    <n v="2"/>
    <n v="2"/>
    <x v="62"/>
    <n v="574"/>
    <n v="31"/>
    <n v="260"/>
    <n v="39"/>
    <n v="3"/>
    <n v="23"/>
    <n v="1"/>
    <n v="156"/>
    <n v="38"/>
    <n v="1"/>
    <n v="1"/>
    <s v="W"/>
    <n v="4"/>
    <n v="167.15"/>
    <n v="100.85"/>
    <n v="135.97999999999999"/>
    <n v="108.71"/>
    <n v="0.51"/>
    <n v="0.49"/>
    <s v="N"/>
    <s v="N"/>
    <s v="N"/>
    <s v="N"/>
    <s v="N"/>
    <n v="156.22999999999999"/>
    <n v="91.03"/>
    <n v="120.3"/>
    <n v="73.67"/>
    <x v="19"/>
    <n v="87"/>
    <x v="58"/>
    <n v="22.18"/>
  </r>
  <r>
    <x v="10"/>
    <n v="51"/>
    <n v="35"/>
    <n v="346"/>
    <n v="32"/>
    <n v="5"/>
    <n v="23"/>
    <n v="1"/>
    <n v="83"/>
    <n v="30"/>
    <n v="0"/>
    <n v="2"/>
    <x v="63"/>
    <n v="327"/>
    <n v="36"/>
    <n v="146"/>
    <n v="28"/>
    <n v="2"/>
    <n v="13"/>
    <n v="1"/>
    <n v="210"/>
    <n v="51"/>
    <n v="2"/>
    <n v="0"/>
    <s v="L"/>
    <n v="5"/>
    <n v="144.87"/>
    <n v="125.15"/>
    <n v="44.19"/>
    <n v="98.59"/>
    <n v="0.35"/>
    <n v="0.65"/>
    <s v="N"/>
    <s v="N"/>
    <s v="N"/>
    <s v="N"/>
    <s v="N"/>
    <n v="148.19999999999999"/>
    <n v="129.22999999999999"/>
    <n v="54.32"/>
    <n v="119.89"/>
    <x v="3"/>
    <n v="71"/>
    <x v="59"/>
    <n v="7.81"/>
  </r>
  <r>
    <x v="10"/>
    <n v="51"/>
    <n v="49"/>
    <n v="212"/>
    <n v="30"/>
    <n v="1"/>
    <n v="22"/>
    <n v="0"/>
    <n v="395"/>
    <n v="67"/>
    <n v="5"/>
    <n v="2"/>
    <x v="64"/>
    <n v="311"/>
    <n v="26"/>
    <n v="244"/>
    <n v="35"/>
    <n v="3"/>
    <n v="17"/>
    <n v="1"/>
    <n v="181"/>
    <n v="33"/>
    <n v="1"/>
    <n v="1"/>
    <s v="W"/>
    <n v="6"/>
    <n v="116.85"/>
    <n v="109.15"/>
    <n v="139.01"/>
    <n v="77.3"/>
    <n v="0.51"/>
    <n v="0.49"/>
    <s v="N"/>
    <s v="N"/>
    <s v="N"/>
    <s v="N"/>
    <s v="N"/>
    <n v="109.7"/>
    <n v="91.51"/>
    <n v="137.91"/>
    <n v="67.459999999999994"/>
    <x v="9"/>
    <n v="75"/>
    <x v="60"/>
    <n v="54.36"/>
  </r>
  <r>
    <x v="10"/>
    <n v="51"/>
    <n v="28"/>
    <n v="430"/>
    <n v="40"/>
    <n v="3"/>
    <n v="28"/>
    <n v="1"/>
    <n v="50"/>
    <n v="31"/>
    <n v="1"/>
    <n v="0"/>
    <x v="37"/>
    <n v="697"/>
    <n v="55"/>
    <n v="415"/>
    <n v="38"/>
    <n v="6"/>
    <n v="25"/>
    <n v="1"/>
    <n v="266"/>
    <n v="45"/>
    <n v="1"/>
    <n v="0"/>
    <s v="L"/>
    <n v="7"/>
    <n v="132.34"/>
    <n v="58.900000000000006"/>
    <n v="42.26"/>
    <n v="59.53"/>
    <n v="0.46"/>
    <n v="0.54"/>
    <s v="N"/>
    <s v="N"/>
    <s v="N"/>
    <s v="N"/>
    <s v="N"/>
    <n v="130.30000000000001"/>
    <n v="66.42"/>
    <n v="58.88"/>
    <n v="77.239999999999995"/>
    <x v="18"/>
    <n v="83"/>
    <x v="61"/>
    <n v="25.24"/>
  </r>
  <r>
    <x v="11"/>
    <n v="66"/>
    <n v="35"/>
    <n v="261"/>
    <n v="34"/>
    <n v="3"/>
    <n v="28"/>
    <n v="1"/>
    <n v="129"/>
    <n v="37"/>
    <n v="2"/>
    <n v="0"/>
    <x v="65"/>
    <n v="257"/>
    <n v="21"/>
    <n v="236"/>
    <n v="29"/>
    <n v="2"/>
    <n v="16"/>
    <n v="1"/>
    <n v="137"/>
    <n v="31"/>
    <n v="1"/>
    <n v="0"/>
    <s v="W"/>
    <n v="1"/>
    <n v="128.6"/>
    <n v="100.48"/>
    <n v="88.99"/>
    <n v="92.63"/>
    <n v="0.48"/>
    <n v="0.52"/>
    <s v="N"/>
    <s v="N"/>
    <s v="N"/>
    <s v="N"/>
    <s v="N"/>
    <n v="164.45"/>
    <n v="104.59"/>
    <n v="116.22"/>
    <n v="84.57"/>
    <x v="5"/>
    <n v="56"/>
    <x v="62"/>
    <n v="130.84"/>
  </r>
  <r>
    <x v="11"/>
    <n v="66"/>
    <n v="40"/>
    <n v="465"/>
    <n v="43"/>
    <n v="5"/>
    <n v="33"/>
    <n v="1"/>
    <n v="145"/>
    <n v="38"/>
    <n v="1"/>
    <n v="0"/>
    <x v="66"/>
    <n v="709"/>
    <n v="15"/>
    <n v="251"/>
    <n v="40"/>
    <n v="1"/>
    <n v="20"/>
    <n v="1"/>
    <n v="98"/>
    <n v="30"/>
    <n v="1"/>
    <n v="1"/>
    <s v="W"/>
    <n v="3"/>
    <n v="146.15"/>
    <n v="119.55"/>
    <n v="92.47"/>
    <n v="129.20999999999998"/>
    <n v="0.56999999999999995"/>
    <n v="0.43000000000000005"/>
    <s v="N"/>
    <s v="N"/>
    <s v="N"/>
    <s v="N"/>
    <s v="N"/>
    <n v="148.41"/>
    <n v="140.03"/>
    <n v="122.71"/>
    <n v="134.71"/>
    <x v="19"/>
    <n v="55"/>
    <x v="63"/>
    <n v="28.61"/>
  </r>
  <r>
    <x v="11"/>
    <n v="66"/>
    <n v="41"/>
    <n v="327"/>
    <n v="37"/>
    <n v="5"/>
    <n v="28"/>
    <n v="0"/>
    <n v="131"/>
    <n v="45"/>
    <n v="1"/>
    <n v="1"/>
    <x v="67"/>
    <n v="719"/>
    <n v="21"/>
    <n v="136"/>
    <n v="26"/>
    <n v="2"/>
    <n v="15"/>
    <n v="4"/>
    <n v="155"/>
    <n v="30"/>
    <n v="1"/>
    <n v="0"/>
    <s v="W"/>
    <n v="4"/>
    <n v="144.11000000000001"/>
    <n v="148.42000000000002"/>
    <n v="64.2"/>
    <n v="75.13"/>
    <n v="0.46"/>
    <n v="0.54"/>
    <s v="N"/>
    <s v="N"/>
    <s v="N"/>
    <s v="N"/>
    <s v="N"/>
    <n v="142.97999999999999"/>
    <n v="138.31"/>
    <n v="82.71"/>
    <n v="76.47"/>
    <x v="37"/>
    <n v="62"/>
    <x v="64"/>
    <n v="62.77"/>
  </r>
  <r>
    <x v="11"/>
    <n v="66"/>
    <n v="30"/>
    <n v="160"/>
    <n v="35"/>
    <n v="2"/>
    <n v="21"/>
    <n v="2"/>
    <n v="169"/>
    <n v="36"/>
    <n v="2"/>
    <n v="0"/>
    <x v="68"/>
    <n v="466"/>
    <n v="10"/>
    <n v="123"/>
    <n v="20"/>
    <n v="1"/>
    <n v="9"/>
    <n v="1"/>
    <n v="59"/>
    <n v="35"/>
    <n v="0"/>
    <n v="1"/>
    <s v="W"/>
    <n v="5"/>
    <n v="76.34"/>
    <n v="128.98000000000002"/>
    <n v="117.24"/>
    <n v="169.46"/>
    <n v="0.36"/>
    <n v="0.64"/>
    <s v="N"/>
    <s v="N"/>
    <s v="N"/>
    <s v="N"/>
    <s v="N"/>
    <n v="81.12"/>
    <n v="127.7"/>
    <n v="101.2"/>
    <n v="199.46"/>
    <x v="37"/>
    <n v="40"/>
    <x v="65"/>
    <n v="21.73"/>
  </r>
  <r>
    <x v="11"/>
    <n v="66"/>
    <n v="57"/>
    <n v="281"/>
    <n v="37"/>
    <n v="3"/>
    <n v="26"/>
    <n v="0"/>
    <n v="183"/>
    <n v="38"/>
    <n v="5"/>
    <n v="0"/>
    <x v="69"/>
    <n v="96"/>
    <n v="7"/>
    <n v="126"/>
    <n v="31"/>
    <n v="0"/>
    <n v="17"/>
    <n v="2"/>
    <n v="144"/>
    <n v="26"/>
    <n v="0"/>
    <n v="2"/>
    <s v="W"/>
    <n v="6"/>
    <n v="123.82"/>
    <n v="142.36000000000001"/>
    <n v="131.46"/>
    <n v="94.58"/>
    <n v="0.54"/>
    <n v="0.45999999999999996"/>
    <s v="N"/>
    <s v="N"/>
    <s v="N"/>
    <s v="N"/>
    <s v="N"/>
    <n v="118.36"/>
    <n v="135.72"/>
    <n v="106.12"/>
    <n v="94.99"/>
    <x v="38"/>
    <n v="64"/>
    <x v="66"/>
    <n v="54.22"/>
  </r>
  <r>
    <x v="11"/>
    <n v="66"/>
    <n v="63"/>
    <n v="349"/>
    <n v="32"/>
    <n v="4"/>
    <n v="27"/>
    <n v="0"/>
    <n v="393"/>
    <n v="51"/>
    <n v="5"/>
    <n v="1"/>
    <x v="70"/>
    <n v="156"/>
    <n v="13"/>
    <n v="147"/>
    <n v="26"/>
    <n v="2"/>
    <n v="12"/>
    <n v="1"/>
    <n v="84"/>
    <n v="27"/>
    <n v="0"/>
    <n v="1"/>
    <s v="W"/>
    <n v="7"/>
    <n v="162.56"/>
    <n v="123.03"/>
    <n v="187.6"/>
    <n v="138.93"/>
    <n v="0.49"/>
    <n v="0.51"/>
    <s v="N"/>
    <s v="N"/>
    <s v="N"/>
    <s v="N"/>
    <s v="N"/>
    <n v="149.04"/>
    <n v="118.47"/>
    <n v="136.94"/>
    <n v="81.88"/>
    <x v="38"/>
    <n v="76"/>
    <x v="67"/>
    <n v="23.57"/>
  </r>
  <r>
    <x v="11"/>
    <n v="66"/>
    <n v="37"/>
    <n v="281"/>
    <n v="29"/>
    <n v="3"/>
    <n v="23"/>
    <n v="1"/>
    <n v="142"/>
    <n v="26"/>
    <n v="1"/>
    <n v="1"/>
    <x v="71"/>
    <n v="721"/>
    <n v="26"/>
    <n v="144"/>
    <n v="17"/>
    <n v="0"/>
    <n v="8"/>
    <n v="1"/>
    <n v="264"/>
    <n v="65"/>
    <n v="3"/>
    <n v="1"/>
    <s v="W"/>
    <n v="8"/>
    <n v="137.29"/>
    <n v="124.42"/>
    <n v="120.94"/>
    <n v="103.46"/>
    <n v="0.21"/>
    <n v="0.79"/>
    <s v="N"/>
    <s v="N"/>
    <s v="N"/>
    <s v="N"/>
    <s v="N"/>
    <n v="101.84"/>
    <n v="113.23"/>
    <n v="72.290000000000006"/>
    <n v="121.53"/>
    <x v="6"/>
    <n v="63"/>
    <x v="4"/>
    <n v="12.77"/>
  </r>
  <r>
    <x v="12"/>
    <n v="67"/>
    <n v="45"/>
    <n v="196"/>
    <n v="22"/>
    <n v="3"/>
    <n v="14"/>
    <n v="0"/>
    <n v="193"/>
    <n v="49"/>
    <n v="1"/>
    <n v="1"/>
    <x v="72"/>
    <n v="400"/>
    <n v="17"/>
    <n v="195"/>
    <n v="37"/>
    <n v="0"/>
    <n v="18"/>
    <n v="2"/>
    <n v="118"/>
    <n v="30"/>
    <n v="1"/>
    <n v="2"/>
    <s v="W"/>
    <n v="4"/>
    <s v=" "/>
    <s v=" "/>
    <s v=" "/>
    <s v=" "/>
    <n v="0.55000000000000004"/>
    <n v="0.44999999999999996"/>
    <s v="Y"/>
    <s v="N"/>
    <s v="N"/>
    <s v="N"/>
    <s v="N"/>
    <s v=" "/>
    <s v=" "/>
    <s v=" "/>
    <s v=" "/>
    <x v="15"/>
    <n v="62"/>
    <x v="0"/>
    <s v=" "/>
  </r>
  <r>
    <x v="12"/>
    <n v="67"/>
    <n v="17"/>
    <n v="351"/>
    <n v="44"/>
    <n v="0"/>
    <n v="24"/>
    <n v="1"/>
    <n v="104"/>
    <n v="30"/>
    <n v="2"/>
    <n v="0"/>
    <x v="45"/>
    <n v="509"/>
    <n v="24"/>
    <n v="197"/>
    <n v="24"/>
    <n v="0"/>
    <n v="17"/>
    <n v="1"/>
    <n v="227"/>
    <n v="54"/>
    <n v="3"/>
    <n v="0"/>
    <s v="L"/>
    <n v="1"/>
    <n v="91.2"/>
    <n v="96.93"/>
    <n v="90.43"/>
    <n v="94.14"/>
    <n v="0.31"/>
    <n v="0.69"/>
    <s v="N"/>
    <s v="N"/>
    <s v="N"/>
    <s v="N"/>
    <s v="N"/>
    <n v="77.16"/>
    <n v="113.1"/>
    <n v="89.39"/>
    <n v="83.77"/>
    <x v="20"/>
    <n v="41"/>
    <x v="68"/>
    <n v="25.64"/>
  </r>
  <r>
    <x v="12"/>
    <n v="67"/>
    <n v="3"/>
    <n v="84"/>
    <n v="24"/>
    <n v="0"/>
    <n v="11"/>
    <n v="2"/>
    <n v="57"/>
    <n v="23"/>
    <n v="0"/>
    <n v="0"/>
    <x v="73"/>
    <n v="128"/>
    <n v="30"/>
    <n v="187"/>
    <n v="25"/>
    <n v="0"/>
    <n v="20"/>
    <n v="0"/>
    <n v="235"/>
    <n v="45"/>
    <n v="3"/>
    <n v="0"/>
    <s v="L"/>
    <n v="2"/>
    <n v="39.909999999999997"/>
    <n v="79.23"/>
    <n v="57.5"/>
    <n v="68.84"/>
    <n v="0.36"/>
    <n v="0.64"/>
    <s v="N"/>
    <s v="N"/>
    <s v="N"/>
    <s v="N"/>
    <s v="N"/>
    <n v="48.94"/>
    <n v="82.71"/>
    <n v="63.54"/>
    <n v="59.45"/>
    <x v="18"/>
    <n v="33"/>
    <x v="69"/>
    <n v="17.47"/>
  </r>
  <r>
    <x v="12"/>
    <n v="67"/>
    <n v="19"/>
    <n v="247"/>
    <n v="34"/>
    <n v="1"/>
    <n v="17"/>
    <n v="0"/>
    <n v="81"/>
    <n v="25"/>
    <n v="1"/>
    <n v="0"/>
    <x v="74"/>
    <n v="193"/>
    <n v="20"/>
    <n v="384"/>
    <n v="55"/>
    <n v="2"/>
    <n v="43"/>
    <n v="1"/>
    <n v="81"/>
    <n v="26"/>
    <n v="1"/>
    <n v="0"/>
    <s v="L"/>
    <n v="3"/>
    <n v="94"/>
    <n v="83.77"/>
    <n v="81.17"/>
    <n v="121.95"/>
    <n v="0.68"/>
    <n v="0.31999999999999995"/>
    <s v="N"/>
    <s v="N"/>
    <s v="N"/>
    <s v="N"/>
    <s v="N"/>
    <n v="83.28"/>
    <n v="87.26"/>
    <n v="79.239999999999995"/>
    <n v="78.31"/>
    <x v="3"/>
    <n v="39"/>
    <x v="70"/>
    <n v="5.23"/>
  </r>
  <r>
    <x v="12"/>
    <n v="67"/>
    <n v="19"/>
    <n v="188"/>
    <n v="48"/>
    <n v="1"/>
    <n v="23"/>
    <n v="1"/>
    <n v="148"/>
    <n v="34"/>
    <n v="0"/>
    <n v="1"/>
    <x v="75"/>
    <n v="749"/>
    <n v="27"/>
    <n v="288"/>
    <n v="30"/>
    <n v="1"/>
    <n v="20"/>
    <n v="1"/>
    <n v="104"/>
    <n v="33"/>
    <n v="2"/>
    <n v="0"/>
    <s v="L"/>
    <n v="5"/>
    <n v="66.14"/>
    <n v="86.01"/>
    <n v="92.16"/>
    <n v="117.79"/>
    <n v="0.48"/>
    <n v="0.52"/>
    <s v="N"/>
    <s v="N"/>
    <s v="N"/>
    <s v="N"/>
    <s v="N"/>
    <n v="71"/>
    <n v="95.47"/>
    <n v="94.38"/>
    <n v="80.78"/>
    <x v="11"/>
    <n v="46"/>
    <x v="71"/>
    <n v="21.11"/>
  </r>
  <r>
    <x v="12"/>
    <n v="67"/>
    <n v="14"/>
    <n v="132"/>
    <n v="22"/>
    <n v="1"/>
    <n v="14"/>
    <n v="1"/>
    <n v="126"/>
    <n v="35"/>
    <n v="1"/>
    <n v="1"/>
    <x v="51"/>
    <n v="147"/>
    <n v="36"/>
    <n v="320"/>
    <n v="37"/>
    <n v="1"/>
    <n v="22"/>
    <n v="0"/>
    <n v="180"/>
    <n v="41"/>
    <n v="2"/>
    <n v="0"/>
    <s v="L"/>
    <n v="6"/>
    <n v="89.52"/>
    <n v="89.35"/>
    <n v="79.23"/>
    <n v="90.83"/>
    <n v="0.47"/>
    <n v="0.53"/>
    <s v="N"/>
    <s v="N"/>
    <s v="N"/>
    <s v="N"/>
    <s v="N"/>
    <n v="100.22"/>
    <n v="101.86"/>
    <n v="84.87"/>
    <n v="89.88"/>
    <x v="39"/>
    <n v="50"/>
    <x v="72"/>
    <n v="43.08"/>
  </r>
  <r>
    <x v="12"/>
    <n v="67"/>
    <n v="14"/>
    <n v="181"/>
    <n v="30"/>
    <n v="1"/>
    <n v="13"/>
    <n v="1"/>
    <n v="91"/>
    <n v="29"/>
    <n v="1"/>
    <n v="1"/>
    <x v="41"/>
    <n v="742"/>
    <n v="30"/>
    <n v="268"/>
    <n v="36"/>
    <n v="1"/>
    <n v="22"/>
    <n v="0"/>
    <n v="214"/>
    <n v="40"/>
    <n v="2"/>
    <n v="0"/>
    <s v="L"/>
    <n v="8"/>
    <n v="71.22"/>
    <n v="94.15"/>
    <n v="67.63"/>
    <n v="68.38"/>
    <n v="0.47"/>
    <n v="0.53"/>
    <s v="N"/>
    <s v="N"/>
    <s v="N"/>
    <s v="N"/>
    <s v="N"/>
    <n v="80.66"/>
    <n v="95.67"/>
    <n v="98.46"/>
    <n v="73.489999999999995"/>
    <x v="1"/>
    <n v="44"/>
    <x v="73"/>
    <n v="16.22"/>
  </r>
  <r>
    <x v="13"/>
    <n v="71"/>
    <n v="58"/>
    <n v="304"/>
    <n v="27"/>
    <n v="5"/>
    <n v="19"/>
    <n v="1"/>
    <n v="268"/>
    <n v="49"/>
    <n v="3"/>
    <n v="2"/>
    <x v="76"/>
    <n v="446"/>
    <n v="13"/>
    <n v="37"/>
    <n v="29"/>
    <n v="0"/>
    <n v="8"/>
    <n v="1"/>
    <n v="156"/>
    <n v="34"/>
    <n v="1"/>
    <n v="1"/>
    <s v="W"/>
    <n v="2"/>
    <s v=" "/>
    <s v=" "/>
    <s v=" "/>
    <s v=" "/>
    <n v="0.46"/>
    <n v="0.54"/>
    <s v="Y"/>
    <s v="N"/>
    <s v="N"/>
    <s v="N"/>
    <s v="N"/>
    <s v=" "/>
    <s v=" "/>
    <s v=" "/>
    <s v=" "/>
    <x v="10"/>
    <n v="71"/>
    <x v="0"/>
    <s v=" "/>
  </r>
  <r>
    <x v="13"/>
    <n v="71"/>
    <n v="32"/>
    <n v="291"/>
    <n v="31"/>
    <n v="2"/>
    <n v="19"/>
    <n v="0"/>
    <n v="187"/>
    <n v="48"/>
    <n v="2"/>
    <n v="0"/>
    <x v="77"/>
    <n v="295"/>
    <n v="15"/>
    <n v="228"/>
    <n v="44"/>
    <n v="2"/>
    <n v="20"/>
    <n v="1"/>
    <n v="52"/>
    <n v="21"/>
    <n v="0"/>
    <n v="2"/>
    <s v="W"/>
    <n v="1"/>
    <n v="122.13"/>
    <n v="126.3"/>
    <n v="96.63"/>
    <n v="171.12"/>
    <n v="0.68"/>
    <n v="0.31999999999999995"/>
    <s v="N"/>
    <s v="N"/>
    <s v="N"/>
    <s v="N"/>
    <s v="N"/>
    <n v="106.53"/>
    <n v="91.29"/>
    <n v="103.22"/>
    <n v="83.7"/>
    <x v="0"/>
    <n v="47"/>
    <x v="74"/>
    <n v="14.63"/>
  </r>
  <r>
    <x v="13"/>
    <n v="71"/>
    <n v="27"/>
    <n v="437"/>
    <n v="55"/>
    <n v="4"/>
    <n v="34"/>
    <n v="2"/>
    <n v="77"/>
    <n v="33"/>
    <n v="0"/>
    <n v="4"/>
    <x v="78"/>
    <n v="811"/>
    <n v="28"/>
    <n v="267"/>
    <n v="39"/>
    <n v="1"/>
    <n v="25"/>
    <n v="0"/>
    <n v="129"/>
    <n v="34"/>
    <n v="2"/>
    <n v="1"/>
    <s v="L"/>
    <n v="3"/>
    <n v="105.12"/>
    <n v="94.74"/>
    <n v="17.77"/>
    <n v="111.98"/>
    <n v="0.53"/>
    <n v="0.47"/>
    <s v="N"/>
    <s v="N"/>
    <s v="N"/>
    <s v="N"/>
    <s v="N"/>
    <n v="109.28"/>
    <n v="87.3"/>
    <n v="19.739999999999998"/>
    <n v="131.69999999999999"/>
    <x v="3"/>
    <n v="55"/>
    <x v="75"/>
    <n v="1.42"/>
  </r>
  <r>
    <x v="13"/>
    <n v="71"/>
    <n v="37"/>
    <n v="183"/>
    <n v="24"/>
    <n v="3"/>
    <n v="19"/>
    <n v="1"/>
    <n v="127"/>
    <n v="38"/>
    <n v="2"/>
    <n v="1"/>
    <x v="48"/>
    <n v="414"/>
    <n v="23"/>
    <n v="265"/>
    <n v="40"/>
    <n v="0"/>
    <n v="25"/>
    <n v="2"/>
    <n v="43"/>
    <n v="31"/>
    <n v="2"/>
    <n v="1"/>
    <s v="W"/>
    <n v="4"/>
    <n v="126.97"/>
    <n v="116.39"/>
    <n v="77.540000000000006"/>
    <n v="167.82"/>
    <n v="0.56000000000000005"/>
    <n v="0.43999999999999995"/>
    <s v="N"/>
    <s v="N"/>
    <s v="N"/>
    <s v="N"/>
    <s v="N"/>
    <n v="129"/>
    <n v="112.7"/>
    <n v="78.09"/>
    <n v="69.540000000000006"/>
    <x v="5"/>
    <n v="60"/>
    <x v="76"/>
    <n v="15.78"/>
  </r>
  <r>
    <x v="13"/>
    <n v="71"/>
    <n v="10"/>
    <n v="114"/>
    <n v="26"/>
    <n v="1"/>
    <n v="13"/>
    <n v="3"/>
    <n v="103"/>
    <n v="36"/>
    <n v="0"/>
    <n v="2"/>
    <x v="79"/>
    <n v="768"/>
    <n v="55"/>
    <n v="283"/>
    <n v="33"/>
    <n v="3"/>
    <n v="19"/>
    <n v="0"/>
    <n v="360"/>
    <n v="46"/>
    <n v="4"/>
    <n v="0"/>
    <s v="L"/>
    <n v="5"/>
    <n v="45.05"/>
    <n v="82.05"/>
    <n v="49.71"/>
    <n v="5.3899999999999864"/>
    <n v="0.42"/>
    <n v="0.58000000000000007"/>
    <s v="N"/>
    <s v="N"/>
    <s v="N"/>
    <s v="N"/>
    <s v="N"/>
    <n v="48.35"/>
    <n v="90.23"/>
    <n v="54.77"/>
    <n v="4.28"/>
    <x v="10"/>
    <n v="65"/>
    <x v="77"/>
    <n v="20.66"/>
  </r>
  <r>
    <x v="13"/>
    <n v="71"/>
    <n v="21"/>
    <n v="263"/>
    <n v="35"/>
    <n v="1"/>
    <n v="21"/>
    <n v="1"/>
    <n v="118"/>
    <n v="26"/>
    <n v="2"/>
    <n v="0"/>
    <x v="80"/>
    <n v="774"/>
    <n v="45"/>
    <n v="227"/>
    <n v="29"/>
    <n v="3"/>
    <n v="21"/>
    <n v="1"/>
    <n v="351"/>
    <n v="47"/>
    <n v="3"/>
    <n v="0"/>
    <s v="L"/>
    <n v="6"/>
    <n v="96.67"/>
    <n v="79.75"/>
    <n v="116.83"/>
    <n v="17.169999999999987"/>
    <n v="0.38"/>
    <n v="0.62"/>
    <s v="N"/>
    <s v="N"/>
    <s v="N"/>
    <s v="N"/>
    <s v="N"/>
    <n v="102.1"/>
    <n v="88.7"/>
    <n v="85.55"/>
    <n v="12.63"/>
    <x v="14"/>
    <n v="66"/>
    <x v="78"/>
    <n v="26.79"/>
  </r>
  <r>
    <x v="13"/>
    <n v="71"/>
    <n v="21"/>
    <n v="220"/>
    <n v="42"/>
    <n v="1"/>
    <n v="21"/>
    <n v="1"/>
    <n v="123"/>
    <n v="33"/>
    <n v="1"/>
    <n v="0"/>
    <x v="66"/>
    <n v="709"/>
    <n v="28"/>
    <n v="188"/>
    <n v="22"/>
    <n v="0"/>
    <n v="14"/>
    <n v="0"/>
    <n v="268"/>
    <n v="47"/>
    <n v="4"/>
    <n v="0"/>
    <s v="L"/>
    <n v="7"/>
    <n v="74.98"/>
    <n v="89.79"/>
    <n v="91.02"/>
    <n v="54.94"/>
    <n v="0.32"/>
    <n v="0.67999999999999994"/>
    <s v="N"/>
    <s v="N"/>
    <s v="N"/>
    <s v="N"/>
    <s v="N"/>
    <n v="76.14"/>
    <n v="105.17"/>
    <n v="120.79"/>
    <n v="57.28"/>
    <x v="20"/>
    <n v="49"/>
    <x v="79"/>
    <n v="7.84"/>
  </r>
  <r>
    <x v="13"/>
    <n v="71"/>
    <n v="13"/>
    <n v="204"/>
    <n v="34"/>
    <n v="1"/>
    <n v="20"/>
    <n v="0"/>
    <n v="114"/>
    <n v="34"/>
    <n v="0"/>
    <n v="0"/>
    <x v="8"/>
    <n v="690"/>
    <n v="10"/>
    <n v="66"/>
    <n v="13"/>
    <n v="0"/>
    <n v="7"/>
    <n v="0"/>
    <n v="218"/>
    <n v="49"/>
    <n v="1"/>
    <n v="0"/>
    <s v="W"/>
    <n v="8"/>
    <n v="95.94"/>
    <s v=" "/>
    <n v="77.790000000000006"/>
    <n v="93.72"/>
    <n v="0.21"/>
    <n v="0.79"/>
    <s v="N"/>
    <s v="N"/>
    <s v="N"/>
    <s v="Y"/>
    <s v="N"/>
    <n v="109.73"/>
    <s v=" "/>
    <n v="107.34"/>
    <n v="104.18"/>
    <x v="22"/>
    <n v="23"/>
    <x v="0"/>
    <s v=" "/>
  </r>
  <r>
    <x v="14"/>
    <n v="86"/>
    <n v="35"/>
    <n v="177"/>
    <n v="24"/>
    <n v="2"/>
    <n v="17"/>
    <n v="1"/>
    <n v="165"/>
    <n v="24"/>
    <n v="3"/>
    <n v="0"/>
    <x v="81"/>
    <n v="683"/>
    <n v="7"/>
    <n v="119"/>
    <n v="22"/>
    <n v="1"/>
    <n v="14"/>
    <n v="1"/>
    <n v="179"/>
    <n v="50"/>
    <n v="0"/>
    <n v="2"/>
    <s v="W"/>
    <n v="2"/>
    <s v=" "/>
    <s v=" "/>
    <s v=" "/>
    <s v=" "/>
    <n v="0.31"/>
    <n v="0.69"/>
    <s v="Y"/>
    <s v="N"/>
    <s v="N"/>
    <s v="N"/>
    <s v="N"/>
    <s v=" "/>
    <s v=" "/>
    <s v=" "/>
    <s v=" "/>
    <x v="15"/>
    <n v="42"/>
    <x v="0"/>
    <s v=" "/>
  </r>
  <r>
    <x v="14"/>
    <n v="86"/>
    <n v="16"/>
    <n v="276"/>
    <n v="49"/>
    <n v="0"/>
    <n v="32"/>
    <n v="1"/>
    <n v="127"/>
    <n v="44"/>
    <n v="2"/>
    <n v="0"/>
    <x v="82"/>
    <n v="545"/>
    <n v="35"/>
    <n v="179"/>
    <n v="28"/>
    <n v="1"/>
    <n v="16"/>
    <n v="0"/>
    <n v="231"/>
    <n v="38"/>
    <n v="4"/>
    <n v="1"/>
    <s v="L"/>
    <n v="1"/>
    <n v="89.88"/>
    <n v="102.66"/>
    <n v="73.78"/>
    <n v="51.069999999999993"/>
    <n v="0.42"/>
    <n v="0.58000000000000007"/>
    <s v="N"/>
    <s v="N"/>
    <s v="N"/>
    <s v="N"/>
    <s v="N"/>
    <n v="95.04"/>
    <n v="80.67"/>
    <n v="88.56"/>
    <n v="47.1"/>
    <x v="31"/>
    <n v="51"/>
    <x v="80"/>
    <n v="23"/>
  </r>
  <r>
    <x v="14"/>
    <n v="86"/>
    <n v="25"/>
    <n v="176"/>
    <n v="24"/>
    <n v="2"/>
    <n v="14"/>
    <n v="0"/>
    <n v="177"/>
    <n v="37"/>
    <n v="2"/>
    <n v="0"/>
    <x v="46"/>
    <n v="47"/>
    <n v="28"/>
    <n v="226"/>
    <n v="36"/>
    <n v="2"/>
    <n v="24"/>
    <n v="0"/>
    <n v="174"/>
    <n v="39"/>
    <n v="2"/>
    <n v="0"/>
    <s v="L"/>
    <n v="3"/>
    <n v="110.8"/>
    <n v="90.79"/>
    <n v="119.09"/>
    <n v="88.8"/>
    <n v="0.48"/>
    <n v="0.52"/>
    <s v="N"/>
    <s v="N"/>
    <s v="N"/>
    <s v="N"/>
    <s v="N"/>
    <n v="94.16"/>
    <n v="88.38"/>
    <n v="103"/>
    <n v="76.459999999999994"/>
    <x v="22"/>
    <n v="53"/>
    <x v="52"/>
    <n v="31.65"/>
  </r>
  <r>
    <x v="14"/>
    <n v="86"/>
    <n v="3"/>
    <n v="193"/>
    <n v="40"/>
    <n v="0"/>
    <n v="18"/>
    <n v="1"/>
    <n v="126"/>
    <n v="31"/>
    <n v="0"/>
    <n v="0"/>
    <x v="83"/>
    <n v="164"/>
    <n v="17"/>
    <n v="213"/>
    <n v="22"/>
    <n v="2"/>
    <n v="12"/>
    <n v="0"/>
    <n v="80"/>
    <n v="42"/>
    <n v="0"/>
    <n v="0"/>
    <s v="L"/>
    <n v="4"/>
    <n v="63.8"/>
    <n v="79.05"/>
    <n v="94.3"/>
    <n v="155.81"/>
    <n v="0.34"/>
    <n v="0.65999999999999992"/>
    <s v="N"/>
    <s v="N"/>
    <s v="N"/>
    <s v="N"/>
    <s v="N"/>
    <n v="70.88"/>
    <n v="66.430000000000007"/>
    <n v="128.01"/>
    <n v="86.15"/>
    <x v="5"/>
    <n v="20"/>
    <x v="81"/>
    <n v="198.86"/>
  </r>
  <r>
    <x v="14"/>
    <n v="86"/>
    <n v="10"/>
    <n v="116"/>
    <n v="25"/>
    <n v="0"/>
    <n v="10"/>
    <n v="0"/>
    <n v="148"/>
    <n v="28"/>
    <n v="1"/>
    <n v="1"/>
    <x v="21"/>
    <n v="694"/>
    <n v="41"/>
    <n v="342"/>
    <n v="31"/>
    <n v="4"/>
    <n v="21"/>
    <n v="0"/>
    <n v="199"/>
    <n v="44"/>
    <n v="1"/>
    <n v="2"/>
    <s v="L"/>
    <n v="5"/>
    <n v="65.290000000000006"/>
    <n v="52.78"/>
    <n v="117.27"/>
    <n v="105.3"/>
    <n v="0.41"/>
    <n v="0.59000000000000008"/>
    <s v="N"/>
    <s v="N"/>
    <s v="N"/>
    <s v="N"/>
    <s v="N"/>
    <n v="59.3"/>
    <n v="49.63"/>
    <n v="106.45"/>
    <n v="52.01"/>
    <x v="17"/>
    <n v="51"/>
    <x v="82"/>
    <n v="52.22"/>
  </r>
  <r>
    <x v="14"/>
    <n v="86"/>
    <n v="38"/>
    <n v="343"/>
    <n v="39"/>
    <n v="2"/>
    <n v="23"/>
    <n v="0"/>
    <n v="167"/>
    <n v="41"/>
    <n v="3"/>
    <n v="0"/>
    <x v="13"/>
    <n v="519"/>
    <n v="37"/>
    <n v="203"/>
    <n v="37"/>
    <n v="1"/>
    <n v="23"/>
    <n v="1"/>
    <n v="239"/>
    <n v="35"/>
    <n v="3"/>
    <n v="0"/>
    <s v="W"/>
    <n v="6"/>
    <n v="114.6"/>
    <n v="111.99"/>
    <n v="105.47"/>
    <n v="28.72"/>
    <n v="0.51"/>
    <n v="0.49"/>
    <s v="N"/>
    <s v="N"/>
    <s v="N"/>
    <s v="N"/>
    <s v="N"/>
    <n v="136.86000000000001"/>
    <n v="127.75"/>
    <n v="136.30000000000001"/>
    <n v="28.58"/>
    <x v="3"/>
    <n v="75"/>
    <x v="83"/>
    <n v="2.5499999999999998"/>
  </r>
  <r>
    <x v="14"/>
    <n v="86"/>
    <n v="0"/>
    <n v="84"/>
    <n v="26"/>
    <n v="0"/>
    <n v="9"/>
    <n v="1"/>
    <n v="71"/>
    <n v="28"/>
    <n v="0"/>
    <n v="0"/>
    <x v="8"/>
    <n v="690"/>
    <n v="34"/>
    <n v="58"/>
    <n v="11"/>
    <n v="0"/>
    <n v="7"/>
    <n v="0"/>
    <n v="400"/>
    <n v="65"/>
    <n v="4"/>
    <n v="0"/>
    <s v="L"/>
    <n v="7"/>
    <n v="40.68"/>
    <s v=" "/>
    <n v="58.83"/>
    <n v="48"/>
    <n v="0.14000000000000001"/>
    <n v="0.86"/>
    <s v="N"/>
    <s v="N"/>
    <s v="N"/>
    <s v="Y"/>
    <s v="N"/>
    <n v="46.53"/>
    <s v=" "/>
    <n v="81.17"/>
    <n v="53.35"/>
    <x v="16"/>
    <n v="34"/>
    <x v="0"/>
    <s v=" "/>
  </r>
  <r>
    <x v="14"/>
    <n v="86"/>
    <n v="30"/>
    <n v="404"/>
    <n v="54"/>
    <n v="3"/>
    <n v="35"/>
    <n v="2"/>
    <n v="168"/>
    <n v="38"/>
    <n v="1"/>
    <n v="3"/>
    <x v="44"/>
    <n v="503"/>
    <n v="31"/>
    <n v="150"/>
    <n v="26"/>
    <n v="0"/>
    <n v="11"/>
    <n v="0"/>
    <n v="178"/>
    <n v="47"/>
    <n v="4"/>
    <n v="0"/>
    <s v="L"/>
    <n v="8"/>
    <n v="102.81"/>
    <n v="126.25"/>
    <n v="82.83"/>
    <n v="99.37"/>
    <n v="0.36"/>
    <n v="0.64"/>
    <s v="N"/>
    <s v="N"/>
    <s v="N"/>
    <s v="N"/>
    <s v="N"/>
    <n v="101.91"/>
    <n v="132.88"/>
    <n v="91.55"/>
    <n v="125.94"/>
    <x v="3"/>
    <n v="61"/>
    <x v="84"/>
    <n v="8.8800000000000008"/>
  </r>
  <r>
    <x v="15"/>
    <n v="77"/>
    <n v="14"/>
    <n v="225"/>
    <n v="38"/>
    <n v="1"/>
    <n v="24"/>
    <n v="1"/>
    <n v="91"/>
    <n v="31"/>
    <n v="0"/>
    <n v="0"/>
    <x v="20"/>
    <n v="433"/>
    <n v="13"/>
    <n v="144"/>
    <n v="28"/>
    <n v="0"/>
    <n v="15"/>
    <n v="0"/>
    <n v="64"/>
    <n v="29"/>
    <n v="0"/>
    <n v="2"/>
    <s v="W"/>
    <n v="1"/>
    <n v="91.48"/>
    <n v="118.4"/>
    <n v="68.099999999999994"/>
    <n v="169.49"/>
    <n v="0.49"/>
    <n v="0.51"/>
    <s v="N"/>
    <s v="N"/>
    <s v="N"/>
    <s v="N"/>
    <s v="N"/>
    <n v="88.69"/>
    <n v="87.96"/>
    <n v="45.17"/>
    <n v="97.61"/>
    <x v="3"/>
    <n v="27"/>
    <x v="85"/>
    <n v="2.11"/>
  </r>
  <r>
    <x v="15"/>
    <n v="77"/>
    <n v="16"/>
    <n v="192"/>
    <n v="38"/>
    <n v="1"/>
    <n v="22"/>
    <n v="2"/>
    <n v="43"/>
    <n v="23"/>
    <n v="0"/>
    <n v="0"/>
    <x v="84"/>
    <n v="703"/>
    <n v="17"/>
    <n v="123"/>
    <n v="20"/>
    <n v="0"/>
    <n v="12"/>
    <n v="2"/>
    <n v="166"/>
    <n v="43"/>
    <n v="2"/>
    <n v="0"/>
    <s v="L"/>
    <n v="2"/>
    <n v="73.59"/>
    <n v="136.47999999999999"/>
    <n v="43.37"/>
    <n v="103.46"/>
    <n v="0.32"/>
    <n v="0.67999999999999994"/>
    <s v="N"/>
    <s v="N"/>
    <s v="N"/>
    <s v="N"/>
    <s v="N"/>
    <n v="90.82"/>
    <n v="138.46"/>
    <n v="46.02"/>
    <n v="92.21"/>
    <x v="3"/>
    <n v="33"/>
    <x v="86"/>
    <n v="2.3199999999999998"/>
  </r>
  <r>
    <x v="15"/>
    <n v="77"/>
    <n v="10"/>
    <n v="343"/>
    <n v="56"/>
    <n v="1"/>
    <n v="30"/>
    <n v="1"/>
    <n v="11"/>
    <n v="22"/>
    <n v="0"/>
    <n v="6"/>
    <x v="32"/>
    <n v="732"/>
    <n v="54"/>
    <n v="239"/>
    <n v="31"/>
    <n v="2"/>
    <n v="16"/>
    <n v="1"/>
    <n v="242"/>
    <n v="38"/>
    <n v="3"/>
    <n v="1"/>
    <s v="L"/>
    <n v="3"/>
    <n v="84.27"/>
    <n v="106.37"/>
    <n v="-70.22"/>
    <n v="48.31"/>
    <n v="0.45"/>
    <n v="0.55000000000000004"/>
    <s v="N"/>
    <s v="N"/>
    <s v="N"/>
    <s v="N"/>
    <s v="N"/>
    <n v="89.99"/>
    <n v="88.93"/>
    <n v="-107.54"/>
    <n v="27.26"/>
    <x v="25"/>
    <n v="64"/>
    <x v="87"/>
    <n v="19.03"/>
  </r>
  <r>
    <x v="15"/>
    <n v="77"/>
    <n v="24"/>
    <n v="133"/>
    <n v="35"/>
    <n v="0"/>
    <n v="16"/>
    <n v="1"/>
    <n v="127"/>
    <n v="32"/>
    <n v="2"/>
    <n v="0"/>
    <x v="73"/>
    <n v="128"/>
    <n v="17"/>
    <n v="318"/>
    <n v="31"/>
    <n v="0"/>
    <n v="21"/>
    <n v="1"/>
    <n v="81"/>
    <n v="34"/>
    <n v="2"/>
    <n v="2"/>
    <s v="W"/>
    <n v="4"/>
    <n v="57.85"/>
    <n v="86.03"/>
    <n v="101.45"/>
    <n v="153.55000000000001"/>
    <n v="0.48"/>
    <n v="0.52"/>
    <s v="N"/>
    <s v="N"/>
    <s v="N"/>
    <s v="N"/>
    <s v="N"/>
    <n v="70.95"/>
    <n v="89.81"/>
    <n v="112.11"/>
    <n v="132.61000000000001"/>
    <x v="20"/>
    <n v="41"/>
    <x v="88"/>
    <n v="625"/>
  </r>
  <r>
    <x v="15"/>
    <n v="77"/>
    <n v="27"/>
    <n v="251"/>
    <n v="39"/>
    <n v="2"/>
    <n v="21"/>
    <n v="0"/>
    <n v="200"/>
    <n v="46"/>
    <n v="1"/>
    <n v="1"/>
    <x v="49"/>
    <n v="731"/>
    <n v="24"/>
    <n v="122"/>
    <n v="26"/>
    <n v="2"/>
    <n v="13"/>
    <n v="0"/>
    <n v="284"/>
    <n v="37"/>
    <n v="1"/>
    <n v="0"/>
    <s v="W"/>
    <n v="5"/>
    <n v="96.61"/>
    <n v="112.89"/>
    <n v="97.61"/>
    <n v="17.870000000000005"/>
    <n v="0.41"/>
    <n v="0.59000000000000008"/>
    <s v="N"/>
    <s v="N"/>
    <s v="N"/>
    <s v="N"/>
    <s v="N"/>
    <n v="95.8"/>
    <n v="117.17"/>
    <n v="119.15"/>
    <n v="23.35"/>
    <x v="22"/>
    <n v="51"/>
    <x v="89"/>
    <n v="4"/>
  </r>
  <r>
    <x v="15"/>
    <n v="77"/>
    <n v="29"/>
    <n v="219"/>
    <n v="24"/>
    <n v="3"/>
    <n v="14"/>
    <n v="2"/>
    <n v="224"/>
    <n v="44"/>
    <n v="0"/>
    <n v="1"/>
    <x v="85"/>
    <n v="630"/>
    <n v="16"/>
    <n v="255"/>
    <n v="35"/>
    <n v="0"/>
    <n v="25"/>
    <n v="2"/>
    <n v="70"/>
    <n v="26"/>
    <n v="1"/>
    <n v="0"/>
    <s v="W"/>
    <n v="6"/>
    <n v="101.81"/>
    <n v="106.01"/>
    <n v="111.29"/>
    <n v="131.76999999999998"/>
    <n v="0.56999999999999995"/>
    <n v="0.43000000000000005"/>
    <s v="N"/>
    <s v="N"/>
    <s v="N"/>
    <s v="N"/>
    <s v="N"/>
    <n v="107.46"/>
    <n v="90.14"/>
    <n v="94.33"/>
    <n v="107.29"/>
    <x v="40"/>
    <n v="45"/>
    <x v="90"/>
    <n v="25.55"/>
  </r>
  <r>
    <x v="15"/>
    <n v="77"/>
    <n v="38"/>
    <n v="217"/>
    <n v="29"/>
    <n v="3"/>
    <n v="17"/>
    <n v="1"/>
    <n v="282"/>
    <n v="48"/>
    <n v="2"/>
    <n v="1"/>
    <x v="27"/>
    <n v="528"/>
    <n v="28"/>
    <n v="306"/>
    <n v="43"/>
    <n v="1"/>
    <n v="27"/>
    <n v="2"/>
    <n v="59"/>
    <n v="23"/>
    <n v="2"/>
    <n v="2"/>
    <s v="W"/>
    <n v="7"/>
    <n v="104.57"/>
    <n v="108.89"/>
    <n v="136.30000000000001"/>
    <n v="153.53"/>
    <n v="0.65"/>
    <n v="0.35"/>
    <s v="N"/>
    <s v="N"/>
    <s v="N"/>
    <s v="N"/>
    <s v="N"/>
    <n v="96.65"/>
    <n v="110.83"/>
    <n v="149.19"/>
    <n v="101.09"/>
    <x v="12"/>
    <n v="66"/>
    <x v="91"/>
    <n v="9.68"/>
  </r>
  <r>
    <x v="15"/>
    <n v="77"/>
    <n v="56"/>
    <n v="282"/>
    <n v="27"/>
    <n v="3"/>
    <n v="19"/>
    <n v="1"/>
    <n v="290"/>
    <n v="44"/>
    <n v="4"/>
    <n v="2"/>
    <x v="86"/>
    <n v="294"/>
    <n v="3"/>
    <n v="231"/>
    <n v="60"/>
    <n v="0"/>
    <n v="34"/>
    <n v="3"/>
    <n v="20"/>
    <n v="19"/>
    <n v="0"/>
    <n v="0"/>
    <s v="W"/>
    <n v="8"/>
    <s v=" "/>
    <s v=" "/>
    <s v=" "/>
    <s v=" "/>
    <n v="0.76"/>
    <n v="0.24"/>
    <s v="Y"/>
    <s v="N"/>
    <s v="N"/>
    <s v="N"/>
    <s v="N"/>
    <s v=" "/>
    <s v=" "/>
    <s v=" "/>
    <s v=" "/>
    <x v="41"/>
    <n v="59"/>
    <x v="0"/>
    <s v=" "/>
  </r>
  <r>
    <x v="16"/>
    <n v="107"/>
    <n v="63"/>
    <n v="296"/>
    <n v="37"/>
    <n v="3"/>
    <n v="20"/>
    <n v="1"/>
    <n v="285"/>
    <n v="52"/>
    <n v="5"/>
    <n v="0"/>
    <x v="87"/>
    <n v="1320"/>
    <n v="12"/>
    <n v="28"/>
    <n v="20"/>
    <n v="0"/>
    <n v="6"/>
    <n v="2"/>
    <n v="20"/>
    <n v="26"/>
    <n v="0"/>
    <n v="0"/>
    <s v="W"/>
    <n v="3"/>
    <s v=" "/>
    <s v=" "/>
    <s v=" "/>
    <s v=" "/>
    <n v="0.43"/>
    <n v="0.57000000000000006"/>
    <s v="Y"/>
    <s v="N"/>
    <s v="N"/>
    <s v="N"/>
    <s v="N"/>
    <s v=" "/>
    <s v=" "/>
    <s v=" "/>
    <s v=" "/>
    <x v="42"/>
    <n v="75"/>
    <x v="0"/>
    <s v=" "/>
  </r>
  <r>
    <x v="16"/>
    <n v="107"/>
    <n v="36"/>
    <n v="266"/>
    <n v="35"/>
    <n v="2"/>
    <n v="16"/>
    <n v="1"/>
    <n v="151"/>
    <n v="35"/>
    <n v="2"/>
    <n v="1"/>
    <x v="69"/>
    <n v="96"/>
    <n v="21"/>
    <n v="150"/>
    <n v="33"/>
    <n v="1"/>
    <n v="21"/>
    <n v="1"/>
    <n v="68"/>
    <n v="25"/>
    <n v="1"/>
    <n v="1"/>
    <s v="W"/>
    <n v="1"/>
    <n v="87.13"/>
    <n v="116.14"/>
    <n v="100.09"/>
    <n v="142.9"/>
    <n v="0.56999999999999995"/>
    <n v="0.43000000000000005"/>
    <s v="N"/>
    <s v="N"/>
    <s v="N"/>
    <s v="N"/>
    <s v="N"/>
    <n v="83.29"/>
    <n v="110.72"/>
    <n v="80.8"/>
    <n v="143.53"/>
    <x v="24"/>
    <n v="57"/>
    <x v="92"/>
    <n v="32.43"/>
  </r>
  <r>
    <x v="16"/>
    <n v="107"/>
    <n v="36"/>
    <n v="270"/>
    <n v="36"/>
    <n v="4"/>
    <n v="19"/>
    <n v="1"/>
    <n v="100"/>
    <n v="31"/>
    <n v="1"/>
    <n v="0"/>
    <x v="88"/>
    <n v="157"/>
    <n v="33"/>
    <n v="474"/>
    <n v="50"/>
    <n v="3"/>
    <n v="28"/>
    <n v="0"/>
    <n v="108"/>
    <n v="32"/>
    <n v="0"/>
    <n v="0"/>
    <s v="W"/>
    <n v="2"/>
    <n v="101.99"/>
    <n v="83.33"/>
    <n v="79.680000000000007"/>
    <n v="121.7"/>
    <n v="0.61"/>
    <n v="0.39"/>
    <s v="N"/>
    <s v="N"/>
    <s v="N"/>
    <s v="N"/>
    <s v="N"/>
    <n v="87.74"/>
    <n v="77.55"/>
    <n v="67.12"/>
    <n v="82.37"/>
    <x v="22"/>
    <n v="69"/>
    <x v="93"/>
    <n v="22.56"/>
  </r>
  <r>
    <x v="16"/>
    <n v="107"/>
    <n v="23"/>
    <n v="349"/>
    <n v="43"/>
    <n v="1"/>
    <n v="23"/>
    <n v="0"/>
    <n v="108"/>
    <n v="33"/>
    <n v="1"/>
    <n v="0"/>
    <x v="89"/>
    <n v="756"/>
    <n v="31"/>
    <n v="292"/>
    <n v="25"/>
    <n v="3"/>
    <n v="19"/>
    <n v="0"/>
    <n v="117"/>
    <n v="34"/>
    <n v="1"/>
    <n v="2"/>
    <s v="L"/>
    <n v="4"/>
    <n v="101.21"/>
    <n v="42.34"/>
    <n v="80.47"/>
    <n v="133.4"/>
    <n v="0.42"/>
    <n v="0.58000000000000007"/>
    <s v="N"/>
    <s v="N"/>
    <s v="N"/>
    <s v="N"/>
    <s v="N"/>
    <n v="94.98"/>
    <n v="53.24"/>
    <n v="83.73"/>
    <n v="157.63"/>
    <x v="11"/>
    <n v="54"/>
    <x v="94"/>
    <n v="18.79"/>
  </r>
  <r>
    <x v="16"/>
    <n v="107"/>
    <n v="15"/>
    <n v="321"/>
    <n v="60"/>
    <n v="1"/>
    <n v="28"/>
    <n v="0"/>
    <n v="144"/>
    <n v="27"/>
    <n v="0"/>
    <n v="0"/>
    <x v="25"/>
    <n v="529"/>
    <n v="43"/>
    <n v="198"/>
    <n v="25"/>
    <n v="3"/>
    <n v="13"/>
    <n v="1"/>
    <n v="365"/>
    <n v="51"/>
    <n v="3"/>
    <n v="0"/>
    <s v="L"/>
    <n v="6"/>
    <n v="78.319999999999993"/>
    <n v="98.84"/>
    <n v="123.73"/>
    <n v="25.139999999999986"/>
    <n v="0.33"/>
    <n v="0.66999999999999993"/>
    <s v="N"/>
    <s v="N"/>
    <s v="N"/>
    <s v="N"/>
    <s v="N"/>
    <n v="93.71"/>
    <n v="109.77"/>
    <n v="128"/>
    <n v="40.08"/>
    <x v="15"/>
    <n v="58"/>
    <x v="95"/>
    <n v="37.85"/>
  </r>
  <r>
    <x v="16"/>
    <n v="107"/>
    <n v="9"/>
    <n v="294"/>
    <n v="43"/>
    <n v="0"/>
    <n v="25"/>
    <n v="3"/>
    <n v="35"/>
    <n v="26"/>
    <n v="1"/>
    <n v="2"/>
    <x v="26"/>
    <n v="657"/>
    <n v="30"/>
    <n v="195"/>
    <n v="35"/>
    <n v="2"/>
    <n v="19"/>
    <n v="0"/>
    <n v="118"/>
    <n v="37"/>
    <n v="1"/>
    <n v="2"/>
    <s v="L"/>
    <n v="7"/>
    <n v="74.47"/>
    <n v="106.78"/>
    <n v="13.92"/>
    <n v="138.17000000000002"/>
    <n v="0.49"/>
    <n v="0.51"/>
    <s v="N"/>
    <s v="N"/>
    <s v="N"/>
    <s v="N"/>
    <s v="N"/>
    <n v="75.69"/>
    <n v="123.25"/>
    <n v="17.399999999999999"/>
    <n v="126.74"/>
    <x v="23"/>
    <n v="39"/>
    <x v="96"/>
    <n v="31.5"/>
  </r>
  <r>
    <x v="16"/>
    <n v="107"/>
    <n v="34"/>
    <n v="255"/>
    <n v="29"/>
    <n v="1"/>
    <n v="19"/>
    <n v="0"/>
    <n v="129"/>
    <n v="42"/>
    <n v="2"/>
    <n v="0"/>
    <x v="32"/>
    <n v="732"/>
    <n v="10"/>
    <n v="165"/>
    <n v="24"/>
    <n v="0"/>
    <n v="12"/>
    <n v="3"/>
    <n v="13"/>
    <n v="26"/>
    <n v="1"/>
    <n v="1"/>
    <s v="W"/>
    <n v="8"/>
    <n v="118.61"/>
    <n v="150.03"/>
    <n v="78.400000000000006"/>
    <n v="194.17"/>
    <n v="0.48"/>
    <n v="0.52"/>
    <s v="N"/>
    <s v="N"/>
    <s v="N"/>
    <s v="N"/>
    <s v="N"/>
    <n v="126.66"/>
    <n v="125.44"/>
    <n v="120.07"/>
    <n v="109.58"/>
    <x v="14"/>
    <n v="44"/>
    <x v="97"/>
    <n v="17"/>
  </r>
  <r>
    <x v="17"/>
    <n v="129"/>
    <n v="21"/>
    <n v="168"/>
    <n v="27"/>
    <n v="2"/>
    <n v="14"/>
    <n v="2"/>
    <n v="88"/>
    <n v="35"/>
    <n v="1"/>
    <n v="0"/>
    <x v="90"/>
    <n v="647"/>
    <n v="6"/>
    <n v="78"/>
    <n v="26"/>
    <n v="0"/>
    <n v="12"/>
    <n v="0"/>
    <n v="59"/>
    <n v="43"/>
    <n v="0"/>
    <n v="0"/>
    <s v="W"/>
    <n v="1"/>
    <s v=" "/>
    <s v=" "/>
    <s v=" "/>
    <s v=" "/>
    <n v="0.38"/>
    <n v="0.62"/>
    <s v="Y"/>
    <s v="N"/>
    <s v="N"/>
    <s v="N"/>
    <s v="N"/>
    <s v=" "/>
    <s v=" "/>
    <s v=" "/>
    <s v=" "/>
    <x v="24"/>
    <n v="27"/>
    <x v="0"/>
    <s v=" "/>
  </r>
  <r>
    <x v="17"/>
    <n v="129"/>
    <n v="13"/>
    <n v="295"/>
    <n v="45"/>
    <n v="1"/>
    <n v="24"/>
    <n v="2"/>
    <n v="88"/>
    <n v="32"/>
    <n v="0"/>
    <n v="0"/>
    <x v="91"/>
    <n v="334"/>
    <n v="27"/>
    <n v="114"/>
    <n v="18"/>
    <n v="1"/>
    <n v="9"/>
    <n v="1"/>
    <n v="230"/>
    <n v="37"/>
    <n v="2"/>
    <n v="1"/>
    <s v="L"/>
    <n v="2"/>
    <n v="79.06"/>
    <n v="123.82"/>
    <n v="63.8"/>
    <n v="55.78"/>
    <n v="0.33"/>
    <n v="0.66999999999999993"/>
    <s v="N"/>
    <s v="N"/>
    <s v="N"/>
    <s v="N"/>
    <s v="N"/>
    <n v="93.6"/>
    <n v="59.57"/>
    <n v="54.21"/>
    <n v="36.33"/>
    <x v="5"/>
    <n v="40"/>
    <x v="98"/>
    <n v="18.059999999999999"/>
  </r>
  <r>
    <x v="17"/>
    <n v="129"/>
    <n v="14"/>
    <n v="215"/>
    <n v="36"/>
    <n v="0"/>
    <n v="20"/>
    <n v="0"/>
    <n v="147"/>
    <n v="29"/>
    <n v="1"/>
    <n v="2"/>
    <x v="80"/>
    <n v="774"/>
    <n v="44"/>
    <n v="355"/>
    <n v="38"/>
    <n v="3"/>
    <n v="28"/>
    <n v="1"/>
    <n v="87"/>
    <n v="33"/>
    <n v="2"/>
    <n v="1"/>
    <s v="L"/>
    <n v="3"/>
    <n v="88.1"/>
    <n v="71.449999999999989"/>
    <n v="102.08"/>
    <n v="138.84"/>
    <n v="0.54"/>
    <n v="0.45999999999999996"/>
    <s v="N"/>
    <s v="N"/>
    <s v="N"/>
    <s v="N"/>
    <s v="N"/>
    <n v="93.05"/>
    <n v="79.47"/>
    <n v="74.75"/>
    <n v="102.14"/>
    <x v="33"/>
    <n v="58"/>
    <x v="99"/>
    <n v="6382.98"/>
  </r>
  <r>
    <x v="17"/>
    <n v="129"/>
    <n v="7"/>
    <n v="91"/>
    <n v="33"/>
    <n v="1"/>
    <n v="12"/>
    <n v="4"/>
    <n v="21"/>
    <n v="18"/>
    <n v="0"/>
    <n v="0"/>
    <x v="92"/>
    <n v="416"/>
    <n v="45"/>
    <n v="284"/>
    <n v="30"/>
    <n v="2"/>
    <n v="20"/>
    <n v="1"/>
    <n v="197"/>
    <n v="47"/>
    <n v="3"/>
    <n v="0"/>
    <s v="L"/>
    <n v="4"/>
    <n v="19.57"/>
    <n v="81.739999999999995"/>
    <n v="27.07"/>
    <n v="93.18"/>
    <n v="0.39"/>
    <n v="0.61"/>
    <s v="N"/>
    <s v="N"/>
    <s v="N"/>
    <s v="N"/>
    <s v="N"/>
    <n v="24.91"/>
    <n v="88.97"/>
    <n v="39.68"/>
    <n v="69.48"/>
    <x v="8"/>
    <n v="52"/>
    <x v="100"/>
    <n v="21.3"/>
  </r>
  <r>
    <x v="17"/>
    <n v="129"/>
    <n v="48"/>
    <n v="387"/>
    <n v="28"/>
    <n v="4"/>
    <n v="17"/>
    <n v="0"/>
    <n v="176"/>
    <n v="32"/>
    <n v="2"/>
    <n v="0"/>
    <x v="44"/>
    <n v="503"/>
    <n v="41"/>
    <n v="370"/>
    <n v="51"/>
    <n v="2"/>
    <n v="27"/>
    <n v="2"/>
    <n v="217"/>
    <n v="44"/>
    <n v="2"/>
    <n v="0"/>
    <s v="W"/>
    <n v="5"/>
    <n v="157.47"/>
    <n v="113.4"/>
    <n v="136.97999999999999"/>
    <n v="78.760000000000005"/>
    <n v="0.54"/>
    <n v="0.45999999999999996"/>
    <s v="N"/>
    <s v="N"/>
    <s v="N"/>
    <s v="N"/>
    <s v="N"/>
    <n v="156.09"/>
    <n v="119.35"/>
    <n v="151.4"/>
    <n v="99.82"/>
    <x v="20"/>
    <n v="89"/>
    <x v="101"/>
    <n v="8.08"/>
  </r>
  <r>
    <x v="17"/>
    <n v="129"/>
    <n v="24"/>
    <n v="245"/>
    <n v="32"/>
    <n v="2"/>
    <n v="19"/>
    <n v="4"/>
    <n v="182"/>
    <n v="25"/>
    <n v="1"/>
    <n v="1"/>
    <x v="93"/>
    <n v="490"/>
    <n v="38"/>
    <n v="244"/>
    <n v="36"/>
    <n v="4"/>
    <n v="20"/>
    <n v="0"/>
    <n v="162"/>
    <n v="45"/>
    <n v="1"/>
    <n v="1"/>
    <s v="L"/>
    <n v="6"/>
    <n v="72.98"/>
    <n v="90.84"/>
    <n v="162.9"/>
    <n v="119.81"/>
    <n v="0.44"/>
    <n v="0.56000000000000005"/>
    <s v="N"/>
    <s v="N"/>
    <s v="N"/>
    <s v="N"/>
    <s v="N"/>
    <n v="84.41"/>
    <n v="92.04"/>
    <n v="135.37"/>
    <n v="78.83"/>
    <x v="5"/>
    <n v="62"/>
    <x v="102"/>
    <n v="30.09"/>
  </r>
  <r>
    <x v="17"/>
    <n v="129"/>
    <n v="28"/>
    <n v="351"/>
    <n v="50"/>
    <n v="3"/>
    <n v="33"/>
    <n v="1"/>
    <n v="98"/>
    <n v="32"/>
    <n v="0"/>
    <n v="0"/>
    <x v="11"/>
    <n v="204"/>
    <n v="35"/>
    <n v="76"/>
    <n v="8"/>
    <n v="0"/>
    <n v="6"/>
    <n v="0"/>
    <n v="350"/>
    <n v="50"/>
    <n v="5"/>
    <n v="0"/>
    <s v="L"/>
    <n v="7"/>
    <n v="107.26"/>
    <s v=" "/>
    <n v="71.05"/>
    <n v="22.599999999999994"/>
    <n v="0.14000000000000001"/>
    <n v="0.86"/>
    <s v="N"/>
    <s v="N"/>
    <s v="N"/>
    <s v="Y"/>
    <s v="N"/>
    <n v="96.46"/>
    <s v=" "/>
    <n v="65.099999999999994"/>
    <n v="20.71"/>
    <x v="20"/>
    <n v="63"/>
    <x v="0"/>
    <s v=" "/>
  </r>
  <r>
    <x v="17"/>
    <n v="129"/>
    <n v="27"/>
    <n v="436"/>
    <n v="45"/>
    <n v="3"/>
    <n v="30"/>
    <n v="1"/>
    <n v="133"/>
    <n v="29"/>
    <n v="0"/>
    <n v="2"/>
    <x v="46"/>
    <n v="47"/>
    <n v="31"/>
    <n v="325"/>
    <n v="38"/>
    <n v="3"/>
    <n v="27"/>
    <n v="1"/>
    <n v="130"/>
    <n v="31"/>
    <n v="1"/>
    <n v="0"/>
    <s v="L"/>
    <n v="8"/>
    <n v="122.8"/>
    <n v="78.39"/>
    <n v="85.71"/>
    <n v="97.87"/>
    <n v="0.55000000000000004"/>
    <n v="0.44999999999999996"/>
    <s v="N"/>
    <s v="N"/>
    <s v="N"/>
    <s v="N"/>
    <s v="N"/>
    <n v="104.36"/>
    <n v="76.31"/>
    <n v="74.13"/>
    <n v="84.27"/>
    <x v="27"/>
    <n v="58"/>
    <x v="55"/>
    <n v="26.26"/>
  </r>
  <r>
    <x v="18"/>
    <n v="140"/>
    <n v="72"/>
    <n v="174"/>
    <n v="22"/>
    <n v="4"/>
    <n v="14"/>
    <n v="0"/>
    <n v="387"/>
    <n v="49"/>
    <n v="6"/>
    <n v="0"/>
    <x v="94"/>
    <n v="43"/>
    <n v="10"/>
    <n v="150"/>
    <n v="23"/>
    <n v="0"/>
    <n v="16"/>
    <n v="2"/>
    <n v="127"/>
    <n v="35"/>
    <n v="1"/>
    <n v="3"/>
    <s v="W"/>
    <n v="1"/>
    <s v=" "/>
    <s v=" "/>
    <s v=" "/>
    <s v=" "/>
    <n v="0.4"/>
    <n v="0.6"/>
    <s v="Y"/>
    <s v="N"/>
    <s v="N"/>
    <s v="N"/>
    <s v="N"/>
    <s v=" "/>
    <s v=" "/>
    <s v=" "/>
    <s v=" "/>
    <x v="43"/>
    <n v="82"/>
    <x v="0"/>
    <s v=" "/>
  </r>
  <r>
    <x v="18"/>
    <n v="140"/>
    <n v="23"/>
    <n v="230"/>
    <n v="34"/>
    <n v="2"/>
    <n v="21"/>
    <n v="0"/>
    <n v="166"/>
    <n v="26"/>
    <n v="1"/>
    <n v="0"/>
    <x v="21"/>
    <n v="694"/>
    <n v="45"/>
    <n v="405"/>
    <n v="41"/>
    <n v="4"/>
    <n v="34"/>
    <n v="0"/>
    <n v="126"/>
    <n v="35"/>
    <n v="2"/>
    <n v="2"/>
    <s v="L"/>
    <n v="2"/>
    <n v="107.46"/>
    <n v="48.599999999999994"/>
    <n v="153.88999999999999"/>
    <n v="125.05"/>
    <n v="0.54"/>
    <n v="0.45999999999999996"/>
    <s v="N"/>
    <s v="N"/>
    <s v="N"/>
    <s v="N"/>
    <s v="N"/>
    <n v="97.6"/>
    <n v="45.7"/>
    <n v="139.69"/>
    <n v="61.76"/>
    <x v="39"/>
    <n v="68"/>
    <x v="103"/>
    <n v="62.86"/>
  </r>
  <r>
    <x v="18"/>
    <n v="140"/>
    <n v="59"/>
    <n v="178"/>
    <n v="21"/>
    <n v="1"/>
    <n v="13"/>
    <n v="0"/>
    <n v="164"/>
    <n v="45"/>
    <n v="4"/>
    <n v="1"/>
    <x v="95"/>
    <n v="5"/>
    <n v="14"/>
    <n v="220"/>
    <n v="36"/>
    <n v="2"/>
    <n v="17"/>
    <n v="4"/>
    <n v="129"/>
    <n v="34"/>
    <n v="0"/>
    <n v="2"/>
    <s v="W"/>
    <n v="3"/>
    <n v="115.24"/>
    <n v="144.47"/>
    <n v="91.22"/>
    <n v="129.62"/>
    <n v="0.51"/>
    <n v="0.49"/>
    <s v="N"/>
    <s v="N"/>
    <s v="N"/>
    <s v="N"/>
    <s v="N"/>
    <n v="95.34"/>
    <n v="101.13"/>
    <n v="84.4"/>
    <n v="73.17"/>
    <x v="10"/>
    <n v="73"/>
    <x v="104"/>
    <n v="55.87"/>
  </r>
  <r>
    <x v="18"/>
    <n v="140"/>
    <n v="44"/>
    <n v="263"/>
    <n v="34"/>
    <n v="2"/>
    <n v="25"/>
    <n v="1"/>
    <n v="240"/>
    <n v="46"/>
    <n v="3"/>
    <n v="0"/>
    <x v="93"/>
    <n v="490"/>
    <n v="14"/>
    <n v="348"/>
    <n v="40"/>
    <n v="2"/>
    <n v="28"/>
    <n v="2"/>
    <n v="-26"/>
    <n v="22"/>
    <n v="0"/>
    <n v="1"/>
    <s v="W"/>
    <n v="4"/>
    <n v="115.69"/>
    <n v="90.08"/>
    <n v="130.83000000000001"/>
    <n v="241.05"/>
    <n v="0.65"/>
    <n v="0.35"/>
    <s v="N"/>
    <s v="N"/>
    <s v="N"/>
    <s v="N"/>
    <s v="N"/>
    <n v="133.82"/>
    <n v="91.27"/>
    <n v="108.72"/>
    <n v="158.61000000000001"/>
    <x v="33"/>
    <n v="58"/>
    <x v="105"/>
    <n v="16.89"/>
  </r>
  <r>
    <x v="18"/>
    <n v="140"/>
    <n v="27"/>
    <n v="251"/>
    <n v="30"/>
    <n v="1"/>
    <n v="16"/>
    <n v="2"/>
    <n v="147"/>
    <n v="40"/>
    <n v="2"/>
    <n v="2"/>
    <x v="48"/>
    <n v="414"/>
    <n v="0"/>
    <n v="267"/>
    <n v="35"/>
    <n v="0"/>
    <n v="21"/>
    <n v="1"/>
    <n v="-3"/>
    <n v="38"/>
    <n v="0"/>
    <n v="1"/>
    <s v="W"/>
    <n v="5"/>
    <n v="83.93"/>
    <n v="107"/>
    <n v="77.760000000000005"/>
    <n v="209.73"/>
    <n v="0.48"/>
    <n v="0.52"/>
    <s v="N"/>
    <s v="N"/>
    <s v="N"/>
    <s v="N"/>
    <s v="N"/>
    <n v="85.27"/>
    <n v="103.61"/>
    <n v="78.31"/>
    <n v="86.91"/>
    <x v="18"/>
    <n v="27"/>
    <x v="106"/>
    <n v="34.43"/>
  </r>
  <r>
    <x v="18"/>
    <n v="140"/>
    <n v="25"/>
    <n v="152"/>
    <n v="26"/>
    <n v="1"/>
    <n v="18"/>
    <n v="1"/>
    <n v="178"/>
    <n v="36"/>
    <n v="2"/>
    <n v="0"/>
    <x v="96"/>
    <n v="367"/>
    <n v="16"/>
    <n v="201"/>
    <n v="32"/>
    <n v="0"/>
    <n v="19"/>
    <n v="1"/>
    <n v="70"/>
    <n v="33"/>
    <n v="0"/>
    <n v="0"/>
    <s v="W"/>
    <n v="7"/>
    <n v="95.32"/>
    <n v="115.77"/>
    <n v="123.04"/>
    <n v="150.79"/>
    <n v="0.49"/>
    <n v="0.51"/>
    <s v="N"/>
    <s v="N"/>
    <s v="N"/>
    <s v="N"/>
    <s v="N"/>
    <n v="87.99"/>
    <n v="111.23"/>
    <n v="169.68"/>
    <n v="110.6"/>
    <x v="44"/>
    <n v="41"/>
    <x v="107"/>
    <n v="10.6"/>
  </r>
  <r>
    <x v="18"/>
    <n v="140"/>
    <n v="37"/>
    <n v="389"/>
    <n v="41"/>
    <n v="3"/>
    <n v="26"/>
    <n v="2"/>
    <n v="118"/>
    <n v="34"/>
    <n v="2"/>
    <n v="1"/>
    <x v="56"/>
    <n v="651"/>
    <n v="34"/>
    <n v="409"/>
    <n v="48"/>
    <n v="3"/>
    <n v="31"/>
    <n v="1"/>
    <n v="86"/>
    <n v="36"/>
    <n v="1"/>
    <n v="3"/>
    <s v="W"/>
    <n v="8"/>
    <n v="111.46"/>
    <n v="85.85"/>
    <n v="80.52"/>
    <n v="165.41"/>
    <n v="0.56999999999999995"/>
    <n v="0.43000000000000005"/>
    <s v="N"/>
    <s v="N"/>
    <s v="N"/>
    <s v="N"/>
    <s v="N"/>
    <n v="116.74"/>
    <n v="81.13"/>
    <n v="102.52"/>
    <n v="171.8"/>
    <x v="22"/>
    <n v="71"/>
    <x v="108"/>
    <n v="6.94"/>
  </r>
  <r>
    <x v="19"/>
    <n v="147"/>
    <n v="35"/>
    <n v="261"/>
    <n v="29"/>
    <n v="3"/>
    <n v="18"/>
    <n v="0"/>
    <n v="215"/>
    <n v="42"/>
    <n v="2"/>
    <n v="1"/>
    <x v="97"/>
    <n v="2915"/>
    <n v="27"/>
    <n v="127"/>
    <n v="8"/>
    <n v="1"/>
    <n v="2"/>
    <n v="1"/>
    <n v="272"/>
    <n v="57"/>
    <n v="2"/>
    <n v="0"/>
    <s v="W"/>
    <n v="2"/>
    <s v=" "/>
    <s v=" "/>
    <s v=" "/>
    <s v=" "/>
    <n v="0.12"/>
    <n v="0.88"/>
    <s v="Y"/>
    <s v="N"/>
    <s v="N"/>
    <s v="Y"/>
    <s v="N"/>
    <s v=" "/>
    <s v=" "/>
    <s v=" "/>
    <s v=" "/>
    <x v="11"/>
    <n v="62"/>
    <x v="0"/>
    <s v=" "/>
  </r>
  <r>
    <x v="19"/>
    <n v="147"/>
    <n v="43"/>
    <n v="271"/>
    <n v="31"/>
    <n v="3"/>
    <n v="21"/>
    <n v="1"/>
    <n v="197"/>
    <n v="38"/>
    <n v="2"/>
    <n v="0"/>
    <x v="35"/>
    <n v="716"/>
    <n v="19"/>
    <n v="258"/>
    <n v="42"/>
    <n v="1"/>
    <n v="24"/>
    <n v="1"/>
    <n v="165"/>
    <n v="36"/>
    <n v="1"/>
    <n v="2"/>
    <s v="W"/>
    <n v="1"/>
    <n v="120.22"/>
    <n v="112.95"/>
    <n v="128.16999999999999"/>
    <n v="106.17"/>
    <n v="0.54"/>
    <n v="0.45999999999999996"/>
    <s v="N"/>
    <s v="N"/>
    <s v="N"/>
    <s v="N"/>
    <s v="N"/>
    <n v="106.52"/>
    <n v="102.96"/>
    <n v="131.55000000000001"/>
    <n v="72.27"/>
    <x v="14"/>
    <n v="62"/>
    <x v="109"/>
    <n v="35.549999999999997"/>
  </r>
  <r>
    <x v="19"/>
    <n v="147"/>
    <n v="38"/>
    <n v="386"/>
    <n v="42"/>
    <n v="4"/>
    <n v="30"/>
    <n v="0"/>
    <n v="238"/>
    <n v="50"/>
    <n v="1"/>
    <n v="1"/>
    <x v="38"/>
    <n v="37"/>
    <n v="24"/>
    <n v="198"/>
    <n v="25"/>
    <n v="1"/>
    <n v="12"/>
    <n v="1"/>
    <n v="237"/>
    <n v="38"/>
    <n v="2"/>
    <n v="0"/>
    <s v="W"/>
    <n v="3"/>
    <n v="135.80000000000001"/>
    <n v="114.84"/>
    <n v="107.43"/>
    <n v="47.41"/>
    <n v="0.4"/>
    <n v="0.6"/>
    <s v="N"/>
    <s v="N"/>
    <s v="N"/>
    <s v="N"/>
    <s v="N"/>
    <n v="137.6"/>
    <n v="95.77"/>
    <n v="107.73"/>
    <n v="50.02"/>
    <x v="5"/>
    <n v="62"/>
    <x v="44"/>
    <n v="255.47"/>
  </r>
  <r>
    <x v="19"/>
    <n v="147"/>
    <n v="35"/>
    <n v="344"/>
    <n v="35"/>
    <n v="3"/>
    <n v="22"/>
    <n v="0"/>
    <n v="99"/>
    <n v="50"/>
    <n v="2"/>
    <n v="1"/>
    <x v="98"/>
    <n v="234"/>
    <n v="30"/>
    <n v="336"/>
    <n v="38"/>
    <n v="3"/>
    <n v="24"/>
    <n v="1"/>
    <n v="29"/>
    <n v="15"/>
    <n v="0"/>
    <n v="0"/>
    <s v="W"/>
    <n v="4"/>
    <n v="129.28"/>
    <n v="84.71"/>
    <n v="45.94"/>
    <n v="155.15"/>
    <n v="0.72"/>
    <n v="0.28000000000000003"/>
    <s v="N"/>
    <s v="N"/>
    <s v="N"/>
    <s v="N"/>
    <s v="N"/>
    <n v="133.16999999999999"/>
    <n v="83.3"/>
    <n v="65.66"/>
    <n v="128.01"/>
    <x v="28"/>
    <n v="65"/>
    <x v="110"/>
    <n v="33.159999999999997"/>
  </r>
  <r>
    <x v="19"/>
    <n v="147"/>
    <n v="23"/>
    <n v="204"/>
    <n v="32"/>
    <n v="1"/>
    <n v="13"/>
    <n v="1"/>
    <n v="119"/>
    <n v="35"/>
    <n v="2"/>
    <n v="0"/>
    <x v="41"/>
    <n v="742"/>
    <n v="3"/>
    <n v="125"/>
    <n v="27"/>
    <n v="0"/>
    <n v="15"/>
    <n v="1"/>
    <n v="133"/>
    <n v="40"/>
    <n v="0"/>
    <n v="1"/>
    <s v="W"/>
    <n v="5"/>
    <n v="70.680000000000007"/>
    <n v="130.32"/>
    <n v="87.45"/>
    <n v="130.36000000000001"/>
    <n v="0.4"/>
    <n v="0.6"/>
    <s v="N"/>
    <s v="N"/>
    <s v="N"/>
    <s v="N"/>
    <s v="N"/>
    <n v="80.05"/>
    <n v="132.41999999999999"/>
    <n v="127.31"/>
    <n v="140.1"/>
    <x v="37"/>
    <n v="26"/>
    <x v="111"/>
    <n v="106.33"/>
  </r>
  <r>
    <x v="19"/>
    <n v="147"/>
    <n v="36"/>
    <n v="320"/>
    <n v="37"/>
    <n v="1"/>
    <n v="22"/>
    <n v="0"/>
    <n v="180"/>
    <n v="41"/>
    <n v="2"/>
    <n v="0"/>
    <x v="99"/>
    <n v="67"/>
    <n v="14"/>
    <n v="132"/>
    <n v="22"/>
    <n v="1"/>
    <n v="14"/>
    <n v="1"/>
    <n v="126"/>
    <n v="35"/>
    <n v="1"/>
    <n v="1"/>
    <s v="W"/>
    <n v="6"/>
    <n v="110.65"/>
    <n v="110.48"/>
    <n v="109.17"/>
    <n v="120.77"/>
    <n v="0.39"/>
    <n v="0.61"/>
    <s v="N"/>
    <s v="N"/>
    <s v="N"/>
    <s v="N"/>
    <s v="N"/>
    <n v="97.64"/>
    <n v="83.23"/>
    <n v="102.24"/>
    <n v="94.22"/>
    <x v="39"/>
    <n v="50"/>
    <x v="72"/>
    <n v="43.08"/>
  </r>
  <r>
    <x v="19"/>
    <n v="147"/>
    <n v="56"/>
    <n v="270"/>
    <n v="38"/>
    <n v="4"/>
    <n v="26"/>
    <n v="1"/>
    <n v="306"/>
    <n v="42"/>
    <n v="2"/>
    <n v="1"/>
    <x v="100"/>
    <n v="392"/>
    <n v="45"/>
    <n v="177"/>
    <n v="35"/>
    <n v="3"/>
    <n v="17"/>
    <n v="1"/>
    <n v="291"/>
    <n v="48"/>
    <n v="2"/>
    <n v="0"/>
    <s v="W"/>
    <n v="7"/>
    <n v="115.04"/>
    <n v="119.58"/>
    <n v="169.03"/>
    <n v="53.099999999999994"/>
    <n v="0.42"/>
    <n v="0.58000000000000007"/>
    <s v="N"/>
    <s v="N"/>
    <s v="N"/>
    <s v="N"/>
    <s v="N"/>
    <n v="120.64"/>
    <n v="93.39"/>
    <n v="146.66999999999999"/>
    <n v="54.9"/>
    <x v="6"/>
    <n v="101"/>
    <x v="112"/>
    <n v="19.38"/>
  </r>
  <r>
    <x v="19"/>
    <n v="147"/>
    <n v="59"/>
    <n v="373"/>
    <n v="48"/>
    <n v="5"/>
    <n v="28"/>
    <n v="0"/>
    <n v="77"/>
    <n v="36"/>
    <n v="1"/>
    <n v="1"/>
    <x v="101"/>
    <n v="457"/>
    <n v="38"/>
    <n v="316"/>
    <n v="35"/>
    <n v="2"/>
    <n v="20"/>
    <n v="3"/>
    <n v="102"/>
    <n v="28"/>
    <n v="2"/>
    <n v="3"/>
    <s v="W"/>
    <n v="8"/>
    <n v="116.31"/>
    <n v="110.79"/>
    <n v="45.46"/>
    <n v="136.91"/>
    <n v="0.56000000000000005"/>
    <n v="0.43999999999999995"/>
    <s v="N"/>
    <s v="N"/>
    <s v="N"/>
    <s v="N"/>
    <s v="N"/>
    <n v="114.27"/>
    <n v="130.62"/>
    <n v="63.31"/>
    <n v="130.01"/>
    <x v="23"/>
    <n v="97"/>
    <x v="113"/>
    <n v="221.75"/>
  </r>
  <r>
    <x v="20"/>
    <n v="157"/>
    <n v="17"/>
    <n v="223"/>
    <n v="30"/>
    <n v="2"/>
    <n v="16"/>
    <n v="1"/>
    <n v="17"/>
    <n v="28"/>
    <n v="0"/>
    <n v="0"/>
    <x v="102"/>
    <n v="277"/>
    <n v="34"/>
    <n v="178"/>
    <n v="33"/>
    <n v="1"/>
    <n v="20"/>
    <n v="0"/>
    <n v="165"/>
    <n v="32"/>
    <n v="3"/>
    <n v="1"/>
    <s v="L"/>
    <n v="1"/>
    <n v="93.85"/>
    <n v="105.45"/>
    <n v="14.09"/>
    <n v="75.69"/>
    <n v="0.51"/>
    <n v="0.49"/>
    <s v="N"/>
    <s v="N"/>
    <s v="N"/>
    <s v="N"/>
    <s v="N"/>
    <n v="94.86"/>
    <n v="112.15"/>
    <n v="18.87"/>
    <n v="68.52"/>
    <x v="0"/>
    <n v="51"/>
    <x v="114"/>
    <n v="15.33"/>
  </r>
  <r>
    <x v="20"/>
    <n v="157"/>
    <n v="33"/>
    <n v="474"/>
    <n v="50"/>
    <n v="3"/>
    <n v="28"/>
    <n v="0"/>
    <n v="108"/>
    <n v="32"/>
    <n v="0"/>
    <n v="0"/>
    <x v="103"/>
    <n v="107"/>
    <n v="36"/>
    <n v="270"/>
    <n v="36"/>
    <n v="4"/>
    <n v="19"/>
    <n v="1"/>
    <n v="100"/>
    <n v="31"/>
    <n v="1"/>
    <n v="0"/>
    <s v="L"/>
    <n v="2"/>
    <n v="116.67"/>
    <n v="98.01"/>
    <n v="78.3"/>
    <n v="120.32"/>
    <n v="0.54"/>
    <n v="0.45999999999999996"/>
    <s v="N"/>
    <s v="N"/>
    <s v="N"/>
    <s v="N"/>
    <s v="N"/>
    <n v="116.18"/>
    <n v="91.76"/>
    <n v="98.59"/>
    <n v="95.51"/>
    <x v="22"/>
    <n v="69"/>
    <x v="93"/>
    <n v="22.56"/>
  </r>
  <r>
    <x v="20"/>
    <n v="157"/>
    <n v="28"/>
    <n v="215"/>
    <n v="32"/>
    <n v="2"/>
    <n v="17"/>
    <n v="0"/>
    <n v="145"/>
    <n v="34"/>
    <n v="2"/>
    <n v="0"/>
    <x v="70"/>
    <n v="156"/>
    <n v="14"/>
    <n v="176"/>
    <n v="30"/>
    <n v="1"/>
    <n v="20"/>
    <n v="0"/>
    <n v="67"/>
    <n v="25"/>
    <n v="1"/>
    <n v="1"/>
    <s v="W"/>
    <n v="3"/>
    <n v="99.12"/>
    <n v="96.36"/>
    <n v="107.76"/>
    <n v="143.82"/>
    <n v="0.55000000000000004"/>
    <n v="0.44999999999999996"/>
    <s v="N"/>
    <s v="N"/>
    <s v="N"/>
    <s v="N"/>
    <s v="N"/>
    <n v="90.87"/>
    <n v="92.79"/>
    <n v="78.66"/>
    <n v="84.76"/>
    <x v="5"/>
    <n v="42"/>
    <x v="115"/>
    <n v="29.75"/>
  </r>
  <r>
    <x v="20"/>
    <n v="157"/>
    <n v="17"/>
    <n v="238"/>
    <n v="39"/>
    <n v="2"/>
    <n v="22"/>
    <n v="0"/>
    <n v="76"/>
    <n v="16"/>
    <n v="0"/>
    <n v="2"/>
    <x v="7"/>
    <n v="518"/>
    <n v="37"/>
    <n v="110"/>
    <n v="15"/>
    <n v="2"/>
    <n v="7"/>
    <n v="0"/>
    <n v="226"/>
    <n v="47"/>
    <n v="2"/>
    <n v="0"/>
    <s v="L"/>
    <n v="4"/>
    <n v="97.36"/>
    <n v="93.37"/>
    <n v="72.7"/>
    <n v="82.06"/>
    <n v="0.24"/>
    <n v="0.76"/>
    <s v="N"/>
    <s v="N"/>
    <s v="N"/>
    <s v="N"/>
    <s v="N"/>
    <n v="112.45"/>
    <n v="77.22"/>
    <n v="93.19"/>
    <n v="76.73"/>
    <x v="37"/>
    <n v="54"/>
    <x v="116"/>
    <n v="36.69"/>
  </r>
  <r>
    <x v="20"/>
    <n v="157"/>
    <n v="27"/>
    <n v="175"/>
    <n v="24"/>
    <n v="2"/>
    <n v="15"/>
    <n v="1"/>
    <n v="161"/>
    <n v="38"/>
    <n v="1"/>
    <n v="1"/>
    <x v="104"/>
    <n v="754"/>
    <n v="31"/>
    <n v="376"/>
    <n v="49"/>
    <n v="3"/>
    <n v="32"/>
    <n v="1"/>
    <n v="79"/>
    <n v="27"/>
    <n v="1"/>
    <n v="0"/>
    <s v="L"/>
    <n v="5"/>
    <n v="102.24"/>
    <n v="89.81"/>
    <n v="94.35"/>
    <n v="126.56"/>
    <n v="0.64"/>
    <n v="0.36"/>
    <s v="N"/>
    <s v="N"/>
    <s v="N"/>
    <s v="N"/>
    <s v="N"/>
    <n v="93.04"/>
    <n v="99.34"/>
    <n v="90.19"/>
    <n v="75.569999999999993"/>
    <x v="27"/>
    <n v="58"/>
    <x v="117"/>
    <n v="30.86"/>
  </r>
  <r>
    <x v="20"/>
    <n v="157"/>
    <n v="7"/>
    <n v="204"/>
    <n v="30"/>
    <n v="1"/>
    <n v="16"/>
    <n v="1"/>
    <n v="60"/>
    <n v="27"/>
    <n v="0"/>
    <n v="0"/>
    <x v="24"/>
    <n v="674"/>
    <n v="48"/>
    <n v="392"/>
    <n v="35"/>
    <n v="3"/>
    <n v="27"/>
    <n v="1"/>
    <n v="161"/>
    <n v="35"/>
    <n v="3"/>
    <n v="1"/>
    <s v="L"/>
    <n v="6"/>
    <n v="85.39"/>
    <n v="57.53"/>
    <n v="51.56"/>
    <n v="88.99"/>
    <n v="0.5"/>
    <n v="0.5"/>
    <s v="N"/>
    <s v="N"/>
    <s v="N"/>
    <s v="N"/>
    <s v="N"/>
    <n v="88.18"/>
    <n v="76.78"/>
    <n v="73.540000000000006"/>
    <n v="128.13999999999999"/>
    <x v="13"/>
    <n v="55"/>
    <x v="118"/>
    <n v="35.18"/>
  </r>
  <r>
    <x v="20"/>
    <n v="157"/>
    <n v="24"/>
    <n v="207"/>
    <n v="38"/>
    <n v="1"/>
    <n v="22"/>
    <n v="0"/>
    <n v="62"/>
    <n v="27"/>
    <n v="2"/>
    <n v="0"/>
    <x v="89"/>
    <n v="756"/>
    <n v="52"/>
    <n v="267"/>
    <n v="30"/>
    <n v="4"/>
    <n v="23"/>
    <n v="0"/>
    <n v="295"/>
    <n v="40"/>
    <n v="3"/>
    <n v="1"/>
    <s v="L"/>
    <n v="7"/>
    <n v="91.53"/>
    <n v="54.830000000000013"/>
    <n v="64.39"/>
    <n v="25.150000000000006"/>
    <n v="0.43"/>
    <n v="0.57000000000000006"/>
    <s v="N"/>
    <s v="N"/>
    <s v="N"/>
    <s v="N"/>
    <s v="N"/>
    <n v="85.89"/>
    <n v="68.95"/>
    <n v="67"/>
    <n v="29.72"/>
    <x v="15"/>
    <n v="76"/>
    <x v="119"/>
    <n v="17.059999999999999"/>
  </r>
  <r>
    <x v="20"/>
    <n v="157"/>
    <n v="2"/>
    <n v="133"/>
    <n v="33"/>
    <n v="0"/>
    <n v="15"/>
    <n v="1"/>
    <n v="98"/>
    <n v="39"/>
    <n v="0"/>
    <n v="0"/>
    <x v="25"/>
    <n v="529"/>
    <n v="45"/>
    <n v="156"/>
    <n v="21"/>
    <n v="2"/>
    <n v="11"/>
    <n v="0"/>
    <n v="371"/>
    <n v="48"/>
    <n v="3"/>
    <n v="0"/>
    <s v="L"/>
    <n v="8"/>
    <n v="58.33"/>
    <n v="92.85"/>
    <n v="58.3"/>
    <n v="11.310000000000002"/>
    <n v="0.3"/>
    <n v="0.7"/>
    <s v="N"/>
    <s v="N"/>
    <s v="N"/>
    <s v="N"/>
    <s v="N"/>
    <n v="69.790000000000006"/>
    <n v="103.11"/>
    <n v="60.31"/>
    <n v="18.03"/>
    <x v="45"/>
    <n v="47"/>
    <x v="120"/>
    <n v="23.99"/>
  </r>
  <r>
    <x v="21"/>
    <n v="156"/>
    <n v="33"/>
    <n v="259"/>
    <n v="42"/>
    <n v="1"/>
    <n v="28"/>
    <n v="3"/>
    <n v="242"/>
    <n v="41"/>
    <n v="3"/>
    <n v="0"/>
    <x v="105"/>
    <n v="502"/>
    <n v="14"/>
    <n v="87"/>
    <n v="23"/>
    <n v="1"/>
    <n v="11"/>
    <n v="2"/>
    <n v="129"/>
    <n v="20"/>
    <n v="1"/>
    <n v="0"/>
    <s v="W"/>
    <n v="2"/>
    <s v=" "/>
    <s v=" "/>
    <s v=" "/>
    <s v=" "/>
    <n v="0.53"/>
    <n v="0.47"/>
    <s v="Y"/>
    <s v="N"/>
    <s v="N"/>
    <s v="N"/>
    <s v="N"/>
    <s v=" "/>
    <s v=" "/>
    <s v=" "/>
    <s v=" "/>
    <x v="31"/>
    <n v="47"/>
    <x v="0"/>
    <s v=" "/>
  </r>
  <r>
    <x v="21"/>
    <n v="156"/>
    <n v="14"/>
    <n v="178"/>
    <n v="26"/>
    <n v="1"/>
    <n v="22"/>
    <n v="0"/>
    <n v="92"/>
    <n v="28"/>
    <n v="1"/>
    <n v="1"/>
    <x v="34"/>
    <n v="473"/>
    <n v="10"/>
    <n v="179"/>
    <n v="31"/>
    <n v="1"/>
    <n v="20"/>
    <n v="0"/>
    <n v="150"/>
    <n v="48"/>
    <n v="0"/>
    <n v="3"/>
    <s v="W"/>
    <n v="1"/>
    <n v="127.7"/>
    <n v="99.18"/>
    <n v="70.87"/>
    <n v="146.25"/>
    <n v="0.39"/>
    <n v="0.61"/>
    <s v="N"/>
    <s v="N"/>
    <s v="N"/>
    <s v="N"/>
    <s v="N"/>
    <n v="85.1"/>
    <n v="84.7"/>
    <n v="47.85"/>
    <n v="106.66"/>
    <x v="27"/>
    <n v="24"/>
    <x v="121"/>
    <n v="9.09"/>
  </r>
  <r>
    <x v="21"/>
    <n v="156"/>
    <n v="14"/>
    <n v="176"/>
    <n v="30"/>
    <n v="1"/>
    <n v="20"/>
    <n v="0"/>
    <n v="67"/>
    <n v="25"/>
    <n v="1"/>
    <n v="1"/>
    <x v="88"/>
    <n v="157"/>
    <n v="28"/>
    <n v="215"/>
    <n v="32"/>
    <n v="2"/>
    <n v="17"/>
    <n v="0"/>
    <n v="145"/>
    <n v="34"/>
    <n v="2"/>
    <n v="0"/>
    <s v="L"/>
    <n v="3"/>
    <n v="103.64"/>
    <n v="100.88"/>
    <n v="56.18"/>
    <n v="92.24"/>
    <n v="0.48"/>
    <n v="0.52"/>
    <s v="N"/>
    <s v="N"/>
    <s v="N"/>
    <s v="N"/>
    <s v="N"/>
    <n v="89.16"/>
    <n v="93.88"/>
    <n v="47.32"/>
    <n v="62.43"/>
    <x v="5"/>
    <n v="42"/>
    <x v="115"/>
    <n v="29.75"/>
  </r>
  <r>
    <x v="21"/>
    <n v="156"/>
    <n v="35"/>
    <n v="108"/>
    <n v="28"/>
    <n v="1"/>
    <n v="16"/>
    <n v="0"/>
    <n v="124"/>
    <n v="47"/>
    <n v="2"/>
    <n v="1"/>
    <x v="49"/>
    <n v="731"/>
    <n v="34"/>
    <n v="86"/>
    <n v="15"/>
    <n v="0"/>
    <n v="9"/>
    <n v="0"/>
    <n v="279"/>
    <n v="52"/>
    <n v="5"/>
    <n v="4"/>
    <s v="W"/>
    <n v="4"/>
    <n v="83.52"/>
    <n v="108.75"/>
    <n v="61.21"/>
    <n v="84.18"/>
    <n v="0.22"/>
    <n v="0.78"/>
    <s v="N"/>
    <s v="N"/>
    <s v="N"/>
    <s v="N"/>
    <s v="N"/>
    <n v="82.82"/>
    <n v="112.87"/>
    <n v="74.72"/>
    <n v="110.01"/>
    <x v="3"/>
    <n v="69"/>
    <x v="122"/>
    <n v="1.6"/>
  </r>
  <r>
    <x v="21"/>
    <n v="156"/>
    <n v="31"/>
    <n v="387"/>
    <n v="43"/>
    <n v="3"/>
    <n v="28"/>
    <n v="2"/>
    <n v="71"/>
    <n v="26"/>
    <n v="1"/>
    <n v="1"/>
    <x v="85"/>
    <n v="630"/>
    <n v="38"/>
    <n v="313"/>
    <n v="38"/>
    <n v="2"/>
    <n v="25"/>
    <n v="1"/>
    <n v="137"/>
    <n v="39"/>
    <n v="2"/>
    <n v="2"/>
    <s v="L"/>
    <n v="5"/>
    <n v="110.68"/>
    <n v="89.32"/>
    <n v="57.58"/>
    <n v="126.19"/>
    <n v="0.49"/>
    <n v="0.51"/>
    <s v="N"/>
    <s v="N"/>
    <s v="N"/>
    <s v="N"/>
    <s v="N"/>
    <n v="116.82"/>
    <n v="75.95"/>
    <n v="48.81"/>
    <n v="102.75"/>
    <x v="20"/>
    <n v="69"/>
    <x v="123"/>
    <n v="43.13"/>
  </r>
  <r>
    <x v="21"/>
    <n v="156"/>
    <n v="13"/>
    <n v="147"/>
    <n v="26"/>
    <n v="2"/>
    <n v="12"/>
    <n v="1"/>
    <n v="84"/>
    <n v="27"/>
    <n v="0"/>
    <n v="1"/>
    <x v="6"/>
    <n v="66"/>
    <n v="63"/>
    <n v="349"/>
    <n v="32"/>
    <n v="4"/>
    <n v="27"/>
    <n v="0"/>
    <n v="393"/>
    <n v="51"/>
    <n v="5"/>
    <n v="1"/>
    <s v="L"/>
    <n v="7"/>
    <n v="76.97"/>
    <n v="37.44"/>
    <n v="61.07"/>
    <n v="12.400000000000006"/>
    <n v="0.39"/>
    <n v="0.61"/>
    <s v="N"/>
    <s v="N"/>
    <s v="N"/>
    <s v="N"/>
    <s v="N"/>
    <n v="97.56"/>
    <n v="49.15"/>
    <n v="70.09"/>
    <n v="14.22"/>
    <x v="38"/>
    <n v="76"/>
    <x v="124"/>
    <n v="23.57"/>
  </r>
  <r>
    <x v="21"/>
    <n v="156"/>
    <n v="17"/>
    <n v="162"/>
    <n v="33"/>
    <n v="0"/>
    <n v="19"/>
    <n v="1"/>
    <n v="93"/>
    <n v="43"/>
    <n v="1"/>
    <n v="1"/>
    <x v="106"/>
    <n v="704"/>
    <n v="31"/>
    <n v="116"/>
    <n v="15"/>
    <n v="1"/>
    <n v="8"/>
    <n v="1"/>
    <n v="340"/>
    <n v="36"/>
    <n v="3"/>
    <n v="1"/>
    <s v="L"/>
    <n v="8"/>
    <n v="75.239999999999995"/>
    <n v="114.52"/>
    <n v="46.69"/>
    <n v="-23.28"/>
    <n v="0.28999999999999998"/>
    <n v="0.71"/>
    <s v="N"/>
    <s v="N"/>
    <s v="N"/>
    <s v="N"/>
    <s v="N"/>
    <n v="80.97"/>
    <n v="88.7"/>
    <n v="39.869999999999997"/>
    <n v="-28.18"/>
    <x v="5"/>
    <n v="48"/>
    <x v="125"/>
    <n v="7.49"/>
  </r>
  <r>
    <x v="22"/>
    <n v="164"/>
    <n v="35"/>
    <n v="228"/>
    <n v="21"/>
    <n v="1"/>
    <n v="12"/>
    <n v="1"/>
    <n v="206"/>
    <n v="42"/>
    <n v="4"/>
    <n v="0"/>
    <x v="107"/>
    <n v="236"/>
    <n v="3"/>
    <n v="149"/>
    <n v="26"/>
    <n v="0"/>
    <n v="12"/>
    <n v="1"/>
    <n v="20"/>
    <n v="30"/>
    <n v="0"/>
    <n v="0"/>
    <s v="W"/>
    <n v="1"/>
    <s v=" "/>
    <s v=" "/>
    <s v=" "/>
    <s v=" "/>
    <n v="0.46"/>
    <n v="0.54"/>
    <s v="Y"/>
    <s v="N"/>
    <s v="N"/>
    <s v="N"/>
    <s v="N"/>
    <s v=" "/>
    <s v=" "/>
    <s v=" "/>
    <s v=" "/>
    <x v="46"/>
    <n v="38"/>
    <x v="0"/>
    <s v=" "/>
  </r>
  <r>
    <x v="22"/>
    <n v="164"/>
    <n v="21"/>
    <n v="104"/>
    <n v="29"/>
    <n v="0"/>
    <n v="11"/>
    <n v="3"/>
    <n v="89"/>
    <n v="36"/>
    <n v="0"/>
    <n v="1"/>
    <x v="19"/>
    <n v="736"/>
    <n v="24"/>
    <n v="141"/>
    <n v="27"/>
    <n v="1"/>
    <n v="13"/>
    <n v="2"/>
    <n v="118"/>
    <n v="32"/>
    <n v="1"/>
    <n v="1"/>
    <s v="L"/>
    <n v="2"/>
    <n v="26.44"/>
    <n v="140.06"/>
    <n v="49.02"/>
    <n v="119.14"/>
    <n v="0.46"/>
    <n v="0.54"/>
    <s v="N"/>
    <s v="N"/>
    <s v="N"/>
    <s v="N"/>
    <s v="N"/>
    <n v="33.39"/>
    <n v="87.95"/>
    <n v="59.86"/>
    <n v="105.35"/>
    <x v="22"/>
    <n v="45"/>
    <x v="126"/>
    <n v="4.59"/>
  </r>
  <r>
    <x v="22"/>
    <n v="164"/>
    <n v="20"/>
    <n v="231"/>
    <n v="36"/>
    <n v="1"/>
    <n v="15"/>
    <n v="1"/>
    <n v="112"/>
    <n v="42"/>
    <n v="1"/>
    <n v="2"/>
    <x v="64"/>
    <n v="311"/>
    <n v="24"/>
    <n v="240"/>
    <n v="30"/>
    <n v="2"/>
    <n v="19"/>
    <n v="3"/>
    <n v="101"/>
    <n v="34"/>
    <n v="1"/>
    <n v="0"/>
    <s v="L"/>
    <n v="3"/>
    <n v="72.47"/>
    <n v="113.07"/>
    <n v="51.15"/>
    <n v="126.67"/>
    <n v="0.47"/>
    <n v="0.53"/>
    <s v="N"/>
    <s v="N"/>
    <s v="N"/>
    <s v="N"/>
    <s v="N"/>
    <n v="68.040000000000006"/>
    <n v="94.79"/>
    <n v="50.74"/>
    <n v="110.54"/>
    <x v="27"/>
    <n v="44"/>
    <x v="127"/>
    <n v="10.92"/>
  </r>
  <r>
    <x v="22"/>
    <n v="164"/>
    <n v="17"/>
    <n v="213"/>
    <n v="22"/>
    <n v="2"/>
    <n v="12"/>
    <n v="0"/>
    <n v="80"/>
    <n v="42"/>
    <n v="0"/>
    <n v="0"/>
    <x v="57"/>
    <n v="86"/>
    <n v="3"/>
    <n v="193"/>
    <n v="40"/>
    <n v="0"/>
    <n v="18"/>
    <n v="1"/>
    <n v="126"/>
    <n v="31"/>
    <n v="0"/>
    <n v="0"/>
    <s v="W"/>
    <n v="4"/>
    <n v="120.95"/>
    <n v="136.19999999999999"/>
    <n v="44.19"/>
    <n v="105.7"/>
    <n v="0.56000000000000005"/>
    <n v="0.43999999999999995"/>
    <s v="N"/>
    <s v="N"/>
    <s v="N"/>
    <s v="N"/>
    <s v="N"/>
    <n v="113.6"/>
    <n v="114.38"/>
    <n v="36.43"/>
    <n v="98.39"/>
    <x v="5"/>
    <n v="20"/>
    <x v="128"/>
    <n v="198.86"/>
  </r>
  <r>
    <x v="22"/>
    <n v="164"/>
    <n v="31"/>
    <n v="300"/>
    <n v="39"/>
    <n v="4"/>
    <n v="22"/>
    <n v="0"/>
    <n v="151"/>
    <n v="33"/>
    <n v="0"/>
    <n v="1"/>
    <x v="80"/>
    <n v="774"/>
    <n v="38"/>
    <n v="479"/>
    <n v="51"/>
    <n v="5"/>
    <n v="37"/>
    <n v="0"/>
    <n v="11"/>
    <n v="22"/>
    <n v="0"/>
    <n v="2"/>
    <s v="L"/>
    <n v="5"/>
    <n v="113.72"/>
    <n v="61.56"/>
    <n v="97.07"/>
    <n v="215.67"/>
    <n v="0.7"/>
    <n v="0.30000000000000004"/>
    <s v="N"/>
    <s v="N"/>
    <s v="N"/>
    <s v="N"/>
    <s v="N"/>
    <n v="120.11"/>
    <n v="68.47"/>
    <n v="71.08"/>
    <n v="158.66"/>
    <x v="20"/>
    <n v="69"/>
    <x v="129"/>
    <n v="7.95"/>
  </r>
  <r>
    <x v="22"/>
    <n v="164"/>
    <n v="16"/>
    <n v="193"/>
    <n v="37"/>
    <n v="0"/>
    <n v="21"/>
    <n v="0"/>
    <n v="82"/>
    <n v="35"/>
    <n v="0"/>
    <n v="1"/>
    <x v="79"/>
    <n v="768"/>
    <n v="43"/>
    <n v="469"/>
    <n v="48"/>
    <n v="4"/>
    <n v="28"/>
    <n v="1"/>
    <n v="72"/>
    <n v="29"/>
    <n v="1"/>
    <n v="1"/>
    <s v="L"/>
    <n v="6"/>
    <n v="85.19"/>
    <n v="82.17"/>
    <n v="45.78"/>
    <n v="147.57"/>
    <n v="0.62"/>
    <n v="0.38"/>
    <s v="N"/>
    <s v="N"/>
    <s v="N"/>
    <s v="N"/>
    <s v="N"/>
    <n v="91.43"/>
    <n v="90.36"/>
    <n v="50.44"/>
    <n v="117.25"/>
    <x v="18"/>
    <n v="59"/>
    <x v="130"/>
    <n v="68.72"/>
  </r>
  <r>
    <x v="22"/>
    <n v="164"/>
    <n v="16"/>
    <n v="135"/>
    <n v="25"/>
    <n v="0"/>
    <n v="14"/>
    <n v="0"/>
    <n v="118"/>
    <n v="48"/>
    <n v="0"/>
    <n v="2"/>
    <x v="56"/>
    <n v="651"/>
    <n v="10"/>
    <n v="164"/>
    <n v="27"/>
    <n v="0"/>
    <n v="15"/>
    <n v="2"/>
    <n v="175"/>
    <n v="36"/>
    <n v="1"/>
    <n v="2"/>
    <s v="W"/>
    <n v="7"/>
    <n v="85.43"/>
    <n v="133.56"/>
    <n v="44.53"/>
    <n v="99.72"/>
    <n v="0.43"/>
    <n v="0.57000000000000006"/>
    <s v="N"/>
    <s v="N"/>
    <s v="N"/>
    <s v="N"/>
    <s v="N"/>
    <n v="89.48"/>
    <n v="126.22"/>
    <n v="56.7"/>
    <n v="103.57"/>
    <x v="47"/>
    <n v="26"/>
    <x v="131"/>
    <n v="16.32"/>
  </r>
  <r>
    <x v="23"/>
    <n v="193"/>
    <n v="21"/>
    <n v="201"/>
    <n v="34"/>
    <n v="0"/>
    <n v="23"/>
    <n v="0"/>
    <n v="178"/>
    <n v="35"/>
    <n v="3"/>
    <n v="2"/>
    <x v="108"/>
    <n v="575"/>
    <n v="23"/>
    <n v="193"/>
    <n v="31"/>
    <n v="1"/>
    <n v="14"/>
    <n v="1"/>
    <n v="95"/>
    <n v="31"/>
    <n v="2"/>
    <n v="0"/>
    <s v="L"/>
    <n v="1"/>
    <s v=" "/>
    <s v=" "/>
    <s v=" "/>
    <s v=" "/>
    <n v="0.5"/>
    <n v="0.5"/>
    <s v="Y"/>
    <s v="N"/>
    <s v="N"/>
    <s v="N"/>
    <s v="N"/>
    <s v=" "/>
    <s v=" "/>
    <s v=" "/>
    <s v=" "/>
    <x v="35"/>
    <n v="44"/>
    <x v="0"/>
    <s v=" "/>
  </r>
  <r>
    <x v="23"/>
    <n v="193"/>
    <n v="14"/>
    <n v="305"/>
    <n v="39"/>
    <n v="0"/>
    <n v="28"/>
    <n v="0"/>
    <n v="30"/>
    <n v="33"/>
    <n v="1"/>
    <n v="1"/>
    <x v="24"/>
    <n v="674"/>
    <n v="44"/>
    <n v="299"/>
    <n v="30"/>
    <n v="4"/>
    <n v="21"/>
    <n v="1"/>
    <n v="205"/>
    <n v="30"/>
    <n v="2"/>
    <n v="0"/>
    <s v="L"/>
    <n v="2"/>
    <n v="114.42"/>
    <n v="65.680000000000007"/>
    <n v="16.55"/>
    <n v="31.47"/>
    <n v="0.5"/>
    <n v="0.5"/>
    <s v="N"/>
    <s v="N"/>
    <s v="N"/>
    <s v="N"/>
    <s v="N"/>
    <n v="118.16"/>
    <n v="87.66"/>
    <n v="23.61"/>
    <n v="45.31"/>
    <x v="33"/>
    <n v="58"/>
    <x v="132"/>
    <n v="17.45"/>
  </r>
  <r>
    <x v="23"/>
    <n v="193"/>
    <n v="20"/>
    <n v="384"/>
    <n v="55"/>
    <n v="2"/>
    <n v="43"/>
    <n v="1"/>
    <n v="81"/>
    <n v="26"/>
    <n v="1"/>
    <n v="0"/>
    <x v="99"/>
    <n v="67"/>
    <n v="19"/>
    <n v="247"/>
    <n v="34"/>
    <n v="1"/>
    <n v="17"/>
    <n v="0"/>
    <n v="81"/>
    <n v="25"/>
    <n v="1"/>
    <n v="0"/>
    <s v="W"/>
    <n v="3"/>
    <n v="116.23"/>
    <n v="106"/>
    <n v="78.05"/>
    <n v="118.83"/>
    <n v="0.57999999999999996"/>
    <n v="0.42000000000000004"/>
    <s v="N"/>
    <s v="N"/>
    <s v="N"/>
    <s v="N"/>
    <s v="N"/>
    <n v="102.56"/>
    <n v="79.849999999999994"/>
    <n v="73.099999999999994"/>
    <n v="92.71"/>
    <x v="3"/>
    <n v="39"/>
    <x v="70"/>
    <n v="5.23"/>
  </r>
  <r>
    <x v="23"/>
    <n v="193"/>
    <n v="48"/>
    <n v="333"/>
    <n v="36"/>
    <n v="1"/>
    <n v="24"/>
    <n v="1"/>
    <n v="151"/>
    <n v="43"/>
    <n v="5"/>
    <n v="1"/>
    <x v="47"/>
    <n v="718"/>
    <n v="27"/>
    <n v="263"/>
    <n v="37"/>
    <n v="1"/>
    <n v="18"/>
    <n v="1"/>
    <n v="55"/>
    <n v="22"/>
    <n v="1"/>
    <n v="0"/>
    <s v="W"/>
    <n v="4"/>
    <n v="112.91"/>
    <n v="116.67"/>
    <n v="91.93"/>
    <n v="135.18"/>
    <n v="0.63"/>
    <n v="0.37"/>
    <s v="N"/>
    <s v="N"/>
    <s v="N"/>
    <s v="N"/>
    <s v="N"/>
    <n v="130.31"/>
    <n v="111.87"/>
    <n v="93.47"/>
    <n v="113.33"/>
    <x v="23"/>
    <n v="75"/>
    <x v="133"/>
    <n v="37.04"/>
  </r>
  <r>
    <x v="23"/>
    <n v="193"/>
    <n v="31"/>
    <n v="335"/>
    <n v="43"/>
    <n v="2"/>
    <n v="28"/>
    <n v="0"/>
    <n v="49"/>
    <n v="22"/>
    <n v="2"/>
    <n v="0"/>
    <x v="12"/>
    <n v="231"/>
    <n v="27"/>
    <n v="392"/>
    <n v="41"/>
    <n v="3"/>
    <n v="26"/>
    <n v="0"/>
    <n v="176"/>
    <n v="41"/>
    <n v="0"/>
    <n v="1"/>
    <s v="W"/>
    <n v="5"/>
    <n v="114.55"/>
    <n v="73.5"/>
    <n v="65.31"/>
    <n v="107.73"/>
    <n v="0.5"/>
    <n v="0.5"/>
    <s v="N"/>
    <s v="N"/>
    <s v="N"/>
    <s v="N"/>
    <s v="N"/>
    <n v="117.86"/>
    <n v="79.33"/>
    <n v="78.25"/>
    <n v="93.47"/>
    <x v="27"/>
    <n v="58"/>
    <x v="134"/>
    <n v="10.28"/>
  </r>
  <r>
    <x v="23"/>
    <n v="193"/>
    <n v="16"/>
    <n v="226"/>
    <n v="43"/>
    <n v="1"/>
    <n v="26"/>
    <n v="1"/>
    <n v="63"/>
    <n v="27"/>
    <n v="1"/>
    <n v="1"/>
    <x v="98"/>
    <n v="234"/>
    <n v="41"/>
    <n v="239"/>
    <n v="14"/>
    <n v="2"/>
    <n v="9"/>
    <n v="0"/>
    <n v="242"/>
    <n v="45"/>
    <n v="3"/>
    <n v="2"/>
    <s v="L"/>
    <n v="7"/>
    <n v="85.62"/>
    <s v=" "/>
    <n v="48.58"/>
    <n v="78.569999999999993"/>
    <n v="0.24"/>
    <n v="0.76"/>
    <s v="N"/>
    <s v="N"/>
    <s v="N"/>
    <s v="Y"/>
    <s v="N"/>
    <n v="88.2"/>
    <s v=" "/>
    <n v="69.430000000000007"/>
    <n v="64.83"/>
    <x v="19"/>
    <n v="57"/>
    <x v="0"/>
    <s v=" "/>
  </r>
  <r>
    <x v="23"/>
    <n v="193"/>
    <n v="23"/>
    <n v="224"/>
    <n v="47"/>
    <n v="0"/>
    <n v="29"/>
    <n v="1"/>
    <n v="148"/>
    <n v="44"/>
    <n v="2"/>
    <n v="0"/>
    <x v="75"/>
    <n v="749"/>
    <n v="24"/>
    <n v="215"/>
    <n v="25"/>
    <n v="2"/>
    <n v="15"/>
    <n v="0"/>
    <n v="90"/>
    <n v="26"/>
    <n v="1"/>
    <n v="0"/>
    <s v="L"/>
    <n v="8"/>
    <n v="81.290000000000006"/>
    <n v="81.13"/>
    <n v="84.85"/>
    <n v="113.92"/>
    <n v="0.49"/>
    <n v="0.51"/>
    <s v="N"/>
    <s v="N"/>
    <s v="N"/>
    <s v="N"/>
    <s v="N"/>
    <n v="87.26"/>
    <n v="90.05"/>
    <n v="86.89"/>
    <n v="78.13"/>
    <x v="3"/>
    <n v="47"/>
    <x v="135"/>
    <n v="2.58"/>
  </r>
  <r>
    <x v="24"/>
    <n v="196"/>
    <n v="37"/>
    <n v="260"/>
    <n v="56"/>
    <n v="4"/>
    <n v="37"/>
    <n v="1"/>
    <n v="85"/>
    <n v="28"/>
    <n v="1"/>
    <n v="4"/>
    <x v="53"/>
    <n v="648"/>
    <n v="56"/>
    <n v="131"/>
    <n v="25"/>
    <n v="1"/>
    <n v="10"/>
    <n v="0"/>
    <n v="220"/>
    <n v="40"/>
    <n v="5"/>
    <n v="4"/>
    <s v="L"/>
    <n v="1"/>
    <n v="96.73"/>
    <n v="125.44"/>
    <n v="32.93"/>
    <n v="83.65"/>
    <n v="0.38"/>
    <n v="0.62"/>
    <s v="N"/>
    <s v="N"/>
    <s v="N"/>
    <s v="N"/>
    <s v="N"/>
    <n v="137.38"/>
    <n v="101.9"/>
    <n v="43.49"/>
    <n v="93.7"/>
    <x v="31"/>
    <n v="93"/>
    <x v="136"/>
    <n v="31.02"/>
  </r>
  <r>
    <x v="24"/>
    <n v="196"/>
    <n v="10"/>
    <n v="127"/>
    <n v="38"/>
    <n v="0"/>
    <n v="20"/>
    <n v="1"/>
    <n v="-15"/>
    <n v="16"/>
    <n v="1"/>
    <n v="0"/>
    <x v="41"/>
    <n v="742"/>
    <n v="17"/>
    <n v="91"/>
    <n v="20"/>
    <n v="0"/>
    <n v="8"/>
    <n v="1"/>
    <n v="241"/>
    <n v="50"/>
    <n v="2"/>
    <n v="1"/>
    <s v="L"/>
    <n v="2"/>
    <n v="62.95"/>
    <n v="150.19999999999999"/>
    <n v="-12.38"/>
    <n v="88.18"/>
    <n v="0.28999999999999998"/>
    <n v="0.71"/>
    <s v="N"/>
    <s v="N"/>
    <s v="N"/>
    <s v="N"/>
    <s v="N"/>
    <n v="71.3"/>
    <n v="152.62"/>
    <n v="-18.02"/>
    <n v="94.77"/>
    <x v="20"/>
    <n v="27"/>
    <x v="137"/>
    <n v="6.3"/>
  </r>
  <r>
    <x v="24"/>
    <n v="196"/>
    <n v="28"/>
    <n v="361"/>
    <n v="42"/>
    <n v="3"/>
    <n v="35"/>
    <n v="3"/>
    <n v="181"/>
    <n v="32"/>
    <n v="1"/>
    <n v="4"/>
    <x v="109"/>
    <n v="9"/>
    <n v="23"/>
    <n v="283"/>
    <n v="48"/>
    <n v="0"/>
    <n v="31"/>
    <n v="1"/>
    <n v="117"/>
    <n v="33"/>
    <n v="2"/>
    <n v="2"/>
    <s v="W"/>
    <n v="4"/>
    <n v="119.46"/>
    <n v="109.53"/>
    <n v="98.41"/>
    <n v="126.84"/>
    <n v="0.59"/>
    <n v="0.41000000000000003"/>
    <s v="N"/>
    <s v="N"/>
    <s v="N"/>
    <s v="N"/>
    <s v="N"/>
    <n v="96.35"/>
    <n v="82.46"/>
    <n v="85.85"/>
    <n v="103.23"/>
    <x v="28"/>
    <n v="51"/>
    <x v="138"/>
    <n v="9.2200000000000006"/>
  </r>
  <r>
    <x v="24"/>
    <n v="196"/>
    <n v="20"/>
    <n v="417"/>
    <n v="58"/>
    <n v="2"/>
    <n v="41"/>
    <n v="2"/>
    <n v="73"/>
    <n v="21"/>
    <n v="0"/>
    <n v="2"/>
    <x v="101"/>
    <n v="457"/>
    <n v="35"/>
    <n v="230"/>
    <n v="20"/>
    <n v="4"/>
    <n v="13"/>
    <n v="0"/>
    <n v="226"/>
    <n v="40"/>
    <n v="1"/>
    <n v="0"/>
    <s v="L"/>
    <n v="5"/>
    <n v="104.7"/>
    <n v="42.319999999999993"/>
    <n v="52.08"/>
    <n v="65.169999999999987"/>
    <n v="0.33"/>
    <n v="0.66999999999999993"/>
    <s v="N"/>
    <s v="N"/>
    <s v="N"/>
    <s v="N"/>
    <s v="N"/>
    <n v="102.86"/>
    <n v="49.9"/>
    <n v="72.53"/>
    <n v="61.89"/>
    <x v="24"/>
    <n v="55"/>
    <x v="139"/>
    <n v="11.05"/>
  </r>
  <r>
    <x v="24"/>
    <n v="196"/>
    <n v="3"/>
    <n v="263"/>
    <n v="44"/>
    <n v="0"/>
    <n v="26"/>
    <n v="4"/>
    <n v="21"/>
    <n v="30"/>
    <n v="0"/>
    <n v="0"/>
    <x v="110"/>
    <n v="288"/>
    <n v="56"/>
    <n v="357"/>
    <n v="48"/>
    <n v="3"/>
    <n v="36"/>
    <n v="0"/>
    <n v="215"/>
    <n v="37"/>
    <n v="5"/>
    <n v="0"/>
    <s v="L"/>
    <n v="6"/>
    <n v="64.39"/>
    <n v="75.09"/>
    <n v="16.239999999999998"/>
    <n v="44.919999999999987"/>
    <n v="0.56000000000000005"/>
    <n v="0.43999999999999995"/>
    <s v="N"/>
    <s v="N"/>
    <s v="N"/>
    <s v="N"/>
    <s v="N"/>
    <n v="63.19"/>
    <n v="98.47"/>
    <n v="17.29"/>
    <n v="59.87"/>
    <x v="41"/>
    <n v="59"/>
    <x v="140"/>
    <n v="26.59"/>
  </r>
  <r>
    <x v="24"/>
    <n v="196"/>
    <n v="35"/>
    <n v="367"/>
    <n v="39"/>
    <n v="3"/>
    <n v="30"/>
    <n v="0"/>
    <n v="157"/>
    <n v="36"/>
    <n v="2"/>
    <n v="2"/>
    <x v="40"/>
    <n v="404"/>
    <n v="17"/>
    <n v="177"/>
    <n v="30"/>
    <n v="1"/>
    <n v="15"/>
    <n v="2"/>
    <n v="56"/>
    <n v="29"/>
    <n v="0"/>
    <n v="0"/>
    <s v="W"/>
    <n v="7"/>
    <n v="139.75"/>
    <n v="132.84"/>
    <n v="92.84"/>
    <n v="155.19999999999999"/>
    <n v="0.51"/>
    <n v="0.49"/>
    <s v="N"/>
    <s v="N"/>
    <s v="N"/>
    <s v="N"/>
    <s v="N"/>
    <n v="113.29"/>
    <n v="110.99"/>
    <n v="76.7"/>
    <n v="72.290000000000006"/>
    <x v="30"/>
    <n v="52"/>
    <x v="141"/>
    <n v="14.92"/>
  </r>
  <r>
    <x v="24"/>
    <n v="196"/>
    <n v="38"/>
    <n v="372"/>
    <n v="45"/>
    <n v="2"/>
    <n v="40"/>
    <n v="0"/>
    <n v="132"/>
    <n v="44"/>
    <n v="3"/>
    <n v="0"/>
    <x v="3"/>
    <n v="726"/>
    <n v="35"/>
    <n v="136"/>
    <n v="16"/>
    <n v="2"/>
    <n v="7"/>
    <n v="0"/>
    <n v="284"/>
    <n v="51"/>
    <n v="2"/>
    <n v="1"/>
    <s v="W"/>
    <n v="8"/>
    <n v="140.61000000000001"/>
    <n v="91.17"/>
    <n v="79.83"/>
    <n v="70.81"/>
    <n v="0.24"/>
    <n v="0.76"/>
    <s v="N"/>
    <s v="N"/>
    <s v="N"/>
    <s v="N"/>
    <s v="N"/>
    <n v="112.62"/>
    <n v="85.52"/>
    <n v="71.88"/>
    <n v="92.99"/>
    <x v="22"/>
    <n v="73"/>
    <x v="142"/>
    <n v="17.059999999999999"/>
  </r>
  <r>
    <x v="25"/>
    <n v="204"/>
    <n v="41"/>
    <n v="115"/>
    <n v="21"/>
    <n v="2"/>
    <n v="12"/>
    <n v="1"/>
    <n v="326"/>
    <n v="43"/>
    <n v="3"/>
    <n v="0"/>
    <x v="111"/>
    <n v="290"/>
    <n v="9"/>
    <n v="105"/>
    <n v="27"/>
    <n v="0"/>
    <n v="15"/>
    <n v="1"/>
    <n v="96"/>
    <n v="30"/>
    <n v="0"/>
    <n v="1"/>
    <s v="W"/>
    <n v="2"/>
    <s v=" "/>
    <s v=" "/>
    <s v=" "/>
    <s v=" "/>
    <n v="0.47"/>
    <n v="0.53"/>
    <s v="Y"/>
    <s v="N"/>
    <s v="N"/>
    <s v="N"/>
    <s v="N"/>
    <s v=" "/>
    <s v=" "/>
    <s v=" "/>
    <s v=" "/>
    <x v="46"/>
    <n v="50"/>
    <x v="0"/>
    <s v=" "/>
  </r>
  <r>
    <x v="25"/>
    <n v="204"/>
    <n v="14"/>
    <n v="61"/>
    <n v="19"/>
    <n v="1"/>
    <n v="7"/>
    <n v="1"/>
    <n v="336"/>
    <n v="47"/>
    <n v="1"/>
    <n v="1"/>
    <x v="112"/>
    <n v="7"/>
    <n v="7"/>
    <n v="236"/>
    <n v="34"/>
    <n v="1"/>
    <n v="21"/>
    <n v="0"/>
    <n v="-13"/>
    <n v="30"/>
    <n v="0"/>
    <n v="1"/>
    <s v="W"/>
    <n v="2"/>
    <s v=" "/>
    <s v=" "/>
    <s v=" "/>
    <s v=" "/>
    <n v="0.53"/>
    <n v="0.47"/>
    <s v="Y"/>
    <s v="N"/>
    <s v="N"/>
    <s v="N"/>
    <s v="N"/>
    <s v=" "/>
    <s v=" "/>
    <s v=" "/>
    <s v=" "/>
    <x v="20"/>
    <n v="21"/>
    <x v="0"/>
    <s v=" "/>
  </r>
  <r>
    <x v="25"/>
    <n v="204"/>
    <n v="3"/>
    <n v="29"/>
    <n v="6"/>
    <n v="0"/>
    <n v="3"/>
    <n v="1"/>
    <n v="207"/>
    <n v="46"/>
    <n v="0"/>
    <n v="1"/>
    <x v="113"/>
    <n v="418"/>
    <n v="31"/>
    <n v="95"/>
    <n v="18"/>
    <n v="2"/>
    <n v="7"/>
    <n v="1"/>
    <n v="376"/>
    <n v="50"/>
    <n v="2"/>
    <n v="0"/>
    <s v="L"/>
    <n v="3"/>
    <s v=" "/>
    <n v="132.35"/>
    <n v="97.88"/>
    <n v="19.539999999999992"/>
    <n v="0.26"/>
    <n v="0.74"/>
    <s v="N"/>
    <s v="Y"/>
    <s v="N"/>
    <s v="N"/>
    <s v="N"/>
    <s v=" "/>
    <n v="118.44"/>
    <n v="106.7"/>
    <n v="25.72"/>
    <x v="15"/>
    <n v="34"/>
    <x v="0"/>
    <s v=" "/>
  </r>
  <r>
    <x v="25"/>
    <n v="204"/>
    <n v="6"/>
    <n v="202"/>
    <n v="31"/>
    <n v="0"/>
    <n v="18"/>
    <n v="1"/>
    <n v="68"/>
    <n v="43"/>
    <n v="0"/>
    <n v="2"/>
    <x v="15"/>
    <n v="539"/>
    <n v="34"/>
    <n v="364"/>
    <n v="35"/>
    <n v="4"/>
    <n v="23"/>
    <n v="1"/>
    <n v="104"/>
    <n v="25"/>
    <n v="0"/>
    <n v="2"/>
    <s v="L"/>
    <n v="4"/>
    <n v="83.9"/>
    <n v="69.03"/>
    <n v="22.73"/>
    <n v="127.49"/>
    <n v="0.57999999999999996"/>
    <n v="0.42000000000000004"/>
    <s v="N"/>
    <s v="N"/>
    <s v="N"/>
    <s v="N"/>
    <s v="N"/>
    <n v="105.76"/>
    <n v="60.36"/>
    <n v="29.94"/>
    <n v="112.27"/>
    <x v="15"/>
    <n v="40"/>
    <x v="143"/>
    <n v="28.91"/>
  </r>
  <r>
    <x v="25"/>
    <n v="204"/>
    <n v="31"/>
    <n v="94"/>
    <n v="9"/>
    <n v="0"/>
    <n v="4"/>
    <n v="0"/>
    <n v="228"/>
    <n v="56"/>
    <n v="4"/>
    <n v="1"/>
    <x v="95"/>
    <n v="5"/>
    <n v="23"/>
    <n v="163"/>
    <n v="29"/>
    <n v="2"/>
    <n v="15"/>
    <n v="0"/>
    <n v="139"/>
    <n v="34"/>
    <n v="1"/>
    <n v="1"/>
    <s v="W"/>
    <n v="5"/>
    <s v=" "/>
    <n v="107.3"/>
    <n v="99.81"/>
    <n v="109.56"/>
    <n v="0.46"/>
    <n v="0.54"/>
    <s v="N"/>
    <s v="Y"/>
    <s v="N"/>
    <s v="N"/>
    <s v="N"/>
    <s v=" "/>
    <n v="75.11"/>
    <n v="92.35"/>
    <n v="61.84"/>
    <x v="11"/>
    <n v="54"/>
    <x v="0"/>
    <s v=" "/>
  </r>
  <r>
    <x v="25"/>
    <n v="204"/>
    <n v="16"/>
    <n v="138"/>
    <n v="24"/>
    <n v="1"/>
    <n v="13"/>
    <n v="2"/>
    <n v="89"/>
    <n v="32"/>
    <n v="1"/>
    <n v="1"/>
    <x v="66"/>
    <n v="709"/>
    <n v="54"/>
    <n v="302"/>
    <n v="31"/>
    <n v="4"/>
    <n v="27"/>
    <n v="0"/>
    <n v="240"/>
    <n v="43"/>
    <n v="2"/>
    <n v="1"/>
    <s v="L"/>
    <n v="6"/>
    <n v="66.75"/>
    <n v="40.449999999999989"/>
    <n v="59.84"/>
    <n v="70.509999999999991"/>
    <n v="0.42"/>
    <n v="0.58000000000000007"/>
    <s v="N"/>
    <s v="N"/>
    <s v="N"/>
    <s v="N"/>
    <s v="N"/>
    <n v="67.78"/>
    <n v="47.38"/>
    <n v="79.41"/>
    <n v="73.510000000000005"/>
    <x v="8"/>
    <n v="70"/>
    <x v="144"/>
    <n v="23.39"/>
  </r>
  <r>
    <x v="25"/>
    <n v="204"/>
    <n v="35"/>
    <n v="76"/>
    <n v="8"/>
    <n v="0"/>
    <n v="6"/>
    <n v="0"/>
    <n v="350"/>
    <n v="50"/>
    <n v="5"/>
    <n v="0"/>
    <x v="60"/>
    <n v="129"/>
    <n v="28"/>
    <n v="351"/>
    <n v="50"/>
    <n v="3"/>
    <n v="33"/>
    <n v="1"/>
    <n v="98"/>
    <n v="32"/>
    <n v="0"/>
    <n v="0"/>
    <s v="W"/>
    <n v="7"/>
    <s v=" "/>
    <n v="92.74"/>
    <n v="177.4"/>
    <n v="128.94999999999999"/>
    <n v="0.61"/>
    <n v="0.39"/>
    <s v="N"/>
    <s v="Y"/>
    <s v="N"/>
    <s v="N"/>
    <s v="N"/>
    <s v=" "/>
    <n v="85.75"/>
    <n v="153.79"/>
    <n v="119.66"/>
    <x v="20"/>
    <n v="63"/>
    <x v="0"/>
    <s v=" "/>
  </r>
  <r>
    <x v="25"/>
    <n v="204"/>
    <n v="14"/>
    <n v="144"/>
    <n v="9"/>
    <n v="1"/>
    <n v="6"/>
    <n v="0"/>
    <n v="205"/>
    <n v="50"/>
    <n v="1"/>
    <n v="1"/>
    <x v="80"/>
    <n v="774"/>
    <n v="10"/>
    <n v="198"/>
    <n v="35"/>
    <n v="0"/>
    <n v="25"/>
    <n v="0"/>
    <n v="131"/>
    <n v="30"/>
    <n v="1"/>
    <n v="0"/>
    <s v="W"/>
    <n v="8"/>
    <s v=" "/>
    <n v="97.74"/>
    <n v="92.12"/>
    <n v="93.69"/>
    <n v="0.54"/>
    <n v="0.45999999999999996"/>
    <s v="N"/>
    <s v="Y"/>
    <s v="N"/>
    <s v="N"/>
    <s v="N"/>
    <s v=" "/>
    <n v="108.71"/>
    <n v="67.459999999999994"/>
    <n v="68.92"/>
    <x v="27"/>
    <n v="24"/>
    <x v="0"/>
    <s v=" "/>
  </r>
  <r>
    <x v="26"/>
    <n v="231"/>
    <n v="41"/>
    <n v="193"/>
    <n v="23"/>
    <n v="1"/>
    <n v="16"/>
    <n v="0"/>
    <n v="208"/>
    <n v="40"/>
    <n v="4"/>
    <n v="2"/>
    <x v="16"/>
    <n v="497"/>
    <n v="16"/>
    <n v="204"/>
    <n v="35"/>
    <n v="0"/>
    <n v="19"/>
    <n v="0"/>
    <n v="97"/>
    <n v="38"/>
    <n v="0"/>
    <n v="1"/>
    <s v="W"/>
    <n v="1"/>
    <n v="121.82"/>
    <n v="113.95"/>
    <n v="120.64"/>
    <n v="148.67000000000002"/>
    <n v="0.48"/>
    <n v="0.52"/>
    <s v="N"/>
    <s v="N"/>
    <s v="N"/>
    <s v="N"/>
    <s v="N"/>
    <n v="114.05"/>
    <n v="101.8"/>
    <n v="116.7"/>
    <n v="100.13"/>
    <x v="19"/>
    <n v="57"/>
    <x v="145"/>
    <n v="23.79"/>
  </r>
  <r>
    <x v="26"/>
    <n v="231"/>
    <n v="24"/>
    <n v="248"/>
    <n v="21"/>
    <n v="2"/>
    <n v="14"/>
    <n v="0"/>
    <n v="45"/>
    <n v="26"/>
    <n v="0"/>
    <n v="0"/>
    <x v="96"/>
    <n v="367"/>
    <n v="17"/>
    <n v="363"/>
    <n v="45"/>
    <n v="2"/>
    <n v="32"/>
    <n v="1"/>
    <n v="83"/>
    <n v="41"/>
    <n v="0"/>
    <n v="1"/>
    <s v="W"/>
    <n v="2"/>
    <n v="145.31"/>
    <n v="84.93"/>
    <n v="40.15"/>
    <n v="160.35"/>
    <n v="0.52"/>
    <n v="0.48"/>
    <s v="N"/>
    <s v="N"/>
    <s v="N"/>
    <s v="N"/>
    <s v="N"/>
    <n v="134.13999999999999"/>
    <n v="81.599999999999994"/>
    <n v="55.37"/>
    <n v="117.61"/>
    <x v="20"/>
    <n v="41"/>
    <x v="146"/>
    <n v="22.77"/>
  </r>
  <r>
    <x v="26"/>
    <n v="231"/>
    <n v="17"/>
    <n v="127"/>
    <n v="29"/>
    <n v="0"/>
    <n v="15"/>
    <n v="0"/>
    <n v="111"/>
    <n v="30"/>
    <n v="1"/>
    <n v="0"/>
    <x v="73"/>
    <n v="128"/>
    <n v="10"/>
    <n v="181"/>
    <n v="27"/>
    <n v="0"/>
    <n v="17"/>
    <n v="0"/>
    <n v="119"/>
    <n v="40"/>
    <n v="1"/>
    <n v="2"/>
    <s v="W"/>
    <n v="3"/>
    <n v="75.59"/>
    <n v="100.5"/>
    <n v="90.84"/>
    <n v="142.22999999999999"/>
    <n v="0.4"/>
    <n v="0.6"/>
    <s v="N"/>
    <s v="N"/>
    <s v="N"/>
    <s v="N"/>
    <s v="N"/>
    <n v="92.7"/>
    <n v="104.91"/>
    <n v="100.38"/>
    <n v="122.83"/>
    <x v="20"/>
    <n v="27"/>
    <x v="147"/>
    <n v="76.42"/>
  </r>
  <r>
    <x v="26"/>
    <n v="231"/>
    <n v="31"/>
    <n v="224"/>
    <n v="30"/>
    <n v="0"/>
    <n v="18"/>
    <n v="1"/>
    <n v="190"/>
    <n v="44"/>
    <n v="4"/>
    <n v="0"/>
    <x v="114"/>
    <n v="671"/>
    <n v="36"/>
    <n v="232"/>
    <n v="30"/>
    <n v="3"/>
    <n v="15"/>
    <n v="0"/>
    <n v="187"/>
    <n v="33"/>
    <n v="1"/>
    <n v="0"/>
    <s v="L"/>
    <n v="4"/>
    <n v="90.69"/>
    <n v="92.85"/>
    <n v="113.82"/>
    <n v="63.990000000000009"/>
    <n v="0.48"/>
    <n v="0.52"/>
    <s v="N"/>
    <s v="N"/>
    <s v="N"/>
    <s v="N"/>
    <s v="N"/>
    <n v="92.66"/>
    <n v="100.14"/>
    <n v="130.5"/>
    <n v="49.79"/>
    <x v="28"/>
    <n v="67"/>
    <x v="148"/>
    <n v="12.94"/>
  </r>
  <r>
    <x v="26"/>
    <n v="231"/>
    <n v="27"/>
    <n v="392"/>
    <n v="41"/>
    <n v="3"/>
    <n v="26"/>
    <n v="0"/>
    <n v="176"/>
    <n v="41"/>
    <n v="0"/>
    <n v="1"/>
    <x v="74"/>
    <n v="193"/>
    <n v="31"/>
    <n v="335"/>
    <n v="43"/>
    <n v="2"/>
    <n v="28"/>
    <n v="0"/>
    <n v="49"/>
    <n v="22"/>
    <n v="2"/>
    <n v="0"/>
    <s v="L"/>
    <n v="5"/>
    <n v="126.5"/>
    <n v="85.45"/>
    <n v="92.27"/>
    <n v="134.69"/>
    <n v="0.66"/>
    <n v="0.33999999999999997"/>
    <s v="N"/>
    <s v="N"/>
    <s v="N"/>
    <s v="N"/>
    <s v="N"/>
    <n v="112.07"/>
    <n v="89.01"/>
    <n v="90.07"/>
    <n v="86.49"/>
    <x v="27"/>
    <n v="58"/>
    <x v="134"/>
    <n v="10.28"/>
  </r>
  <r>
    <x v="26"/>
    <n v="231"/>
    <n v="27"/>
    <n v="308"/>
    <n v="38"/>
    <n v="0"/>
    <n v="26"/>
    <n v="1"/>
    <n v="206"/>
    <n v="46"/>
    <n v="3"/>
    <n v="1"/>
    <x v="95"/>
    <n v="5"/>
    <n v="17"/>
    <n v="157"/>
    <n v="23"/>
    <n v="0"/>
    <n v="11"/>
    <n v="1"/>
    <n v="105"/>
    <n v="31"/>
    <n v="2"/>
    <n v="1"/>
    <s v="W"/>
    <n v="6"/>
    <n v="104.7"/>
    <n v="128.01999999999998"/>
    <n v="107.16"/>
    <n v="121.42"/>
    <n v="0.43"/>
    <n v="0.57000000000000006"/>
    <s v="N"/>
    <s v="N"/>
    <s v="N"/>
    <s v="N"/>
    <s v="N"/>
    <n v="86.62"/>
    <n v="89.62"/>
    <n v="99.15"/>
    <n v="68.540000000000006"/>
    <x v="12"/>
    <n v="44"/>
    <x v="8"/>
    <n v="16.309999999999999"/>
  </r>
  <r>
    <x v="26"/>
    <n v="231"/>
    <n v="16"/>
    <n v="223"/>
    <n v="37"/>
    <n v="1"/>
    <n v="23"/>
    <n v="1"/>
    <n v="66"/>
    <n v="29"/>
    <n v="0"/>
    <n v="1"/>
    <x v="115"/>
    <n v="30"/>
    <n v="34"/>
    <n v="147"/>
    <n v="24"/>
    <n v="1"/>
    <n v="14"/>
    <n v="1"/>
    <n v="238"/>
    <n v="45"/>
    <n v="3"/>
    <n v="0"/>
    <s v="L"/>
    <n v="8"/>
    <n v="90.96"/>
    <n v="114.54"/>
    <n v="42.46"/>
    <n v="67.300000000000011"/>
    <n v="0.35"/>
    <n v="0.65"/>
    <s v="N"/>
    <s v="N"/>
    <s v="N"/>
    <s v="N"/>
    <s v="N"/>
    <n v="99.78"/>
    <n v="116.79"/>
    <n v="56.97"/>
    <n v="48.45"/>
    <x v="30"/>
    <n v="50"/>
    <x v="149"/>
    <n v="21.24"/>
  </r>
  <r>
    <x v="27"/>
    <n v="229"/>
    <n v="3"/>
    <n v="107"/>
    <n v="27"/>
    <n v="0"/>
    <n v="14"/>
    <n v="0"/>
    <n v="30"/>
    <n v="30"/>
    <n v="0"/>
    <n v="0"/>
    <x v="18"/>
    <n v="235"/>
    <n v="41"/>
    <n v="271"/>
    <n v="36"/>
    <n v="1"/>
    <n v="25"/>
    <n v="3"/>
    <n v="197"/>
    <n v="33"/>
    <n v="3"/>
    <n v="0"/>
    <s v="L"/>
    <n v="1"/>
    <n v="73.45"/>
    <n v="110.36"/>
    <n v="23.2"/>
    <n v="47.870000000000005"/>
    <n v="0.52"/>
    <n v="0.48"/>
    <s v="N"/>
    <s v="N"/>
    <s v="N"/>
    <s v="N"/>
    <s v="N"/>
    <n v="89.47"/>
    <n v="100.7"/>
    <n v="30.28"/>
    <n v="46.67"/>
    <x v="8"/>
    <n v="44"/>
    <x v="150"/>
    <n v="26.19"/>
  </r>
  <r>
    <x v="27"/>
    <n v="229"/>
    <n v="0"/>
    <n v="26"/>
    <n v="13"/>
    <n v="0"/>
    <n v="6"/>
    <n v="0"/>
    <n v="22"/>
    <n v="20"/>
    <n v="0"/>
    <n v="1"/>
    <x v="92"/>
    <n v="416"/>
    <n v="44"/>
    <n v="246"/>
    <n v="32"/>
    <n v="2"/>
    <n v="22"/>
    <n v="0"/>
    <n v="188"/>
    <n v="51"/>
    <n v="2"/>
    <n v="0"/>
    <s v="L"/>
    <n v="2"/>
    <s v=" "/>
    <n v="79.98"/>
    <n v="10.52"/>
    <n v="108.6"/>
    <n v="0.39"/>
    <n v="0.61"/>
    <s v="N"/>
    <s v="Y"/>
    <s v="N"/>
    <s v="N"/>
    <s v="N"/>
    <s v=" "/>
    <n v="87.06"/>
    <n v="15.42"/>
    <n v="80.98"/>
    <x v="25"/>
    <n v="44"/>
    <x v="0"/>
    <s v=" "/>
  </r>
  <r>
    <x v="27"/>
    <n v="229"/>
    <n v="14"/>
    <n v="199"/>
    <n v="32"/>
    <n v="1"/>
    <n v="21"/>
    <n v="3"/>
    <n v="108"/>
    <n v="34"/>
    <n v="0"/>
    <n v="0"/>
    <x v="38"/>
    <n v="37"/>
    <n v="30"/>
    <n v="178"/>
    <n v="29"/>
    <n v="2"/>
    <n v="16"/>
    <n v="1"/>
    <n v="137"/>
    <n v="33"/>
    <n v="0"/>
    <n v="0"/>
    <s v="L"/>
    <n v="4"/>
    <n v="76.08"/>
    <n v="111.38"/>
    <n v="73.69"/>
    <n v="103.68"/>
    <n v="0.47"/>
    <n v="0.53"/>
    <s v="N"/>
    <s v="N"/>
    <s v="N"/>
    <s v="N"/>
    <s v="N"/>
    <n v="77.09"/>
    <n v="92.88"/>
    <n v="73.900000000000006"/>
    <n v="109.4"/>
    <x v="1"/>
    <n v="44"/>
    <x v="45"/>
    <n v="45.49"/>
  </r>
  <r>
    <x v="27"/>
    <n v="229"/>
    <n v="34"/>
    <n v="219"/>
    <n v="38"/>
    <n v="3"/>
    <n v="20"/>
    <n v="1"/>
    <n v="105"/>
    <n v="27"/>
    <n v="1"/>
    <n v="0"/>
    <x v="114"/>
    <n v="671"/>
    <n v="37"/>
    <n v="329"/>
    <n v="34"/>
    <n v="2"/>
    <n v="26"/>
    <n v="0"/>
    <n v="130"/>
    <n v="43"/>
    <n v="2"/>
    <n v="2"/>
    <s v="L"/>
    <n v="5"/>
    <n v="87.99"/>
    <n v="61.97"/>
    <n v="95.78"/>
    <n v="136.84"/>
    <n v="0.44"/>
    <n v="0.56000000000000005"/>
    <s v="N"/>
    <s v="N"/>
    <s v="N"/>
    <s v="N"/>
    <s v="N"/>
    <n v="89.9"/>
    <n v="66.83"/>
    <n v="109.82"/>
    <n v="106.48"/>
    <x v="22"/>
    <n v="71"/>
    <x v="151"/>
    <n v="17.22"/>
  </r>
  <r>
    <x v="27"/>
    <n v="229"/>
    <n v="17"/>
    <n v="165"/>
    <n v="39"/>
    <n v="1"/>
    <n v="16"/>
    <n v="3"/>
    <n v="169"/>
    <n v="35"/>
    <n v="1"/>
    <n v="1"/>
    <x v="16"/>
    <n v="497"/>
    <n v="31"/>
    <n v="108"/>
    <n v="27"/>
    <n v="0"/>
    <n v="13"/>
    <n v="0"/>
    <n v="129"/>
    <n v="43"/>
    <n v="2"/>
    <n v="1"/>
    <s v="L"/>
    <n v="6"/>
    <n v="44.85"/>
    <n v="130.05000000000001"/>
    <n v="107.74"/>
    <n v="130.4"/>
    <n v="0.39"/>
    <n v="0.61"/>
    <s v="N"/>
    <s v="N"/>
    <s v="N"/>
    <s v="N"/>
    <s v="N"/>
    <n v="41.99"/>
    <n v="116.18"/>
    <n v="104.22"/>
    <n v="87.82"/>
    <x v="5"/>
    <n v="48"/>
    <x v="152"/>
    <n v="107.36"/>
  </r>
  <r>
    <x v="27"/>
    <n v="229"/>
    <n v="0"/>
    <n v="96"/>
    <n v="24"/>
    <n v="0"/>
    <n v="12"/>
    <n v="0"/>
    <n v="25"/>
    <n v="25"/>
    <n v="0"/>
    <n v="0"/>
    <x v="42"/>
    <n v="772"/>
    <n v="20"/>
    <n v="85"/>
    <n v="15"/>
    <n v="0"/>
    <n v="8"/>
    <n v="0"/>
    <n v="204"/>
    <n v="50"/>
    <n v="3"/>
    <n v="0"/>
    <s v="L"/>
    <n v="7"/>
    <n v="71.8"/>
    <n v="115.78"/>
    <n v="23.2"/>
    <n v="96.34"/>
    <n v="0.23"/>
    <n v="0.77"/>
    <s v="N"/>
    <s v="N"/>
    <s v="N"/>
    <s v="N"/>
    <s v="N"/>
    <n v="85.36"/>
    <n v="92.73"/>
    <n v="26.01"/>
    <n v="91.82"/>
    <x v="37"/>
    <n v="20"/>
    <x v="153"/>
    <n v="21.53"/>
  </r>
  <r>
    <x v="27"/>
    <n v="229"/>
    <n v="14"/>
    <n v="135"/>
    <n v="29"/>
    <n v="1"/>
    <n v="14"/>
    <n v="1"/>
    <n v="141"/>
    <n v="35"/>
    <n v="1"/>
    <n v="5"/>
    <x v="116"/>
    <n v="419"/>
    <n v="38"/>
    <n v="292"/>
    <n v="42"/>
    <n v="3"/>
    <n v="31"/>
    <n v="2"/>
    <n v="187"/>
    <n v="48"/>
    <n v="2"/>
    <n v="1"/>
    <s v="L"/>
    <n v="8"/>
    <n v="68.47"/>
    <n v="91.87"/>
    <n v="54.89"/>
    <n v="109.62"/>
    <n v="0.47"/>
    <n v="0.53"/>
    <s v="N"/>
    <s v="N"/>
    <s v="N"/>
    <s v="N"/>
    <s v="N"/>
    <n v="71.3"/>
    <n v="89.76"/>
    <n v="60.24"/>
    <n v="119.17"/>
    <x v="14"/>
    <n v="52"/>
    <x v="154"/>
    <n v="31.94"/>
  </r>
  <r>
    <x v="28"/>
    <n v="235"/>
    <n v="41"/>
    <n v="271"/>
    <n v="36"/>
    <n v="1"/>
    <n v="25"/>
    <n v="3"/>
    <n v="197"/>
    <n v="33"/>
    <n v="3"/>
    <n v="0"/>
    <x v="52"/>
    <n v="229"/>
    <n v="3"/>
    <n v="107"/>
    <n v="27"/>
    <n v="0"/>
    <n v="14"/>
    <n v="0"/>
    <n v="30"/>
    <n v="30"/>
    <n v="0"/>
    <n v="0"/>
    <s v="W"/>
    <n v="1"/>
    <n v="89.64"/>
    <n v="126.55"/>
    <n v="152.13"/>
    <n v="176.8"/>
    <n v="0.47"/>
    <n v="0.53"/>
    <s v="N"/>
    <s v="N"/>
    <s v="N"/>
    <s v="N"/>
    <s v="N"/>
    <n v="89.82"/>
    <n v="89.14"/>
    <n v="159.38"/>
    <n v="98.26"/>
    <x v="8"/>
    <n v="44"/>
    <x v="155"/>
    <n v="26.19"/>
  </r>
  <r>
    <x v="28"/>
    <n v="235"/>
    <n v="39"/>
    <n v="212"/>
    <n v="20"/>
    <n v="0"/>
    <n v="13"/>
    <n v="0"/>
    <n v="300"/>
    <n v="55"/>
    <n v="4"/>
    <n v="0"/>
    <x v="109"/>
    <n v="9"/>
    <n v="0"/>
    <n v="141"/>
    <n v="29"/>
    <n v="0"/>
    <n v="15"/>
    <n v="0"/>
    <n v="71"/>
    <n v="23"/>
    <n v="0"/>
    <n v="1"/>
    <s v="W"/>
    <n v="2"/>
    <n v="122.77"/>
    <n v="121.78"/>
    <n v="137.44999999999999"/>
    <n v="141.43"/>
    <n v="0.56000000000000005"/>
    <n v="0.43999999999999995"/>
    <s v="N"/>
    <s v="N"/>
    <s v="N"/>
    <s v="N"/>
    <s v="N"/>
    <n v="99.02"/>
    <n v="91.68"/>
    <n v="119.91"/>
    <n v="115.11"/>
    <x v="2"/>
    <n v="39"/>
    <x v="156"/>
    <n v="31.6"/>
  </r>
  <r>
    <x v="28"/>
    <n v="235"/>
    <n v="33"/>
    <n v="213"/>
    <n v="23"/>
    <n v="2"/>
    <n v="14"/>
    <n v="0"/>
    <n v="134"/>
    <n v="40"/>
    <n v="1"/>
    <n v="1"/>
    <x v="21"/>
    <n v="694"/>
    <n v="23"/>
    <n v="288"/>
    <n v="48"/>
    <n v="3"/>
    <n v="26"/>
    <n v="2"/>
    <n v="-9"/>
    <n v="21"/>
    <n v="0"/>
    <n v="0"/>
    <s v="W"/>
    <n v="3"/>
    <n v="124.38"/>
    <n v="116.26"/>
    <n v="73.97"/>
    <n v="209.94"/>
    <n v="0.7"/>
    <n v="0.30000000000000004"/>
    <s v="N"/>
    <s v="N"/>
    <s v="N"/>
    <s v="N"/>
    <s v="N"/>
    <n v="112.97"/>
    <n v="109.32"/>
    <n v="67.14"/>
    <n v="103.69"/>
    <x v="12"/>
    <n v="56"/>
    <x v="157"/>
    <n v="8.0299999999999994"/>
  </r>
  <r>
    <x v="28"/>
    <n v="235"/>
    <n v="48"/>
    <n v="115"/>
    <n v="18"/>
    <n v="1"/>
    <n v="8"/>
    <n v="1"/>
    <n v="405"/>
    <n v="46"/>
    <n v="4"/>
    <n v="2"/>
    <x v="91"/>
    <n v="334"/>
    <n v="10"/>
    <n v="165"/>
    <n v="44"/>
    <n v="1"/>
    <n v="22"/>
    <n v="2"/>
    <n v="134"/>
    <n v="36"/>
    <n v="0"/>
    <n v="2"/>
    <s v="W"/>
    <n v="4"/>
    <n v="70.930000000000007"/>
    <n v="139.79"/>
    <n v="204.26"/>
    <n v="130.31"/>
    <n v="0.55000000000000004"/>
    <n v="0.44999999999999996"/>
    <s v="N"/>
    <s v="N"/>
    <s v="N"/>
    <s v="N"/>
    <s v="N"/>
    <n v="83.98"/>
    <n v="67.260000000000005"/>
    <n v="173.56"/>
    <n v="84.86"/>
    <x v="8"/>
    <n v="58"/>
    <x v="158"/>
    <n v="26.15"/>
  </r>
  <r>
    <x v="28"/>
    <n v="235"/>
    <n v="10"/>
    <n v="207"/>
    <n v="23"/>
    <n v="1"/>
    <n v="14"/>
    <n v="1"/>
    <n v="15"/>
    <n v="29"/>
    <n v="0"/>
    <n v="1"/>
    <x v="36"/>
    <n v="8"/>
    <n v="38"/>
    <n v="140"/>
    <n v="25"/>
    <n v="0"/>
    <n v="12"/>
    <n v="0"/>
    <n v="226"/>
    <n v="43"/>
    <n v="4"/>
    <n v="0"/>
    <s v="L"/>
    <n v="5"/>
    <n v="103.4"/>
    <n v="121.48"/>
    <n v="1.66"/>
    <n v="64.110000000000014"/>
    <n v="0.37"/>
    <n v="0.63"/>
    <s v="N"/>
    <s v="N"/>
    <s v="N"/>
    <s v="N"/>
    <s v="N"/>
    <n v="139.01"/>
    <n v="136.65"/>
    <n v="2.79"/>
    <n v="94.51"/>
    <x v="15"/>
    <n v="48"/>
    <x v="14"/>
    <n v="25.61"/>
  </r>
  <r>
    <x v="28"/>
    <n v="235"/>
    <n v="11"/>
    <n v="100"/>
    <n v="16"/>
    <n v="1"/>
    <n v="9"/>
    <n v="2"/>
    <n v="113"/>
    <n v="32"/>
    <n v="0"/>
    <n v="0"/>
    <x v="54"/>
    <n v="365"/>
    <n v="41"/>
    <n v="215"/>
    <n v="14"/>
    <n v="2"/>
    <n v="10"/>
    <n v="0"/>
    <n v="238"/>
    <n v="49"/>
    <n v="3"/>
    <n v="0"/>
    <s v="L"/>
    <n v="6"/>
    <n v="62.19"/>
    <s v=" "/>
    <n v="81.93"/>
    <n v="78.13"/>
    <n v="0.22"/>
    <n v="0.78"/>
    <s v="N"/>
    <s v="N"/>
    <s v="N"/>
    <s v="Y"/>
    <s v="N"/>
    <n v="82.97"/>
    <s v=" "/>
    <n v="114.44"/>
    <n v="84.27"/>
    <x v="33"/>
    <n v="52"/>
    <x v="0"/>
    <s v=" "/>
  </r>
  <r>
    <x v="28"/>
    <n v="235"/>
    <n v="6"/>
    <n v="128"/>
    <n v="29"/>
    <n v="0"/>
    <n v="15"/>
    <n v="1"/>
    <n v="66"/>
    <n v="30"/>
    <n v="0"/>
    <n v="2"/>
    <x v="38"/>
    <n v="37"/>
    <n v="17"/>
    <n v="123"/>
    <n v="16"/>
    <n v="1"/>
    <n v="7"/>
    <n v="0"/>
    <n v="155"/>
    <n v="43"/>
    <n v="1"/>
    <n v="0"/>
    <s v="L"/>
    <n v="7"/>
    <n v="65.430000000000007"/>
    <n v="104.98"/>
    <n v="31.04"/>
    <n v="112.88"/>
    <n v="0.27"/>
    <n v="0.73"/>
    <s v="N"/>
    <s v="N"/>
    <s v="N"/>
    <s v="N"/>
    <s v="N"/>
    <n v="66.3"/>
    <n v="87.55"/>
    <n v="31.13"/>
    <n v="119.1"/>
    <x v="6"/>
    <n v="23"/>
    <x v="159"/>
    <n v="12.84"/>
  </r>
  <r>
    <x v="29"/>
    <n v="234"/>
    <n v="62"/>
    <n v="477"/>
    <n v="42"/>
    <n v="6"/>
    <n v="30"/>
    <n v="1"/>
    <n v="170"/>
    <n v="37"/>
    <n v="2"/>
    <n v="0"/>
    <x v="117"/>
    <n v="48"/>
    <n v="10"/>
    <n v="63"/>
    <n v="17"/>
    <n v="1"/>
    <n v="9"/>
    <n v="0"/>
    <n v="21"/>
    <n v="28"/>
    <n v="0"/>
    <n v="0"/>
    <s v="W"/>
    <n v="2"/>
    <s v=" "/>
    <s v=" "/>
    <s v=" "/>
    <s v=" "/>
    <n v="0.38"/>
    <n v="0.62"/>
    <s v="Y"/>
    <s v="N"/>
    <s v="N"/>
    <s v="N"/>
    <s v="N"/>
    <s v=" "/>
    <s v=" "/>
    <s v=" "/>
    <s v=" "/>
    <x v="48"/>
    <n v="72"/>
    <x v="0"/>
    <s v=" "/>
  </r>
  <r>
    <x v="29"/>
    <n v="234"/>
    <n v="34"/>
    <n v="280"/>
    <n v="35"/>
    <n v="3"/>
    <n v="23"/>
    <n v="1"/>
    <n v="92"/>
    <n v="28"/>
    <n v="1"/>
    <n v="0"/>
    <x v="43"/>
    <n v="498"/>
    <n v="0"/>
    <n v="92"/>
    <n v="22"/>
    <n v="0"/>
    <n v="12"/>
    <n v="1"/>
    <n v="99"/>
    <n v="39"/>
    <n v="0"/>
    <n v="0"/>
    <s v="W"/>
    <n v="1"/>
    <n v="113.6"/>
    <n v="136.30000000000001"/>
    <n v="81.59"/>
    <n v="141.11000000000001"/>
    <n v="0.36"/>
    <n v="0.64"/>
    <s v="N"/>
    <s v="N"/>
    <s v="N"/>
    <s v="N"/>
    <s v="N"/>
    <n v="110.86"/>
    <n v="121.6"/>
    <n v="101.25"/>
    <n v="100.99"/>
    <x v="16"/>
    <n v="34"/>
    <x v="160"/>
    <n v="46.83"/>
  </r>
  <r>
    <x v="29"/>
    <n v="234"/>
    <n v="13"/>
    <n v="219"/>
    <n v="34"/>
    <n v="1"/>
    <n v="20"/>
    <n v="3"/>
    <n v="27"/>
    <n v="26"/>
    <n v="0"/>
    <n v="0"/>
    <x v="59"/>
    <n v="522"/>
    <n v="23"/>
    <n v="199"/>
    <n v="27"/>
    <n v="1"/>
    <n v="18"/>
    <n v="2"/>
    <n v="111"/>
    <n v="39"/>
    <n v="1"/>
    <n v="0"/>
    <s v="L"/>
    <n v="3"/>
    <n v="71.87"/>
    <n v="109.83"/>
    <n v="24.09"/>
    <n v="130.12"/>
    <n v="0.41"/>
    <n v="0.59000000000000008"/>
    <s v="N"/>
    <s v="N"/>
    <s v="N"/>
    <s v="N"/>
    <s v="N"/>
    <n v="84.72"/>
    <n v="123.35"/>
    <n v="31.73"/>
    <n v="141.28"/>
    <x v="12"/>
    <n v="36"/>
    <x v="161"/>
    <n v="15.6"/>
  </r>
  <r>
    <x v="29"/>
    <n v="234"/>
    <n v="30"/>
    <n v="336"/>
    <n v="38"/>
    <n v="3"/>
    <n v="24"/>
    <n v="1"/>
    <n v="29"/>
    <n v="15"/>
    <n v="0"/>
    <n v="0"/>
    <x v="51"/>
    <n v="147"/>
    <n v="35"/>
    <n v="344"/>
    <n v="35"/>
    <n v="3"/>
    <n v="22"/>
    <n v="0"/>
    <n v="99"/>
    <n v="50"/>
    <n v="2"/>
    <n v="1"/>
    <s v="L"/>
    <n v="4"/>
    <n v="115.29"/>
    <n v="70.72"/>
    <n v="44.85"/>
    <n v="154.06"/>
    <n v="0.41"/>
    <n v="0.59000000000000008"/>
    <s v="N"/>
    <s v="N"/>
    <s v="N"/>
    <s v="N"/>
    <s v="N"/>
    <n v="129.07"/>
    <n v="80.62"/>
    <n v="48.05"/>
    <n v="152.44"/>
    <x v="28"/>
    <n v="65"/>
    <x v="162"/>
    <n v="33.159999999999997"/>
  </r>
  <r>
    <x v="29"/>
    <n v="234"/>
    <n v="30"/>
    <n v="315"/>
    <n v="46"/>
    <n v="2"/>
    <n v="25"/>
    <n v="4"/>
    <n v="110"/>
    <n v="27"/>
    <n v="2"/>
    <n v="1"/>
    <x v="75"/>
    <n v="749"/>
    <n v="35"/>
    <n v="263"/>
    <n v="36"/>
    <n v="4"/>
    <n v="22"/>
    <n v="0"/>
    <n v="128"/>
    <n v="38"/>
    <n v="0"/>
    <n v="0"/>
    <s v="L"/>
    <n v="6"/>
    <n v="72.099999999999994"/>
    <n v="82.41"/>
    <n v="94.52"/>
    <n v="121.85"/>
    <n v="0.49"/>
    <n v="0.51"/>
    <s v="N"/>
    <s v="N"/>
    <s v="N"/>
    <s v="N"/>
    <s v="N"/>
    <n v="77.39"/>
    <n v="91.47"/>
    <n v="96.8"/>
    <n v="83.57"/>
    <x v="28"/>
    <n v="65"/>
    <x v="163"/>
    <n v="17.170000000000002"/>
  </r>
  <r>
    <x v="29"/>
    <n v="234"/>
    <n v="41"/>
    <n v="239"/>
    <n v="14"/>
    <n v="2"/>
    <n v="9"/>
    <n v="0"/>
    <n v="242"/>
    <n v="45"/>
    <n v="3"/>
    <n v="2"/>
    <x v="74"/>
    <n v="193"/>
    <n v="16"/>
    <n v="226"/>
    <n v="43"/>
    <n v="1"/>
    <n v="26"/>
    <n v="1"/>
    <n v="63"/>
    <n v="27"/>
    <n v="1"/>
    <n v="1"/>
    <s v="W"/>
    <n v="7"/>
    <s v=" "/>
    <n v="114.38"/>
    <n v="121.43"/>
    <n v="151.42000000000002"/>
    <n v="0.61"/>
    <n v="0.39"/>
    <s v="N"/>
    <s v="Y"/>
    <s v="N"/>
    <s v="N"/>
    <s v="N"/>
    <s v=" "/>
    <n v="119.15"/>
    <n v="118.54"/>
    <n v="97.23"/>
    <x v="19"/>
    <n v="57"/>
    <x v="0"/>
    <s v=" "/>
  </r>
  <r>
    <x v="29"/>
    <n v="234"/>
    <n v="41"/>
    <n v="264"/>
    <n v="26"/>
    <n v="1"/>
    <n v="18"/>
    <n v="1"/>
    <n v="218"/>
    <n v="44"/>
    <n v="4"/>
    <n v="0"/>
    <x v="100"/>
    <n v="392"/>
    <n v="16"/>
    <n v="272"/>
    <n v="38"/>
    <n v="1"/>
    <n v="20"/>
    <n v="0"/>
    <n v="59"/>
    <n v="37"/>
    <n v="1"/>
    <n v="0"/>
    <s v="W"/>
    <n v="8"/>
    <n v="118.8"/>
    <n v="104.41"/>
    <n v="128.58000000000001"/>
    <n v="158.94999999999999"/>
    <n v="0.51"/>
    <n v="0.49"/>
    <s v="N"/>
    <s v="N"/>
    <s v="N"/>
    <s v="N"/>
    <s v="N"/>
    <n v="124.59"/>
    <n v="81.540000000000006"/>
    <n v="111.57"/>
    <n v="164.35"/>
    <x v="19"/>
    <n v="57"/>
    <x v="164"/>
    <n v="22.58"/>
  </r>
  <r>
    <x v="30"/>
    <n v="96"/>
    <n v="27"/>
    <n v="235"/>
    <n v="17"/>
    <n v="2"/>
    <n v="11"/>
    <n v="0"/>
    <n v="84"/>
    <n v="35"/>
    <n v="2"/>
    <n v="0"/>
    <x v="118"/>
    <n v="494"/>
    <n v="22"/>
    <n v="107"/>
    <n v="25"/>
    <n v="0"/>
    <n v="12"/>
    <n v="0"/>
    <n v="216"/>
    <n v="39"/>
    <n v="3"/>
    <n v="0"/>
    <s v="W"/>
    <n v="3"/>
    <s v=" "/>
    <s v=" "/>
    <s v=" "/>
    <s v=" "/>
    <n v="0.39"/>
    <n v="0.61"/>
    <s v="Y"/>
    <s v="N"/>
    <s v="N"/>
    <s v="N"/>
    <s v="N"/>
    <s v=" "/>
    <s v=" "/>
    <s v=" "/>
    <s v=" "/>
    <x v="28"/>
    <n v="49"/>
    <x v="0"/>
    <s v=" "/>
  </r>
  <r>
    <x v="30"/>
    <n v="96"/>
    <n v="21"/>
    <n v="150"/>
    <n v="33"/>
    <n v="1"/>
    <n v="21"/>
    <n v="1"/>
    <n v="68"/>
    <n v="25"/>
    <n v="1"/>
    <n v="1"/>
    <x v="103"/>
    <n v="107"/>
    <n v="36"/>
    <n v="266"/>
    <n v="35"/>
    <n v="2"/>
    <n v="16"/>
    <n v="1"/>
    <n v="151"/>
    <n v="35"/>
    <n v="2"/>
    <n v="1"/>
    <s v="L"/>
    <n v="1"/>
    <n v="83.86"/>
    <n v="112.87"/>
    <n v="57.1"/>
    <n v="99.91"/>
    <n v="0.5"/>
    <n v="0.5"/>
    <s v="N"/>
    <s v="N"/>
    <s v="N"/>
    <s v="N"/>
    <s v="N"/>
    <n v="83.5"/>
    <n v="105.67"/>
    <n v="71.900000000000006"/>
    <n v="79.31"/>
    <x v="24"/>
    <n v="57"/>
    <x v="165"/>
    <n v="32.43"/>
  </r>
  <r>
    <x v="30"/>
    <n v="96"/>
    <n v="29"/>
    <n v="254"/>
    <n v="41"/>
    <n v="1"/>
    <n v="20"/>
    <n v="0"/>
    <n v="190"/>
    <n v="40"/>
    <n v="1"/>
    <n v="1"/>
    <x v="119"/>
    <n v="463"/>
    <n v="42"/>
    <n v="219"/>
    <n v="21"/>
    <n v="1"/>
    <n v="10"/>
    <n v="2"/>
    <n v="219"/>
    <n v="35"/>
    <n v="4"/>
    <n v="0"/>
    <s v="L"/>
    <n v="2"/>
    <n v="86.2"/>
    <n v="116.97"/>
    <n v="106.45"/>
    <n v="37.69"/>
    <n v="0.38"/>
    <n v="0.62"/>
    <s v="N"/>
    <s v="N"/>
    <s v="N"/>
    <s v="N"/>
    <s v="N"/>
    <n v="91.61"/>
    <n v="111.19"/>
    <n v="98.36"/>
    <n v="51.35"/>
    <x v="40"/>
    <n v="71"/>
    <x v="166"/>
    <n v="24.67"/>
  </r>
  <r>
    <x v="30"/>
    <n v="96"/>
    <n v="48"/>
    <n v="371"/>
    <n v="37"/>
    <n v="5"/>
    <n v="24"/>
    <n v="2"/>
    <n v="142"/>
    <n v="34"/>
    <n v="0"/>
    <n v="0"/>
    <x v="77"/>
    <n v="295"/>
    <n v="24"/>
    <n v="239"/>
    <n v="43"/>
    <n v="2"/>
    <n v="23"/>
    <n v="0"/>
    <n v="44"/>
    <n v="24"/>
    <n v="1"/>
    <n v="1"/>
    <s v="W"/>
    <n v="4"/>
    <n v="123.57"/>
    <n v="109.24"/>
    <n v="96.89"/>
    <n v="163.72"/>
    <n v="0.64"/>
    <n v="0.36"/>
    <s v="N"/>
    <s v="N"/>
    <s v="N"/>
    <s v="N"/>
    <s v="N"/>
    <n v="107.79"/>
    <n v="78.959999999999994"/>
    <n v="103.5"/>
    <n v="80.08"/>
    <x v="14"/>
    <n v="72"/>
    <x v="167"/>
    <n v="25.69"/>
  </r>
  <r>
    <x v="30"/>
    <n v="96"/>
    <n v="28"/>
    <n v="281"/>
    <n v="38"/>
    <n v="1"/>
    <n v="25"/>
    <n v="1"/>
    <n v="163"/>
    <n v="36"/>
    <n v="3"/>
    <n v="1"/>
    <x v="20"/>
    <n v="433"/>
    <n v="38"/>
    <n v="214"/>
    <n v="18"/>
    <n v="1"/>
    <n v="8"/>
    <n v="0"/>
    <n v="216"/>
    <n v="44"/>
    <n v="4"/>
    <n v="0"/>
    <s v="L"/>
    <n v="5"/>
    <n v="102.14"/>
    <n v="82.43"/>
    <n v="109.21"/>
    <n v="72.47"/>
    <n v="0.28999999999999998"/>
    <n v="0.71"/>
    <s v="N"/>
    <s v="N"/>
    <s v="N"/>
    <s v="N"/>
    <s v="N"/>
    <n v="99.02"/>
    <n v="61.24"/>
    <n v="72.44"/>
    <n v="41.74"/>
    <x v="12"/>
    <n v="66"/>
    <x v="168"/>
    <n v="29.63"/>
  </r>
  <r>
    <x v="30"/>
    <n v="96"/>
    <n v="7"/>
    <n v="126"/>
    <n v="31"/>
    <n v="0"/>
    <n v="17"/>
    <n v="2"/>
    <n v="144"/>
    <n v="26"/>
    <n v="0"/>
    <n v="2"/>
    <x v="6"/>
    <n v="66"/>
    <n v="57"/>
    <n v="281"/>
    <n v="37"/>
    <n v="3"/>
    <n v="26"/>
    <n v="0"/>
    <n v="183"/>
    <n v="38"/>
    <n v="5"/>
    <n v="0"/>
    <s v="L"/>
    <n v="6"/>
    <n v="57.64"/>
    <n v="76.180000000000007"/>
    <n v="105.42"/>
    <n v="68.539999999999992"/>
    <n v="0.49"/>
    <n v="0.51"/>
    <s v="N"/>
    <s v="N"/>
    <s v="N"/>
    <s v="N"/>
    <s v="N"/>
    <n v="73.06"/>
    <n v="100"/>
    <n v="120.99"/>
    <n v="78.62"/>
    <x v="38"/>
    <n v="64"/>
    <x v="66"/>
    <n v="54.22"/>
  </r>
  <r>
    <x v="30"/>
    <n v="96"/>
    <n v="31"/>
    <n v="248"/>
    <n v="39"/>
    <n v="2"/>
    <n v="23"/>
    <n v="0"/>
    <n v="155"/>
    <n v="36"/>
    <n v="2"/>
    <n v="2"/>
    <x v="49"/>
    <n v="731"/>
    <n v="21"/>
    <n v="204"/>
    <n v="32"/>
    <n v="1"/>
    <n v="16"/>
    <n v="0"/>
    <n v="250"/>
    <n v="41"/>
    <n v="2"/>
    <n v="1"/>
    <s v="W"/>
    <n v="7"/>
    <n v="101.32"/>
    <n v="110.57"/>
    <n v="91.56"/>
    <n v="58.539999999999992"/>
    <n v="0.44"/>
    <n v="0.56000000000000005"/>
    <s v="N"/>
    <s v="N"/>
    <s v="N"/>
    <s v="N"/>
    <s v="N"/>
    <n v="100.47"/>
    <n v="114.76"/>
    <n v="111.77"/>
    <n v="76.5"/>
    <x v="12"/>
    <n v="52"/>
    <x v="169"/>
    <n v="26.31"/>
  </r>
  <r>
    <x v="30"/>
    <n v="96"/>
    <n v="38"/>
    <n v="315"/>
    <n v="37"/>
    <n v="3"/>
    <n v="20"/>
    <n v="0"/>
    <n v="207"/>
    <n v="33"/>
    <n v="2"/>
    <n v="2"/>
    <x v="68"/>
    <n v="466"/>
    <n v="45"/>
    <n v="313"/>
    <n v="27"/>
    <n v="1"/>
    <n v="19"/>
    <n v="0"/>
    <n v="268"/>
    <n v="48"/>
    <n v="2"/>
    <n v="0"/>
    <s v="L"/>
    <n v="8"/>
    <n v="112.61"/>
    <n v="60.889999999999986"/>
    <n v="136.44"/>
    <n v="64.22"/>
    <n v="0.36"/>
    <n v="0.64"/>
    <s v="N"/>
    <s v="N"/>
    <s v="N"/>
    <s v="N"/>
    <s v="N"/>
    <n v="119.66"/>
    <n v="60.29"/>
    <n v="117.77"/>
    <n v="75.59"/>
    <x v="20"/>
    <n v="83"/>
    <x v="170"/>
    <n v="27.09"/>
  </r>
  <r>
    <x v="31"/>
    <n v="257"/>
    <n v="59"/>
    <n v="276"/>
    <n v="36"/>
    <n v="4"/>
    <n v="25"/>
    <n v="0"/>
    <n v="194"/>
    <n v="47"/>
    <n v="4"/>
    <n v="1"/>
    <x v="120"/>
    <n v="149"/>
    <n v="0"/>
    <n v="49"/>
    <n v="26"/>
    <n v="0"/>
    <n v="14"/>
    <n v="1"/>
    <n v="63"/>
    <n v="27"/>
    <n v="0"/>
    <n v="2"/>
    <s v="W"/>
    <n v="3"/>
    <s v=" "/>
    <s v=" "/>
    <s v=" "/>
    <s v=" "/>
    <n v="0.49"/>
    <n v="0.51"/>
    <s v="Y"/>
    <s v="N"/>
    <s v="N"/>
    <s v="N"/>
    <s v="N"/>
    <s v=" "/>
    <s v=" "/>
    <s v=" "/>
    <s v=" "/>
    <x v="49"/>
    <n v="59"/>
    <x v="0"/>
    <s v=" "/>
  </r>
  <r>
    <x v="31"/>
    <n v="257"/>
    <n v="21"/>
    <n v="236"/>
    <n v="29"/>
    <n v="2"/>
    <n v="16"/>
    <n v="1"/>
    <n v="137"/>
    <n v="31"/>
    <n v="1"/>
    <n v="0"/>
    <x v="6"/>
    <n v="66"/>
    <n v="35"/>
    <n v="261"/>
    <n v="34"/>
    <n v="3"/>
    <n v="28"/>
    <n v="1"/>
    <n v="129"/>
    <n v="37"/>
    <n v="2"/>
    <n v="0"/>
    <s v="L"/>
    <n v="1"/>
    <n v="99.52"/>
    <n v="71.400000000000006"/>
    <n v="107.37"/>
    <n v="111.01"/>
    <n v="0.48"/>
    <n v="0.52"/>
    <s v="N"/>
    <s v="N"/>
    <s v="N"/>
    <s v="N"/>
    <s v="N"/>
    <n v="126.14"/>
    <n v="93.72"/>
    <n v="123.23"/>
    <n v="127.33"/>
    <x v="5"/>
    <n v="56"/>
    <x v="62"/>
    <n v="130.84"/>
  </r>
  <r>
    <x v="31"/>
    <n v="257"/>
    <n v="42"/>
    <n v="248"/>
    <n v="29"/>
    <n v="4"/>
    <n v="19"/>
    <n v="1"/>
    <n v="188"/>
    <n v="38"/>
    <n v="1"/>
    <n v="2"/>
    <x v="53"/>
    <n v="648"/>
    <n v="45"/>
    <n v="142"/>
    <n v="26"/>
    <n v="1"/>
    <n v="11"/>
    <n v="2"/>
    <n v="253"/>
    <n v="41"/>
    <n v="3"/>
    <n v="0"/>
    <s v="L"/>
    <n v="2"/>
    <n v="122.47"/>
    <n v="145.22999999999999"/>
    <n v="102.94"/>
    <n v="45.860000000000014"/>
    <n v="0.39"/>
    <n v="0.61"/>
    <s v="N"/>
    <s v="N"/>
    <s v="N"/>
    <s v="N"/>
    <s v="N"/>
    <n v="173.93"/>
    <n v="117.98"/>
    <n v="135.94"/>
    <n v="51.37"/>
    <x v="22"/>
    <n v="87"/>
    <x v="171"/>
    <n v="18.18"/>
  </r>
  <r>
    <x v="31"/>
    <n v="257"/>
    <n v="27"/>
    <n v="268"/>
    <n v="26"/>
    <n v="2"/>
    <n v="17"/>
    <n v="1"/>
    <n v="207"/>
    <n v="56"/>
    <n v="1"/>
    <n v="0"/>
    <x v="20"/>
    <n v="433"/>
    <n v="13"/>
    <n v="149"/>
    <n v="30"/>
    <n v="1"/>
    <n v="12"/>
    <n v="2"/>
    <n v="34"/>
    <n v="26"/>
    <n v="0"/>
    <n v="0"/>
    <s v="W"/>
    <n v="4"/>
    <n v="121.56"/>
    <n v="147.93"/>
    <n v="88.44"/>
    <n v="169.66"/>
    <n v="0.54"/>
    <n v="0.45999999999999996"/>
    <s v="N"/>
    <s v="N"/>
    <s v="N"/>
    <s v="N"/>
    <s v="N"/>
    <n v="117.85"/>
    <n v="109.9"/>
    <n v="58.67"/>
    <n v="97.71"/>
    <x v="5"/>
    <n v="40"/>
    <x v="172"/>
    <n v="10.97"/>
  </r>
  <r>
    <x v="31"/>
    <n v="257"/>
    <n v="24"/>
    <n v="160"/>
    <n v="25"/>
    <n v="2"/>
    <n v="13"/>
    <n v="3"/>
    <n v="155"/>
    <n v="49"/>
    <n v="1"/>
    <n v="0"/>
    <x v="50"/>
    <n v="430"/>
    <n v="10"/>
    <n v="157"/>
    <n v="33"/>
    <n v="0"/>
    <n v="19"/>
    <n v="2"/>
    <n v="56"/>
    <n v="34"/>
    <n v="0"/>
    <n v="1"/>
    <s v="W"/>
    <n v="5"/>
    <n v="62.88"/>
    <n v="134.68"/>
    <n v="76.45"/>
    <n v="170.61"/>
    <n v="0.49"/>
    <n v="0.51"/>
    <s v="N"/>
    <s v="N"/>
    <s v="N"/>
    <s v="N"/>
    <s v="N"/>
    <n v="70.13"/>
    <n v="120.31"/>
    <n v="86.13"/>
    <n v="166.02"/>
    <x v="5"/>
    <n v="34"/>
    <x v="173"/>
    <n v="31.38"/>
  </r>
  <r>
    <x v="31"/>
    <n v="257"/>
    <n v="20"/>
    <n v="227"/>
    <n v="25"/>
    <n v="0"/>
    <n v="15"/>
    <n v="0"/>
    <n v="139"/>
    <n v="38"/>
    <n v="2"/>
    <n v="0"/>
    <x v="21"/>
    <n v="694"/>
    <n v="12"/>
    <n v="290"/>
    <n v="40"/>
    <n v="0"/>
    <n v="22"/>
    <n v="0"/>
    <n v="-21"/>
    <n v="23"/>
    <n v="1"/>
    <n v="0"/>
    <s v="W"/>
    <n v="6"/>
    <n v="109.49"/>
    <n v="105.49"/>
    <n v="92.76"/>
    <n v="214.66"/>
    <n v="0.63"/>
    <n v="0.37"/>
    <s v="N"/>
    <s v="N"/>
    <s v="N"/>
    <s v="N"/>
    <s v="N"/>
    <n v="99.44"/>
    <n v="99.19"/>
    <n v="84.2"/>
    <n v="106.02"/>
    <x v="11"/>
    <n v="32"/>
    <x v="174"/>
    <n v="6.54"/>
  </r>
  <r>
    <x v="31"/>
    <n v="257"/>
    <n v="33"/>
    <n v="326"/>
    <n v="38"/>
    <n v="3"/>
    <n v="22"/>
    <n v="1"/>
    <n v="117"/>
    <n v="34"/>
    <n v="0"/>
    <n v="0"/>
    <x v="19"/>
    <n v="736"/>
    <n v="28"/>
    <n v="149"/>
    <n v="31"/>
    <n v="1"/>
    <n v="11"/>
    <n v="3"/>
    <n v="199"/>
    <n v="36"/>
    <n v="2"/>
    <n v="1"/>
    <s v="W"/>
    <n v="7"/>
    <n v="108.6"/>
    <n v="162.51"/>
    <n v="79.84"/>
    <n v="71.759999999999991"/>
    <n v="0.46"/>
    <n v="0.54"/>
    <s v="N"/>
    <s v="N"/>
    <s v="N"/>
    <s v="N"/>
    <s v="N"/>
    <n v="137.16"/>
    <n v="102.05"/>
    <n v="97.5"/>
    <n v="63.45"/>
    <x v="28"/>
    <n v="61"/>
    <x v="175"/>
    <n v="22.02"/>
  </r>
  <r>
    <x v="32"/>
    <n v="255"/>
    <n v="63"/>
    <n v="365"/>
    <n v="16"/>
    <n v="3"/>
    <n v="11"/>
    <n v="0"/>
    <n v="297"/>
    <n v="48"/>
    <n v="6"/>
    <n v="2"/>
    <x v="121"/>
    <n v="769"/>
    <n v="21"/>
    <n v="197"/>
    <n v="37"/>
    <n v="0"/>
    <n v="22"/>
    <n v="1"/>
    <n v="104"/>
    <n v="40"/>
    <n v="2"/>
    <n v="2"/>
    <s v="W"/>
    <n v="1"/>
    <s v=" "/>
    <s v=" "/>
    <s v=" "/>
    <s v=" "/>
    <n v="0.48"/>
    <n v="0.52"/>
    <s v="Y"/>
    <s v="N"/>
    <s v="N"/>
    <s v="N"/>
    <s v="N"/>
    <s v=" "/>
    <s v=" "/>
    <s v=" "/>
    <s v=" "/>
    <x v="7"/>
    <n v="84"/>
    <x v="0"/>
    <s v=" "/>
  </r>
  <r>
    <x v="32"/>
    <n v="255"/>
    <n v="49"/>
    <n v="214"/>
    <n v="10"/>
    <n v="2"/>
    <n v="6"/>
    <n v="0"/>
    <n v="382"/>
    <n v="65"/>
    <n v="5"/>
    <n v="1"/>
    <x v="116"/>
    <n v="419"/>
    <n v="21"/>
    <n v="198"/>
    <n v="36"/>
    <n v="1"/>
    <n v="23"/>
    <n v="1"/>
    <n v="144"/>
    <n v="28"/>
    <n v="2"/>
    <n v="2"/>
    <s v="W"/>
    <n v="2"/>
    <s v=" "/>
    <n v="110.3"/>
    <n v="143.27000000000001"/>
    <n v="91.4"/>
    <n v="0.56000000000000005"/>
    <n v="0.43999999999999995"/>
    <s v="N"/>
    <s v="Y"/>
    <s v="N"/>
    <s v="N"/>
    <s v="N"/>
    <s v=" "/>
    <n v="107.77"/>
    <n v="157.22"/>
    <n v="99.36"/>
    <x v="15"/>
    <n v="70"/>
    <x v="0"/>
    <s v=" "/>
  </r>
  <r>
    <x v="32"/>
    <n v="255"/>
    <n v="66"/>
    <n v="164"/>
    <n v="7"/>
    <n v="2"/>
    <n v="4"/>
    <n v="0"/>
    <n v="604"/>
    <n v="50"/>
    <n v="7"/>
    <n v="0"/>
    <x v="122"/>
    <n v="328"/>
    <n v="24"/>
    <n v="211"/>
    <n v="27"/>
    <n v="1"/>
    <n v="17"/>
    <n v="0"/>
    <n v="151"/>
    <n v="42"/>
    <n v="2"/>
    <n v="0"/>
    <s v="W"/>
    <n v="3"/>
    <s v=" "/>
    <n v="88.89"/>
    <n v="301.26"/>
    <n v="109.45"/>
    <n v="0.39"/>
    <n v="0.61"/>
    <s v="N"/>
    <s v="Y"/>
    <s v="N"/>
    <s v="N"/>
    <s v="N"/>
    <s v=" "/>
    <n v="96.86"/>
    <n v="165.5"/>
    <n v="100.05"/>
    <x v="7"/>
    <n v="90"/>
    <x v="0"/>
    <s v=" "/>
  </r>
  <r>
    <x v="32"/>
    <n v="255"/>
    <n v="35"/>
    <n v="184"/>
    <n v="14"/>
    <n v="1"/>
    <n v="10"/>
    <n v="1"/>
    <n v="312"/>
    <n v="58"/>
    <n v="3"/>
    <n v="1"/>
    <x v="101"/>
    <n v="457"/>
    <n v="28"/>
    <n v="204"/>
    <n v="25"/>
    <n v="2"/>
    <n v="17"/>
    <n v="2"/>
    <n v="128"/>
    <n v="27"/>
    <n v="2"/>
    <n v="0"/>
    <s v="W"/>
    <n v="4"/>
    <s v=" "/>
    <n v="99.53"/>
    <n v="127.39"/>
    <n v="78.900000000000006"/>
    <n v="0.48"/>
    <n v="0.52"/>
    <s v="N"/>
    <s v="Y"/>
    <s v="N"/>
    <s v="N"/>
    <s v="N"/>
    <s v=" "/>
    <n v="117.35"/>
    <n v="177.4"/>
    <n v="74.92"/>
    <x v="20"/>
    <n v="63"/>
    <x v="0"/>
    <s v=" "/>
  </r>
  <r>
    <x v="32"/>
    <n v="255"/>
    <n v="45"/>
    <n v="117"/>
    <n v="12"/>
    <n v="2"/>
    <n v="4"/>
    <n v="0"/>
    <n v="296"/>
    <n v="52"/>
    <n v="3"/>
    <n v="1"/>
    <x v="93"/>
    <n v="490"/>
    <n v="35"/>
    <n v="192"/>
    <n v="36"/>
    <n v="3"/>
    <n v="23"/>
    <n v="1"/>
    <n v="195"/>
    <n v="38"/>
    <n v="1"/>
    <n v="0"/>
    <s v="W"/>
    <n v="5"/>
    <s v=" "/>
    <n v="102.88"/>
    <n v="134.94999999999999"/>
    <n v="77"/>
    <n v="0.49"/>
    <n v="0.51"/>
    <s v="N"/>
    <s v="Y"/>
    <s v="N"/>
    <s v="N"/>
    <s v="N"/>
    <s v=" "/>
    <n v="104.24"/>
    <n v="112.14"/>
    <n v="50.67"/>
    <x v="12"/>
    <n v="80"/>
    <x v="0"/>
    <s v=" "/>
  </r>
  <r>
    <x v="32"/>
    <n v="255"/>
    <n v="21"/>
    <n v="114"/>
    <n v="21"/>
    <n v="0"/>
    <n v="6"/>
    <n v="1"/>
    <n v="272"/>
    <n v="60"/>
    <n v="3"/>
    <n v="0"/>
    <x v="100"/>
    <n v="392"/>
    <n v="16"/>
    <n v="87"/>
    <n v="24"/>
    <n v="0"/>
    <n v="6"/>
    <n v="2"/>
    <n v="246"/>
    <n v="41"/>
    <n v="2"/>
    <n v="0"/>
    <s v="W"/>
    <n v="6"/>
    <n v="43.87"/>
    <n v="180.24"/>
    <n v="112.67"/>
    <n v="53.47999999999999"/>
    <n v="0.37"/>
    <n v="0.63"/>
    <s v="N"/>
    <s v="N"/>
    <s v="N"/>
    <s v="N"/>
    <s v="N"/>
    <n v="46.01"/>
    <n v="140.77000000000001"/>
    <n v="97.77"/>
    <n v="55.3"/>
    <x v="28"/>
    <n v="37"/>
    <x v="176"/>
    <n v="51.33"/>
  </r>
  <r>
    <x v="32"/>
    <n v="255"/>
    <n v="21"/>
    <n v="24"/>
    <n v="8"/>
    <n v="0"/>
    <n v="2"/>
    <n v="2"/>
    <n v="272"/>
    <n v="53"/>
    <n v="2"/>
    <n v="0"/>
    <x v="123"/>
    <n v="746"/>
    <n v="24"/>
    <n v="135"/>
    <n v="19"/>
    <n v="1"/>
    <n v="9"/>
    <n v="1"/>
    <n v="274"/>
    <n v="47"/>
    <n v="2"/>
    <n v="0"/>
    <s v="L"/>
    <n v="7"/>
    <s v=" "/>
    <n v="121.8"/>
    <n v="124.72"/>
    <n v="58.370000000000005"/>
    <n v="0.28999999999999998"/>
    <n v="0.71"/>
    <s v="N"/>
    <s v="Y"/>
    <s v="N"/>
    <s v="N"/>
    <s v="N"/>
    <s v=" "/>
    <n v="87.68"/>
    <n v="144.4"/>
    <n v="58.16"/>
    <x v="22"/>
    <n v="45"/>
    <x v="0"/>
    <s v=" "/>
  </r>
  <r>
    <x v="32"/>
    <n v="255"/>
    <n v="7"/>
    <n v="77"/>
    <n v="14"/>
    <n v="0"/>
    <n v="7"/>
    <n v="1"/>
    <n v="134"/>
    <n v="48"/>
    <n v="1"/>
    <n v="2"/>
    <x v="124"/>
    <n v="415"/>
    <n v="24"/>
    <n v="140"/>
    <n v="23"/>
    <n v="0"/>
    <n v="8"/>
    <n v="1"/>
    <n v="122"/>
    <n v="41"/>
    <n v="2"/>
    <n v="0"/>
    <s v="L"/>
    <n v="8"/>
    <s v=" "/>
    <n v="145.09"/>
    <n v="55.39"/>
    <n v="123.65"/>
    <n v="0.36"/>
    <n v="0.64"/>
    <s v="N"/>
    <s v="Y"/>
    <s v="N"/>
    <s v="N"/>
    <s v="N"/>
    <s v=" "/>
    <n v="152.76"/>
    <n v="57.41"/>
    <n v="125.34"/>
    <x v="0"/>
    <n v="31"/>
    <x v="0"/>
    <s v=" "/>
  </r>
  <r>
    <x v="33"/>
    <n v="277"/>
    <n v="34"/>
    <n v="178"/>
    <n v="33"/>
    <n v="1"/>
    <n v="20"/>
    <n v="0"/>
    <n v="165"/>
    <n v="32"/>
    <n v="3"/>
    <n v="1"/>
    <x v="88"/>
    <n v="157"/>
    <n v="17"/>
    <n v="223"/>
    <n v="30"/>
    <n v="2"/>
    <n v="16"/>
    <n v="1"/>
    <n v="17"/>
    <n v="28"/>
    <n v="0"/>
    <n v="0"/>
    <s v="W"/>
    <n v="1"/>
    <n v="94.55"/>
    <n v="106.15"/>
    <n v="124.31"/>
    <n v="185.91"/>
    <n v="0.52"/>
    <n v="0.48"/>
    <s v="N"/>
    <s v="N"/>
    <s v="N"/>
    <s v="N"/>
    <s v="N"/>
    <n v="81.34"/>
    <n v="98.78"/>
    <n v="104.72"/>
    <n v="125.83"/>
    <x v="0"/>
    <n v="51"/>
    <x v="114"/>
    <n v="15.33"/>
  </r>
  <r>
    <x v="33"/>
    <n v="277"/>
    <n v="32"/>
    <n v="333"/>
    <n v="45"/>
    <n v="1"/>
    <n v="31"/>
    <n v="1"/>
    <n v="55"/>
    <n v="22"/>
    <n v="3"/>
    <n v="1"/>
    <x v="89"/>
    <n v="756"/>
    <n v="40"/>
    <n v="315"/>
    <n v="26"/>
    <n v="4"/>
    <n v="18"/>
    <n v="1"/>
    <n v="151"/>
    <n v="34"/>
    <n v="1"/>
    <n v="0"/>
    <s v="L"/>
    <n v="2"/>
    <n v="105.89"/>
    <n v="53.199999999999989"/>
    <n v="64.819999999999993"/>
    <n v="92.55"/>
    <n v="0.43"/>
    <n v="0.57000000000000006"/>
    <s v="N"/>
    <s v="N"/>
    <s v="N"/>
    <s v="N"/>
    <s v="N"/>
    <n v="99.37"/>
    <n v="66.900000000000006"/>
    <n v="67.44"/>
    <n v="109.36"/>
    <x v="11"/>
    <n v="72"/>
    <x v="177"/>
    <n v="9.58"/>
  </r>
  <r>
    <x v="33"/>
    <n v="277"/>
    <n v="20"/>
    <n v="284"/>
    <n v="41"/>
    <n v="2"/>
    <n v="25"/>
    <n v="0"/>
    <n v="6"/>
    <n v="16"/>
    <n v="1"/>
    <n v="4"/>
    <x v="125"/>
    <n v="465"/>
    <n v="40"/>
    <n v="179"/>
    <n v="30"/>
    <n v="2"/>
    <n v="18"/>
    <n v="1"/>
    <n v="186"/>
    <n v="42"/>
    <n v="3"/>
    <n v="0"/>
    <s v="L"/>
    <n v="3"/>
    <n v="106.04"/>
    <n v="107.48"/>
    <n v="-56.93"/>
    <n v="86.54"/>
    <n v="0.42"/>
    <n v="0.58000000000000007"/>
    <s v="N"/>
    <s v="N"/>
    <s v="N"/>
    <s v="N"/>
    <s v="N"/>
    <n v="80.17"/>
    <n v="87.34"/>
    <n v="-67.150000000000006"/>
    <n v="63.14"/>
    <x v="37"/>
    <n v="60"/>
    <x v="178"/>
    <n v="12.75"/>
  </r>
  <r>
    <x v="33"/>
    <n v="277"/>
    <n v="56"/>
    <n v="512"/>
    <n v="60"/>
    <n v="7"/>
    <n v="43"/>
    <n v="0"/>
    <n v="125"/>
    <n v="24"/>
    <n v="1"/>
    <n v="1"/>
    <x v="29"/>
    <n v="108"/>
    <n v="14"/>
    <n v="147"/>
    <n v="27"/>
    <n v="1"/>
    <n v="12"/>
    <n v="1"/>
    <n v="49"/>
    <n v="24"/>
    <n v="1"/>
    <n v="2"/>
    <s v="W"/>
    <n v="4"/>
    <n v="135.66999999999999"/>
    <n v="131.44"/>
    <n v="114.58"/>
    <n v="171.38"/>
    <n v="0.53"/>
    <n v="0.47"/>
    <s v="N"/>
    <s v="N"/>
    <s v="N"/>
    <s v="N"/>
    <s v="N"/>
    <n v="100.63"/>
    <n v="174.99"/>
    <n v="164.95"/>
    <n v="127.8"/>
    <x v="7"/>
    <n v="70"/>
    <x v="179"/>
    <n v="27.44"/>
  </r>
  <r>
    <x v="33"/>
    <n v="277"/>
    <n v="44"/>
    <n v="410"/>
    <n v="55"/>
    <n v="4"/>
    <n v="34"/>
    <n v="0"/>
    <n v="84"/>
    <n v="25"/>
    <n v="0"/>
    <n v="0"/>
    <x v="126"/>
    <n v="366"/>
    <n v="26"/>
    <n v="305"/>
    <n v="51"/>
    <n v="3"/>
    <n v="29"/>
    <n v="2"/>
    <n v="63"/>
    <n v="26"/>
    <n v="1"/>
    <n v="1"/>
    <s v="W"/>
    <n v="5"/>
    <n v="113.35"/>
    <n v="113.49"/>
    <n v="77.95"/>
    <n v="149.55000000000001"/>
    <n v="0.66"/>
    <n v="0.33999999999999997"/>
    <s v="N"/>
    <s v="N"/>
    <s v="N"/>
    <s v="N"/>
    <s v="N"/>
    <n v="131.03"/>
    <n v="98.7"/>
    <n v="96.82"/>
    <n v="100.29"/>
    <x v="30"/>
    <n v="70"/>
    <x v="180"/>
    <n v="33.119999999999997"/>
  </r>
  <r>
    <x v="33"/>
    <n v="277"/>
    <n v="27"/>
    <n v="303"/>
    <n v="46"/>
    <n v="2"/>
    <n v="27"/>
    <n v="3"/>
    <n v="142"/>
    <n v="17"/>
    <n v="2"/>
    <n v="3"/>
    <x v="85"/>
    <n v="630"/>
    <n v="28"/>
    <n v="366"/>
    <n v="41"/>
    <n v="1"/>
    <n v="27"/>
    <n v="3"/>
    <n v="103"/>
    <n v="40"/>
    <n v="1"/>
    <n v="3"/>
    <s v="L"/>
    <n v="7"/>
    <n v="81.55"/>
    <n v="103.79"/>
    <n v="158.49"/>
    <n v="159.01"/>
    <n v="0.51"/>
    <n v="0.49"/>
    <s v="N"/>
    <s v="N"/>
    <s v="N"/>
    <s v="N"/>
    <s v="N"/>
    <n v="86.08"/>
    <n v="88.26"/>
    <n v="134.34"/>
    <n v="129.47"/>
    <x v="3"/>
    <n v="55"/>
    <x v="181"/>
    <n v="0.97"/>
  </r>
  <r>
    <x v="33"/>
    <n v="277"/>
    <n v="45"/>
    <n v="276"/>
    <n v="41"/>
    <n v="2"/>
    <n v="26"/>
    <n v="0"/>
    <n v="227"/>
    <n v="37"/>
    <n v="4"/>
    <n v="1"/>
    <x v="127"/>
    <n v="472"/>
    <n v="34"/>
    <n v="284"/>
    <n v="37"/>
    <n v="3"/>
    <n v="20"/>
    <n v="0"/>
    <n v="148"/>
    <n v="32"/>
    <n v="2"/>
    <n v="1"/>
    <s v="W"/>
    <n v="8"/>
    <n v="107.42"/>
    <n v="91.95"/>
    <n v="150.44"/>
    <n v="92.7"/>
    <n v="0.54"/>
    <n v="0.45999999999999996"/>
    <s v="N"/>
    <s v="N"/>
    <s v="N"/>
    <s v="N"/>
    <s v="N"/>
    <n v="122.74"/>
    <n v="101.95"/>
    <n v="124.97"/>
    <n v="73.94"/>
    <x v="6"/>
    <n v="79"/>
    <x v="182"/>
    <n v="25.88"/>
  </r>
  <r>
    <x v="34"/>
    <n v="288"/>
    <n v="56"/>
    <n v="561"/>
    <n v="50"/>
    <n v="3"/>
    <n v="40"/>
    <n v="0"/>
    <n v="171"/>
    <n v="39"/>
    <n v="5"/>
    <n v="2"/>
    <x v="128"/>
    <n v="254"/>
    <n v="0"/>
    <n v="133"/>
    <n v="27"/>
    <n v="0"/>
    <n v="12"/>
    <n v="1"/>
    <n v="108"/>
    <n v="35"/>
    <n v="0"/>
    <n v="1"/>
    <s v="W"/>
    <n v="4"/>
    <s v=" "/>
    <s v=" "/>
    <s v=" "/>
    <s v=" "/>
    <n v="0.44"/>
    <n v="0.56000000000000005"/>
    <s v="Y"/>
    <s v="N"/>
    <s v="N"/>
    <s v="N"/>
    <s v="N"/>
    <s v=" "/>
    <s v=" "/>
    <s v=" "/>
    <s v=" "/>
    <x v="34"/>
    <n v="56"/>
    <x v="0"/>
    <s v=" "/>
  </r>
  <r>
    <x v="34"/>
    <n v="288"/>
    <n v="38"/>
    <n v="310"/>
    <n v="40"/>
    <n v="2"/>
    <n v="30"/>
    <n v="0"/>
    <n v="159"/>
    <n v="31"/>
    <n v="3"/>
    <n v="1"/>
    <x v="28"/>
    <n v="110"/>
    <n v="34"/>
    <n v="322"/>
    <n v="29"/>
    <n v="2"/>
    <n v="20"/>
    <n v="0"/>
    <n v="232"/>
    <n v="42"/>
    <n v="3"/>
    <n v="1"/>
    <s v="W"/>
    <n v="1"/>
    <n v="124.74"/>
    <n v="60.180000000000007"/>
    <n v="123.83"/>
    <n v="68.28"/>
    <n v="0.41"/>
    <n v="0.59000000000000008"/>
    <s v="N"/>
    <s v="N"/>
    <s v="N"/>
    <s v="N"/>
    <s v="N"/>
    <n v="109.93"/>
    <n v="58.84"/>
    <n v="99.05"/>
    <n v="69.16"/>
    <x v="27"/>
    <n v="72"/>
    <x v="183"/>
    <n v="17.41"/>
  </r>
  <r>
    <x v="34"/>
    <n v="288"/>
    <n v="48"/>
    <n v="563"/>
    <n v="59"/>
    <n v="5"/>
    <n v="39"/>
    <n v="1"/>
    <n v="127"/>
    <n v="31"/>
    <n v="1"/>
    <n v="1"/>
    <x v="16"/>
    <n v="497"/>
    <n v="23"/>
    <n v="172"/>
    <n v="34"/>
    <n v="1"/>
    <n v="21"/>
    <n v="1"/>
    <n v="118"/>
    <n v="34"/>
    <n v="2"/>
    <n v="2"/>
    <s v="W"/>
    <n v="2"/>
    <n v="125.73"/>
    <n v="115.08"/>
    <n v="90.21"/>
    <n v="128.31"/>
    <n v="0.5"/>
    <n v="0.5"/>
    <s v="N"/>
    <s v="N"/>
    <s v="N"/>
    <s v="N"/>
    <s v="N"/>
    <n v="117.71"/>
    <n v="102.81"/>
    <n v="87.27"/>
    <n v="86.42"/>
    <x v="19"/>
    <n v="71"/>
    <x v="184"/>
    <n v="42.14"/>
  </r>
  <r>
    <x v="34"/>
    <n v="288"/>
    <n v="35"/>
    <n v="351"/>
    <n v="40"/>
    <n v="3"/>
    <n v="25"/>
    <n v="2"/>
    <n v="98"/>
    <n v="35"/>
    <n v="2"/>
    <n v="1"/>
    <x v="126"/>
    <n v="366"/>
    <n v="34"/>
    <n v="211"/>
    <n v="32"/>
    <n v="1"/>
    <n v="21"/>
    <n v="2"/>
    <n v="233"/>
    <n v="66"/>
    <n v="3"/>
    <n v="1"/>
    <s v="W"/>
    <n v="3"/>
    <n v="106.57"/>
    <n v="112.5"/>
    <n v="64.959999999999994"/>
    <n v="115.82"/>
    <n v="0.33"/>
    <n v="0.66999999999999993"/>
    <s v="N"/>
    <s v="N"/>
    <s v="N"/>
    <s v="N"/>
    <s v="N"/>
    <n v="123.19"/>
    <n v="97.84"/>
    <n v="80.69"/>
    <n v="77.67"/>
    <x v="3"/>
    <n v="69"/>
    <x v="185"/>
    <n v="666.67"/>
  </r>
  <r>
    <x v="34"/>
    <n v="288"/>
    <n v="49"/>
    <n v="471"/>
    <n v="46"/>
    <n v="2"/>
    <n v="30"/>
    <n v="0"/>
    <n v="239"/>
    <n v="31"/>
    <n v="3"/>
    <n v="0"/>
    <x v="106"/>
    <n v="704"/>
    <n v="42"/>
    <n v="267"/>
    <n v="29"/>
    <n v="3"/>
    <n v="19"/>
    <n v="1"/>
    <n v="271"/>
    <n v="41"/>
    <n v="3"/>
    <n v="1"/>
    <s v="W"/>
    <n v="5"/>
    <n v="127.54"/>
    <n v="79.13"/>
    <n v="193.38"/>
    <n v="43"/>
    <n v="0.41"/>
    <n v="0.59000000000000008"/>
    <s v="N"/>
    <s v="N"/>
    <s v="N"/>
    <s v="N"/>
    <s v="N"/>
    <n v="137.25"/>
    <n v="61.29"/>
    <n v="165.11"/>
    <n v="52.05"/>
    <x v="20"/>
    <n v="91"/>
    <x v="186"/>
    <n v="16.260000000000002"/>
  </r>
  <r>
    <x v="34"/>
    <n v="288"/>
    <n v="56"/>
    <n v="357"/>
    <n v="48"/>
    <n v="3"/>
    <n v="36"/>
    <n v="0"/>
    <n v="215"/>
    <n v="37"/>
    <n v="5"/>
    <n v="0"/>
    <x v="129"/>
    <n v="196"/>
    <n v="3"/>
    <n v="263"/>
    <n v="44"/>
    <n v="0"/>
    <n v="26"/>
    <n v="4"/>
    <n v="21"/>
    <n v="30"/>
    <n v="0"/>
    <n v="0"/>
    <s v="W"/>
    <n v="6"/>
    <n v="124.91"/>
    <n v="135.61000000000001"/>
    <n v="155.08000000000001"/>
    <n v="183.76"/>
    <n v="0.59"/>
    <n v="0.41000000000000003"/>
    <s v="N"/>
    <s v="N"/>
    <s v="N"/>
    <s v="N"/>
    <s v="N"/>
    <n v="129.65"/>
    <n v="141.15"/>
    <n v="140.63"/>
    <n v="94.49"/>
    <x v="41"/>
    <n v="59"/>
    <x v="140"/>
    <n v="26.59"/>
  </r>
  <r>
    <x v="34"/>
    <n v="288"/>
    <n v="63"/>
    <n v="479"/>
    <n v="37"/>
    <n v="7"/>
    <n v="29"/>
    <n v="0"/>
    <n v="142"/>
    <n v="20"/>
    <n v="1"/>
    <n v="0"/>
    <x v="130"/>
    <n v="388"/>
    <n v="28"/>
    <n v="309"/>
    <n v="39"/>
    <n v="3"/>
    <n v="29"/>
    <n v="2"/>
    <n v="197"/>
    <n v="47"/>
    <n v="1"/>
    <n v="0"/>
    <s v="W"/>
    <n v="8"/>
    <n v="177.31"/>
    <n v="86.31"/>
    <n v="172.22"/>
    <n v="99.57"/>
    <n v="0.45"/>
    <n v="0.55000000000000004"/>
    <s v="N"/>
    <s v="N"/>
    <s v="N"/>
    <s v="N"/>
    <s v="N"/>
    <n v="156.01"/>
    <n v="71.28"/>
    <n v="186.08"/>
    <n v="68.67"/>
    <x v="32"/>
    <n v="91"/>
    <x v="187"/>
    <n v="25.85"/>
  </r>
  <r>
    <x v="35"/>
    <n v="295"/>
    <n v="44"/>
    <n v="307"/>
    <n v="40"/>
    <n v="4"/>
    <n v="28"/>
    <n v="0"/>
    <n v="117"/>
    <n v="38"/>
    <n v="1"/>
    <n v="0"/>
    <x v="118"/>
    <n v="494"/>
    <n v="14"/>
    <n v="168"/>
    <n v="34"/>
    <n v="1"/>
    <n v="16"/>
    <n v="2"/>
    <n v="29"/>
    <n v="20"/>
    <n v="0"/>
    <n v="0"/>
    <s v="W"/>
    <n v="2"/>
    <s v=" "/>
    <s v=" "/>
    <s v=" "/>
    <s v=" "/>
    <n v="0.63"/>
    <n v="0.37"/>
    <s v="Y"/>
    <s v="N"/>
    <s v="N"/>
    <s v="N"/>
    <s v="N"/>
    <s v=" "/>
    <s v=" "/>
    <s v=" "/>
    <s v=" "/>
    <x v="33"/>
    <n v="58"/>
    <x v="0"/>
    <s v=" "/>
  </r>
  <r>
    <x v="35"/>
    <n v="295"/>
    <n v="15"/>
    <n v="228"/>
    <n v="44"/>
    <n v="2"/>
    <n v="20"/>
    <n v="1"/>
    <n v="52"/>
    <n v="21"/>
    <n v="0"/>
    <n v="2"/>
    <x v="131"/>
    <n v="71"/>
    <n v="32"/>
    <n v="291"/>
    <n v="31"/>
    <n v="2"/>
    <n v="19"/>
    <n v="0"/>
    <n v="187"/>
    <n v="48"/>
    <n v="2"/>
    <n v="0"/>
    <s v="L"/>
    <n v="1"/>
    <n v="73.7"/>
    <n v="77.87"/>
    <n v="28.88"/>
    <n v="103.37"/>
    <n v="0.39"/>
    <n v="0.61"/>
    <s v="N"/>
    <s v="N"/>
    <s v="N"/>
    <s v="N"/>
    <s v="N"/>
    <n v="72.349999999999994"/>
    <n v="74.180000000000007"/>
    <n v="25.67"/>
    <n v="77.87"/>
    <x v="0"/>
    <n v="47"/>
    <x v="188"/>
    <n v="14.63"/>
  </r>
  <r>
    <x v="35"/>
    <n v="295"/>
    <n v="7"/>
    <n v="131"/>
    <n v="29"/>
    <n v="0"/>
    <n v="17"/>
    <n v="0"/>
    <n v="56"/>
    <n v="29"/>
    <n v="1"/>
    <n v="0"/>
    <x v="37"/>
    <n v="697"/>
    <n v="37"/>
    <n v="377"/>
    <n v="43"/>
    <n v="2"/>
    <n v="30"/>
    <n v="1"/>
    <n v="140"/>
    <n v="38"/>
    <n v="2"/>
    <n v="1"/>
    <s v="L"/>
    <n v="3"/>
    <n v="83.24"/>
    <n v="82.45"/>
    <n v="49.97"/>
    <n v="114.53"/>
    <n v="0.53"/>
    <n v="0.47"/>
    <s v="N"/>
    <s v="N"/>
    <s v="N"/>
    <s v="N"/>
    <s v="N"/>
    <n v="81.96"/>
    <n v="92.97"/>
    <n v="69.63"/>
    <n v="148.6"/>
    <x v="33"/>
    <n v="44"/>
    <x v="189"/>
    <n v="42.97"/>
  </r>
  <r>
    <x v="35"/>
    <n v="295"/>
    <n v="24"/>
    <n v="239"/>
    <n v="43"/>
    <n v="2"/>
    <n v="23"/>
    <n v="0"/>
    <n v="44"/>
    <n v="24"/>
    <n v="1"/>
    <n v="1"/>
    <x v="69"/>
    <n v="96"/>
    <n v="48"/>
    <n v="371"/>
    <n v="37"/>
    <n v="5"/>
    <n v="24"/>
    <n v="2"/>
    <n v="142"/>
    <n v="34"/>
    <n v="0"/>
    <n v="0"/>
    <s v="L"/>
    <n v="4"/>
    <n v="90.76"/>
    <n v="76.430000000000007"/>
    <n v="36.28"/>
    <n v="103.11"/>
    <n v="0.52"/>
    <n v="0.48"/>
    <s v="N"/>
    <s v="N"/>
    <s v="N"/>
    <s v="N"/>
    <s v="N"/>
    <n v="86.76"/>
    <n v="72.86"/>
    <n v="29.29"/>
    <n v="103.56"/>
    <x v="14"/>
    <n v="72"/>
    <x v="190"/>
    <n v="25.69"/>
  </r>
  <r>
    <x v="35"/>
    <n v="295"/>
    <n v="20"/>
    <n v="193"/>
    <n v="41"/>
    <n v="1"/>
    <n v="17"/>
    <n v="2"/>
    <n v="103"/>
    <n v="31"/>
    <n v="0"/>
    <n v="0"/>
    <x v="123"/>
    <n v="746"/>
    <n v="21"/>
    <n v="335"/>
    <n v="50"/>
    <n v="2"/>
    <n v="30"/>
    <n v="1"/>
    <n v="161"/>
    <n v="41"/>
    <n v="1"/>
    <n v="2"/>
    <s v="L"/>
    <n v="5"/>
    <n v="56.14"/>
    <n v="103.48"/>
    <n v="77.08"/>
    <n v="119.87"/>
    <n v="0.55000000000000004"/>
    <n v="0.44999999999999996"/>
    <s v="N"/>
    <s v="N"/>
    <s v="N"/>
    <s v="N"/>
    <s v="N"/>
    <n v="60.63"/>
    <n v="74.489999999999995"/>
    <n v="89.24"/>
    <n v="119.45"/>
    <x v="3"/>
    <n v="41"/>
    <x v="191"/>
    <n v="2.2999999999999998"/>
  </r>
  <r>
    <x v="35"/>
    <n v="295"/>
    <n v="11"/>
    <n v="244"/>
    <n v="47"/>
    <n v="0"/>
    <n v="19"/>
    <n v="3"/>
    <n v="47"/>
    <n v="22"/>
    <n v="0"/>
    <n v="1"/>
    <x v="126"/>
    <n v="366"/>
    <n v="24"/>
    <n v="163"/>
    <n v="39"/>
    <n v="1"/>
    <n v="25"/>
    <n v="0"/>
    <n v="190"/>
    <n v="48"/>
    <n v="1"/>
    <n v="0"/>
    <s v="L"/>
    <n v="6"/>
    <n v="49.57"/>
    <n v="109.27"/>
    <n v="35.93"/>
    <n v="105.04"/>
    <n v="0.45"/>
    <n v="0.55000000000000004"/>
    <s v="N"/>
    <s v="N"/>
    <s v="N"/>
    <s v="N"/>
    <s v="N"/>
    <n v="57.3"/>
    <n v="95.03"/>
    <n v="44.63"/>
    <n v="70.44"/>
    <x v="40"/>
    <n v="35"/>
    <x v="192"/>
    <n v="12.98"/>
  </r>
  <r>
    <x v="35"/>
    <n v="295"/>
    <n v="24"/>
    <n v="167"/>
    <n v="35"/>
    <n v="0"/>
    <n v="22"/>
    <n v="1"/>
    <n v="114"/>
    <n v="29"/>
    <n v="1"/>
    <n v="3"/>
    <x v="127"/>
    <n v="472"/>
    <n v="31"/>
    <n v="202"/>
    <n v="23"/>
    <n v="2"/>
    <n v="15"/>
    <n v="0"/>
    <n v="192"/>
    <n v="41"/>
    <n v="1"/>
    <n v="1"/>
    <s v="L"/>
    <n v="7"/>
    <n v="80.290000000000006"/>
    <n v="73.87"/>
    <n v="65.34"/>
    <n v="95.01"/>
    <n v="0.36"/>
    <n v="0.64"/>
    <s v="N"/>
    <s v="N"/>
    <s v="N"/>
    <s v="N"/>
    <s v="N"/>
    <n v="91.74"/>
    <n v="81.91"/>
    <n v="54.28"/>
    <n v="75.790000000000006"/>
    <x v="20"/>
    <n v="55"/>
    <x v="193"/>
    <n v="8.19"/>
  </r>
  <r>
    <x v="36"/>
    <n v="301"/>
    <n v="56"/>
    <n v="155"/>
    <n v="18"/>
    <n v="1"/>
    <n v="16"/>
    <n v="0"/>
    <n v="364"/>
    <n v="50"/>
    <n v="6"/>
    <n v="0"/>
    <x v="132"/>
    <n v="649"/>
    <n v="3"/>
    <n v="71"/>
    <n v="22"/>
    <n v="0"/>
    <n v="11"/>
    <n v="2"/>
    <n v="25"/>
    <n v="24"/>
    <n v="0"/>
    <n v="0"/>
    <s v="W"/>
    <n v="2"/>
    <s v=" "/>
    <s v=" "/>
    <s v=" "/>
    <s v=" "/>
    <n v="0.48"/>
    <n v="0.52"/>
    <s v="Y"/>
    <s v="N"/>
    <s v="N"/>
    <s v="N"/>
    <s v="N"/>
    <s v=" "/>
    <s v=" "/>
    <s v=" "/>
    <s v=" "/>
    <x v="41"/>
    <n v="59"/>
    <x v="0"/>
    <s v=" "/>
  </r>
  <r>
    <x v="36"/>
    <n v="301"/>
    <n v="33"/>
    <n v="271"/>
    <n v="25"/>
    <n v="2"/>
    <n v="17"/>
    <n v="0"/>
    <n v="202"/>
    <n v="50"/>
    <n v="2"/>
    <n v="1"/>
    <x v="115"/>
    <n v="30"/>
    <n v="15"/>
    <n v="290"/>
    <n v="32"/>
    <n v="0"/>
    <n v="20"/>
    <n v="1"/>
    <n v="60"/>
    <n v="32"/>
    <n v="1"/>
    <n v="2"/>
    <s v="W"/>
    <n v="1"/>
    <n v="139.08000000000001"/>
    <n v="97.48"/>
    <n v="93.73"/>
    <n v="170.56"/>
    <n v="0.5"/>
    <n v="0.5"/>
    <s v="N"/>
    <s v="N"/>
    <s v="N"/>
    <s v="N"/>
    <s v="N"/>
    <n v="152.57"/>
    <n v="99.4"/>
    <n v="125.77"/>
    <n v="122.78"/>
    <x v="30"/>
    <n v="48"/>
    <x v="194"/>
    <n v="17.850000000000001"/>
  </r>
  <r>
    <x v="36"/>
    <n v="301"/>
    <n v="17"/>
    <n v="135"/>
    <n v="15"/>
    <n v="1"/>
    <n v="11"/>
    <n v="1"/>
    <n v="105"/>
    <n v="45"/>
    <n v="1"/>
    <n v="2"/>
    <x v="133"/>
    <n v="28"/>
    <n v="14"/>
    <n v="256"/>
    <n v="45"/>
    <n v="1"/>
    <n v="25"/>
    <n v="2"/>
    <n v="106"/>
    <n v="34"/>
    <n v="1"/>
    <n v="1"/>
    <s v="W"/>
    <n v="3"/>
    <n v="112.38"/>
    <n v="123.44"/>
    <n v="44.13"/>
    <n v="132.07999999999998"/>
    <n v="0.56999999999999995"/>
    <n v="0.43000000000000005"/>
    <s v="N"/>
    <s v="N"/>
    <s v="N"/>
    <s v="N"/>
    <s v="N"/>
    <n v="118.41"/>
    <n v="137.36000000000001"/>
    <n v="45.11"/>
    <n v="119.07"/>
    <x v="22"/>
    <n v="31"/>
    <x v="26"/>
    <n v="24.94"/>
  </r>
  <r>
    <x v="36"/>
    <n v="301"/>
    <n v="23"/>
    <n v="167"/>
    <n v="26"/>
    <n v="1"/>
    <n v="17"/>
    <n v="1"/>
    <n v="296"/>
    <n v="52"/>
    <n v="1"/>
    <n v="1"/>
    <x v="80"/>
    <n v="774"/>
    <n v="20"/>
    <n v="306"/>
    <n v="48"/>
    <n v="2"/>
    <n v="30"/>
    <n v="1"/>
    <n v="35"/>
    <n v="21"/>
    <n v="0"/>
    <n v="0"/>
    <s v="W"/>
    <n v="4"/>
    <n v="94.62"/>
    <n v="102.76"/>
    <n v="129.18"/>
    <n v="161.32999999999998"/>
    <n v="0.7"/>
    <n v="0.30000000000000004"/>
    <s v="N"/>
    <s v="N"/>
    <s v="N"/>
    <s v="N"/>
    <s v="N"/>
    <n v="99.94"/>
    <n v="114.3"/>
    <n v="94.6"/>
    <n v="118.69"/>
    <x v="22"/>
    <n v="43"/>
    <x v="195"/>
    <n v="3.41"/>
  </r>
  <r>
    <x v="36"/>
    <n v="301"/>
    <n v="38"/>
    <n v="391"/>
    <n v="32"/>
    <n v="3"/>
    <n v="21"/>
    <n v="1"/>
    <n v="82"/>
    <n v="38"/>
    <n v="2"/>
    <n v="2"/>
    <x v="45"/>
    <n v="509"/>
    <n v="35"/>
    <n v="160"/>
    <n v="16"/>
    <n v="4"/>
    <n v="12"/>
    <n v="0"/>
    <n v="169"/>
    <n v="51"/>
    <n v="1"/>
    <n v="1"/>
    <s v="W"/>
    <n v="5"/>
    <n v="136.9"/>
    <n v="33"/>
    <n v="42.17"/>
    <n v="126.06"/>
    <n v="0.24"/>
    <n v="0.76"/>
    <s v="N"/>
    <s v="N"/>
    <s v="N"/>
    <s v="N"/>
    <s v="N"/>
    <n v="115.83"/>
    <n v="38.51"/>
    <n v="41.68"/>
    <n v="112.17"/>
    <x v="22"/>
    <n v="73"/>
    <x v="196"/>
    <n v="4.8499999999999996"/>
  </r>
  <r>
    <x v="36"/>
    <n v="301"/>
    <n v="41"/>
    <n v="210"/>
    <n v="22"/>
    <n v="3"/>
    <n v="12"/>
    <n v="0"/>
    <n v="308"/>
    <n v="55"/>
    <n v="2"/>
    <n v="2"/>
    <x v="55"/>
    <n v="306"/>
    <n v="20"/>
    <n v="219"/>
    <n v="36"/>
    <n v="0"/>
    <n v="17"/>
    <n v="1"/>
    <n v="83"/>
    <n v="42"/>
    <n v="1"/>
    <n v="1"/>
    <s v="W"/>
    <n v="6"/>
    <n v="127.02"/>
    <n v="127.96"/>
    <n v="124.47"/>
    <n v="157.72"/>
    <n v="0.46"/>
    <n v="0.54"/>
    <s v="N"/>
    <s v="N"/>
    <s v="N"/>
    <s v="N"/>
    <s v="N"/>
    <n v="103.4"/>
    <n v="104.22"/>
    <n v="104.01"/>
    <n v="112.49"/>
    <x v="23"/>
    <n v="61"/>
    <x v="197"/>
    <n v="15.31"/>
  </r>
  <r>
    <x v="36"/>
    <n v="301"/>
    <n v="7"/>
    <n v="169"/>
    <n v="34"/>
    <n v="1"/>
    <n v="20"/>
    <n v="2"/>
    <n v="116"/>
    <n v="35"/>
    <n v="0"/>
    <n v="1"/>
    <x v="7"/>
    <n v="518"/>
    <n v="17"/>
    <n v="17"/>
    <n v="4"/>
    <n v="1"/>
    <n v="1"/>
    <n v="0"/>
    <n v="211"/>
    <n v="51"/>
    <n v="1"/>
    <n v="0"/>
    <s v="L"/>
    <n v="7"/>
    <n v="72.680000000000007"/>
    <s v=" "/>
    <n v="68.319999999999993"/>
    <n v="101.07"/>
    <n v="7.0000000000000007E-2"/>
    <n v="0.92999999999999994"/>
    <s v="N"/>
    <s v="N"/>
    <s v="N"/>
    <s v="Y"/>
    <s v="N"/>
    <n v="83.95"/>
    <s v=" "/>
    <n v="87.58"/>
    <n v="94.5"/>
    <x v="12"/>
    <n v="24"/>
    <x v="0"/>
    <s v=" "/>
  </r>
  <r>
    <x v="36"/>
    <n v="301"/>
    <n v="14"/>
    <n v="245"/>
    <n v="41"/>
    <n v="0"/>
    <n v="26"/>
    <n v="1"/>
    <n v="121"/>
    <n v="33"/>
    <n v="2"/>
    <n v="0"/>
    <x v="134"/>
    <n v="559"/>
    <n v="21"/>
    <n v="178"/>
    <n v="25"/>
    <n v="2"/>
    <n v="16"/>
    <n v="0"/>
    <n v="126"/>
    <n v="42"/>
    <n v="1"/>
    <n v="1"/>
    <s v="L"/>
    <n v="8"/>
    <n v="88.66"/>
    <n v="85.2"/>
    <n v="94.16"/>
    <n v="133.97"/>
    <n v="0.37"/>
    <n v="0.63"/>
    <s v="N"/>
    <s v="N"/>
    <s v="N"/>
    <s v="N"/>
    <s v="N"/>
    <n v="98.12"/>
    <n v="75.66"/>
    <n v="99.65"/>
    <n v="129.69"/>
    <x v="20"/>
    <n v="35"/>
    <x v="198"/>
    <n v="351.76"/>
  </r>
  <r>
    <x v="37"/>
    <n v="306"/>
    <n v="38"/>
    <n v="300"/>
    <n v="33"/>
    <n v="2"/>
    <n v="25"/>
    <n v="0"/>
    <n v="257"/>
    <n v="58"/>
    <n v="3"/>
    <n v="1"/>
    <x v="90"/>
    <n v="647"/>
    <n v="21"/>
    <n v="216"/>
    <n v="30"/>
    <n v="2"/>
    <n v="15"/>
    <n v="0"/>
    <n v="161"/>
    <n v="38"/>
    <n v="1"/>
    <n v="1"/>
    <s v="W"/>
    <n v="3"/>
    <s v=" "/>
    <s v=" "/>
    <s v=" "/>
    <s v=" "/>
    <n v="0.44"/>
    <n v="0.56000000000000005"/>
    <s v="Y"/>
    <s v="N"/>
    <s v="N"/>
    <s v="N"/>
    <s v="N"/>
    <s v=" "/>
    <s v=" "/>
    <s v=" "/>
    <s v=" "/>
    <x v="0"/>
    <n v="59"/>
    <x v="0"/>
    <s v=" "/>
  </r>
  <r>
    <x v="37"/>
    <n v="306"/>
    <n v="20"/>
    <n v="272"/>
    <n v="32"/>
    <n v="1"/>
    <n v="20"/>
    <n v="0"/>
    <n v="103"/>
    <n v="32"/>
    <n v="1"/>
    <n v="0"/>
    <x v="46"/>
    <n v="47"/>
    <n v="27"/>
    <n v="173"/>
    <n v="29"/>
    <n v="2"/>
    <n v="23"/>
    <n v="0"/>
    <n v="210"/>
    <n v="46"/>
    <n v="1"/>
    <n v="0"/>
    <s v="L"/>
    <n v="1"/>
    <n v="113.51"/>
    <n v="77.83"/>
    <n v="79.36"/>
    <n v="90.83"/>
    <n v="0.39"/>
    <n v="0.61"/>
    <s v="N"/>
    <s v="N"/>
    <s v="N"/>
    <s v="N"/>
    <s v="N"/>
    <n v="96.47"/>
    <n v="75.760000000000005"/>
    <n v="68.64"/>
    <n v="78.209999999999994"/>
    <x v="20"/>
    <n v="47"/>
    <x v="50"/>
    <n v="18.2"/>
  </r>
  <r>
    <x v="37"/>
    <n v="306"/>
    <n v="31"/>
    <n v="171"/>
    <n v="31"/>
    <n v="1"/>
    <n v="16"/>
    <n v="1"/>
    <n v="148"/>
    <n v="41"/>
    <n v="2"/>
    <n v="2"/>
    <x v="123"/>
    <n v="746"/>
    <n v="34"/>
    <n v="198"/>
    <n v="30"/>
    <n v="0"/>
    <n v="16"/>
    <n v="2"/>
    <n v="162"/>
    <n v="40"/>
    <n v="3"/>
    <n v="2"/>
    <s v="L"/>
    <n v="2"/>
    <n v="76.84"/>
    <n v="130.69999999999999"/>
    <n v="76.430000000000007"/>
    <n v="109.79"/>
    <n v="0.43"/>
    <n v="0.57000000000000006"/>
    <s v="N"/>
    <s v="N"/>
    <s v="N"/>
    <s v="N"/>
    <s v="N"/>
    <n v="82.99"/>
    <n v="94.09"/>
    <n v="88.49"/>
    <n v="109.4"/>
    <x v="22"/>
    <n v="65"/>
    <x v="199"/>
    <n v="48.08"/>
  </r>
  <r>
    <x v="37"/>
    <n v="306"/>
    <n v="21"/>
    <n v="354"/>
    <n v="52"/>
    <n v="2"/>
    <n v="30"/>
    <n v="1"/>
    <n v="50"/>
    <n v="27"/>
    <n v="0"/>
    <n v="1"/>
    <x v="16"/>
    <n v="497"/>
    <n v="24"/>
    <n v="201"/>
    <n v="20"/>
    <n v="3"/>
    <n v="10"/>
    <n v="1"/>
    <n v="226"/>
    <n v="48"/>
    <n v="0"/>
    <n v="2"/>
    <s v="L"/>
    <n v="4"/>
    <n v="94.79"/>
    <n v="87.73"/>
    <n v="31.85"/>
    <n v="103.27"/>
    <n v="0.28999999999999998"/>
    <n v="0.71"/>
    <s v="N"/>
    <s v="N"/>
    <s v="N"/>
    <s v="N"/>
    <s v="N"/>
    <n v="88.74"/>
    <n v="78.37"/>
    <n v="30.81"/>
    <n v="69.55"/>
    <x v="22"/>
    <n v="45"/>
    <x v="200"/>
    <n v="3.64"/>
  </r>
  <r>
    <x v="37"/>
    <n v="306"/>
    <n v="10"/>
    <n v="184"/>
    <n v="45"/>
    <n v="1"/>
    <n v="22"/>
    <n v="1"/>
    <n v="72"/>
    <n v="31"/>
    <n v="0"/>
    <n v="1"/>
    <x v="15"/>
    <n v="539"/>
    <n v="16"/>
    <n v="271"/>
    <n v="36"/>
    <n v="1"/>
    <n v="16"/>
    <n v="1"/>
    <n v="193"/>
    <n v="50"/>
    <n v="0"/>
    <n v="2"/>
    <s v="L"/>
    <n v="5"/>
    <n v="67.84"/>
    <n v="118.7"/>
    <n v="44.21"/>
    <n v="122.45"/>
    <n v="0.42"/>
    <n v="0.58000000000000007"/>
    <s v="N"/>
    <s v="N"/>
    <s v="N"/>
    <s v="N"/>
    <s v="N"/>
    <n v="85.52"/>
    <n v="103.78"/>
    <n v="58.24"/>
    <n v="107.83"/>
    <x v="47"/>
    <n v="26"/>
    <x v="201"/>
    <n v="12.82"/>
  </r>
  <r>
    <x v="37"/>
    <n v="306"/>
    <n v="20"/>
    <n v="219"/>
    <n v="36"/>
    <n v="0"/>
    <n v="17"/>
    <n v="1"/>
    <n v="83"/>
    <n v="42"/>
    <n v="1"/>
    <n v="1"/>
    <x v="31"/>
    <n v="301"/>
    <n v="41"/>
    <n v="210"/>
    <n v="22"/>
    <n v="3"/>
    <n v="12"/>
    <n v="0"/>
    <n v="308"/>
    <n v="55"/>
    <n v="2"/>
    <n v="2"/>
    <s v="L"/>
    <n v="6"/>
    <n v="72.040000000000006"/>
    <n v="72.98"/>
    <n v="42.28"/>
    <n v="75.53"/>
    <n v="0.28999999999999998"/>
    <n v="0.71"/>
    <s v="N"/>
    <s v="N"/>
    <s v="N"/>
    <s v="N"/>
    <s v="N"/>
    <n v="68.42"/>
    <n v="80.42"/>
    <n v="59.36"/>
    <n v="64.33"/>
    <x v="23"/>
    <n v="61"/>
    <x v="197"/>
    <n v="15.31"/>
  </r>
  <r>
    <x v="37"/>
    <n v="306"/>
    <n v="7"/>
    <n v="64"/>
    <n v="20"/>
    <n v="0"/>
    <n v="8"/>
    <n v="2"/>
    <n v="223"/>
    <n v="45"/>
    <n v="1"/>
    <n v="1"/>
    <x v="135"/>
    <n v="796"/>
    <n v="59"/>
    <n v="192"/>
    <n v="23"/>
    <n v="2"/>
    <n v="14"/>
    <n v="0"/>
    <n v="332"/>
    <n v="42"/>
    <n v="4"/>
    <n v="0"/>
    <s v="L"/>
    <n v="7"/>
    <n v="27.44"/>
    <n v="80.59"/>
    <n v="111.64"/>
    <n v="2.3199999999999932"/>
    <n v="0.35"/>
    <n v="0.65"/>
    <s v="N"/>
    <s v="N"/>
    <s v="N"/>
    <s v="N"/>
    <s v="N"/>
    <n v="30.99"/>
    <n v="113.86"/>
    <n v="140.85"/>
    <n v="3.39"/>
    <x v="48"/>
    <n v="66"/>
    <x v="202"/>
    <n v="29.21"/>
  </r>
  <r>
    <x v="37"/>
    <n v="306"/>
    <n v="24"/>
    <n v="197"/>
    <n v="24"/>
    <n v="1"/>
    <n v="16"/>
    <n v="0"/>
    <n v="217"/>
    <n v="47"/>
    <n v="2"/>
    <n v="0"/>
    <x v="136"/>
    <n v="312"/>
    <n v="45"/>
    <n v="253"/>
    <n v="16"/>
    <n v="4"/>
    <n v="12"/>
    <n v="0"/>
    <n v="203"/>
    <n v="42"/>
    <n v="2"/>
    <n v="0"/>
    <s v="L"/>
    <n v="8"/>
    <n v="117.65"/>
    <n v="1.3199999999999932"/>
    <n v="113.5"/>
    <n v="80.72"/>
    <n v="0.28000000000000003"/>
    <n v="0.72"/>
    <s v="N"/>
    <s v="N"/>
    <s v="N"/>
    <s v="N"/>
    <s v="N"/>
    <n v="107.52"/>
    <n v="1.58"/>
    <n v="128.38"/>
    <n v="78.55"/>
    <x v="23"/>
    <n v="69"/>
    <x v="203"/>
    <n v="24.19"/>
  </r>
  <r>
    <x v="38"/>
    <n v="312"/>
    <n v="34"/>
    <n v="246"/>
    <n v="26"/>
    <n v="2"/>
    <n v="15"/>
    <n v="0"/>
    <n v="148"/>
    <n v="33"/>
    <n v="1"/>
    <n v="1"/>
    <x v="137"/>
    <n v="692"/>
    <n v="7"/>
    <n v="156"/>
    <n v="28"/>
    <n v="0"/>
    <n v="17"/>
    <n v="2"/>
    <n v="140"/>
    <n v="45"/>
    <n v="1"/>
    <n v="0"/>
    <s v="W"/>
    <n v="1"/>
    <s v=" "/>
    <s v=" "/>
    <s v=" "/>
    <s v=" "/>
    <n v="0.38"/>
    <n v="0.62"/>
    <s v="Y"/>
    <s v="N"/>
    <s v="N"/>
    <s v="N"/>
    <s v="N"/>
    <s v=" "/>
    <s v=" "/>
    <s v=" "/>
    <s v=" "/>
    <x v="18"/>
    <n v="41"/>
    <x v="0"/>
    <s v=" "/>
  </r>
  <r>
    <x v="38"/>
    <n v="312"/>
    <n v="41"/>
    <n v="207"/>
    <n v="29"/>
    <n v="2"/>
    <n v="16"/>
    <n v="0"/>
    <n v="158"/>
    <n v="43"/>
    <n v="2"/>
    <n v="1"/>
    <x v="64"/>
    <n v="311"/>
    <n v="44"/>
    <n v="279"/>
    <n v="38"/>
    <n v="4"/>
    <n v="25"/>
    <n v="0"/>
    <n v="194"/>
    <n v="52"/>
    <n v="2"/>
    <n v="3"/>
    <s v="L"/>
    <n v="2"/>
    <n v="104.42"/>
    <n v="78.41"/>
    <n v="85.25"/>
    <n v="124.98"/>
    <n v="0.42"/>
    <n v="0.58000000000000007"/>
    <s v="N"/>
    <s v="N"/>
    <s v="N"/>
    <s v="N"/>
    <s v="N"/>
    <n v="98.03"/>
    <n v="65.739999999999995"/>
    <n v="84.57"/>
    <n v="109.07"/>
    <x v="22"/>
    <n v="85"/>
    <x v="204"/>
    <n v="43.23"/>
  </r>
  <r>
    <x v="38"/>
    <n v="312"/>
    <n v="31"/>
    <n v="399"/>
    <n v="48"/>
    <n v="3"/>
    <n v="31"/>
    <n v="1"/>
    <n v="76"/>
    <n v="33"/>
    <n v="1"/>
    <n v="0"/>
    <x v="82"/>
    <n v="545"/>
    <n v="27"/>
    <n v="285"/>
    <n v="34"/>
    <n v="3"/>
    <n v="24"/>
    <n v="2"/>
    <n v="137"/>
    <n v="37"/>
    <n v="0"/>
    <n v="1"/>
    <s v="W"/>
    <n v="3"/>
    <n v="113.01"/>
    <n v="88.14"/>
    <n v="57.98"/>
    <n v="122.21"/>
    <n v="0.48"/>
    <n v="0.52"/>
    <s v="N"/>
    <s v="N"/>
    <s v="N"/>
    <s v="N"/>
    <s v="N"/>
    <n v="119.49"/>
    <n v="69.260000000000005"/>
    <n v="69.599999999999994"/>
    <n v="112.72"/>
    <x v="27"/>
    <n v="58"/>
    <x v="205"/>
    <n v="21.44"/>
  </r>
  <r>
    <x v="38"/>
    <n v="312"/>
    <n v="45"/>
    <n v="273"/>
    <n v="33"/>
    <n v="3"/>
    <n v="22"/>
    <n v="0"/>
    <n v="180"/>
    <n v="34"/>
    <n v="3"/>
    <n v="1"/>
    <x v="43"/>
    <n v="498"/>
    <n v="17"/>
    <n v="293"/>
    <n v="44"/>
    <n v="0"/>
    <n v="29"/>
    <n v="0"/>
    <n v="59"/>
    <n v="30"/>
    <n v="2"/>
    <n v="0"/>
    <s v="W"/>
    <n v="4"/>
    <n v="125.39"/>
    <n v="97.8"/>
    <n v="127.24"/>
    <n v="144.37"/>
    <n v="0.59"/>
    <n v="0.41000000000000003"/>
    <s v="N"/>
    <s v="N"/>
    <s v="N"/>
    <s v="N"/>
    <s v="N"/>
    <n v="122.36"/>
    <n v="87.25"/>
    <n v="157.91"/>
    <n v="103.32"/>
    <x v="15"/>
    <n v="62"/>
    <x v="206"/>
    <n v="29.54"/>
  </r>
  <r>
    <x v="38"/>
    <n v="312"/>
    <n v="3"/>
    <n v="169"/>
    <n v="34"/>
    <n v="0"/>
    <n v="17"/>
    <n v="2"/>
    <n v="84"/>
    <n v="30"/>
    <n v="0"/>
    <n v="1"/>
    <x v="15"/>
    <n v="539"/>
    <n v="13"/>
    <n v="164"/>
    <n v="26"/>
    <n v="1"/>
    <n v="15"/>
    <n v="1"/>
    <n v="231"/>
    <n v="46"/>
    <n v="0"/>
    <n v="0"/>
    <s v="L"/>
    <n v="6"/>
    <n v="59.44"/>
    <n v="113.7"/>
    <n v="54.96"/>
    <n v="83.5"/>
    <n v="0.36"/>
    <n v="0.64"/>
    <s v="N"/>
    <s v="N"/>
    <s v="N"/>
    <s v="N"/>
    <s v="N"/>
    <n v="74.930000000000007"/>
    <n v="99.41"/>
    <n v="72.400000000000006"/>
    <n v="73.53"/>
    <x v="12"/>
    <n v="16"/>
    <x v="207"/>
    <n v="11.31"/>
  </r>
  <r>
    <x v="38"/>
    <n v="312"/>
    <n v="41"/>
    <n v="224"/>
    <n v="22"/>
    <n v="2"/>
    <n v="14"/>
    <n v="1"/>
    <n v="155"/>
    <n v="28"/>
    <n v="2"/>
    <n v="0"/>
    <x v="45"/>
    <n v="509"/>
    <n v="31"/>
    <n v="342"/>
    <n v="51"/>
    <n v="3"/>
    <n v="37"/>
    <n v="1"/>
    <n v="153"/>
    <n v="41"/>
    <n v="1"/>
    <n v="1"/>
    <s v="W"/>
    <n v="7"/>
    <n v="119.13"/>
    <n v="87.96"/>
    <n v="139.13999999999999"/>
    <n v="117.08"/>
    <n v="0.55000000000000004"/>
    <n v="0.44999999999999996"/>
    <s v="N"/>
    <s v="N"/>
    <s v="N"/>
    <s v="N"/>
    <s v="N"/>
    <n v="100.8"/>
    <n v="102.63"/>
    <n v="137.53"/>
    <n v="104.18"/>
    <x v="12"/>
    <n v="72"/>
    <x v="208"/>
    <n v="15.8"/>
  </r>
  <r>
    <x v="38"/>
    <n v="312"/>
    <n v="45"/>
    <n v="253"/>
    <n v="16"/>
    <n v="4"/>
    <n v="12"/>
    <n v="0"/>
    <n v="203"/>
    <n v="42"/>
    <n v="2"/>
    <n v="0"/>
    <x v="55"/>
    <n v="306"/>
    <n v="24"/>
    <n v="197"/>
    <n v="24"/>
    <n v="1"/>
    <n v="16"/>
    <n v="0"/>
    <n v="217"/>
    <n v="47"/>
    <n v="2"/>
    <n v="0"/>
    <s v="W"/>
    <n v="8"/>
    <n v="198.68"/>
    <n v="82.35"/>
    <n v="119.28"/>
    <n v="86.5"/>
    <n v="0.34"/>
    <n v="0.65999999999999992"/>
    <s v="N"/>
    <s v="N"/>
    <s v="N"/>
    <s v="N"/>
    <s v="N"/>
    <n v="161.74"/>
    <n v="67.069999999999993"/>
    <n v="99.67"/>
    <n v="61.7"/>
    <x v="23"/>
    <n v="69"/>
    <x v="203"/>
    <n v="24.19"/>
  </r>
  <r>
    <x v="39"/>
    <n v="311"/>
    <n v="20"/>
    <n v="187"/>
    <n v="40"/>
    <n v="1"/>
    <n v="18"/>
    <n v="3"/>
    <n v="141"/>
    <n v="39"/>
    <n v="2"/>
    <n v="1"/>
    <x v="138"/>
    <n v="504"/>
    <n v="19"/>
    <n v="181"/>
    <n v="32"/>
    <n v="1"/>
    <n v="15"/>
    <n v="0"/>
    <n v="204"/>
    <n v="42"/>
    <n v="1"/>
    <n v="1"/>
    <s v="W"/>
    <n v="1"/>
    <s v=" "/>
    <s v=" "/>
    <s v=" "/>
    <s v=" "/>
    <n v="0.43"/>
    <n v="0.57000000000000006"/>
    <s v="Y"/>
    <s v="N"/>
    <s v="N"/>
    <s v="N"/>
    <s v="N"/>
    <s v=" "/>
    <s v=" "/>
    <s v=" "/>
    <s v=" "/>
    <x v="3"/>
    <n v="39"/>
    <x v="0"/>
    <s v=" "/>
  </r>
  <r>
    <x v="39"/>
    <n v="311"/>
    <n v="44"/>
    <n v="279"/>
    <n v="38"/>
    <n v="4"/>
    <n v="25"/>
    <n v="0"/>
    <n v="194"/>
    <n v="52"/>
    <n v="2"/>
    <n v="3"/>
    <x v="136"/>
    <n v="312"/>
    <n v="41"/>
    <n v="207"/>
    <n v="29"/>
    <n v="2"/>
    <n v="16"/>
    <n v="0"/>
    <n v="158"/>
    <n v="43"/>
    <n v="2"/>
    <n v="1"/>
    <s v="W"/>
    <n v="2"/>
    <n v="121.59"/>
    <n v="95.58"/>
    <n v="75.02"/>
    <n v="114.75"/>
    <n v="0.4"/>
    <n v="0.6"/>
    <s v="N"/>
    <s v="N"/>
    <s v="N"/>
    <s v="N"/>
    <s v="N"/>
    <n v="111.13"/>
    <n v="114.71"/>
    <n v="84.85"/>
    <n v="111.66"/>
    <x v="22"/>
    <n v="85"/>
    <x v="204"/>
    <n v="43.23"/>
  </r>
  <r>
    <x v="39"/>
    <n v="311"/>
    <n v="24"/>
    <n v="240"/>
    <n v="30"/>
    <n v="2"/>
    <n v="19"/>
    <n v="3"/>
    <n v="101"/>
    <n v="34"/>
    <n v="1"/>
    <n v="0"/>
    <x v="83"/>
    <n v="164"/>
    <n v="20"/>
    <n v="231"/>
    <n v="36"/>
    <n v="1"/>
    <n v="15"/>
    <n v="1"/>
    <n v="112"/>
    <n v="42"/>
    <n v="1"/>
    <n v="2"/>
    <s v="W"/>
    <n v="3"/>
    <n v="86.93"/>
    <n v="127.53"/>
    <n v="73.33"/>
    <n v="148.85"/>
    <n v="0.46"/>
    <n v="0.54"/>
    <s v="N"/>
    <s v="N"/>
    <s v="N"/>
    <s v="N"/>
    <s v="N"/>
    <n v="96.58"/>
    <n v="107.17"/>
    <n v="99.54"/>
    <n v="82.3"/>
    <x v="27"/>
    <n v="44"/>
    <x v="127"/>
    <n v="10.92"/>
  </r>
  <r>
    <x v="39"/>
    <n v="311"/>
    <n v="14"/>
    <n v="251"/>
    <n v="51"/>
    <n v="1"/>
    <n v="28"/>
    <n v="1"/>
    <n v="129"/>
    <n v="38"/>
    <n v="1"/>
    <n v="2"/>
    <x v="84"/>
    <n v="703"/>
    <n v="37"/>
    <n v="255"/>
    <n v="24"/>
    <n v="2"/>
    <n v="14"/>
    <n v="0"/>
    <n v="145"/>
    <n v="40"/>
    <n v="1"/>
    <n v="0"/>
    <s v="L"/>
    <n v="5"/>
    <n v="78.78"/>
    <n v="71.259999999999991"/>
    <n v="66.92"/>
    <n v="112.15"/>
    <n v="0.38"/>
    <n v="0.62"/>
    <s v="N"/>
    <s v="N"/>
    <s v="N"/>
    <s v="N"/>
    <s v="N"/>
    <n v="97.23"/>
    <n v="72.290000000000006"/>
    <n v="71.02"/>
    <n v="99.96"/>
    <x v="9"/>
    <n v="51"/>
    <x v="209"/>
    <n v="32.44"/>
  </r>
  <r>
    <x v="39"/>
    <n v="311"/>
    <n v="26"/>
    <n v="244"/>
    <n v="35"/>
    <n v="3"/>
    <n v="17"/>
    <n v="1"/>
    <n v="181"/>
    <n v="33"/>
    <n v="1"/>
    <n v="1"/>
    <x v="139"/>
    <n v="51"/>
    <n v="49"/>
    <n v="212"/>
    <n v="30"/>
    <n v="1"/>
    <n v="22"/>
    <n v="0"/>
    <n v="395"/>
    <n v="67"/>
    <n v="5"/>
    <n v="2"/>
    <s v="L"/>
    <n v="6"/>
    <n v="90.85"/>
    <n v="83.15"/>
    <n v="122.7"/>
    <n v="60.990000000000009"/>
    <n v="0.31"/>
    <n v="0.69"/>
    <s v="N"/>
    <s v="N"/>
    <s v="N"/>
    <s v="N"/>
    <s v="N"/>
    <n v="93"/>
    <n v="127.77"/>
    <n v="110.56"/>
    <n v="66.87"/>
    <x v="9"/>
    <n v="75"/>
    <x v="60"/>
    <n v="54.36"/>
  </r>
  <r>
    <x v="39"/>
    <n v="311"/>
    <n v="17"/>
    <n v="186"/>
    <n v="40"/>
    <n v="0"/>
    <n v="20"/>
    <n v="1"/>
    <n v="157"/>
    <n v="36"/>
    <n v="1"/>
    <n v="2"/>
    <x v="30"/>
    <n v="434"/>
    <n v="52"/>
    <n v="289"/>
    <n v="29"/>
    <n v="3"/>
    <n v="20"/>
    <n v="2"/>
    <n v="294"/>
    <n v="58"/>
    <n v="4"/>
    <n v="1"/>
    <s v="L"/>
    <n v="7"/>
    <n v="67.84"/>
    <n v="81.89"/>
    <n v="88.68"/>
    <n v="77.23"/>
    <n v="0.33"/>
    <n v="0.66999999999999993"/>
    <s v="N"/>
    <s v="N"/>
    <s v="N"/>
    <s v="N"/>
    <s v="N"/>
    <n v="64.83"/>
    <n v="76.97"/>
    <n v="97.05"/>
    <n v="89.4"/>
    <x v="32"/>
    <n v="69"/>
    <x v="210"/>
    <n v="41.49"/>
  </r>
  <r>
    <x v="39"/>
    <n v="311"/>
    <n v="17"/>
    <n v="180"/>
    <n v="40"/>
    <n v="0"/>
    <n v="16"/>
    <n v="1"/>
    <n v="125"/>
    <n v="33"/>
    <n v="2"/>
    <n v="0"/>
    <x v="37"/>
    <n v="697"/>
    <n v="33"/>
    <n v="263"/>
    <n v="43"/>
    <n v="2"/>
    <n v="24"/>
    <n v="0"/>
    <n v="247"/>
    <n v="47"/>
    <n v="1"/>
    <n v="1"/>
    <s v="L"/>
    <n v="8"/>
    <n v="57.03"/>
    <n v="103.88"/>
    <n v="96.97"/>
    <n v="81.27"/>
    <n v="0.48"/>
    <n v="0.52"/>
    <s v="N"/>
    <s v="N"/>
    <s v="N"/>
    <s v="N"/>
    <s v="N"/>
    <n v="56.15"/>
    <n v="117.14"/>
    <n v="135.11000000000001"/>
    <n v="105.45"/>
    <x v="1"/>
    <n v="50"/>
    <x v="211"/>
    <n v="26.29"/>
  </r>
  <r>
    <x v="40"/>
    <n v="328"/>
    <n v="42"/>
    <n v="146"/>
    <n v="10"/>
    <n v="3"/>
    <n v="7"/>
    <n v="0"/>
    <n v="301"/>
    <n v="55"/>
    <n v="3"/>
    <n v="0"/>
    <x v="140"/>
    <n v="402"/>
    <n v="24"/>
    <n v="325"/>
    <n v="41"/>
    <n v="2"/>
    <n v="31"/>
    <n v="0"/>
    <n v="95"/>
    <n v="34"/>
    <n v="1"/>
    <n v="1"/>
    <s v="W"/>
    <n v="1"/>
    <s v=" "/>
    <n v="73.87"/>
    <n v="135.15"/>
    <n v="139.59"/>
    <n v="0.55000000000000004"/>
    <n v="0.44999999999999996"/>
    <s v="N"/>
    <s v="Y"/>
    <s v="N"/>
    <s v="N"/>
    <s v="N"/>
    <s v=" "/>
    <n v="48.98"/>
    <n v="175.28"/>
    <n v="215.53"/>
    <x v="30"/>
    <n v="66"/>
    <x v="0"/>
    <s v=" "/>
  </r>
  <r>
    <x v="40"/>
    <n v="328"/>
    <n v="45"/>
    <n v="281"/>
    <n v="30"/>
    <n v="3"/>
    <n v="21"/>
    <n v="0"/>
    <n v="253"/>
    <n v="60"/>
    <n v="3"/>
    <n v="1"/>
    <x v="44"/>
    <n v="503"/>
    <n v="42"/>
    <n v="315"/>
    <n v="33"/>
    <n v="2"/>
    <n v="27"/>
    <n v="0"/>
    <n v="147"/>
    <n v="29"/>
    <n v="4"/>
    <n v="0"/>
    <s v="W"/>
    <n v="2"/>
    <n v="136.05000000000001"/>
    <n v="57.069999999999993"/>
    <n v="100.33"/>
    <n v="61.710000000000008"/>
    <n v="0.53"/>
    <n v="0.47"/>
    <s v="N"/>
    <s v="N"/>
    <s v="N"/>
    <s v="N"/>
    <s v="N"/>
    <n v="134.86000000000001"/>
    <n v="60.07"/>
    <n v="110.89"/>
    <n v="78.209999999999994"/>
    <x v="22"/>
    <n v="87"/>
    <x v="212"/>
    <n v="6.69"/>
  </r>
  <r>
    <x v="40"/>
    <n v="328"/>
    <n v="24"/>
    <n v="211"/>
    <n v="27"/>
    <n v="1"/>
    <n v="17"/>
    <n v="0"/>
    <n v="151"/>
    <n v="42"/>
    <n v="2"/>
    <n v="0"/>
    <x v="141"/>
    <n v="255"/>
    <n v="66"/>
    <n v="164"/>
    <n v="7"/>
    <n v="2"/>
    <n v="4"/>
    <n v="0"/>
    <n v="604"/>
    <n v="50"/>
    <n v="7"/>
    <n v="0"/>
    <s v="L"/>
    <n v="3"/>
    <n v="111.11"/>
    <s v=" "/>
    <n v="90.55"/>
    <n v="-101.25999999999999"/>
    <n v="0.12"/>
    <n v="0.88"/>
    <s v="N"/>
    <s v="N"/>
    <s v="N"/>
    <s v="Y"/>
    <s v="N"/>
    <n v="134.72"/>
    <s v=" "/>
    <n v="76.61"/>
    <n v="-144.61000000000001"/>
    <x v="7"/>
    <n v="90"/>
    <x v="0"/>
    <s v=" "/>
  </r>
  <r>
    <x v="40"/>
    <n v="328"/>
    <n v="34"/>
    <n v="239"/>
    <n v="22"/>
    <n v="3"/>
    <n v="16"/>
    <n v="3"/>
    <n v="239"/>
    <n v="51"/>
    <n v="2"/>
    <n v="1"/>
    <x v="142"/>
    <n v="700"/>
    <n v="45"/>
    <n v="366"/>
    <n v="46"/>
    <n v="3"/>
    <n v="29"/>
    <n v="1"/>
    <n v="164"/>
    <n v="40"/>
    <n v="3"/>
    <n v="0"/>
    <s v="L"/>
    <n v="5"/>
    <n v="111.48"/>
    <n v="90.33"/>
    <n v="108.72"/>
    <n v="93.63"/>
    <n v="0.53"/>
    <n v="0.47"/>
    <s v="N"/>
    <s v="N"/>
    <s v="N"/>
    <s v="N"/>
    <s v="N"/>
    <n v="110.4"/>
    <n v="108.06"/>
    <n v="100.81"/>
    <n v="96.26"/>
    <x v="6"/>
    <n v="79"/>
    <x v="213"/>
    <n v="264.42"/>
  </r>
  <r>
    <x v="40"/>
    <n v="328"/>
    <n v="28"/>
    <n v="325"/>
    <n v="37"/>
    <n v="2"/>
    <n v="26"/>
    <n v="2"/>
    <n v="153"/>
    <n v="44"/>
    <n v="2"/>
    <n v="2"/>
    <x v="23"/>
    <n v="521"/>
    <n v="70"/>
    <n v="494"/>
    <n v="49"/>
    <n v="7"/>
    <n v="38"/>
    <n v="0"/>
    <n v="106"/>
    <n v="27"/>
    <n v="3"/>
    <n v="0"/>
    <s v="L"/>
    <n v="6"/>
    <n v="110.03"/>
    <n v="46.080000000000013"/>
    <n v="73.849999999999994"/>
    <n v="92.25"/>
    <n v="0.64"/>
    <n v="0.36"/>
    <s v="N"/>
    <s v="N"/>
    <s v="N"/>
    <s v="N"/>
    <s v="N"/>
    <n v="135.79"/>
    <n v="54.43"/>
    <n v="76.819999999999993"/>
    <n v="112.28"/>
    <x v="7"/>
    <n v="98"/>
    <x v="214"/>
    <n v="53.99"/>
  </r>
  <r>
    <x v="40"/>
    <n v="328"/>
    <n v="17"/>
    <n v="108"/>
    <n v="25"/>
    <n v="0"/>
    <n v="13"/>
    <n v="0"/>
    <n v="144"/>
    <n v="38"/>
    <n v="2"/>
    <n v="0"/>
    <x v="59"/>
    <n v="522"/>
    <n v="47"/>
    <n v="363"/>
    <n v="48"/>
    <n v="3"/>
    <n v="29"/>
    <n v="1"/>
    <n v="247"/>
    <n v="40"/>
    <n v="2"/>
    <n v="2"/>
    <s v="L"/>
    <n v="7"/>
    <n v="75.540000000000006"/>
    <n v="95.24"/>
    <n v="95.81"/>
    <n v="64.240000000000009"/>
    <n v="0.55000000000000004"/>
    <n v="0.44999999999999996"/>
    <s v="N"/>
    <s v="N"/>
    <s v="N"/>
    <s v="N"/>
    <s v="N"/>
    <n v="89.05"/>
    <n v="106.97"/>
    <n v="126.19"/>
    <n v="69.75"/>
    <x v="33"/>
    <n v="64"/>
    <x v="215"/>
    <n v="43.37"/>
  </r>
  <r>
    <x v="40"/>
    <n v="328"/>
    <n v="21"/>
    <n v="210"/>
    <n v="36"/>
    <n v="2"/>
    <n v="25"/>
    <n v="0"/>
    <n v="76"/>
    <n v="37"/>
    <n v="1"/>
    <n v="2"/>
    <x v="63"/>
    <n v="327"/>
    <n v="59"/>
    <n v="205"/>
    <n v="21"/>
    <n v="1"/>
    <n v="14"/>
    <n v="0"/>
    <n v="261"/>
    <n v="42"/>
    <n v="6"/>
    <n v="0"/>
    <s v="L"/>
    <n v="8"/>
    <n v="109.57"/>
    <n v="72.989999999999995"/>
    <n v="35.49"/>
    <n v="34.400000000000006"/>
    <n v="0.33"/>
    <n v="0.66999999999999993"/>
    <s v="N"/>
    <s v="N"/>
    <s v="N"/>
    <s v="N"/>
    <s v="N"/>
    <n v="112.09"/>
    <n v="75.37"/>
    <n v="43.63"/>
    <n v="41.83"/>
    <x v="8"/>
    <n v="80"/>
    <x v="216"/>
    <n v="25.75"/>
  </r>
  <r>
    <x v="41"/>
    <n v="327"/>
    <n v="10"/>
    <n v="128"/>
    <n v="21"/>
    <n v="1"/>
    <n v="13"/>
    <n v="1"/>
    <n v="175"/>
    <n v="56"/>
    <n v="0"/>
    <n v="4"/>
    <x v="143"/>
    <n v="202"/>
    <n v="7"/>
    <n v="119"/>
    <n v="26"/>
    <n v="0"/>
    <n v="9"/>
    <n v="2"/>
    <n v="10"/>
    <n v="27"/>
    <n v="1"/>
    <n v="0"/>
    <s v="W"/>
    <n v="1"/>
    <s v=" "/>
    <s v=" "/>
    <s v=" "/>
    <s v=" "/>
    <n v="0.49"/>
    <n v="0.51"/>
    <s v="Y"/>
    <s v="N"/>
    <s v="N"/>
    <s v="N"/>
    <s v="N"/>
    <s v=" "/>
    <s v=" "/>
    <s v=" "/>
    <s v=" "/>
    <x v="22"/>
    <n v="17"/>
    <x v="0"/>
    <s v=" "/>
  </r>
  <r>
    <x v="41"/>
    <n v="327"/>
    <n v="37"/>
    <n v="116"/>
    <n v="24"/>
    <n v="1"/>
    <n v="13"/>
    <n v="0"/>
    <n v="219"/>
    <n v="42"/>
    <n v="2"/>
    <n v="0"/>
    <x v="14"/>
    <n v="331"/>
    <n v="0"/>
    <n v="81"/>
    <n v="23"/>
    <n v="0"/>
    <n v="11"/>
    <n v="2"/>
    <n v="118"/>
    <n v="36"/>
    <n v="0"/>
    <n v="0"/>
    <s v="W"/>
    <n v="3"/>
    <n v="86.76"/>
    <n v="159.07"/>
    <n v="128.11000000000001"/>
    <n v="123.96"/>
    <n v="0.39"/>
    <n v="0.61"/>
    <s v="N"/>
    <s v="N"/>
    <s v="N"/>
    <s v="N"/>
    <s v="N"/>
    <n v="98.81"/>
    <n v="75.39"/>
    <n v="154.86000000000001"/>
    <n v="36.83"/>
    <x v="50"/>
    <n v="37"/>
    <x v="217"/>
    <n v="37.79"/>
  </r>
  <r>
    <x v="41"/>
    <n v="327"/>
    <n v="28"/>
    <n v="133"/>
    <n v="18"/>
    <n v="2"/>
    <n v="12"/>
    <n v="0"/>
    <n v="265"/>
    <n v="44"/>
    <n v="2"/>
    <n v="0"/>
    <x v="124"/>
    <n v="415"/>
    <n v="24"/>
    <n v="272"/>
    <n v="31"/>
    <n v="2"/>
    <n v="21"/>
    <n v="1"/>
    <n v="139"/>
    <n v="27"/>
    <n v="1"/>
    <n v="0"/>
    <s v="W"/>
    <n v="4"/>
    <n v="123.6"/>
    <n v="84.44"/>
    <n v="146.55000000000001"/>
    <n v="75.010000000000005"/>
    <n v="0.53"/>
    <n v="0.47"/>
    <s v="N"/>
    <s v="N"/>
    <s v="N"/>
    <s v="N"/>
    <s v="N"/>
    <n v="110.5"/>
    <n v="88.9"/>
    <n v="151.88999999999999"/>
    <n v="76.040000000000006"/>
    <x v="27"/>
    <n v="52"/>
    <x v="218"/>
    <n v="13.51"/>
  </r>
  <r>
    <x v="41"/>
    <n v="327"/>
    <n v="36"/>
    <n v="146"/>
    <n v="28"/>
    <n v="2"/>
    <n v="13"/>
    <n v="1"/>
    <n v="210"/>
    <n v="51"/>
    <n v="2"/>
    <n v="0"/>
    <x v="139"/>
    <n v="51"/>
    <n v="35"/>
    <n v="346"/>
    <n v="32"/>
    <n v="5"/>
    <n v="23"/>
    <n v="1"/>
    <n v="83"/>
    <n v="30"/>
    <n v="0"/>
    <n v="2"/>
    <s v="W"/>
    <n v="5"/>
    <n v="74.849999999999994"/>
    <n v="55.129999999999995"/>
    <n v="101.41"/>
    <n v="155.81"/>
    <n v="0.52"/>
    <n v="0.48"/>
    <s v="N"/>
    <s v="N"/>
    <s v="N"/>
    <s v="N"/>
    <s v="N"/>
    <n v="76.62"/>
    <n v="84.72"/>
    <n v="91.38"/>
    <n v="170.83"/>
    <x v="3"/>
    <n v="71"/>
    <x v="59"/>
    <n v="7.81"/>
  </r>
  <r>
    <x v="41"/>
    <n v="327"/>
    <n v="24"/>
    <n v="112"/>
    <n v="16"/>
    <n v="0"/>
    <n v="11"/>
    <n v="1"/>
    <n v="174"/>
    <n v="54"/>
    <n v="3"/>
    <n v="0"/>
    <x v="30"/>
    <n v="434"/>
    <n v="17"/>
    <n v="214"/>
    <n v="35"/>
    <n v="0"/>
    <n v="19"/>
    <n v="1"/>
    <n v="112"/>
    <n v="31"/>
    <n v="2"/>
    <n v="0"/>
    <s v="W"/>
    <n v="6"/>
    <n v="88.15"/>
    <n v="120.96"/>
    <n v="83.09"/>
    <n v="106.5"/>
    <n v="0.53"/>
    <n v="0.47"/>
    <s v="N"/>
    <s v="N"/>
    <s v="N"/>
    <s v="N"/>
    <s v="N"/>
    <n v="84.24"/>
    <n v="113.7"/>
    <n v="90.93"/>
    <n v="123.28"/>
    <x v="20"/>
    <n v="41"/>
    <x v="219"/>
    <n v="538.46"/>
  </r>
  <r>
    <x v="41"/>
    <n v="327"/>
    <n v="41"/>
    <n v="146"/>
    <n v="18"/>
    <n v="1"/>
    <n v="12"/>
    <n v="0"/>
    <n v="193"/>
    <n v="47"/>
    <n v="3"/>
    <n v="0"/>
    <x v="142"/>
    <n v="700"/>
    <n v="34"/>
    <n v="461"/>
    <n v="63"/>
    <n v="1"/>
    <n v="43"/>
    <n v="3"/>
    <n v="119"/>
    <n v="33"/>
    <n v="3"/>
    <n v="1"/>
    <s v="W"/>
    <n v="7"/>
    <n v="119.21"/>
    <n v="103.77"/>
    <n v="104.84"/>
    <n v="111.79"/>
    <n v="0.66"/>
    <n v="0.33999999999999997"/>
    <s v="N"/>
    <s v="N"/>
    <s v="N"/>
    <s v="N"/>
    <s v="N"/>
    <n v="118.05"/>
    <n v="124.13"/>
    <n v="97.22"/>
    <n v="114.93"/>
    <x v="20"/>
    <n v="75"/>
    <x v="220"/>
    <n v="17.670000000000002"/>
  </r>
  <r>
    <x v="41"/>
    <n v="327"/>
    <n v="59"/>
    <n v="205"/>
    <n v="21"/>
    <n v="1"/>
    <n v="14"/>
    <n v="0"/>
    <n v="261"/>
    <n v="42"/>
    <n v="6"/>
    <n v="0"/>
    <x v="122"/>
    <n v="328"/>
    <n v="21"/>
    <n v="210"/>
    <n v="36"/>
    <n v="2"/>
    <n v="25"/>
    <n v="0"/>
    <n v="76"/>
    <n v="37"/>
    <n v="1"/>
    <n v="2"/>
    <s v="W"/>
    <n v="8"/>
    <n v="127.01"/>
    <n v="90.43"/>
    <n v="165.6"/>
    <n v="164.51"/>
    <n v="0.49"/>
    <n v="0.51"/>
    <s v="N"/>
    <s v="N"/>
    <s v="N"/>
    <s v="N"/>
    <s v="N"/>
    <n v="92.21"/>
    <n v="98.54"/>
    <n v="90.98"/>
    <n v="150.38999999999999"/>
    <x v="8"/>
    <n v="80"/>
    <x v="216"/>
    <n v="25.75"/>
  </r>
  <r>
    <x v="42"/>
    <n v="331"/>
    <n v="33"/>
    <n v="94"/>
    <n v="19"/>
    <n v="1"/>
    <n v="10"/>
    <n v="0"/>
    <n v="187"/>
    <n v="49"/>
    <n v="3"/>
    <n v="1"/>
    <x v="144"/>
    <n v="646"/>
    <n v="25"/>
    <n v="281"/>
    <n v="38"/>
    <n v="1"/>
    <n v="14"/>
    <n v="3"/>
    <n v="93"/>
    <n v="27"/>
    <n v="2"/>
    <n v="1"/>
    <s v="W"/>
    <n v="4"/>
    <s v=" "/>
    <s v=" "/>
    <s v=" "/>
    <s v=" "/>
    <n v="0.57999999999999996"/>
    <n v="0.42000000000000004"/>
    <s v="Y"/>
    <s v="N"/>
    <s v="N"/>
    <s v="N"/>
    <s v="N"/>
    <s v=" "/>
    <s v=" "/>
    <s v=" "/>
    <s v=" "/>
    <x v="11"/>
    <n v="58"/>
    <x v="0"/>
    <s v=" "/>
  </r>
  <r>
    <x v="42"/>
    <n v="331"/>
    <n v="7"/>
    <n v="99"/>
    <n v="47"/>
    <n v="1"/>
    <n v="20"/>
    <n v="1"/>
    <n v="-9"/>
    <n v="23"/>
    <n v="0"/>
    <n v="0"/>
    <x v="36"/>
    <n v="8"/>
    <n v="48"/>
    <n v="299"/>
    <n v="37"/>
    <n v="1"/>
    <n v="21"/>
    <n v="4"/>
    <n v="183"/>
    <n v="35"/>
    <n v="5"/>
    <n v="1"/>
    <s v="L"/>
    <n v="1"/>
    <n v="50.84"/>
    <n v="127.58"/>
    <n v="-9.08"/>
    <n v="65.84"/>
    <n v="0.51"/>
    <n v="0.49"/>
    <s v="N"/>
    <s v="N"/>
    <s v="N"/>
    <s v="N"/>
    <s v="N"/>
    <n v="68.349999999999994"/>
    <n v="143.51"/>
    <n v="-15.28"/>
    <n v="97.06"/>
    <x v="13"/>
    <n v="55"/>
    <x v="10"/>
    <n v="24.88"/>
  </r>
  <r>
    <x v="42"/>
    <n v="331"/>
    <n v="12"/>
    <n v="114"/>
    <n v="33"/>
    <n v="1"/>
    <n v="15"/>
    <n v="1"/>
    <n v="72"/>
    <n v="34"/>
    <n v="0"/>
    <n v="3"/>
    <x v="114"/>
    <n v="671"/>
    <n v="20"/>
    <n v="46"/>
    <n v="15"/>
    <n v="0"/>
    <n v="7"/>
    <n v="1"/>
    <n v="113"/>
    <n v="51"/>
    <n v="1"/>
    <n v="2"/>
    <s v="L"/>
    <n v="2"/>
    <n v="59.74"/>
    <n v="156.62"/>
    <n v="22.66"/>
    <n v="157.42000000000002"/>
    <n v="0.23"/>
    <n v="0.77"/>
    <s v="N"/>
    <s v="N"/>
    <s v="N"/>
    <s v="N"/>
    <s v="N"/>
    <n v="61.03"/>
    <n v="168.91"/>
    <n v="25.98"/>
    <n v="122.49"/>
    <x v="11"/>
    <n v="32"/>
    <x v="221"/>
    <n v="224.72"/>
  </r>
  <r>
    <x v="42"/>
    <n v="331"/>
    <n v="0"/>
    <n v="81"/>
    <n v="23"/>
    <n v="0"/>
    <n v="11"/>
    <n v="2"/>
    <n v="118"/>
    <n v="36"/>
    <n v="0"/>
    <n v="0"/>
    <x v="63"/>
    <n v="327"/>
    <n v="37"/>
    <n v="116"/>
    <n v="24"/>
    <n v="1"/>
    <n v="13"/>
    <n v="0"/>
    <n v="219"/>
    <n v="42"/>
    <n v="2"/>
    <n v="0"/>
    <s v="L"/>
    <n v="3"/>
    <n v="40.93"/>
    <n v="113.24"/>
    <n v="76.040000000000006"/>
    <n v="71.889999999999986"/>
    <n v="0.36"/>
    <n v="0.64"/>
    <s v="N"/>
    <s v="N"/>
    <s v="N"/>
    <s v="N"/>
    <s v="N"/>
    <n v="41.87"/>
    <n v="116.94"/>
    <n v="93.48"/>
    <n v="87.42"/>
    <x v="50"/>
    <n v="37"/>
    <x v="222"/>
    <n v="37.79"/>
  </r>
  <r>
    <x v="42"/>
    <n v="331"/>
    <n v="10"/>
    <n v="117"/>
    <n v="36"/>
    <n v="0"/>
    <n v="15"/>
    <n v="3"/>
    <n v="83"/>
    <n v="32"/>
    <n v="1"/>
    <n v="1"/>
    <x v="13"/>
    <n v="519"/>
    <n v="17"/>
    <n v="276"/>
    <n v="42"/>
    <n v="2"/>
    <n v="28"/>
    <n v="0"/>
    <n v="115"/>
    <n v="39"/>
    <n v="0"/>
    <n v="1"/>
    <s v="L"/>
    <n v="5"/>
    <n v="34.380000000000003"/>
    <n v="90.38"/>
    <n v="55.49"/>
    <n v="139.28"/>
    <n v="0.52"/>
    <n v="0.48"/>
    <s v="N"/>
    <s v="N"/>
    <s v="N"/>
    <s v="N"/>
    <s v="N"/>
    <n v="41.06"/>
    <n v="103.1"/>
    <n v="71.709999999999994"/>
    <n v="138.58000000000001"/>
    <x v="20"/>
    <n v="27"/>
    <x v="223"/>
    <n v="8.6999999999999993"/>
  </r>
  <r>
    <x v="42"/>
    <n v="331"/>
    <n v="10"/>
    <n v="63"/>
    <n v="24"/>
    <n v="0"/>
    <n v="6"/>
    <n v="1"/>
    <n v="1"/>
    <n v="38"/>
    <n v="0"/>
    <n v="2"/>
    <x v="44"/>
    <n v="503"/>
    <n v="40"/>
    <n v="135"/>
    <n v="19"/>
    <n v="1"/>
    <n v="15"/>
    <n v="0"/>
    <n v="209"/>
    <n v="43"/>
    <n v="2"/>
    <n v="3"/>
    <s v="L"/>
    <n v="6"/>
    <n v="26.81"/>
    <n v="74.430000000000007"/>
    <n v="-15.18"/>
    <n v="101.19"/>
    <n v="0.31"/>
    <n v="0.69"/>
    <s v="N"/>
    <s v="N"/>
    <s v="N"/>
    <s v="N"/>
    <s v="N"/>
    <n v="26.57"/>
    <n v="78.34"/>
    <n v="-16.78"/>
    <n v="128.25"/>
    <x v="33"/>
    <n v="50"/>
    <x v="224"/>
    <n v="14.1"/>
  </r>
  <r>
    <x v="42"/>
    <n v="331"/>
    <n v="3"/>
    <n v="169"/>
    <n v="31"/>
    <n v="0"/>
    <n v="16"/>
    <n v="1"/>
    <n v="75"/>
    <n v="36"/>
    <n v="0"/>
    <n v="0"/>
    <x v="48"/>
    <n v="414"/>
    <n v="9"/>
    <n v="125"/>
    <n v="27"/>
    <n v="1"/>
    <n v="13"/>
    <n v="0"/>
    <n v="41"/>
    <n v="34"/>
    <n v="0"/>
    <n v="2"/>
    <s v="L"/>
    <n v="7"/>
    <n v="71.650000000000006"/>
    <n v="121.06"/>
    <n v="48.33"/>
    <n v="189.67"/>
    <n v="0.44"/>
    <n v="0.56000000000000005"/>
    <s v="N"/>
    <s v="N"/>
    <s v="N"/>
    <s v="N"/>
    <s v="N"/>
    <n v="72.790000000000006"/>
    <n v="117.22"/>
    <n v="48.67"/>
    <n v="78.599999999999994"/>
    <x v="47"/>
    <n v="12"/>
    <x v="225"/>
    <n v="19.54"/>
  </r>
  <r>
    <x v="43"/>
    <n v="334"/>
    <n v="14"/>
    <n v="97"/>
    <n v="18"/>
    <n v="1"/>
    <n v="7"/>
    <n v="3"/>
    <n v="93"/>
    <n v="33"/>
    <n v="1"/>
    <n v="0"/>
    <x v="42"/>
    <n v="772"/>
    <n v="3"/>
    <n v="93"/>
    <n v="27"/>
    <n v="0"/>
    <n v="9"/>
    <n v="4"/>
    <n v="141"/>
    <n v="42"/>
    <n v="0"/>
    <n v="0"/>
    <s v="W"/>
    <n v="1"/>
    <n v="26.59"/>
    <n v="192.34"/>
    <n v="69.930000000000007"/>
    <n v="122.11"/>
    <n v="0.39"/>
    <n v="0.61"/>
    <s v="N"/>
    <s v="N"/>
    <s v="N"/>
    <s v="N"/>
    <s v="N"/>
    <n v="31.61"/>
    <n v="154.04"/>
    <n v="78.41"/>
    <n v="116.38"/>
    <x v="6"/>
    <n v="17"/>
    <x v="226"/>
    <n v="100.27"/>
  </r>
  <r>
    <x v="43"/>
    <n v="334"/>
    <n v="27"/>
    <n v="114"/>
    <n v="18"/>
    <n v="1"/>
    <n v="9"/>
    <n v="1"/>
    <n v="230"/>
    <n v="37"/>
    <n v="2"/>
    <n v="1"/>
    <x v="60"/>
    <n v="129"/>
    <n v="13"/>
    <n v="295"/>
    <n v="45"/>
    <n v="1"/>
    <n v="24"/>
    <n v="2"/>
    <n v="88"/>
    <n v="32"/>
    <n v="0"/>
    <n v="0"/>
    <s v="W"/>
    <n v="2"/>
    <n v="76.180000000000007"/>
    <n v="120.94"/>
    <n v="144.22"/>
    <n v="136.19999999999999"/>
    <n v="0.57999999999999996"/>
    <n v="0.42000000000000004"/>
    <s v="N"/>
    <s v="N"/>
    <s v="N"/>
    <s v="N"/>
    <s v="N"/>
    <n v="71.06"/>
    <n v="111.82"/>
    <n v="125.03"/>
    <n v="126.39"/>
    <x v="5"/>
    <n v="40"/>
    <x v="98"/>
    <n v="18.059999999999999"/>
  </r>
  <r>
    <x v="43"/>
    <n v="334"/>
    <n v="17"/>
    <n v="255"/>
    <n v="42"/>
    <n v="2"/>
    <n v="27"/>
    <n v="0"/>
    <n v="35"/>
    <n v="32"/>
    <n v="0"/>
    <n v="1"/>
    <x v="96"/>
    <n v="367"/>
    <n v="24"/>
    <n v="146"/>
    <n v="22"/>
    <n v="3"/>
    <n v="12"/>
    <n v="0"/>
    <n v="181"/>
    <n v="40"/>
    <n v="0"/>
    <n v="0"/>
    <s v="L"/>
    <n v="3"/>
    <n v="104.52"/>
    <n v="88.83"/>
    <n v="16"/>
    <n v="95.02"/>
    <n v="0.35"/>
    <n v="0.65"/>
    <s v="N"/>
    <s v="N"/>
    <s v="N"/>
    <s v="N"/>
    <s v="N"/>
    <n v="96.48"/>
    <n v="85.35"/>
    <n v="22.07"/>
    <n v="69.69"/>
    <x v="20"/>
    <n v="41"/>
    <x v="227"/>
    <n v="7.32"/>
  </r>
  <r>
    <x v="43"/>
    <n v="334"/>
    <n v="10"/>
    <n v="165"/>
    <n v="44"/>
    <n v="1"/>
    <n v="22"/>
    <n v="2"/>
    <n v="134"/>
    <n v="36"/>
    <n v="0"/>
    <n v="2"/>
    <x v="18"/>
    <n v="235"/>
    <n v="48"/>
    <n v="115"/>
    <n v="18"/>
    <n v="1"/>
    <n v="8"/>
    <n v="1"/>
    <n v="405"/>
    <n v="46"/>
    <n v="4"/>
    <n v="2"/>
    <s v="L"/>
    <n v="4"/>
    <n v="60.21"/>
    <n v="129.07"/>
    <n v="69.69"/>
    <n v="-4.2599999999999909"/>
    <n v="0.28000000000000003"/>
    <n v="0.72"/>
    <s v="N"/>
    <s v="N"/>
    <s v="N"/>
    <s v="N"/>
    <s v="N"/>
    <n v="73.34"/>
    <n v="117.77"/>
    <n v="90.96"/>
    <n v="-4.1500000000000004"/>
    <x v="8"/>
    <n v="58"/>
    <x v="228"/>
    <n v="26.15"/>
  </r>
  <r>
    <x v="43"/>
    <n v="334"/>
    <n v="7"/>
    <n v="66"/>
    <n v="25"/>
    <n v="1"/>
    <n v="7"/>
    <n v="0"/>
    <n v="89"/>
    <n v="39"/>
    <n v="0"/>
    <n v="1"/>
    <x v="54"/>
    <n v="365"/>
    <n v="35"/>
    <n v="169"/>
    <n v="21"/>
    <n v="1"/>
    <n v="8"/>
    <n v="0"/>
    <n v="179"/>
    <n v="46"/>
    <n v="3"/>
    <n v="0"/>
    <s v="L"/>
    <n v="5"/>
    <n v="48.39"/>
    <n v="110.9"/>
    <n v="45.25"/>
    <n v="99.94"/>
    <n v="0.31"/>
    <n v="0.69"/>
    <s v="N"/>
    <s v="N"/>
    <s v="N"/>
    <s v="N"/>
    <s v="N"/>
    <n v="64.56"/>
    <n v="122.44"/>
    <n v="63.21"/>
    <n v="107.8"/>
    <x v="15"/>
    <n v="42"/>
    <x v="229"/>
    <n v="29.31"/>
  </r>
  <r>
    <x v="43"/>
    <n v="334"/>
    <n v="3"/>
    <n v="17"/>
    <n v="26"/>
    <n v="0"/>
    <n v="4"/>
    <n v="4"/>
    <n v="79"/>
    <n v="27"/>
    <n v="0"/>
    <n v="2"/>
    <x v="53"/>
    <n v="648"/>
    <n v="54"/>
    <n v="351"/>
    <n v="43"/>
    <n v="5"/>
    <n v="30"/>
    <n v="0"/>
    <n v="288"/>
    <n v="48"/>
    <n v="2"/>
    <n v="1"/>
    <s v="L"/>
    <n v="6"/>
    <n v="-27.21"/>
    <n v="68.300000000000011"/>
    <n v="45.66"/>
    <n v="60.800000000000011"/>
    <n v="0.47"/>
    <n v="0.53"/>
    <s v="N"/>
    <s v="N"/>
    <s v="N"/>
    <s v="N"/>
    <s v="N"/>
    <n v="-38.64"/>
    <n v="55.48"/>
    <n v="60.3"/>
    <n v="68.099999999999994"/>
    <x v="42"/>
    <n v="57"/>
    <x v="230"/>
    <n v="20.2"/>
  </r>
  <r>
    <x v="43"/>
    <n v="334"/>
    <n v="38"/>
    <n v="105"/>
    <n v="16"/>
    <n v="2"/>
    <n v="10"/>
    <n v="0"/>
    <n v="340"/>
    <n v="55"/>
    <n v="2"/>
    <n v="2"/>
    <x v="145"/>
    <n v="315"/>
    <n v="14"/>
    <n v="112"/>
    <n v="25"/>
    <n v="1"/>
    <n v="11"/>
    <n v="2"/>
    <n v="158"/>
    <n v="33"/>
    <n v="0"/>
    <n v="1"/>
    <s v="W"/>
    <n v="8"/>
    <s v=" "/>
    <s v=" "/>
    <s v=" "/>
    <s v=" "/>
    <n v="0.43"/>
    <n v="0.57000000000000006"/>
    <s v="Y"/>
    <s v="N"/>
    <s v="N"/>
    <s v="N"/>
    <s v="N"/>
    <s v=" "/>
    <s v=" "/>
    <s v=" "/>
    <s v=" "/>
    <x v="14"/>
    <n v="52"/>
    <x v="0"/>
    <s v=" "/>
  </r>
  <r>
    <x v="44"/>
    <n v="671"/>
    <n v="38"/>
    <n v="138"/>
    <n v="15"/>
    <n v="1"/>
    <n v="7"/>
    <n v="1"/>
    <n v="142"/>
    <n v="41"/>
    <n v="2"/>
    <n v="1"/>
    <x v="146"/>
    <n v="483"/>
    <n v="21"/>
    <n v="129"/>
    <n v="22"/>
    <n v="2"/>
    <n v="11"/>
    <n v="1"/>
    <n v="96"/>
    <n v="41"/>
    <n v="1"/>
    <n v="2"/>
    <s v="W"/>
    <n v="3"/>
    <s v=" "/>
    <s v=" "/>
    <s v=" "/>
    <s v=" "/>
    <n v="0.35"/>
    <n v="0.65"/>
    <s v="Y"/>
    <s v="N"/>
    <s v="N"/>
    <s v="N"/>
    <s v="N"/>
    <s v=" "/>
    <s v=" "/>
    <s v=" "/>
    <s v=" "/>
    <x v="0"/>
    <n v="59"/>
    <x v="0"/>
    <s v=" "/>
  </r>
  <r>
    <x v="44"/>
    <n v="671"/>
    <n v="34"/>
    <n v="212"/>
    <n v="37"/>
    <n v="0"/>
    <n v="20"/>
    <n v="1"/>
    <n v="108"/>
    <n v="37"/>
    <n v="2"/>
    <n v="1"/>
    <x v="23"/>
    <n v="521"/>
    <n v="61"/>
    <n v="458"/>
    <n v="43"/>
    <n v="4"/>
    <n v="28"/>
    <n v="3"/>
    <n v="208"/>
    <n v="44"/>
    <n v="3"/>
    <n v="0"/>
    <s v="L"/>
    <n v="1"/>
    <n v="77.17"/>
    <n v="83.81"/>
    <n v="67.72"/>
    <n v="80.099999999999994"/>
    <n v="0.49"/>
    <n v="0.51"/>
    <s v="N"/>
    <s v="N"/>
    <s v="N"/>
    <s v="N"/>
    <s v="N"/>
    <n v="95.24"/>
    <n v="99"/>
    <n v="70.45"/>
    <n v="97.49"/>
    <x v="18"/>
    <n v="95"/>
    <x v="231"/>
    <n v="29.61"/>
  </r>
  <r>
    <x v="44"/>
    <n v="671"/>
    <n v="20"/>
    <n v="46"/>
    <n v="15"/>
    <n v="0"/>
    <n v="7"/>
    <n v="1"/>
    <n v="113"/>
    <n v="51"/>
    <n v="1"/>
    <n v="2"/>
    <x v="14"/>
    <n v="331"/>
    <n v="12"/>
    <n v="114"/>
    <n v="33"/>
    <n v="1"/>
    <n v="15"/>
    <n v="1"/>
    <n v="72"/>
    <n v="34"/>
    <n v="0"/>
    <n v="3"/>
    <s v="W"/>
    <n v="2"/>
    <n v="43.38"/>
    <n v="140.26"/>
    <n v="42.58"/>
    <n v="177.34"/>
    <n v="0.49"/>
    <n v="0.51"/>
    <s v="N"/>
    <s v="N"/>
    <s v="N"/>
    <s v="N"/>
    <s v="N"/>
    <n v="49.4"/>
    <n v="66.47"/>
    <n v="51.47"/>
    <n v="52.69"/>
    <x v="11"/>
    <n v="32"/>
    <x v="232"/>
    <n v="224.72"/>
  </r>
  <r>
    <x v="44"/>
    <n v="671"/>
    <n v="36"/>
    <n v="232"/>
    <n v="30"/>
    <n v="3"/>
    <n v="15"/>
    <n v="0"/>
    <n v="187"/>
    <n v="33"/>
    <n v="1"/>
    <n v="0"/>
    <x v="12"/>
    <n v="231"/>
    <n v="31"/>
    <n v="224"/>
    <n v="30"/>
    <n v="0"/>
    <n v="18"/>
    <n v="1"/>
    <n v="190"/>
    <n v="44"/>
    <n v="4"/>
    <n v="0"/>
    <s v="W"/>
    <n v="4"/>
    <n v="107.15"/>
    <n v="109.31"/>
    <n v="136.01"/>
    <n v="86.18"/>
    <n v="0.41"/>
    <n v="0.59000000000000008"/>
    <s v="N"/>
    <s v="N"/>
    <s v="N"/>
    <s v="N"/>
    <s v="N"/>
    <n v="110.25"/>
    <n v="117.99"/>
    <n v="162.94999999999999"/>
    <n v="74.77"/>
    <x v="28"/>
    <n v="67"/>
    <x v="148"/>
    <n v="12.94"/>
  </r>
  <r>
    <x v="44"/>
    <n v="671"/>
    <n v="37"/>
    <n v="329"/>
    <n v="34"/>
    <n v="2"/>
    <n v="26"/>
    <n v="0"/>
    <n v="130"/>
    <n v="43"/>
    <n v="2"/>
    <n v="2"/>
    <x v="52"/>
    <n v="229"/>
    <n v="34"/>
    <n v="219"/>
    <n v="38"/>
    <n v="3"/>
    <n v="20"/>
    <n v="1"/>
    <n v="105"/>
    <n v="27"/>
    <n v="1"/>
    <n v="0"/>
    <s v="W"/>
    <n v="5"/>
    <n v="138.03"/>
    <n v="112.01"/>
    <n v="63.16"/>
    <n v="104.22"/>
    <n v="0.57999999999999996"/>
    <n v="0.42000000000000004"/>
    <s v="N"/>
    <s v="N"/>
    <s v="N"/>
    <s v="N"/>
    <s v="N"/>
    <n v="138.30000000000001"/>
    <n v="78.900000000000006"/>
    <n v="66.17"/>
    <n v="57.92"/>
    <x v="22"/>
    <n v="71"/>
    <x v="151"/>
    <n v="17.22"/>
  </r>
  <r>
    <x v="44"/>
    <n v="671"/>
    <n v="31"/>
    <n v="265"/>
    <n v="32"/>
    <n v="2"/>
    <n v="23"/>
    <n v="0"/>
    <n v="117"/>
    <n v="40"/>
    <n v="1"/>
    <n v="1"/>
    <x v="35"/>
    <n v="716"/>
    <n v="17"/>
    <n v="325"/>
    <n v="55"/>
    <n v="2"/>
    <n v="39"/>
    <n v="1"/>
    <n v="77"/>
    <n v="27"/>
    <n v="0"/>
    <n v="1"/>
    <s v="W"/>
    <n v="6"/>
    <n v="126.38"/>
    <n v="96.89"/>
    <n v="64.11"/>
    <n v="144.94999999999999"/>
    <n v="0.67"/>
    <n v="0.32999999999999996"/>
    <s v="N"/>
    <s v="N"/>
    <s v="N"/>
    <s v="N"/>
    <s v="N"/>
    <n v="111.98"/>
    <n v="88.32"/>
    <n v="65.8"/>
    <n v="98.66"/>
    <x v="5"/>
    <n v="48"/>
    <x v="233"/>
    <n v="43.3"/>
  </r>
  <r>
    <x v="44"/>
    <n v="671"/>
    <n v="30"/>
    <n v="250"/>
    <n v="22"/>
    <n v="4"/>
    <n v="15"/>
    <n v="0"/>
    <n v="95"/>
    <n v="36"/>
    <n v="0"/>
    <n v="2"/>
    <x v="16"/>
    <n v="497"/>
    <n v="10"/>
    <n v="144"/>
    <n v="26"/>
    <n v="0"/>
    <n v="14"/>
    <n v="1"/>
    <n v="88"/>
    <n v="38"/>
    <n v="1"/>
    <n v="1"/>
    <s v="W"/>
    <n v="7"/>
    <n v="157.38999999999999"/>
    <n v="127.51"/>
    <n v="44.56"/>
    <n v="150.22"/>
    <n v="0.41"/>
    <n v="0.59000000000000008"/>
    <s v="N"/>
    <s v="N"/>
    <s v="N"/>
    <s v="N"/>
    <s v="N"/>
    <n v="147.35"/>
    <n v="113.91"/>
    <n v="43.11"/>
    <n v="101.17"/>
    <x v="37"/>
    <n v="40"/>
    <x v="234"/>
    <n v="25.1"/>
  </r>
  <r>
    <x v="44"/>
    <n v="671"/>
    <n v="23"/>
    <n v="419"/>
    <n v="52"/>
    <n v="2"/>
    <n v="32"/>
    <n v="1"/>
    <n v="121"/>
    <n v="21"/>
    <n v="1"/>
    <n v="1"/>
    <x v="42"/>
    <n v="772"/>
    <n v="42"/>
    <n v="273"/>
    <n v="19"/>
    <n v="1"/>
    <n v="16"/>
    <n v="1"/>
    <n v="234"/>
    <n v="44"/>
    <n v="5"/>
    <n v="0"/>
    <s v="L"/>
    <n v="8"/>
    <n v="105.45"/>
    <n v="45.379999999999995"/>
    <n v="126.53"/>
    <n v="59.569999999999993"/>
    <n v="0.3"/>
    <n v="0.7"/>
    <s v="N"/>
    <s v="N"/>
    <s v="N"/>
    <s v="N"/>
    <s v="N"/>
    <n v="125.36"/>
    <n v="36.340000000000003"/>
    <n v="141.87"/>
    <n v="56.78"/>
    <x v="31"/>
    <n v="65"/>
    <x v="235"/>
    <n v="30.13"/>
  </r>
  <r>
    <x v="45"/>
    <n v="498"/>
    <n v="35"/>
    <n v="205"/>
    <n v="37"/>
    <n v="2"/>
    <n v="19"/>
    <n v="1"/>
    <n v="247"/>
    <n v="48"/>
    <n v="3"/>
    <n v="2"/>
    <x v="147"/>
    <n v="261"/>
    <n v="7"/>
    <n v="118"/>
    <n v="21"/>
    <n v="1"/>
    <n v="10"/>
    <n v="2"/>
    <n v="26"/>
    <n v="30"/>
    <n v="0"/>
    <n v="0"/>
    <s v="W"/>
    <n v="2"/>
    <s v=" "/>
    <s v=" "/>
    <s v=" "/>
    <s v=" "/>
    <n v="0.41"/>
    <n v="0.59000000000000008"/>
    <s v="Y"/>
    <s v="N"/>
    <s v="N"/>
    <s v="N"/>
    <s v="N"/>
    <s v=" "/>
    <s v=" "/>
    <s v=" "/>
    <s v=" "/>
    <x v="15"/>
    <n v="42"/>
    <x v="0"/>
    <s v=" "/>
  </r>
  <r>
    <x v="45"/>
    <n v="498"/>
    <n v="0"/>
    <n v="92"/>
    <n v="22"/>
    <n v="0"/>
    <n v="12"/>
    <n v="1"/>
    <n v="99"/>
    <n v="39"/>
    <n v="0"/>
    <n v="0"/>
    <x v="98"/>
    <n v="234"/>
    <n v="34"/>
    <n v="280"/>
    <n v="35"/>
    <n v="3"/>
    <n v="23"/>
    <n v="1"/>
    <n v="92"/>
    <n v="28"/>
    <n v="1"/>
    <n v="0"/>
    <s v="L"/>
    <n v="1"/>
    <n v="63.7"/>
    <n v="86.4"/>
    <n v="58.89"/>
    <n v="118.41"/>
    <n v="0.56000000000000005"/>
    <n v="0.43999999999999995"/>
    <s v="N"/>
    <s v="N"/>
    <s v="N"/>
    <s v="N"/>
    <s v="N"/>
    <n v="65.62"/>
    <n v="84.96"/>
    <n v="84.16"/>
    <n v="97.7"/>
    <x v="16"/>
    <n v="34"/>
    <x v="236"/>
    <n v="46.83"/>
  </r>
  <r>
    <x v="45"/>
    <n v="498"/>
    <n v="17"/>
    <n v="232"/>
    <n v="42"/>
    <n v="2"/>
    <n v="29"/>
    <n v="0"/>
    <n v="82"/>
    <n v="26"/>
    <n v="0"/>
    <n v="1"/>
    <x v="1"/>
    <n v="698"/>
    <n v="38"/>
    <n v="204"/>
    <n v="23"/>
    <n v="1"/>
    <n v="15"/>
    <n v="0"/>
    <n v="207"/>
    <n v="45"/>
    <n v="3"/>
    <n v="2"/>
    <s v="L"/>
    <n v="3"/>
    <n v="106.3"/>
    <n v="79.92"/>
    <n v="61.63"/>
    <n v="96.61"/>
    <n v="0.34"/>
    <n v="0.65999999999999992"/>
    <s v="N"/>
    <s v="N"/>
    <s v="N"/>
    <s v="N"/>
    <s v="N"/>
    <n v="95.1"/>
    <n v="97.68"/>
    <n v="75.84"/>
    <n v="115.89"/>
    <x v="23"/>
    <n v="55"/>
    <x v="237"/>
    <n v="37.81"/>
  </r>
  <r>
    <x v="45"/>
    <n v="498"/>
    <n v="17"/>
    <n v="293"/>
    <n v="44"/>
    <n v="0"/>
    <n v="29"/>
    <n v="0"/>
    <n v="59"/>
    <n v="30"/>
    <n v="2"/>
    <n v="0"/>
    <x v="136"/>
    <n v="312"/>
    <n v="45"/>
    <n v="273"/>
    <n v="33"/>
    <n v="3"/>
    <n v="22"/>
    <n v="0"/>
    <n v="180"/>
    <n v="34"/>
    <n v="3"/>
    <n v="1"/>
    <s v="L"/>
    <n v="4"/>
    <n v="102.2"/>
    <n v="74.61"/>
    <n v="55.63"/>
    <n v="72.760000000000005"/>
    <n v="0.49"/>
    <n v="0.51"/>
    <s v="N"/>
    <s v="N"/>
    <s v="N"/>
    <s v="N"/>
    <s v="N"/>
    <n v="93.4"/>
    <n v="89.54"/>
    <n v="62.92"/>
    <n v="70.8"/>
    <x v="15"/>
    <n v="62"/>
    <x v="238"/>
    <n v="29.54"/>
  </r>
  <r>
    <x v="45"/>
    <n v="498"/>
    <n v="19"/>
    <n v="298"/>
    <n v="55"/>
    <n v="2"/>
    <n v="26"/>
    <n v="3"/>
    <n v="69"/>
    <n v="37"/>
    <n v="0"/>
    <n v="1"/>
    <x v="115"/>
    <n v="30"/>
    <n v="24"/>
    <n v="261"/>
    <n v="43"/>
    <n v="1"/>
    <n v="27"/>
    <n v="3"/>
    <n v="84"/>
    <n v="25"/>
    <n v="1"/>
    <n v="1"/>
    <s v="L"/>
    <n v="6"/>
    <n v="65.89"/>
    <n v="121.57"/>
    <n v="35.159999999999997"/>
    <n v="128.05000000000001"/>
    <n v="0.63"/>
    <n v="0.37"/>
    <s v="N"/>
    <s v="N"/>
    <s v="N"/>
    <s v="N"/>
    <s v="N"/>
    <n v="72.28"/>
    <n v="123.96"/>
    <n v="47.18"/>
    <n v="92.18"/>
    <x v="28"/>
    <n v="43"/>
    <x v="239"/>
    <n v="10.14"/>
  </r>
  <r>
    <x v="45"/>
    <n v="498"/>
    <n v="38"/>
    <n v="275"/>
    <n v="33"/>
    <n v="3"/>
    <n v="23"/>
    <n v="0"/>
    <n v="248"/>
    <n v="44"/>
    <n v="2"/>
    <n v="2"/>
    <x v="35"/>
    <n v="716"/>
    <n v="10"/>
    <n v="140"/>
    <n v="36"/>
    <n v="0"/>
    <n v="20"/>
    <n v="2"/>
    <n v="-14"/>
    <n v="21"/>
    <n v="1"/>
    <n v="1"/>
    <s v="W"/>
    <n v="7"/>
    <n v="128.75"/>
    <n v="139.92000000000002"/>
    <n v="123.95"/>
    <n v="222.61"/>
    <n v="0.63"/>
    <n v="0.37"/>
    <s v="N"/>
    <s v="N"/>
    <s v="N"/>
    <s v="N"/>
    <s v="N"/>
    <n v="114.08"/>
    <n v="127.55"/>
    <n v="127.22"/>
    <n v="151.52000000000001"/>
    <x v="15"/>
    <n v="48"/>
    <x v="240"/>
    <n v="13.01"/>
  </r>
  <r>
    <x v="45"/>
    <n v="498"/>
    <n v="21"/>
    <n v="201"/>
    <n v="35"/>
    <n v="0"/>
    <n v="16"/>
    <n v="1"/>
    <n v="142"/>
    <n v="35"/>
    <n v="2"/>
    <n v="1"/>
    <x v="16"/>
    <n v="497"/>
    <n v="38"/>
    <n v="332"/>
    <n v="39"/>
    <n v="3"/>
    <n v="23"/>
    <n v="0"/>
    <n v="127"/>
    <n v="33"/>
    <n v="1"/>
    <n v="0"/>
    <s v="L"/>
    <n v="8"/>
    <n v="68.44"/>
    <n v="83.09"/>
    <n v="94.13"/>
    <n v="106.17"/>
    <n v="0.54"/>
    <n v="0.45999999999999996"/>
    <s v="N"/>
    <s v="N"/>
    <s v="N"/>
    <s v="N"/>
    <s v="N"/>
    <n v="64.08"/>
    <n v="74.23"/>
    <n v="91.06"/>
    <n v="71.510000000000005"/>
    <x v="0"/>
    <n v="59"/>
    <x v="241"/>
    <n v="35.29"/>
  </r>
  <r>
    <x v="46"/>
    <n v="366"/>
    <n v="48"/>
    <n v="321"/>
    <n v="38"/>
    <n v="2"/>
    <n v="23"/>
    <n v="1"/>
    <n v="221"/>
    <n v="44"/>
    <n v="5"/>
    <n v="1"/>
    <x v="39"/>
    <n v="1004"/>
    <n v="42"/>
    <n v="372"/>
    <n v="52"/>
    <n v="4"/>
    <n v="29"/>
    <n v="1"/>
    <n v="73"/>
    <n v="31"/>
    <n v="0"/>
    <n v="0"/>
    <s v="W"/>
    <n v="2"/>
    <s v=" "/>
    <s v=" "/>
    <s v=" "/>
    <s v=" "/>
    <n v="0.63"/>
    <n v="0.37"/>
    <s v="Y"/>
    <s v="N"/>
    <s v="N"/>
    <s v="N"/>
    <s v="N"/>
    <s v=" "/>
    <s v=" "/>
    <s v=" "/>
    <s v=" "/>
    <x v="47"/>
    <n v="90"/>
    <x v="0"/>
    <s v=" "/>
  </r>
  <r>
    <x v="46"/>
    <n v="366"/>
    <n v="17"/>
    <n v="176"/>
    <n v="36"/>
    <n v="0"/>
    <n v="20"/>
    <n v="0"/>
    <n v="68"/>
    <n v="33"/>
    <n v="1"/>
    <n v="0"/>
    <x v="148"/>
    <n v="664"/>
    <n v="19"/>
    <n v="226"/>
    <n v="38"/>
    <n v="0"/>
    <n v="21"/>
    <n v="1"/>
    <n v="153"/>
    <n v="38"/>
    <n v="1"/>
    <n v="1"/>
    <s v="L"/>
    <n v="1"/>
    <n v="82.2"/>
    <n v="120.22"/>
    <n v="52.35"/>
    <n v="110.54"/>
    <n v="0.5"/>
    <n v="0.5"/>
    <s v="N"/>
    <s v="N"/>
    <s v="N"/>
    <s v="N"/>
    <s v="N"/>
    <n v="103.08"/>
    <n v="132.87"/>
    <n v="61.79"/>
    <n v="111.04"/>
    <x v="35"/>
    <n v="36"/>
    <x v="242"/>
    <n v="5.77"/>
  </r>
  <r>
    <x v="46"/>
    <n v="366"/>
    <n v="34"/>
    <n v="211"/>
    <n v="32"/>
    <n v="1"/>
    <n v="21"/>
    <n v="2"/>
    <n v="233"/>
    <n v="66"/>
    <n v="3"/>
    <n v="1"/>
    <x v="110"/>
    <n v="288"/>
    <n v="35"/>
    <n v="351"/>
    <n v="40"/>
    <n v="3"/>
    <n v="25"/>
    <n v="2"/>
    <n v="98"/>
    <n v="35"/>
    <n v="2"/>
    <n v="1"/>
    <s v="L"/>
    <n v="3"/>
    <n v="87.5"/>
    <n v="93.43"/>
    <n v="84.18"/>
    <n v="135.04000000000002"/>
    <n v="0.53"/>
    <n v="0.47"/>
    <s v="N"/>
    <s v="N"/>
    <s v="N"/>
    <s v="N"/>
    <s v="N"/>
    <n v="85.87"/>
    <n v="122.52"/>
    <n v="89.62"/>
    <n v="179.98"/>
    <x v="3"/>
    <n v="69"/>
    <x v="185"/>
    <n v="666.67"/>
  </r>
  <r>
    <x v="46"/>
    <n v="366"/>
    <n v="20"/>
    <n v="252"/>
    <n v="41"/>
    <n v="1"/>
    <n v="30"/>
    <n v="2"/>
    <n v="107"/>
    <n v="37"/>
    <n v="1"/>
    <n v="1"/>
    <x v="50"/>
    <n v="430"/>
    <n v="26"/>
    <n v="164"/>
    <n v="29"/>
    <n v="1"/>
    <n v="14"/>
    <n v="1"/>
    <n v="176"/>
    <n v="44"/>
    <n v="1"/>
    <n v="0"/>
    <s v="L"/>
    <n v="4"/>
    <n v="95.69"/>
    <n v="126.08"/>
    <n v="63.04"/>
    <n v="103.79"/>
    <n v="0.4"/>
    <n v="0.6"/>
    <s v="N"/>
    <s v="N"/>
    <s v="N"/>
    <s v="N"/>
    <s v="N"/>
    <n v="106.73"/>
    <n v="112.63"/>
    <n v="71.02"/>
    <n v="101"/>
    <x v="47"/>
    <n v="46"/>
    <x v="243"/>
    <n v="52.63"/>
  </r>
  <r>
    <x v="46"/>
    <n v="366"/>
    <n v="26"/>
    <n v="305"/>
    <n v="51"/>
    <n v="3"/>
    <n v="29"/>
    <n v="2"/>
    <n v="63"/>
    <n v="26"/>
    <n v="1"/>
    <n v="1"/>
    <x v="102"/>
    <n v="277"/>
    <n v="44"/>
    <n v="410"/>
    <n v="55"/>
    <n v="4"/>
    <n v="34"/>
    <n v="0"/>
    <n v="84"/>
    <n v="25"/>
    <n v="0"/>
    <n v="0"/>
    <s v="L"/>
    <n v="5"/>
    <n v="86.51"/>
    <n v="86.65"/>
    <n v="50.45"/>
    <n v="122.05"/>
    <n v="0.69"/>
    <n v="0.31000000000000005"/>
    <s v="N"/>
    <s v="N"/>
    <s v="N"/>
    <s v="N"/>
    <s v="N"/>
    <n v="87.44"/>
    <n v="92.15"/>
    <n v="67.58"/>
    <n v="110.48"/>
    <x v="30"/>
    <n v="70"/>
    <x v="244"/>
    <n v="33.119999999999997"/>
  </r>
  <r>
    <x v="46"/>
    <n v="366"/>
    <n v="24"/>
    <n v="163"/>
    <n v="39"/>
    <n v="1"/>
    <n v="25"/>
    <n v="0"/>
    <n v="190"/>
    <n v="48"/>
    <n v="1"/>
    <n v="0"/>
    <x v="77"/>
    <n v="295"/>
    <n v="11"/>
    <n v="244"/>
    <n v="47"/>
    <n v="0"/>
    <n v="19"/>
    <n v="3"/>
    <n v="47"/>
    <n v="22"/>
    <n v="0"/>
    <n v="1"/>
    <s v="W"/>
    <n v="6"/>
    <n v="90.73"/>
    <n v="150.43"/>
    <n v="94.96"/>
    <n v="164.07"/>
    <n v="0.68"/>
    <n v="0.31999999999999995"/>
    <s v="N"/>
    <s v="N"/>
    <s v="N"/>
    <s v="N"/>
    <s v="N"/>
    <n v="79.14"/>
    <n v="108.74"/>
    <n v="101.44"/>
    <n v="80.25"/>
    <x v="40"/>
    <n v="35"/>
    <x v="192"/>
    <n v="12.98"/>
  </r>
  <r>
    <x v="46"/>
    <n v="366"/>
    <n v="24"/>
    <n v="146"/>
    <n v="29"/>
    <n v="0"/>
    <n v="15"/>
    <n v="0"/>
    <n v="86"/>
    <n v="40"/>
    <n v="2"/>
    <n v="0"/>
    <x v="49"/>
    <n v="731"/>
    <n v="17"/>
    <n v="128"/>
    <n v="24"/>
    <n v="0"/>
    <n v="16"/>
    <n v="1"/>
    <n v="166"/>
    <n v="46"/>
    <n v="2"/>
    <n v="0"/>
    <s v="W"/>
    <n v="8"/>
    <n v="79.16"/>
    <n v="116.77"/>
    <n v="57.38"/>
    <n v="109.76"/>
    <n v="0.34"/>
    <n v="0.65999999999999992"/>
    <s v="N"/>
    <s v="N"/>
    <s v="N"/>
    <s v="N"/>
    <s v="N"/>
    <n v="78.489999999999995"/>
    <n v="121.19"/>
    <n v="70.040000000000006"/>
    <n v="143.44"/>
    <x v="20"/>
    <n v="41"/>
    <x v="245"/>
    <n v="18.95"/>
  </r>
  <r>
    <x v="47"/>
    <n v="367"/>
    <n v="21"/>
    <n v="226"/>
    <n v="33"/>
    <n v="2"/>
    <n v="17"/>
    <n v="1"/>
    <n v="159"/>
    <n v="37"/>
    <n v="1"/>
    <n v="3"/>
    <x v="149"/>
    <n v="454"/>
    <n v="9"/>
    <n v="148"/>
    <n v="34"/>
    <n v="0"/>
    <n v="17"/>
    <n v="3"/>
    <n v="143"/>
    <n v="49"/>
    <n v="1"/>
    <n v="0"/>
    <s v="W"/>
    <n v="1"/>
    <s v=" "/>
    <s v=" "/>
    <s v=" "/>
    <s v=" "/>
    <n v="0.41"/>
    <n v="0.59000000000000008"/>
    <s v="Y"/>
    <s v="N"/>
    <s v="N"/>
    <s v="N"/>
    <s v="N"/>
    <s v=" "/>
    <s v=" "/>
    <s v=" "/>
    <s v=" "/>
    <x v="51"/>
    <n v="30"/>
    <x v="0"/>
    <s v=" "/>
  </r>
  <r>
    <x v="47"/>
    <n v="367"/>
    <n v="17"/>
    <n v="363"/>
    <n v="45"/>
    <n v="2"/>
    <n v="32"/>
    <n v="1"/>
    <n v="83"/>
    <n v="41"/>
    <n v="0"/>
    <n v="1"/>
    <x v="12"/>
    <n v="231"/>
    <n v="24"/>
    <n v="248"/>
    <n v="21"/>
    <n v="2"/>
    <n v="14"/>
    <n v="0"/>
    <n v="45"/>
    <n v="26"/>
    <n v="0"/>
    <n v="0"/>
    <s v="L"/>
    <n v="2"/>
    <n v="115.07"/>
    <n v="54.69"/>
    <n v="39.65"/>
    <n v="159.85"/>
    <n v="0.45"/>
    <n v="0.55000000000000004"/>
    <s v="N"/>
    <s v="N"/>
    <s v="N"/>
    <s v="N"/>
    <s v="N"/>
    <n v="118.4"/>
    <n v="59.03"/>
    <n v="47.5"/>
    <n v="138.69"/>
    <x v="20"/>
    <n v="41"/>
    <x v="146"/>
    <n v="22.77"/>
  </r>
  <r>
    <x v="47"/>
    <n v="367"/>
    <n v="24"/>
    <n v="146"/>
    <n v="22"/>
    <n v="3"/>
    <n v="12"/>
    <n v="0"/>
    <n v="181"/>
    <n v="40"/>
    <n v="0"/>
    <n v="0"/>
    <x v="91"/>
    <n v="334"/>
    <n v="17"/>
    <n v="255"/>
    <n v="42"/>
    <n v="2"/>
    <n v="27"/>
    <n v="0"/>
    <n v="35"/>
    <n v="32"/>
    <n v="0"/>
    <n v="1"/>
    <s v="W"/>
    <n v="3"/>
    <n v="111.17"/>
    <n v="95.48"/>
    <n v="104.98"/>
    <n v="184"/>
    <n v="0.56999999999999995"/>
    <n v="0.43000000000000005"/>
    <s v="N"/>
    <s v="N"/>
    <s v="N"/>
    <s v="N"/>
    <s v="N"/>
    <n v="131.62"/>
    <n v="45.94"/>
    <n v="89.2"/>
    <n v="119.83"/>
    <x v="20"/>
    <n v="41"/>
    <x v="246"/>
    <n v="7.32"/>
  </r>
  <r>
    <x v="47"/>
    <n v="367"/>
    <n v="13"/>
    <n v="221"/>
    <n v="29"/>
    <n v="1"/>
    <n v="20"/>
    <n v="2"/>
    <n v="60"/>
    <n v="29"/>
    <n v="1"/>
    <n v="0"/>
    <x v="130"/>
    <n v="388"/>
    <n v="17"/>
    <n v="236"/>
    <n v="30"/>
    <n v="2"/>
    <n v="18"/>
    <n v="0"/>
    <n v="117"/>
    <n v="45"/>
    <n v="0"/>
    <n v="0"/>
    <s v="L"/>
    <n v="5"/>
    <n v="94.98"/>
    <n v="87.13"/>
    <n v="53.17"/>
    <n v="139.68"/>
    <n v="0.4"/>
    <n v="0.6"/>
    <s v="N"/>
    <s v="N"/>
    <s v="N"/>
    <s v="N"/>
    <s v="N"/>
    <n v="83.57"/>
    <n v="71.959999999999994"/>
    <n v="57.45"/>
    <n v="96.33"/>
    <x v="27"/>
    <n v="30"/>
    <x v="247"/>
    <n v="15.97"/>
  </r>
  <r>
    <x v="47"/>
    <n v="367"/>
    <n v="7"/>
    <n v="173"/>
    <n v="31"/>
    <n v="1"/>
    <n v="19"/>
    <n v="1"/>
    <n v="100"/>
    <n v="38"/>
    <n v="0"/>
    <n v="0"/>
    <x v="101"/>
    <n v="457"/>
    <n v="14"/>
    <n v="178"/>
    <n v="19"/>
    <n v="1"/>
    <n v="12"/>
    <n v="0"/>
    <n v="86"/>
    <n v="32"/>
    <n v="1"/>
    <n v="1"/>
    <s v="L"/>
    <n v="6"/>
    <n v="86.87"/>
    <n v="77.89"/>
    <n v="61.05"/>
    <n v="142.34"/>
    <n v="0.37"/>
    <n v="0.63"/>
    <s v="N"/>
    <s v="N"/>
    <s v="N"/>
    <s v="N"/>
    <s v="N"/>
    <n v="85.35"/>
    <n v="91.83"/>
    <n v="85.02"/>
    <n v="135.16999999999999"/>
    <x v="20"/>
    <n v="21"/>
    <x v="248"/>
    <n v="21.98"/>
  </r>
  <r>
    <x v="47"/>
    <n v="367"/>
    <n v="16"/>
    <n v="201"/>
    <n v="32"/>
    <n v="0"/>
    <n v="19"/>
    <n v="1"/>
    <n v="70"/>
    <n v="33"/>
    <n v="0"/>
    <n v="0"/>
    <x v="10"/>
    <n v="140"/>
    <n v="25"/>
    <n v="152"/>
    <n v="26"/>
    <n v="1"/>
    <n v="18"/>
    <n v="1"/>
    <n v="178"/>
    <n v="36"/>
    <n v="2"/>
    <n v="0"/>
    <s v="L"/>
    <n v="7"/>
    <n v="84.23"/>
    <n v="104.68"/>
    <n v="49.21"/>
    <n v="76.959999999999994"/>
    <n v="0.42"/>
    <n v="0.58000000000000007"/>
    <s v="N"/>
    <s v="N"/>
    <s v="N"/>
    <s v="N"/>
    <s v="N"/>
    <n v="83.07"/>
    <n v="109.76"/>
    <n v="83.79"/>
    <n v="84.3"/>
    <x v="44"/>
    <n v="41"/>
    <x v="107"/>
    <n v="10.6"/>
  </r>
  <r>
    <x v="47"/>
    <n v="367"/>
    <n v="16"/>
    <n v="122"/>
    <n v="18"/>
    <n v="1"/>
    <n v="10"/>
    <n v="1"/>
    <n v="187"/>
    <n v="34"/>
    <n v="1"/>
    <n v="0"/>
    <x v="150"/>
    <n v="587"/>
    <n v="14"/>
    <n v="207"/>
    <n v="33"/>
    <n v="1"/>
    <n v="18"/>
    <n v="3"/>
    <n v="91"/>
    <n v="30"/>
    <n v="1"/>
    <n v="0"/>
    <s v="W"/>
    <n v="8"/>
    <n v="84.16"/>
    <n v="134"/>
    <n v="132.01"/>
    <n v="124.63"/>
    <n v="0.52"/>
    <n v="0.48"/>
    <s v="N"/>
    <s v="N"/>
    <s v="N"/>
    <s v="N"/>
    <s v="N"/>
    <n v="101.08"/>
    <n v="122.08"/>
    <n v="147.12"/>
    <n v="58.53"/>
    <x v="35"/>
    <n v="30"/>
    <x v="249"/>
    <n v="2.67"/>
  </r>
  <r>
    <x v="48"/>
    <n v="365"/>
    <n v="49"/>
    <n v="225"/>
    <n v="21"/>
    <n v="2"/>
    <n v="17"/>
    <n v="0"/>
    <n v="175"/>
    <n v="45"/>
    <n v="5"/>
    <n v="1"/>
    <x v="151"/>
    <n v="508"/>
    <n v="3"/>
    <n v="99"/>
    <n v="29"/>
    <n v="0"/>
    <n v="17"/>
    <n v="1"/>
    <n v="-4"/>
    <n v="27"/>
    <n v="0"/>
    <n v="0"/>
    <s v="W"/>
    <n v="2"/>
    <s v=" "/>
    <s v=" "/>
    <s v=" "/>
    <s v=" "/>
    <n v="0.52"/>
    <n v="0.48"/>
    <s v="Y"/>
    <s v="N"/>
    <s v="N"/>
    <s v="N"/>
    <s v="N"/>
    <s v=" "/>
    <s v=" "/>
    <s v=" "/>
    <s v=" "/>
    <x v="52"/>
    <n v="52"/>
    <x v="0"/>
    <s v=" "/>
  </r>
  <r>
    <x v="48"/>
    <n v="365"/>
    <n v="40"/>
    <n v="98"/>
    <n v="22"/>
    <n v="1"/>
    <n v="10"/>
    <n v="0"/>
    <n v="175"/>
    <n v="48"/>
    <n v="3"/>
    <n v="1"/>
    <x v="25"/>
    <n v="529"/>
    <n v="27"/>
    <n v="240"/>
    <n v="54"/>
    <n v="1"/>
    <n v="31"/>
    <n v="1"/>
    <n v="95"/>
    <n v="28"/>
    <n v="2"/>
    <n v="3"/>
    <s v="W"/>
    <n v="1"/>
    <n v="76.55"/>
    <n v="121.15"/>
    <n v="87.71"/>
    <n v="142.71"/>
    <n v="0.66"/>
    <n v="0.33999999999999997"/>
    <s v="N"/>
    <s v="N"/>
    <s v="N"/>
    <s v="N"/>
    <s v="N"/>
    <n v="91.59"/>
    <n v="134.54"/>
    <n v="90.73"/>
    <n v="227.49"/>
    <x v="40"/>
    <n v="67"/>
    <x v="250"/>
    <n v="46.23"/>
  </r>
  <r>
    <x v="48"/>
    <n v="365"/>
    <n v="19"/>
    <n v="213"/>
    <n v="27"/>
    <n v="1"/>
    <n v="21"/>
    <n v="1"/>
    <n v="148"/>
    <n v="38"/>
    <n v="0"/>
    <n v="0"/>
    <x v="50"/>
    <n v="430"/>
    <n v="6"/>
    <n v="141"/>
    <n v="25"/>
    <n v="0"/>
    <n v="15"/>
    <n v="2"/>
    <n v="52"/>
    <n v="34"/>
    <n v="0"/>
    <n v="0"/>
    <s v="W"/>
    <n v="3"/>
    <n v="115.22"/>
    <n v="133.26"/>
    <n v="90.36"/>
    <n v="164.52"/>
    <n v="0.42"/>
    <n v="0.58000000000000007"/>
    <s v="N"/>
    <s v="N"/>
    <s v="N"/>
    <s v="N"/>
    <s v="N"/>
    <n v="128.51"/>
    <n v="119.04"/>
    <n v="101.8"/>
    <n v="160.09"/>
    <x v="40"/>
    <n v="25"/>
    <x v="251"/>
    <n v="12.58"/>
  </r>
  <r>
    <x v="48"/>
    <n v="365"/>
    <n v="47"/>
    <n v="180"/>
    <n v="28"/>
    <n v="3"/>
    <n v="16"/>
    <n v="0"/>
    <n v="186"/>
    <n v="41"/>
    <n v="3"/>
    <n v="0"/>
    <x v="79"/>
    <n v="768"/>
    <n v="21"/>
    <n v="463"/>
    <n v="65"/>
    <n v="2"/>
    <n v="38"/>
    <n v="2"/>
    <n v="70"/>
    <n v="22"/>
    <n v="1"/>
    <n v="2"/>
    <s v="W"/>
    <n v="4"/>
    <n v="108.25"/>
    <n v="107.33"/>
    <n v="116.22"/>
    <n v="146.63999999999999"/>
    <n v="0.75"/>
    <n v="0.25"/>
    <s v="N"/>
    <s v="N"/>
    <s v="N"/>
    <s v="N"/>
    <s v="N"/>
    <n v="116.18"/>
    <n v="118.03"/>
    <n v="128.06"/>
    <n v="116.52"/>
    <x v="4"/>
    <n v="68"/>
    <x v="252"/>
    <n v="33.15"/>
  </r>
  <r>
    <x v="48"/>
    <n v="365"/>
    <n v="35"/>
    <n v="169"/>
    <n v="21"/>
    <n v="1"/>
    <n v="8"/>
    <n v="0"/>
    <n v="179"/>
    <n v="46"/>
    <n v="3"/>
    <n v="0"/>
    <x v="91"/>
    <n v="334"/>
    <n v="7"/>
    <n v="66"/>
    <n v="25"/>
    <n v="1"/>
    <n v="7"/>
    <n v="0"/>
    <n v="89"/>
    <n v="39"/>
    <n v="0"/>
    <n v="1"/>
    <s v="W"/>
    <n v="5"/>
    <n v="89.1"/>
    <n v="151.61000000000001"/>
    <n v="100.06"/>
    <n v="154.75"/>
    <n v="0.39"/>
    <n v="0.61"/>
    <s v="N"/>
    <s v="N"/>
    <s v="N"/>
    <s v="N"/>
    <s v="N"/>
    <n v="105.49"/>
    <n v="72.94"/>
    <n v="85.02"/>
    <n v="100.78"/>
    <x v="15"/>
    <n v="42"/>
    <x v="253"/>
    <n v="29.31"/>
  </r>
  <r>
    <x v="48"/>
    <n v="365"/>
    <n v="41"/>
    <n v="215"/>
    <n v="14"/>
    <n v="2"/>
    <n v="10"/>
    <n v="0"/>
    <n v="238"/>
    <n v="49"/>
    <n v="3"/>
    <n v="0"/>
    <x v="18"/>
    <n v="235"/>
    <n v="11"/>
    <n v="100"/>
    <n v="16"/>
    <n v="1"/>
    <n v="9"/>
    <n v="2"/>
    <n v="113"/>
    <n v="32"/>
    <n v="0"/>
    <n v="0"/>
    <s v="W"/>
    <n v="6"/>
    <s v=" "/>
    <n v="137.81"/>
    <n v="121.87"/>
    <n v="118.07"/>
    <n v="0.33"/>
    <n v="0.66999999999999993"/>
    <s v="N"/>
    <s v="Y"/>
    <s v="N"/>
    <s v="N"/>
    <s v="N"/>
    <s v=" "/>
    <n v="125.75"/>
    <n v="159.06"/>
    <n v="115.11"/>
    <x v="33"/>
    <n v="52"/>
    <x v="0"/>
    <s v=" "/>
  </r>
  <r>
    <x v="48"/>
    <n v="365"/>
    <n v="38"/>
    <n v="146"/>
    <n v="20"/>
    <n v="3"/>
    <n v="14"/>
    <n v="0"/>
    <n v="237"/>
    <n v="49"/>
    <n v="2"/>
    <n v="0"/>
    <x v="21"/>
    <n v="694"/>
    <n v="7"/>
    <n v="128"/>
    <n v="20"/>
    <n v="0"/>
    <n v="6"/>
    <n v="2"/>
    <n v="111"/>
    <n v="29"/>
    <n v="1"/>
    <n v="0"/>
    <s v="W"/>
    <n v="7"/>
    <n v="132.29"/>
    <n v="165.12"/>
    <n v="118.33"/>
    <n v="106.03"/>
    <n v="0.41"/>
    <n v="0.59000000000000008"/>
    <s v="N"/>
    <s v="N"/>
    <s v="N"/>
    <s v="N"/>
    <s v="N"/>
    <n v="120.15"/>
    <n v="155.26"/>
    <n v="107.41"/>
    <n v="52.37"/>
    <x v="17"/>
    <n v="45"/>
    <x v="254"/>
    <n v="25.46"/>
  </r>
  <r>
    <x v="48"/>
    <n v="365"/>
    <n v="45"/>
    <n v="219"/>
    <n v="23"/>
    <n v="3"/>
    <n v="16"/>
    <n v="0"/>
    <n v="174"/>
    <n v="36"/>
    <n v="2"/>
    <n v="0"/>
    <x v="38"/>
    <n v="37"/>
    <n v="10"/>
    <n v="161"/>
    <n v="24"/>
    <n v="0"/>
    <n v="14"/>
    <n v="1"/>
    <n v="87"/>
    <n v="34"/>
    <n v="1"/>
    <n v="1"/>
    <s v="W"/>
    <n v="8"/>
    <n v="141.02000000000001"/>
    <n v="117.61"/>
    <n v="120.47"/>
    <n v="145.05000000000001"/>
    <n v="0.41"/>
    <n v="0.59000000000000008"/>
    <s v="N"/>
    <s v="N"/>
    <s v="N"/>
    <s v="N"/>
    <s v="N"/>
    <n v="142.88999999999999"/>
    <n v="98.08"/>
    <n v="120.81"/>
    <n v="153.05000000000001"/>
    <x v="32"/>
    <n v="55"/>
    <x v="255"/>
    <n v="28.19"/>
  </r>
  <r>
    <x v="49"/>
    <n v="388"/>
    <n v="13"/>
    <n v="115"/>
    <n v="21"/>
    <n v="0"/>
    <n v="15"/>
    <n v="0"/>
    <n v="72"/>
    <n v="23"/>
    <n v="0"/>
    <n v="0"/>
    <x v="79"/>
    <n v="768"/>
    <n v="34"/>
    <n v="249"/>
    <n v="35"/>
    <n v="2"/>
    <n v="26"/>
    <n v="0"/>
    <n v="42"/>
    <n v="26"/>
    <n v="1"/>
    <n v="0"/>
    <s v="L"/>
    <n v="2"/>
    <n v="101.27"/>
    <n v="78.37"/>
    <n v="72.63"/>
    <n v="156.75"/>
    <n v="0.56999999999999995"/>
    <n v="0.43000000000000005"/>
    <s v="N"/>
    <s v="N"/>
    <s v="N"/>
    <s v="N"/>
    <s v="N"/>
    <n v="108.68"/>
    <n v="86.18"/>
    <n v="80.03"/>
    <n v="124.55"/>
    <x v="23"/>
    <n v="47"/>
    <x v="256"/>
    <n v="232.82"/>
  </r>
  <r>
    <x v="49"/>
    <n v="388"/>
    <n v="26"/>
    <n v="275"/>
    <n v="42"/>
    <n v="3"/>
    <n v="27"/>
    <n v="2"/>
    <n v="103"/>
    <n v="37"/>
    <n v="0"/>
    <n v="0"/>
    <x v="148"/>
    <n v="664"/>
    <n v="20"/>
    <n v="309"/>
    <n v="49"/>
    <n v="2"/>
    <n v="25"/>
    <n v="3"/>
    <n v="75"/>
    <n v="28"/>
    <n v="0"/>
    <n v="3"/>
    <s v="W"/>
    <n v="2"/>
    <n v="96.4"/>
    <n v="126.86"/>
    <n v="64.58"/>
    <n v="170"/>
    <n v="0.64"/>
    <n v="0.36"/>
    <s v="N"/>
    <s v="N"/>
    <s v="N"/>
    <s v="N"/>
    <s v="N"/>
    <n v="120.89"/>
    <n v="140.19999999999999"/>
    <n v="76.22"/>
    <n v="170.77"/>
    <x v="47"/>
    <n v="46"/>
    <x v="257"/>
    <n v="10.37"/>
  </r>
  <r>
    <x v="49"/>
    <n v="388"/>
    <n v="7"/>
    <n v="159"/>
    <n v="29"/>
    <n v="1"/>
    <n v="11"/>
    <n v="4"/>
    <n v="172"/>
    <n v="34"/>
    <n v="0"/>
    <n v="2"/>
    <x v="13"/>
    <n v="519"/>
    <n v="44"/>
    <n v="288"/>
    <n v="30"/>
    <n v="3"/>
    <n v="21"/>
    <n v="0"/>
    <n v="271"/>
    <n v="55"/>
    <n v="2"/>
    <n v="2"/>
    <s v="L"/>
    <n v="3"/>
    <n v="31.61"/>
    <n v="62.680000000000007"/>
    <n v="99.72"/>
    <n v="91.14"/>
    <n v="0.35"/>
    <n v="0.65"/>
    <s v="N"/>
    <s v="N"/>
    <s v="N"/>
    <s v="N"/>
    <s v="N"/>
    <n v="37.75"/>
    <n v="71.5"/>
    <n v="128.87"/>
    <n v="90.68"/>
    <x v="50"/>
    <n v="51"/>
    <x v="258"/>
    <n v="32.22"/>
  </r>
  <r>
    <x v="49"/>
    <n v="388"/>
    <n v="10"/>
    <n v="245"/>
    <n v="33"/>
    <n v="1"/>
    <n v="17"/>
    <n v="1"/>
    <n v="6"/>
    <n v="24"/>
    <n v="0"/>
    <n v="1"/>
    <x v="41"/>
    <n v="742"/>
    <n v="30"/>
    <n v="229"/>
    <n v="33"/>
    <n v="0"/>
    <n v="22"/>
    <n v="1"/>
    <n v="215"/>
    <n v="41"/>
    <n v="4"/>
    <n v="1"/>
    <s v="L"/>
    <n v="4"/>
    <n v="87.43"/>
    <n v="104.6"/>
    <n v="-6.7"/>
    <n v="71.02000000000001"/>
    <n v="0.45"/>
    <n v="0.55000000000000004"/>
    <s v="N"/>
    <s v="N"/>
    <s v="N"/>
    <s v="N"/>
    <s v="N"/>
    <n v="99.02"/>
    <n v="106.28"/>
    <n v="-9.75"/>
    <n v="76.33"/>
    <x v="37"/>
    <n v="40"/>
    <x v="259"/>
    <n v="13.92"/>
  </r>
  <r>
    <x v="49"/>
    <n v="388"/>
    <n v="17"/>
    <n v="236"/>
    <n v="30"/>
    <n v="2"/>
    <n v="18"/>
    <n v="0"/>
    <n v="117"/>
    <n v="45"/>
    <n v="0"/>
    <n v="0"/>
    <x v="96"/>
    <n v="367"/>
    <n v="13"/>
    <n v="221"/>
    <n v="29"/>
    <n v="1"/>
    <n v="20"/>
    <n v="2"/>
    <n v="60"/>
    <n v="29"/>
    <n v="1"/>
    <n v="0"/>
    <s v="W"/>
    <n v="5"/>
    <n v="112.87"/>
    <n v="105.02"/>
    <n v="60.32"/>
    <n v="146.82999999999998"/>
    <n v="0.5"/>
    <n v="0.5"/>
    <s v="N"/>
    <s v="N"/>
    <s v="N"/>
    <s v="N"/>
    <s v="N"/>
    <n v="104.19"/>
    <n v="100.9"/>
    <n v="83.19"/>
    <n v="107.69"/>
    <x v="27"/>
    <n v="30"/>
    <x v="260"/>
    <n v="15.97"/>
  </r>
  <r>
    <x v="49"/>
    <n v="388"/>
    <n v="6"/>
    <n v="87"/>
    <n v="29"/>
    <n v="0"/>
    <n v="11"/>
    <n v="0"/>
    <n v="43"/>
    <n v="21"/>
    <n v="0"/>
    <n v="1"/>
    <x v="73"/>
    <n v="128"/>
    <n v="16"/>
    <n v="147"/>
    <n v="22"/>
    <n v="1"/>
    <n v="13"/>
    <n v="1"/>
    <n v="240"/>
    <n v="51"/>
    <n v="1"/>
    <n v="2"/>
    <s v="L"/>
    <n v="6"/>
    <n v="54.28"/>
    <n v="111.31"/>
    <n v="33.22"/>
    <n v="99.65"/>
    <n v="0.3"/>
    <n v="0.7"/>
    <s v="N"/>
    <s v="N"/>
    <s v="N"/>
    <s v="N"/>
    <s v="N"/>
    <n v="66.569999999999993"/>
    <n v="116.2"/>
    <n v="36.71"/>
    <n v="86.06"/>
    <x v="12"/>
    <n v="22"/>
    <x v="261"/>
    <n v="9.85"/>
  </r>
  <r>
    <x v="49"/>
    <n v="388"/>
    <n v="24"/>
    <n v="111"/>
    <n v="27"/>
    <n v="0"/>
    <n v="14"/>
    <n v="1"/>
    <n v="217"/>
    <n v="43"/>
    <n v="3"/>
    <n v="0"/>
    <x v="62"/>
    <n v="574"/>
    <n v="20"/>
    <n v="167"/>
    <n v="21"/>
    <n v="1"/>
    <n v="12"/>
    <n v="0"/>
    <n v="194"/>
    <n v="41"/>
    <n v="1"/>
    <n v="2"/>
    <s v="W"/>
    <n v="7"/>
    <n v="63.15"/>
    <n v="92.37"/>
    <n v="127.54"/>
    <n v="101.2"/>
    <n v="0.34"/>
    <n v="0.65999999999999992"/>
    <s v="N"/>
    <s v="N"/>
    <s v="N"/>
    <s v="N"/>
    <s v="N"/>
    <n v="59.02"/>
    <n v="83.37"/>
    <n v="112.83"/>
    <n v="68.58"/>
    <x v="27"/>
    <n v="44"/>
    <x v="262"/>
    <n v="25.41"/>
  </r>
  <r>
    <x v="49"/>
    <n v="388"/>
    <n v="28"/>
    <n v="309"/>
    <n v="39"/>
    <n v="3"/>
    <n v="29"/>
    <n v="2"/>
    <n v="197"/>
    <n v="47"/>
    <n v="1"/>
    <n v="0"/>
    <x v="110"/>
    <n v="288"/>
    <n v="63"/>
    <n v="479"/>
    <n v="37"/>
    <n v="7"/>
    <n v="29"/>
    <n v="0"/>
    <n v="142"/>
    <n v="20"/>
    <n v="1"/>
    <n v="0"/>
    <s v="L"/>
    <n v="8"/>
    <n v="113.69"/>
    <n v="22.689999999999998"/>
    <n v="100.43"/>
    <n v="27.78"/>
    <n v="0.65"/>
    <n v="0.35"/>
    <s v="N"/>
    <s v="N"/>
    <s v="N"/>
    <s v="N"/>
    <s v="N"/>
    <n v="111.57"/>
    <n v="29.75"/>
    <n v="106.91"/>
    <n v="37.03"/>
    <x v="32"/>
    <n v="91"/>
    <x v="187"/>
    <n v="25.85"/>
  </r>
  <r>
    <x v="50"/>
    <n v="392"/>
    <n v="28"/>
    <n v="137"/>
    <n v="24"/>
    <n v="2"/>
    <n v="16"/>
    <n v="0"/>
    <n v="198"/>
    <n v="37"/>
    <n v="2"/>
    <n v="1"/>
    <x v="152"/>
    <n v="711"/>
    <n v="3"/>
    <n v="217"/>
    <n v="29"/>
    <n v="0"/>
    <n v="17"/>
    <n v="2"/>
    <n v="161"/>
    <n v="43"/>
    <n v="0"/>
    <n v="2"/>
    <s v="W"/>
    <n v="5"/>
    <s v=" "/>
    <s v=" "/>
    <s v=" "/>
    <s v=" "/>
    <n v="0.4"/>
    <n v="0.6"/>
    <s v="Y"/>
    <s v="N"/>
    <s v="N"/>
    <s v="N"/>
    <s v="N"/>
    <s v=" "/>
    <s v=" "/>
    <s v=" "/>
    <s v=" "/>
    <x v="19"/>
    <n v="31"/>
    <x v="0"/>
    <s v=" "/>
  </r>
  <r>
    <x v="50"/>
    <n v="392"/>
    <n v="32"/>
    <n v="348"/>
    <n v="44"/>
    <n v="1"/>
    <n v="31"/>
    <n v="1"/>
    <n v="151"/>
    <n v="34"/>
    <n v="0"/>
    <n v="0"/>
    <x v="124"/>
    <n v="415"/>
    <n v="24"/>
    <n v="195"/>
    <n v="28"/>
    <n v="0"/>
    <n v="19"/>
    <n v="2"/>
    <n v="172"/>
    <n v="40"/>
    <n v="3"/>
    <n v="2"/>
    <s v="W"/>
    <n v="2"/>
    <n v="110.15"/>
    <n v="115.62"/>
    <n v="103.04"/>
    <n v="103.99"/>
    <n v="0.41"/>
    <n v="0.59000000000000008"/>
    <s v="N"/>
    <s v="N"/>
    <s v="N"/>
    <s v="N"/>
    <s v="N"/>
    <n v="98.47"/>
    <n v="121.73"/>
    <n v="106.79"/>
    <n v="105.41"/>
    <x v="11"/>
    <n v="56"/>
    <x v="263"/>
    <n v="24.39"/>
  </r>
  <r>
    <x v="50"/>
    <n v="392"/>
    <n v="31"/>
    <n v="289"/>
    <n v="52"/>
    <n v="1"/>
    <n v="34"/>
    <n v="3"/>
    <n v="188"/>
    <n v="35"/>
    <n v="3"/>
    <n v="0"/>
    <x v="79"/>
    <n v="768"/>
    <n v="37"/>
    <n v="388"/>
    <n v="49"/>
    <n v="1"/>
    <n v="36"/>
    <n v="1"/>
    <n v="92"/>
    <n v="31"/>
    <n v="2"/>
    <n v="2"/>
    <s v="L"/>
    <n v="3"/>
    <n v="81.25"/>
    <n v="86.44"/>
    <n v="137.47"/>
    <n v="140.82999999999998"/>
    <n v="0.61"/>
    <n v="0.39"/>
    <s v="N"/>
    <s v="N"/>
    <s v="N"/>
    <s v="N"/>
    <s v="N"/>
    <n v="87.2"/>
    <n v="95.05"/>
    <n v="151.47"/>
    <n v="111.9"/>
    <x v="47"/>
    <n v="68"/>
    <x v="264"/>
    <n v="13.05"/>
  </r>
  <r>
    <x v="50"/>
    <n v="392"/>
    <n v="7"/>
    <n v="195"/>
    <n v="37"/>
    <n v="1"/>
    <n v="21"/>
    <n v="1"/>
    <n v="45"/>
    <n v="23"/>
    <n v="0"/>
    <n v="0"/>
    <x v="8"/>
    <n v="690"/>
    <n v="38"/>
    <n v="140"/>
    <n v="9"/>
    <n v="0"/>
    <n v="9"/>
    <n v="0"/>
    <n v="285"/>
    <n v="62"/>
    <n v="5"/>
    <n v="1"/>
    <s v="L"/>
    <n v="4"/>
    <n v="81.430000000000007"/>
    <s v=" "/>
    <n v="45.39"/>
    <n v="86.1"/>
    <n v="0.13"/>
    <n v="0.87"/>
    <s v="N"/>
    <s v="N"/>
    <s v="N"/>
    <s v="Y"/>
    <s v="N"/>
    <n v="93.14"/>
    <s v=" "/>
    <n v="62.63"/>
    <n v="95.71"/>
    <x v="17"/>
    <n v="45"/>
    <x v="0"/>
    <s v=" "/>
  </r>
  <r>
    <x v="50"/>
    <n v="392"/>
    <n v="16"/>
    <n v="87"/>
    <n v="24"/>
    <n v="0"/>
    <n v="6"/>
    <n v="2"/>
    <n v="246"/>
    <n v="41"/>
    <n v="2"/>
    <n v="0"/>
    <x v="141"/>
    <n v="255"/>
    <n v="21"/>
    <n v="114"/>
    <n v="21"/>
    <n v="0"/>
    <n v="6"/>
    <n v="1"/>
    <n v="272"/>
    <n v="60"/>
    <n v="3"/>
    <n v="0"/>
    <s v="L"/>
    <n v="6"/>
    <n v="19.760000000000002"/>
    <n v="156.13"/>
    <n v="146.52000000000001"/>
    <n v="87.33"/>
    <n v="0.26"/>
    <n v="0.74"/>
    <s v="N"/>
    <s v="N"/>
    <s v="N"/>
    <s v="N"/>
    <s v="N"/>
    <n v="23.96"/>
    <n v="68.489999999999995"/>
    <n v="123.97"/>
    <n v="124.71"/>
    <x v="28"/>
    <n v="37"/>
    <x v="265"/>
    <n v="51.33"/>
  </r>
  <r>
    <x v="50"/>
    <n v="392"/>
    <n v="45"/>
    <n v="177"/>
    <n v="35"/>
    <n v="3"/>
    <n v="17"/>
    <n v="1"/>
    <n v="291"/>
    <n v="48"/>
    <n v="2"/>
    <n v="0"/>
    <x v="51"/>
    <n v="147"/>
    <n v="56"/>
    <n v="270"/>
    <n v="38"/>
    <n v="4"/>
    <n v="26"/>
    <n v="1"/>
    <n v="306"/>
    <n v="42"/>
    <n v="2"/>
    <n v="1"/>
    <s v="L"/>
    <n v="7"/>
    <n v="80.42"/>
    <n v="84.96"/>
    <n v="146.9"/>
    <n v="30.97"/>
    <n v="0.48"/>
    <n v="0.52"/>
    <s v="N"/>
    <s v="N"/>
    <s v="N"/>
    <s v="N"/>
    <s v="N"/>
    <n v="90.03"/>
    <n v="96.85"/>
    <n v="157.37"/>
    <n v="30.64"/>
    <x v="6"/>
    <n v="101"/>
    <x v="112"/>
    <n v="19.38"/>
  </r>
  <r>
    <x v="50"/>
    <n v="392"/>
    <n v="16"/>
    <n v="272"/>
    <n v="38"/>
    <n v="1"/>
    <n v="20"/>
    <n v="0"/>
    <n v="59"/>
    <n v="37"/>
    <n v="1"/>
    <n v="0"/>
    <x v="98"/>
    <n v="234"/>
    <n v="41"/>
    <n v="264"/>
    <n v="26"/>
    <n v="1"/>
    <n v="18"/>
    <n v="1"/>
    <n v="218"/>
    <n v="44"/>
    <n v="4"/>
    <n v="0"/>
    <s v="L"/>
    <n v="8"/>
    <n v="95.59"/>
    <n v="81.2"/>
    <n v="41.05"/>
    <n v="71.419999999999987"/>
    <n v="0.37"/>
    <n v="0.63"/>
    <s v="N"/>
    <s v="N"/>
    <s v="N"/>
    <s v="N"/>
    <s v="N"/>
    <n v="98.47"/>
    <n v="79.849999999999994"/>
    <n v="58.67"/>
    <n v="58.93"/>
    <x v="19"/>
    <n v="57"/>
    <x v="164"/>
    <n v="22.58"/>
  </r>
  <r>
    <x v="51"/>
    <n v="402"/>
    <n v="14"/>
    <n v="145"/>
    <n v="27"/>
    <n v="0"/>
    <n v="13"/>
    <n v="1"/>
    <n v="220"/>
    <n v="35"/>
    <n v="2"/>
    <n v="0"/>
    <x v="153"/>
    <n v="670"/>
    <n v="21"/>
    <n v="110"/>
    <n v="12"/>
    <n v="1"/>
    <n v="8"/>
    <n v="0"/>
    <n v="139"/>
    <n v="48"/>
    <n v="1"/>
    <n v="0"/>
    <s v="L"/>
    <n v="6"/>
    <n v="66.31"/>
    <s v=" "/>
    <n v="154.4"/>
    <n v="129.69"/>
    <n v="0.2"/>
    <n v="0.8"/>
    <s v="N"/>
    <s v="N"/>
    <s v="N"/>
    <s v="Y"/>
    <s v="N"/>
    <n v="72.38"/>
    <s v=" "/>
    <n v="102.79"/>
    <n v="127.23"/>
    <x v="20"/>
    <n v="35"/>
    <x v="0"/>
    <s v=" "/>
  </r>
  <r>
    <x v="52"/>
    <n v="404"/>
    <n v="27"/>
    <n v="332"/>
    <n v="30"/>
    <n v="3"/>
    <n v="20"/>
    <n v="0"/>
    <n v="113"/>
    <n v="33"/>
    <n v="0"/>
    <n v="1"/>
    <x v="94"/>
    <n v="43"/>
    <n v="6"/>
    <n v="245"/>
    <n v="45"/>
    <n v="1"/>
    <n v="23"/>
    <n v="2"/>
    <n v="123"/>
    <n v="28"/>
    <n v="0"/>
    <n v="1"/>
    <s v="W"/>
    <n v="3"/>
    <s v=" "/>
    <s v=" "/>
    <s v=" "/>
    <s v=" "/>
    <n v="0.62"/>
    <n v="0.38"/>
    <s v="Y"/>
    <s v="N"/>
    <s v="N"/>
    <s v="N"/>
    <s v="N"/>
    <s v=" "/>
    <s v=" "/>
    <s v=" "/>
    <s v=" "/>
    <x v="23"/>
    <n v="33"/>
    <x v="0"/>
    <s v=" "/>
  </r>
  <r>
    <x v="52"/>
    <n v="404"/>
    <n v="14"/>
    <n v="174"/>
    <n v="40"/>
    <n v="1"/>
    <n v="26"/>
    <n v="1"/>
    <n v="164"/>
    <n v="47"/>
    <n v="1"/>
    <n v="2"/>
    <x v="50"/>
    <n v="430"/>
    <n v="59"/>
    <n v="336"/>
    <n v="31"/>
    <n v="3"/>
    <n v="19"/>
    <n v="0"/>
    <n v="309"/>
    <n v="38"/>
    <n v="5"/>
    <n v="1"/>
    <s v="L"/>
    <n v="1"/>
    <n v="84.96"/>
    <n v="65.12"/>
    <n v="71.38"/>
    <n v="-0.49000000000000909"/>
    <n v="0.45"/>
    <n v="0.55000000000000004"/>
    <s v="N"/>
    <s v="N"/>
    <s v="N"/>
    <s v="N"/>
    <s v="N"/>
    <n v="94.76"/>
    <n v="58.17"/>
    <n v="80.42"/>
    <n v="-0.48"/>
    <x v="10"/>
    <n v="73"/>
    <x v="266"/>
    <n v="25.14"/>
  </r>
  <r>
    <x v="52"/>
    <n v="404"/>
    <n v="3"/>
    <n v="87"/>
    <n v="29"/>
    <n v="0"/>
    <n v="13"/>
    <n v="0"/>
    <n v="82"/>
    <n v="38"/>
    <n v="0"/>
    <n v="1"/>
    <x v="115"/>
    <n v="30"/>
    <n v="47"/>
    <n v="375"/>
    <n v="33"/>
    <n v="4"/>
    <n v="29"/>
    <n v="1"/>
    <n v="236"/>
    <n v="46"/>
    <n v="2"/>
    <n v="1"/>
    <s v="L"/>
    <n v="2"/>
    <n v="61.18"/>
    <n v="41.099999999999994"/>
    <n v="42.17"/>
    <n v="80.97"/>
    <n v="0.42"/>
    <n v="0.58000000000000007"/>
    <s v="N"/>
    <s v="N"/>
    <s v="N"/>
    <s v="N"/>
    <s v="N"/>
    <n v="67.11"/>
    <n v="41.91"/>
    <n v="56.58"/>
    <n v="58.29"/>
    <x v="25"/>
    <n v="50"/>
    <x v="267"/>
    <n v="25.2"/>
  </r>
  <r>
    <x v="52"/>
    <n v="404"/>
    <n v="0"/>
    <n v="153"/>
    <n v="32"/>
    <n v="0"/>
    <n v="17"/>
    <n v="0"/>
    <n v="-14"/>
    <n v="24"/>
    <n v="0"/>
    <n v="1"/>
    <x v="154"/>
    <n v="663"/>
    <n v="42"/>
    <n v="357"/>
    <n v="44"/>
    <n v="3"/>
    <n v="28"/>
    <n v="1"/>
    <n v="162"/>
    <n v="30"/>
    <n v="3"/>
    <n v="3"/>
    <s v="L"/>
    <n v="4"/>
    <n v="79.180000000000007"/>
    <n v="88.74"/>
    <n v="-26.03"/>
    <n v="89.72"/>
    <n v="0.59"/>
    <n v="0.41000000000000003"/>
    <s v="N"/>
    <s v="N"/>
    <s v="N"/>
    <s v="N"/>
    <s v="N"/>
    <n v="72.66"/>
    <n v="85.47"/>
    <n v="-33.83"/>
    <n v="103.15"/>
    <x v="7"/>
    <n v="42"/>
    <x v="268"/>
    <n v="24.94"/>
  </r>
  <r>
    <x v="52"/>
    <n v="404"/>
    <n v="31"/>
    <n v="230"/>
    <n v="32"/>
    <n v="1"/>
    <n v="25"/>
    <n v="0"/>
    <n v="165"/>
    <n v="43"/>
    <n v="3"/>
    <n v="2"/>
    <x v="116"/>
    <n v="419"/>
    <n v="38"/>
    <n v="277"/>
    <n v="42"/>
    <n v="3"/>
    <n v="27"/>
    <n v="1"/>
    <n v="200"/>
    <n v="33"/>
    <n v="2"/>
    <n v="0"/>
    <s v="L"/>
    <n v="5"/>
    <n v="121.98"/>
    <n v="96.2"/>
    <n v="85.53"/>
    <n v="50.300000000000011"/>
    <n v="0.56000000000000005"/>
    <n v="0.43999999999999995"/>
    <s v="N"/>
    <s v="N"/>
    <s v="N"/>
    <s v="N"/>
    <s v="N"/>
    <n v="127.03"/>
    <n v="94"/>
    <n v="93.86"/>
    <n v="54.68"/>
    <x v="20"/>
    <n v="69"/>
    <x v="269"/>
    <n v="15.22"/>
  </r>
  <r>
    <x v="52"/>
    <n v="404"/>
    <n v="6"/>
    <n v="237"/>
    <n v="43"/>
    <n v="0"/>
    <n v="24"/>
    <n v="2"/>
    <n v="70"/>
    <n v="29"/>
    <n v="0"/>
    <n v="1"/>
    <x v="62"/>
    <n v="574"/>
    <n v="28"/>
    <n v="170"/>
    <n v="22"/>
    <n v="1"/>
    <n v="15"/>
    <n v="2"/>
    <n v="180"/>
    <n v="45"/>
    <n v="2"/>
    <n v="1"/>
    <s v="L"/>
    <n v="6"/>
    <n v="71.900000000000006"/>
    <n v="110.16"/>
    <n v="45.66"/>
    <n v="107.2"/>
    <n v="0.33"/>
    <n v="0.66999999999999993"/>
    <s v="N"/>
    <s v="N"/>
    <s v="N"/>
    <s v="N"/>
    <s v="N"/>
    <n v="67.2"/>
    <n v="99.43"/>
    <n v="40.39"/>
    <n v="72.650000000000006"/>
    <x v="39"/>
    <n v="34"/>
    <x v="270"/>
    <n v="33.799999999999997"/>
  </r>
  <r>
    <x v="52"/>
    <n v="404"/>
    <n v="17"/>
    <n v="177"/>
    <n v="30"/>
    <n v="1"/>
    <n v="15"/>
    <n v="2"/>
    <n v="56"/>
    <n v="29"/>
    <n v="0"/>
    <n v="0"/>
    <x v="129"/>
    <n v="196"/>
    <n v="35"/>
    <n v="367"/>
    <n v="39"/>
    <n v="3"/>
    <n v="30"/>
    <n v="0"/>
    <n v="157"/>
    <n v="36"/>
    <n v="2"/>
    <n v="2"/>
    <s v="L"/>
    <n v="7"/>
    <n v="67.16"/>
    <n v="60.25"/>
    <n v="44.8"/>
    <n v="107.16"/>
    <n v="0.52"/>
    <n v="0.48"/>
    <s v="N"/>
    <s v="N"/>
    <s v="N"/>
    <s v="N"/>
    <s v="N"/>
    <n v="69.709999999999994"/>
    <n v="62.71"/>
    <n v="40.630000000000003"/>
    <n v="55.1"/>
    <x v="30"/>
    <n v="52"/>
    <x v="271"/>
    <n v="14.92"/>
  </r>
  <r>
    <x v="52"/>
    <n v="404"/>
    <n v="33"/>
    <n v="213"/>
    <n v="26"/>
    <n v="2"/>
    <n v="14"/>
    <n v="1"/>
    <n v="76"/>
    <n v="33"/>
    <n v="2"/>
    <n v="0"/>
    <x v="47"/>
    <n v="718"/>
    <n v="17"/>
    <n v="377"/>
    <n v="50"/>
    <n v="1"/>
    <n v="31"/>
    <n v="2"/>
    <n v="82"/>
    <n v="31"/>
    <n v="1"/>
    <n v="1"/>
    <s v="W"/>
    <n v="8"/>
    <n v="98.49"/>
    <n v="105.91"/>
    <n v="62.52"/>
    <n v="143.47"/>
    <n v="0.62"/>
    <n v="0.38"/>
    <s v="N"/>
    <s v="N"/>
    <s v="N"/>
    <s v="N"/>
    <s v="N"/>
    <n v="113.67"/>
    <n v="101.55"/>
    <n v="63.57"/>
    <n v="120.28"/>
    <x v="1"/>
    <n v="50"/>
    <x v="272"/>
    <n v="153.99"/>
  </r>
  <r>
    <x v="53"/>
    <n v="415"/>
    <n v="45"/>
    <n v="209"/>
    <n v="20"/>
    <n v="2"/>
    <n v="15"/>
    <n v="0"/>
    <n v="126"/>
    <n v="24"/>
    <n v="3"/>
    <n v="1"/>
    <x v="155"/>
    <n v="61"/>
    <n v="14"/>
    <n v="203"/>
    <n v="38"/>
    <n v="1"/>
    <n v="23"/>
    <n v="1"/>
    <n v="219"/>
    <n v="46"/>
    <n v="1"/>
    <n v="1"/>
    <s v="W"/>
    <n v="5"/>
    <s v=" "/>
    <s v=" "/>
    <s v=" "/>
    <s v=" "/>
    <n v="0.45"/>
    <n v="0.55000000000000004"/>
    <s v="Y"/>
    <s v="N"/>
    <s v="N"/>
    <s v="N"/>
    <s v="N"/>
    <s v=" "/>
    <s v=" "/>
    <s v=" "/>
    <s v=" "/>
    <x v="17"/>
    <n v="59"/>
    <x v="0"/>
    <s v=" "/>
  </r>
  <r>
    <x v="53"/>
    <n v="415"/>
    <n v="24"/>
    <n v="195"/>
    <n v="28"/>
    <n v="0"/>
    <n v="19"/>
    <n v="2"/>
    <n v="172"/>
    <n v="40"/>
    <n v="3"/>
    <n v="2"/>
    <x v="100"/>
    <n v="392"/>
    <n v="32"/>
    <n v="348"/>
    <n v="44"/>
    <n v="1"/>
    <n v="31"/>
    <n v="1"/>
    <n v="151"/>
    <n v="34"/>
    <n v="0"/>
    <n v="0"/>
    <s v="L"/>
    <n v="2"/>
    <n v="84.38"/>
    <n v="89.85"/>
    <n v="96.01"/>
    <n v="96.96"/>
    <n v="0.56000000000000005"/>
    <n v="0.43999999999999995"/>
    <s v="N"/>
    <s v="N"/>
    <s v="N"/>
    <s v="N"/>
    <s v="N"/>
    <n v="88.49"/>
    <n v="70.17"/>
    <n v="83.31"/>
    <n v="100.25"/>
    <x v="11"/>
    <n v="56"/>
    <x v="263"/>
    <n v="24.39"/>
  </r>
  <r>
    <x v="53"/>
    <n v="415"/>
    <n v="24"/>
    <n v="123"/>
    <n v="23"/>
    <n v="2"/>
    <n v="16"/>
    <n v="2"/>
    <n v="240"/>
    <n v="42"/>
    <n v="1"/>
    <n v="0"/>
    <x v="7"/>
    <n v="518"/>
    <n v="6"/>
    <n v="35"/>
    <n v="18"/>
    <n v="0"/>
    <n v="4"/>
    <n v="1"/>
    <n v="174"/>
    <n v="37"/>
    <n v="0"/>
    <n v="1"/>
    <s v="W"/>
    <n v="3"/>
    <n v="85.67"/>
    <n v="183.85"/>
    <n v="136.13999999999999"/>
    <n v="99.01"/>
    <n v="0.33"/>
    <n v="0.66999999999999993"/>
    <s v="N"/>
    <s v="N"/>
    <s v="N"/>
    <s v="N"/>
    <s v="N"/>
    <n v="98.95"/>
    <n v="152.05000000000001"/>
    <n v="174.52"/>
    <n v="92.57"/>
    <x v="30"/>
    <n v="30"/>
    <x v="273"/>
    <n v="17.2"/>
  </r>
  <r>
    <x v="53"/>
    <n v="415"/>
    <n v="24"/>
    <n v="272"/>
    <n v="31"/>
    <n v="2"/>
    <n v="21"/>
    <n v="1"/>
    <n v="139"/>
    <n v="27"/>
    <n v="1"/>
    <n v="0"/>
    <x v="63"/>
    <n v="327"/>
    <n v="28"/>
    <n v="133"/>
    <n v="18"/>
    <n v="2"/>
    <n v="12"/>
    <n v="0"/>
    <n v="265"/>
    <n v="44"/>
    <n v="2"/>
    <n v="0"/>
    <s v="L"/>
    <n v="4"/>
    <n v="115.56"/>
    <n v="76.400000000000006"/>
    <n v="124.99"/>
    <n v="53.449999999999989"/>
    <n v="0.28999999999999998"/>
    <n v="0.71"/>
    <s v="N"/>
    <s v="N"/>
    <s v="N"/>
    <s v="N"/>
    <s v="N"/>
    <n v="118.22"/>
    <n v="78.89"/>
    <n v="153.65"/>
    <n v="65"/>
    <x v="27"/>
    <n v="52"/>
    <x v="218"/>
    <n v="13.51"/>
  </r>
  <r>
    <x v="53"/>
    <n v="415"/>
    <n v="35"/>
    <n v="283"/>
    <n v="22"/>
    <n v="4"/>
    <n v="14"/>
    <n v="0"/>
    <n v="236"/>
    <n v="38"/>
    <n v="1"/>
    <n v="0"/>
    <x v="41"/>
    <n v="742"/>
    <n v="38"/>
    <n v="310"/>
    <n v="25"/>
    <n v="3"/>
    <n v="23"/>
    <n v="0"/>
    <n v="172"/>
    <n v="38"/>
    <n v="2"/>
    <n v="1"/>
    <s v="L"/>
    <n v="6"/>
    <n v="161.02000000000001"/>
    <n v="22.419999999999987"/>
    <n v="148.03"/>
    <n v="94.99"/>
    <n v="0.4"/>
    <n v="0.6"/>
    <s v="N"/>
    <s v="N"/>
    <s v="N"/>
    <s v="N"/>
    <s v="N"/>
    <n v="182.37"/>
    <n v="22.78"/>
    <n v="215.51"/>
    <n v="102.09"/>
    <x v="22"/>
    <n v="73"/>
    <x v="274"/>
    <n v="11.34"/>
  </r>
  <r>
    <x v="53"/>
    <n v="415"/>
    <n v="30"/>
    <n v="267"/>
    <n v="30"/>
    <n v="3"/>
    <n v="20"/>
    <n v="0"/>
    <n v="44"/>
    <n v="27"/>
    <n v="0"/>
    <n v="1"/>
    <x v="101"/>
    <n v="457"/>
    <n v="24"/>
    <n v="288"/>
    <n v="38"/>
    <n v="2"/>
    <n v="29"/>
    <n v="0"/>
    <n v="141"/>
    <n v="42"/>
    <n v="1"/>
    <n v="2"/>
    <s v="W"/>
    <n v="7"/>
    <n v="130.16999999999999"/>
    <n v="74.48"/>
    <n v="26.7"/>
    <n v="132.82999999999998"/>
    <n v="0.48"/>
    <n v="0.52"/>
    <s v="N"/>
    <s v="N"/>
    <s v="N"/>
    <s v="N"/>
    <s v="N"/>
    <n v="127.89"/>
    <n v="87.81"/>
    <n v="37.18"/>
    <n v="126.14"/>
    <x v="47"/>
    <n v="54"/>
    <x v="275"/>
    <n v="16.75"/>
  </r>
  <r>
    <x v="53"/>
    <n v="415"/>
    <n v="24"/>
    <n v="140"/>
    <n v="23"/>
    <n v="0"/>
    <n v="8"/>
    <n v="1"/>
    <n v="122"/>
    <n v="41"/>
    <n v="2"/>
    <n v="0"/>
    <x v="141"/>
    <n v="255"/>
    <n v="7"/>
    <n v="77"/>
    <n v="14"/>
    <n v="0"/>
    <n v="7"/>
    <n v="1"/>
    <n v="134"/>
    <n v="48"/>
    <n v="1"/>
    <n v="2"/>
    <s v="W"/>
    <n v="8"/>
    <n v="54.91"/>
    <s v=" "/>
    <n v="76.349999999999994"/>
    <n v="144.61000000000001"/>
    <n v="0.23"/>
    <n v="0.77"/>
    <s v="N"/>
    <s v="N"/>
    <s v="N"/>
    <s v="Y"/>
    <s v="N"/>
    <n v="66.58"/>
    <s v=" "/>
    <n v="64.599999999999994"/>
    <n v="206.51"/>
    <x v="0"/>
    <n v="31"/>
    <x v="0"/>
    <s v=" "/>
  </r>
  <r>
    <x v="54"/>
    <n v="414"/>
    <n v="6"/>
    <n v="194"/>
    <n v="39"/>
    <n v="0"/>
    <n v="26"/>
    <n v="1"/>
    <n v="76"/>
    <n v="36"/>
    <n v="1"/>
    <n v="1"/>
    <x v="30"/>
    <n v="434"/>
    <n v="17"/>
    <n v="129"/>
    <n v="26"/>
    <n v="1"/>
    <n v="17"/>
    <n v="1"/>
    <n v="162"/>
    <n v="37"/>
    <n v="1"/>
    <n v="0"/>
    <s v="L"/>
    <n v="1"/>
    <n v="86.08"/>
    <n v="113.34"/>
    <n v="44.81"/>
    <n v="94.37"/>
    <n v="0.41"/>
    <n v="0.59000000000000008"/>
    <s v="N"/>
    <s v="N"/>
    <s v="N"/>
    <s v="N"/>
    <s v="N"/>
    <n v="82.27"/>
    <n v="106.53"/>
    <n v="49.04"/>
    <n v="109.24"/>
    <x v="6"/>
    <n v="23"/>
    <x v="276"/>
    <n v="17.920000000000002"/>
  </r>
  <r>
    <x v="54"/>
    <n v="414"/>
    <n v="23"/>
    <n v="325"/>
    <n v="48"/>
    <n v="2"/>
    <n v="27"/>
    <n v="1"/>
    <n v="80"/>
    <n v="21"/>
    <n v="1"/>
    <n v="0"/>
    <x v="156"/>
    <n v="428"/>
    <n v="29"/>
    <n v="163"/>
    <n v="21"/>
    <n v="1"/>
    <n v="11"/>
    <n v="0"/>
    <n v="236"/>
    <n v="47"/>
    <n v="1"/>
    <n v="0"/>
    <s v="L"/>
    <n v="3"/>
    <n v="93.15"/>
    <n v="98.17"/>
    <n v="95.52"/>
    <n v="80.31"/>
    <n v="0.31"/>
    <n v="0.69"/>
    <s v="N"/>
    <s v="N"/>
    <s v="N"/>
    <s v="N"/>
    <s v="N"/>
    <n v="80.790000000000006"/>
    <n v="78.53"/>
    <n v="82.68"/>
    <n v="67.239999999999995"/>
    <x v="47"/>
    <n v="52"/>
    <x v="277"/>
    <n v="18.260000000000002"/>
  </r>
  <r>
    <x v="54"/>
    <n v="414"/>
    <n v="23"/>
    <n v="265"/>
    <n v="40"/>
    <n v="0"/>
    <n v="25"/>
    <n v="2"/>
    <n v="43"/>
    <n v="31"/>
    <n v="2"/>
    <n v="1"/>
    <x v="131"/>
    <n v="71"/>
    <n v="37"/>
    <n v="183"/>
    <n v="24"/>
    <n v="3"/>
    <n v="19"/>
    <n v="1"/>
    <n v="127"/>
    <n v="38"/>
    <n v="2"/>
    <n v="1"/>
    <s v="L"/>
    <n v="4"/>
    <n v="83.61"/>
    <n v="73.03"/>
    <n v="32.18"/>
    <n v="122.46"/>
    <n v="0.39"/>
    <n v="0.61"/>
    <s v="N"/>
    <s v="N"/>
    <s v="N"/>
    <s v="N"/>
    <s v="N"/>
    <n v="82.08"/>
    <n v="69.569999999999993"/>
    <n v="28.6"/>
    <n v="92.25"/>
    <x v="5"/>
    <n v="60"/>
    <x v="278"/>
    <n v="15.78"/>
  </r>
  <r>
    <x v="54"/>
    <n v="414"/>
    <n v="0"/>
    <n v="267"/>
    <n v="35"/>
    <n v="0"/>
    <n v="21"/>
    <n v="1"/>
    <n v="-3"/>
    <n v="38"/>
    <n v="0"/>
    <n v="1"/>
    <x v="10"/>
    <n v="140"/>
    <n v="27"/>
    <n v="251"/>
    <n v="30"/>
    <n v="1"/>
    <n v="16"/>
    <n v="2"/>
    <n v="147"/>
    <n v="40"/>
    <n v="2"/>
    <n v="2"/>
    <s v="L"/>
    <n v="5"/>
    <n v="93"/>
    <n v="116.07"/>
    <n v="-9.73"/>
    <n v="122.24"/>
    <n v="0.43"/>
    <n v="0.57000000000000006"/>
    <s v="N"/>
    <s v="N"/>
    <s v="N"/>
    <s v="N"/>
    <s v="N"/>
    <n v="91.72"/>
    <n v="121.7"/>
    <n v="-16.57"/>
    <n v="133.91"/>
    <x v="18"/>
    <n v="27"/>
    <x v="279"/>
    <n v="34.43"/>
  </r>
  <r>
    <x v="54"/>
    <n v="414"/>
    <n v="35"/>
    <n v="342"/>
    <n v="37"/>
    <n v="4"/>
    <n v="24"/>
    <n v="0"/>
    <n v="161"/>
    <n v="33"/>
    <n v="1"/>
    <n v="1"/>
    <x v="58"/>
    <n v="725"/>
    <n v="28"/>
    <n v="124"/>
    <n v="9"/>
    <n v="1"/>
    <n v="8"/>
    <n v="0"/>
    <n v="326"/>
    <n v="65"/>
    <n v="3"/>
    <n v="2"/>
    <s v="W"/>
    <n v="6"/>
    <n v="131.46"/>
    <s v=" "/>
    <n v="108.64"/>
    <n v="85.95"/>
    <n v="0.12"/>
    <n v="0.88"/>
    <s v="N"/>
    <s v="N"/>
    <s v="N"/>
    <s v="Y"/>
    <s v="N"/>
    <n v="128.58000000000001"/>
    <s v=" "/>
    <n v="86.33"/>
    <n v="106.82"/>
    <x v="20"/>
    <n v="63"/>
    <x v="0"/>
    <s v=" "/>
  </r>
  <r>
    <x v="54"/>
    <n v="414"/>
    <n v="9"/>
    <n v="125"/>
    <n v="27"/>
    <n v="1"/>
    <n v="13"/>
    <n v="0"/>
    <n v="41"/>
    <n v="34"/>
    <n v="0"/>
    <n v="2"/>
    <x v="14"/>
    <n v="331"/>
    <n v="3"/>
    <n v="169"/>
    <n v="31"/>
    <n v="0"/>
    <n v="16"/>
    <n v="1"/>
    <n v="75"/>
    <n v="36"/>
    <n v="0"/>
    <n v="0"/>
    <s v="W"/>
    <n v="7"/>
    <n v="78.94"/>
    <n v="128.35"/>
    <n v="10.33"/>
    <n v="151.67000000000002"/>
    <n v="0.46"/>
    <n v="0.54"/>
    <s v="N"/>
    <s v="N"/>
    <s v="N"/>
    <s v="N"/>
    <s v="N"/>
    <n v="89.9"/>
    <n v="60.83"/>
    <n v="12.49"/>
    <n v="45.06"/>
    <x v="47"/>
    <n v="12"/>
    <x v="225"/>
    <n v="19.54"/>
  </r>
  <r>
    <x v="54"/>
    <n v="414"/>
    <n v="28"/>
    <n v="394"/>
    <n v="43"/>
    <n v="3"/>
    <n v="28"/>
    <n v="2"/>
    <n v="14"/>
    <n v="21"/>
    <n v="1"/>
    <n v="1"/>
    <x v="66"/>
    <n v="709"/>
    <n v="49"/>
    <n v="228"/>
    <n v="28"/>
    <n v="2"/>
    <n v="18"/>
    <n v="0"/>
    <n v="269"/>
    <n v="45"/>
    <n v="4"/>
    <n v="0"/>
    <s v="L"/>
    <n v="8"/>
    <n v="111.57"/>
    <n v="80.62"/>
    <n v="8.32"/>
    <n v="47.97999999999999"/>
    <n v="0.38"/>
    <n v="0.62"/>
    <s v="N"/>
    <s v="N"/>
    <s v="N"/>
    <s v="N"/>
    <s v="N"/>
    <n v="113.29"/>
    <n v="94.43"/>
    <n v="11.04"/>
    <n v="50.02"/>
    <x v="23"/>
    <n v="77"/>
    <x v="280"/>
    <n v="13.86"/>
  </r>
  <r>
    <x v="55"/>
    <n v="418"/>
    <n v="35"/>
    <n v="338"/>
    <n v="24"/>
    <n v="4"/>
    <n v="11"/>
    <n v="3"/>
    <n v="114"/>
    <n v="26"/>
    <n v="1"/>
    <n v="0"/>
    <x v="4"/>
    <n v="513"/>
    <n v="31"/>
    <n v="315"/>
    <n v="39"/>
    <n v="3"/>
    <n v="27"/>
    <n v="2"/>
    <n v="198"/>
    <n v="33"/>
    <n v="1"/>
    <n v="3"/>
    <s v="W"/>
    <n v="2"/>
    <n v="110.09"/>
    <n v="90.6"/>
    <n v="107.49"/>
    <n v="83.53"/>
    <n v="0.54"/>
    <n v="0.45999999999999996"/>
    <s v="N"/>
    <s v="N"/>
    <s v="N"/>
    <s v="N"/>
    <s v="N"/>
    <n v="113.29"/>
    <n v="92.2"/>
    <n v="125.27"/>
    <n v="111.73"/>
    <x v="27"/>
    <n v="66"/>
    <x v="281"/>
    <n v="48.25"/>
  </r>
  <r>
    <x v="55"/>
    <n v="418"/>
    <n v="31"/>
    <n v="95"/>
    <n v="18"/>
    <n v="2"/>
    <n v="7"/>
    <n v="1"/>
    <n v="376"/>
    <n v="50"/>
    <n v="2"/>
    <n v="0"/>
    <x v="11"/>
    <n v="204"/>
    <n v="3"/>
    <n v="29"/>
    <n v="6"/>
    <n v="0"/>
    <n v="3"/>
    <n v="1"/>
    <n v="207"/>
    <n v="46"/>
    <n v="0"/>
    <n v="1"/>
    <s v="W"/>
    <n v="3"/>
    <n v="67.650000000000006"/>
    <s v=" "/>
    <n v="180.46"/>
    <n v="102.12"/>
    <n v="0.12"/>
    <n v="0.88"/>
    <s v="N"/>
    <s v="N"/>
    <s v="N"/>
    <s v="Y"/>
    <s v="N"/>
    <n v="60.84"/>
    <s v=" "/>
    <n v="165.34"/>
    <n v="93.57"/>
    <x v="15"/>
    <n v="34"/>
    <x v="0"/>
    <s v=" "/>
  </r>
  <r>
    <x v="55"/>
    <n v="418"/>
    <n v="28"/>
    <n v="93"/>
    <n v="17"/>
    <n v="0"/>
    <n v="8"/>
    <n v="2"/>
    <n v="320"/>
    <n v="45"/>
    <n v="4"/>
    <n v="2"/>
    <x v="5"/>
    <n v="626"/>
    <n v="7"/>
    <n v="253"/>
    <n v="48"/>
    <n v="1"/>
    <n v="23"/>
    <n v="0"/>
    <n v="123"/>
    <n v="29"/>
    <n v="0"/>
    <n v="3"/>
    <s v="W"/>
    <n v="4"/>
    <n v="41.58"/>
    <n v="120.23"/>
    <n v="164.98"/>
    <n v="132.63"/>
    <n v="0.62"/>
    <n v="0.38"/>
    <s v="N"/>
    <s v="N"/>
    <s v="N"/>
    <s v="N"/>
    <s v="N"/>
    <n v="49.87"/>
    <n v="111.62"/>
    <n v="168.21"/>
    <n v="141.69999999999999"/>
    <x v="23"/>
    <n v="35"/>
    <x v="282"/>
    <n v="35.340000000000003"/>
  </r>
  <r>
    <x v="55"/>
    <n v="418"/>
    <n v="58"/>
    <n v="217"/>
    <n v="25"/>
    <n v="3"/>
    <n v="18"/>
    <n v="0"/>
    <n v="363"/>
    <n v="48"/>
    <n v="3"/>
    <n v="0"/>
    <x v="156"/>
    <n v="428"/>
    <n v="0"/>
    <n v="104"/>
    <n v="22"/>
    <n v="0"/>
    <n v="11"/>
    <n v="0"/>
    <n v="73"/>
    <n v="25"/>
    <n v="0"/>
    <n v="2"/>
    <s v="W"/>
    <n v="5"/>
    <n v="137.31"/>
    <n v="124.24"/>
    <n v="184.83"/>
    <n v="156.26"/>
    <n v="0.47"/>
    <n v="0.53"/>
    <s v="N"/>
    <s v="N"/>
    <s v="N"/>
    <s v="N"/>
    <s v="N"/>
    <n v="119.08"/>
    <n v="99.39"/>
    <n v="159.97999999999999"/>
    <n v="130.83000000000001"/>
    <x v="53"/>
    <n v="58"/>
    <x v="283"/>
    <n v="28.62"/>
  </r>
  <r>
    <x v="55"/>
    <n v="418"/>
    <n v="42"/>
    <n v="362"/>
    <n v="28"/>
    <n v="2"/>
    <n v="19"/>
    <n v="3"/>
    <n v="179"/>
    <n v="50"/>
    <n v="4"/>
    <n v="0"/>
    <x v="45"/>
    <n v="509"/>
    <n v="24"/>
    <n v="331"/>
    <n v="45"/>
    <n v="0"/>
    <n v="32"/>
    <n v="1"/>
    <n v="107"/>
    <n v="25"/>
    <n v="3"/>
    <n v="1"/>
    <s v="W"/>
    <n v="6"/>
    <n v="116.89"/>
    <n v="95.47"/>
    <n v="95.06"/>
    <n v="94.7"/>
    <n v="0.64"/>
    <n v="0.36"/>
    <s v="N"/>
    <s v="N"/>
    <s v="N"/>
    <s v="N"/>
    <s v="N"/>
    <n v="98.9"/>
    <n v="111.4"/>
    <n v="93.96"/>
    <n v="84.26"/>
    <x v="30"/>
    <n v="66"/>
    <x v="284"/>
    <n v="849.06"/>
  </r>
  <r>
    <x v="55"/>
    <n v="418"/>
    <n v="14"/>
    <n v="168"/>
    <n v="31"/>
    <n v="1"/>
    <n v="12"/>
    <n v="1"/>
    <n v="82"/>
    <n v="36"/>
    <n v="1"/>
    <n v="0"/>
    <x v="92"/>
    <n v="416"/>
    <n v="28"/>
    <n v="120"/>
    <n v="24"/>
    <n v="2"/>
    <n v="13"/>
    <n v="0"/>
    <n v="213"/>
    <n v="39"/>
    <n v="1"/>
    <n v="2"/>
    <s v="L"/>
    <n v="7"/>
    <n v="63.41"/>
    <n v="106.08"/>
    <n v="57.01"/>
    <n v="84.83"/>
    <n v="0.38"/>
    <n v="0.62"/>
    <s v="N"/>
    <s v="N"/>
    <s v="N"/>
    <s v="N"/>
    <s v="N"/>
    <n v="80.709999999999994"/>
    <n v="115.46"/>
    <n v="83.57"/>
    <n v="63.25"/>
    <x v="5"/>
    <n v="42"/>
    <x v="285"/>
    <n v="15.79"/>
  </r>
  <r>
    <x v="56"/>
    <n v="416"/>
    <n v="28"/>
    <n v="237"/>
    <n v="23"/>
    <n v="1"/>
    <n v="19"/>
    <n v="0"/>
    <n v="159"/>
    <n v="35"/>
    <n v="3"/>
    <n v="1"/>
    <x v="157"/>
    <n v="817"/>
    <n v="6"/>
    <n v="126"/>
    <n v="35"/>
    <n v="1"/>
    <n v="17"/>
    <n v="1"/>
    <n v="128"/>
    <n v="34"/>
    <n v="0"/>
    <n v="0"/>
    <s v="W"/>
    <n v="1"/>
    <s v=" "/>
    <s v=" "/>
    <s v=" "/>
    <s v=" "/>
    <n v="0.51"/>
    <n v="0.49"/>
    <s v="Y"/>
    <s v="N"/>
    <s v="N"/>
    <s v="N"/>
    <s v="N"/>
    <s v=" "/>
    <s v=" "/>
    <s v=" "/>
    <s v=" "/>
    <x v="39"/>
    <n v="34"/>
    <x v="0"/>
    <s v=" "/>
  </r>
  <r>
    <x v="56"/>
    <n v="416"/>
    <n v="44"/>
    <n v="246"/>
    <n v="32"/>
    <n v="2"/>
    <n v="22"/>
    <n v="0"/>
    <n v="188"/>
    <n v="51"/>
    <n v="2"/>
    <n v="0"/>
    <x v="52"/>
    <n v="229"/>
    <n v="0"/>
    <n v="26"/>
    <n v="13"/>
    <n v="0"/>
    <n v="6"/>
    <n v="0"/>
    <n v="22"/>
    <n v="20"/>
    <n v="0"/>
    <n v="1"/>
    <s v="W"/>
    <n v="2"/>
    <n v="120.02"/>
    <s v=" "/>
    <n v="91.4"/>
    <n v="189.48"/>
    <n v="0.39"/>
    <n v="0.61"/>
    <s v="N"/>
    <s v="N"/>
    <s v="N"/>
    <s v="Y"/>
    <s v="N"/>
    <n v="120.26"/>
    <s v=" "/>
    <n v="95.75"/>
    <n v="105.3"/>
    <x v="25"/>
    <n v="44"/>
    <x v="0"/>
    <s v=" "/>
  </r>
  <r>
    <x v="56"/>
    <n v="416"/>
    <n v="13"/>
    <n v="329"/>
    <n v="54"/>
    <n v="1"/>
    <n v="34"/>
    <n v="1"/>
    <n v="29"/>
    <n v="23"/>
    <n v="0"/>
    <n v="1"/>
    <x v="4"/>
    <n v="513"/>
    <n v="31"/>
    <n v="161"/>
    <n v="26"/>
    <n v="1"/>
    <n v="18"/>
    <n v="1"/>
    <n v="114"/>
    <n v="32"/>
    <n v="2"/>
    <n v="2"/>
    <s v="L"/>
    <n v="3"/>
    <n v="93.39"/>
    <n v="102.79"/>
    <n v="16.21"/>
    <n v="126.72"/>
    <n v="0.45"/>
    <n v="0.55000000000000004"/>
    <s v="N"/>
    <s v="N"/>
    <s v="N"/>
    <s v="N"/>
    <s v="N"/>
    <n v="96.11"/>
    <n v="104.61"/>
    <n v="18.89"/>
    <n v="169.5"/>
    <x v="30"/>
    <n v="44"/>
    <x v="286"/>
    <n v="29.56"/>
  </r>
  <r>
    <x v="56"/>
    <n v="416"/>
    <n v="45"/>
    <n v="284"/>
    <n v="30"/>
    <n v="2"/>
    <n v="20"/>
    <n v="1"/>
    <n v="197"/>
    <n v="47"/>
    <n v="3"/>
    <n v="0"/>
    <x v="60"/>
    <n v="129"/>
    <n v="7"/>
    <n v="91"/>
    <n v="33"/>
    <n v="1"/>
    <n v="12"/>
    <n v="4"/>
    <n v="21"/>
    <n v="18"/>
    <n v="0"/>
    <n v="0"/>
    <s v="W"/>
    <n v="4"/>
    <n v="118.26"/>
    <n v="180.43"/>
    <n v="106.82"/>
    <n v="172.93"/>
    <n v="0.65"/>
    <n v="0.35"/>
    <s v="N"/>
    <s v="N"/>
    <s v="N"/>
    <s v="N"/>
    <s v="N"/>
    <n v="110.31"/>
    <n v="166.83"/>
    <n v="92.6"/>
    <n v="160.47999999999999"/>
    <x v="8"/>
    <n v="52"/>
    <x v="100"/>
    <n v="21.3"/>
  </r>
  <r>
    <x v="56"/>
    <n v="416"/>
    <n v="10"/>
    <n v="250"/>
    <n v="32"/>
    <n v="1"/>
    <n v="20"/>
    <n v="2"/>
    <n v="71"/>
    <n v="31"/>
    <n v="0"/>
    <n v="1"/>
    <x v="7"/>
    <n v="518"/>
    <n v="7"/>
    <n v="143"/>
    <n v="25"/>
    <n v="1"/>
    <n v="12"/>
    <n v="1"/>
    <n v="35"/>
    <n v="39"/>
    <n v="0"/>
    <n v="0"/>
    <s v="W"/>
    <n v="5"/>
    <n v="91.02"/>
    <n v="126.83"/>
    <n v="43.46"/>
    <n v="179.18"/>
    <n v="0.39"/>
    <n v="0.61"/>
    <s v="N"/>
    <s v="N"/>
    <s v="N"/>
    <s v="N"/>
    <s v="N"/>
    <n v="105.13"/>
    <n v="104.89"/>
    <n v="55.71"/>
    <n v="167.53"/>
    <x v="22"/>
    <n v="17"/>
    <x v="287"/>
    <n v="7.41"/>
  </r>
  <r>
    <x v="56"/>
    <n v="416"/>
    <n v="28"/>
    <n v="120"/>
    <n v="24"/>
    <n v="2"/>
    <n v="13"/>
    <n v="0"/>
    <n v="213"/>
    <n v="39"/>
    <n v="1"/>
    <n v="2"/>
    <x v="113"/>
    <n v="418"/>
    <n v="14"/>
    <n v="168"/>
    <n v="31"/>
    <n v="1"/>
    <n v="12"/>
    <n v="1"/>
    <n v="82"/>
    <n v="36"/>
    <n v="1"/>
    <n v="0"/>
    <s v="W"/>
    <n v="7"/>
    <n v="93.92"/>
    <n v="136.59"/>
    <n v="115.17"/>
    <n v="142.99"/>
    <n v="0.46"/>
    <n v="0.54"/>
    <s v="N"/>
    <s v="N"/>
    <s v="N"/>
    <s v="N"/>
    <s v="N"/>
    <n v="100.8"/>
    <n v="122.23"/>
    <n v="125.55"/>
    <n v="188.23"/>
    <x v="5"/>
    <n v="42"/>
    <x v="288"/>
    <n v="15.79"/>
  </r>
  <r>
    <x v="56"/>
    <n v="416"/>
    <n v="37"/>
    <n v="290"/>
    <n v="31"/>
    <n v="3"/>
    <n v="22"/>
    <n v="0"/>
    <n v="109"/>
    <n v="32"/>
    <n v="1"/>
    <n v="1"/>
    <x v="135"/>
    <n v="796"/>
    <n v="31"/>
    <n v="223"/>
    <n v="21"/>
    <n v="2"/>
    <n v="14"/>
    <n v="2"/>
    <n v="220"/>
    <n v="41"/>
    <n v="2"/>
    <n v="0"/>
    <s v="W"/>
    <n v="8"/>
    <n v="136.47"/>
    <n v="89.75"/>
    <n v="74.34"/>
    <n v="68.199999999999989"/>
    <n v="0.34"/>
    <n v="0.65999999999999992"/>
    <s v="N"/>
    <s v="N"/>
    <s v="N"/>
    <s v="N"/>
    <s v="N"/>
    <n v="154.15"/>
    <n v="126.8"/>
    <n v="93.79"/>
    <n v="99.55"/>
    <x v="47"/>
    <n v="68"/>
    <x v="289"/>
    <n v="19.21"/>
  </r>
  <r>
    <x v="57"/>
    <n v="419"/>
    <n v="24"/>
    <n v="330"/>
    <n v="47"/>
    <n v="2"/>
    <n v="27"/>
    <n v="1"/>
    <n v="130"/>
    <n v="33"/>
    <n v="1"/>
    <n v="0"/>
    <x v="134"/>
    <n v="559"/>
    <n v="27"/>
    <n v="220"/>
    <n v="35"/>
    <n v="2"/>
    <n v="19"/>
    <n v="1"/>
    <n v="200"/>
    <n v="46"/>
    <n v="1"/>
    <n v="1"/>
    <s v="L"/>
    <n v="1"/>
    <n v="95.71"/>
    <n v="111.46"/>
    <n v="95.94"/>
    <n v="102.39"/>
    <n v="0.43"/>
    <n v="0.57000000000000006"/>
    <s v="N"/>
    <s v="N"/>
    <s v="N"/>
    <s v="N"/>
    <s v="N"/>
    <n v="105.92"/>
    <n v="98.98"/>
    <n v="101.54"/>
    <n v="99.12"/>
    <x v="22"/>
    <n v="51"/>
    <x v="290"/>
    <n v="54.55"/>
  </r>
  <r>
    <x v="57"/>
    <n v="419"/>
    <n v="21"/>
    <n v="198"/>
    <n v="36"/>
    <n v="1"/>
    <n v="23"/>
    <n v="1"/>
    <n v="144"/>
    <n v="28"/>
    <n v="2"/>
    <n v="2"/>
    <x v="141"/>
    <n v="255"/>
    <n v="49"/>
    <n v="214"/>
    <n v="10"/>
    <n v="2"/>
    <n v="6"/>
    <n v="0"/>
    <n v="382"/>
    <n v="65"/>
    <n v="5"/>
    <n v="1"/>
    <s v="L"/>
    <n v="2"/>
    <n v="89.7"/>
    <s v=" "/>
    <n v="108.6"/>
    <n v="56.72999999999999"/>
    <n v="0.13"/>
    <n v="0.87"/>
    <s v="N"/>
    <s v="N"/>
    <s v="N"/>
    <s v="Y"/>
    <s v="N"/>
    <n v="108.76"/>
    <s v=" "/>
    <n v="91.88"/>
    <n v="81.010000000000005"/>
    <x v="15"/>
    <n v="70"/>
    <x v="0"/>
    <s v=" "/>
  </r>
  <r>
    <x v="57"/>
    <n v="419"/>
    <n v="35"/>
    <n v="415"/>
    <n v="48"/>
    <n v="5"/>
    <n v="28"/>
    <n v="1"/>
    <n v="167"/>
    <n v="42"/>
    <n v="0"/>
    <n v="1"/>
    <x v="35"/>
    <n v="716"/>
    <n v="38"/>
    <n v="347"/>
    <n v="42"/>
    <n v="3"/>
    <n v="27"/>
    <n v="1"/>
    <n v="132"/>
    <n v="36"/>
    <n v="1"/>
    <n v="1"/>
    <s v="L"/>
    <n v="4"/>
    <n v="114.83"/>
    <n v="87.12"/>
    <n v="85.1"/>
    <n v="119.1"/>
    <n v="0.54"/>
    <n v="0.45999999999999996"/>
    <s v="N"/>
    <s v="N"/>
    <s v="N"/>
    <s v="N"/>
    <s v="N"/>
    <n v="101.75"/>
    <n v="79.42"/>
    <n v="87.34"/>
    <n v="81.069999999999993"/>
    <x v="22"/>
    <n v="73"/>
    <x v="291"/>
    <n v="48.78"/>
  </r>
  <r>
    <x v="57"/>
    <n v="419"/>
    <n v="38"/>
    <n v="277"/>
    <n v="42"/>
    <n v="3"/>
    <n v="27"/>
    <n v="1"/>
    <n v="200"/>
    <n v="33"/>
    <n v="2"/>
    <n v="0"/>
    <x v="40"/>
    <n v="404"/>
    <n v="31"/>
    <n v="230"/>
    <n v="32"/>
    <n v="1"/>
    <n v="25"/>
    <n v="0"/>
    <n v="165"/>
    <n v="43"/>
    <n v="3"/>
    <n v="2"/>
    <s v="W"/>
    <n v="5"/>
    <n v="103.8"/>
    <n v="78.02"/>
    <n v="149.69999999999999"/>
    <n v="114.47"/>
    <n v="0.43"/>
    <n v="0.57000000000000006"/>
    <s v="N"/>
    <s v="N"/>
    <s v="N"/>
    <s v="N"/>
    <s v="N"/>
    <n v="84.15"/>
    <n v="65.19"/>
    <n v="123.68"/>
    <n v="53.32"/>
    <x v="20"/>
    <n v="69"/>
    <x v="269"/>
    <n v="15.22"/>
  </r>
  <r>
    <x v="57"/>
    <n v="419"/>
    <n v="33"/>
    <n v="276"/>
    <n v="50"/>
    <n v="2"/>
    <n v="25"/>
    <n v="2"/>
    <n v="206"/>
    <n v="39"/>
    <n v="2"/>
    <n v="1"/>
    <x v="42"/>
    <n v="772"/>
    <n v="36"/>
    <n v="222"/>
    <n v="35"/>
    <n v="1"/>
    <n v="17"/>
    <n v="0"/>
    <n v="168"/>
    <n v="51"/>
    <n v="3"/>
    <n v="1"/>
    <s v="L"/>
    <n v="6"/>
    <n v="74.08"/>
    <n v="112.57"/>
    <n v="122.54"/>
    <n v="120.64"/>
    <n v="0.41"/>
    <n v="0.59000000000000008"/>
    <s v="N"/>
    <s v="N"/>
    <s v="N"/>
    <s v="N"/>
    <s v="N"/>
    <n v="88.07"/>
    <n v="90.16"/>
    <n v="137.4"/>
    <n v="114.98"/>
    <x v="22"/>
    <n v="69"/>
    <x v="292"/>
    <n v="10.06"/>
  </r>
  <r>
    <x v="57"/>
    <n v="419"/>
    <n v="38"/>
    <n v="292"/>
    <n v="42"/>
    <n v="3"/>
    <n v="31"/>
    <n v="2"/>
    <n v="187"/>
    <n v="48"/>
    <n v="2"/>
    <n v="1"/>
    <x v="52"/>
    <n v="229"/>
    <n v="14"/>
    <n v="135"/>
    <n v="29"/>
    <n v="1"/>
    <n v="14"/>
    <n v="1"/>
    <n v="141"/>
    <n v="35"/>
    <n v="1"/>
    <n v="5"/>
    <s v="W"/>
    <n v="8"/>
    <n v="108.13"/>
    <n v="131.53"/>
    <n v="90.38"/>
    <n v="145.11000000000001"/>
    <n v="0.45"/>
    <n v="0.55000000000000004"/>
    <s v="N"/>
    <s v="N"/>
    <s v="N"/>
    <s v="N"/>
    <s v="N"/>
    <n v="108.34"/>
    <n v="92.65"/>
    <n v="94.69"/>
    <n v="80.64"/>
    <x v="14"/>
    <n v="52"/>
    <x v="293"/>
    <n v="31.94"/>
  </r>
  <r>
    <x v="58"/>
    <n v="428"/>
    <n v="24"/>
    <n v="124"/>
    <n v="20"/>
    <n v="1"/>
    <n v="9"/>
    <n v="2"/>
    <n v="168"/>
    <n v="41"/>
    <n v="2"/>
    <n v="0"/>
    <x v="158"/>
    <n v="493"/>
    <n v="37"/>
    <n v="197"/>
    <n v="21"/>
    <n v="0"/>
    <n v="16"/>
    <n v="0"/>
    <n v="139"/>
    <n v="28"/>
    <n v="3"/>
    <n v="0"/>
    <s v="L"/>
    <n v="4"/>
    <s v=" "/>
    <s v=" "/>
    <s v=" "/>
    <s v=" "/>
    <n v="0.43"/>
    <n v="0.57000000000000006"/>
    <s v="Y"/>
    <s v="N"/>
    <s v="N"/>
    <s v="N"/>
    <s v="N"/>
    <s v=" "/>
    <s v=" "/>
    <s v=" "/>
    <s v=" "/>
    <x v="40"/>
    <n v="61"/>
    <x v="0"/>
    <s v=" "/>
  </r>
  <r>
    <x v="58"/>
    <n v="428"/>
    <n v="17"/>
    <n v="192"/>
    <n v="26"/>
    <n v="1"/>
    <n v="14"/>
    <n v="1"/>
    <n v="110"/>
    <n v="34"/>
    <n v="1"/>
    <n v="0"/>
    <x v="26"/>
    <n v="657"/>
    <n v="19"/>
    <n v="304"/>
    <n v="45"/>
    <n v="3"/>
    <n v="34"/>
    <n v="0"/>
    <n v="67"/>
    <n v="28"/>
    <n v="0"/>
    <n v="1"/>
    <s v="L"/>
    <n v="1"/>
    <n v="88.32"/>
    <n v="77.63"/>
    <n v="79.47"/>
    <n v="155.19999999999999"/>
    <n v="0.62"/>
    <n v="0.38"/>
    <s v="N"/>
    <s v="N"/>
    <s v="N"/>
    <s v="N"/>
    <s v="N"/>
    <n v="89.76"/>
    <n v="89.6"/>
    <n v="99.32"/>
    <n v="142.36000000000001"/>
    <x v="35"/>
    <n v="36"/>
    <x v="294"/>
    <n v="322.58"/>
  </r>
  <r>
    <x v="58"/>
    <n v="428"/>
    <n v="21"/>
    <n v="238"/>
    <n v="40"/>
    <n v="2"/>
    <n v="18"/>
    <n v="2"/>
    <n v="181"/>
    <n v="35"/>
    <n v="1"/>
    <n v="0"/>
    <x v="127"/>
    <n v="472"/>
    <n v="28"/>
    <n v="288"/>
    <n v="31"/>
    <n v="3"/>
    <n v="20"/>
    <n v="2"/>
    <n v="133"/>
    <n v="37"/>
    <n v="1"/>
    <n v="0"/>
    <s v="L"/>
    <n v="2"/>
    <n v="69.930000000000007"/>
    <n v="89.69"/>
    <n v="124.26"/>
    <n v="112.55"/>
    <n v="0.46"/>
    <n v="0.54"/>
    <s v="N"/>
    <s v="N"/>
    <s v="N"/>
    <s v="N"/>
    <s v="N"/>
    <n v="79.900000000000006"/>
    <n v="99.45"/>
    <n v="103.22"/>
    <n v="89.78"/>
    <x v="20"/>
    <n v="49"/>
    <x v="295"/>
    <n v="196.08"/>
  </r>
  <r>
    <x v="58"/>
    <n v="428"/>
    <n v="29"/>
    <n v="163"/>
    <n v="21"/>
    <n v="1"/>
    <n v="11"/>
    <n v="0"/>
    <n v="236"/>
    <n v="47"/>
    <n v="1"/>
    <n v="0"/>
    <x v="48"/>
    <n v="414"/>
    <n v="23"/>
    <n v="325"/>
    <n v="48"/>
    <n v="2"/>
    <n v="27"/>
    <n v="1"/>
    <n v="80"/>
    <n v="21"/>
    <n v="1"/>
    <n v="0"/>
    <s v="W"/>
    <n v="3"/>
    <n v="101.83"/>
    <n v="106.85"/>
    <n v="119.69"/>
    <n v="104.48"/>
    <n v="0.7"/>
    <n v="0.30000000000000004"/>
    <s v="N"/>
    <s v="N"/>
    <s v="N"/>
    <s v="N"/>
    <s v="N"/>
    <n v="103.46"/>
    <n v="103.46"/>
    <n v="120.54"/>
    <n v="43.3"/>
    <x v="47"/>
    <n v="52"/>
    <x v="277"/>
    <n v="18.260000000000002"/>
  </r>
  <r>
    <x v="58"/>
    <n v="428"/>
    <n v="0"/>
    <n v="104"/>
    <n v="22"/>
    <n v="0"/>
    <n v="11"/>
    <n v="0"/>
    <n v="73"/>
    <n v="25"/>
    <n v="0"/>
    <n v="2"/>
    <x v="113"/>
    <n v="418"/>
    <n v="58"/>
    <n v="217"/>
    <n v="25"/>
    <n v="3"/>
    <n v="18"/>
    <n v="0"/>
    <n v="363"/>
    <n v="48"/>
    <n v="3"/>
    <n v="0"/>
    <s v="L"/>
    <n v="5"/>
    <n v="75.760000000000005"/>
    <n v="62.69"/>
    <n v="43.74"/>
    <n v="15.169999999999987"/>
    <n v="0.34"/>
    <n v="0.65999999999999992"/>
    <s v="N"/>
    <s v="N"/>
    <s v="N"/>
    <s v="N"/>
    <s v="N"/>
    <n v="81.31"/>
    <n v="56.1"/>
    <n v="47.68"/>
    <n v="19.97"/>
    <x v="53"/>
    <n v="58"/>
    <x v="283"/>
    <n v="28.62"/>
  </r>
  <r>
    <x v="58"/>
    <n v="428"/>
    <n v="17"/>
    <n v="113"/>
    <n v="23"/>
    <n v="0"/>
    <n v="10"/>
    <n v="1"/>
    <n v="100"/>
    <n v="33"/>
    <n v="1"/>
    <n v="2"/>
    <x v="134"/>
    <n v="559"/>
    <n v="45"/>
    <n v="155"/>
    <n v="27"/>
    <n v="2"/>
    <n v="18"/>
    <n v="0"/>
    <n v="217"/>
    <n v="47"/>
    <n v="3"/>
    <n v="0"/>
    <s v="L"/>
    <n v="6"/>
    <n v="57.21"/>
    <n v="90.94"/>
    <n v="56.67"/>
    <n v="83.31"/>
    <n v="0.36"/>
    <n v="0.64"/>
    <s v="N"/>
    <s v="N"/>
    <s v="N"/>
    <s v="N"/>
    <s v="N"/>
    <n v="63.31"/>
    <n v="80.760000000000005"/>
    <n v="59.98"/>
    <n v="80.650000000000006"/>
    <x v="15"/>
    <n v="62"/>
    <x v="296"/>
    <n v="25.03"/>
  </r>
  <r>
    <x v="58"/>
    <n v="428"/>
    <n v="14"/>
    <n v="122"/>
    <n v="18"/>
    <n v="0"/>
    <n v="9"/>
    <n v="0"/>
    <n v="132"/>
    <n v="39"/>
    <n v="2"/>
    <n v="1"/>
    <x v="119"/>
    <n v="463"/>
    <n v="41"/>
    <n v="169"/>
    <n v="23"/>
    <n v="1"/>
    <n v="14"/>
    <n v="0"/>
    <n v="346"/>
    <n v="56"/>
    <n v="3"/>
    <n v="0"/>
    <s v="L"/>
    <n v="8"/>
    <n v="86.94"/>
    <n v="92.56"/>
    <n v="78.52"/>
    <n v="48.620000000000005"/>
    <n v="0.28999999999999998"/>
    <n v="0.71"/>
    <s v="N"/>
    <s v="N"/>
    <s v="N"/>
    <s v="N"/>
    <s v="N"/>
    <n v="92.4"/>
    <n v="87.99"/>
    <n v="72.55"/>
    <n v="66.239999999999995"/>
    <x v="18"/>
    <n v="55"/>
    <x v="297"/>
    <n v="28.92"/>
  </r>
  <r>
    <x v="59"/>
    <n v="430"/>
    <n v="59"/>
    <n v="336"/>
    <n v="31"/>
    <n v="3"/>
    <n v="19"/>
    <n v="0"/>
    <n v="309"/>
    <n v="38"/>
    <n v="5"/>
    <n v="1"/>
    <x v="40"/>
    <n v="404"/>
    <n v="14"/>
    <n v="174"/>
    <n v="40"/>
    <n v="1"/>
    <n v="26"/>
    <n v="1"/>
    <n v="164"/>
    <n v="47"/>
    <n v="1"/>
    <n v="2"/>
    <s v="W"/>
    <n v="1"/>
    <n v="134.88"/>
    <n v="115.04"/>
    <n v="200.49"/>
    <n v="128.62"/>
    <n v="0.46"/>
    <n v="0.54"/>
    <s v="N"/>
    <s v="N"/>
    <s v="N"/>
    <s v="N"/>
    <s v="N"/>
    <n v="109.35"/>
    <n v="96.12"/>
    <n v="165.64"/>
    <n v="59.91"/>
    <x v="10"/>
    <n v="73"/>
    <x v="266"/>
    <n v="25.14"/>
  </r>
  <r>
    <x v="59"/>
    <n v="430"/>
    <n v="34"/>
    <n v="198"/>
    <n v="34"/>
    <n v="1"/>
    <n v="21"/>
    <n v="1"/>
    <n v="333"/>
    <n v="63"/>
    <n v="2"/>
    <n v="0"/>
    <x v="38"/>
    <n v="37"/>
    <n v="41"/>
    <n v="146"/>
    <n v="23"/>
    <n v="2"/>
    <n v="16"/>
    <n v="1"/>
    <n v="235"/>
    <n v="36"/>
    <n v="2"/>
    <n v="0"/>
    <s v="L"/>
    <n v="2"/>
    <n v="89.09"/>
    <n v="95.84"/>
    <n v="127.39"/>
    <n v="40.22"/>
    <n v="0.39"/>
    <n v="0.61"/>
    <s v="N"/>
    <s v="N"/>
    <s v="N"/>
    <s v="N"/>
    <s v="N"/>
    <n v="90.27"/>
    <n v="79.92"/>
    <n v="127.75"/>
    <n v="42.44"/>
    <x v="20"/>
    <n v="75"/>
    <x v="43"/>
    <n v="14.75"/>
  </r>
  <r>
    <x v="59"/>
    <n v="430"/>
    <n v="6"/>
    <n v="141"/>
    <n v="25"/>
    <n v="0"/>
    <n v="15"/>
    <n v="2"/>
    <n v="52"/>
    <n v="34"/>
    <n v="0"/>
    <n v="0"/>
    <x v="54"/>
    <n v="365"/>
    <n v="19"/>
    <n v="213"/>
    <n v="27"/>
    <n v="1"/>
    <n v="21"/>
    <n v="1"/>
    <n v="148"/>
    <n v="38"/>
    <n v="0"/>
    <n v="0"/>
    <s v="L"/>
    <n v="3"/>
    <n v="66.739999999999995"/>
    <n v="84.78"/>
    <n v="35.479999999999997"/>
    <n v="109.64"/>
    <n v="0.42"/>
    <n v="0.58000000000000007"/>
    <s v="N"/>
    <s v="N"/>
    <s v="N"/>
    <s v="N"/>
    <s v="N"/>
    <n v="89.04"/>
    <n v="93.6"/>
    <n v="49.56"/>
    <n v="118.26"/>
    <x v="40"/>
    <n v="25"/>
    <x v="298"/>
    <n v="12.58"/>
  </r>
  <r>
    <x v="59"/>
    <n v="430"/>
    <n v="26"/>
    <n v="164"/>
    <n v="29"/>
    <n v="1"/>
    <n v="14"/>
    <n v="1"/>
    <n v="176"/>
    <n v="44"/>
    <n v="1"/>
    <n v="0"/>
    <x v="126"/>
    <n v="366"/>
    <n v="20"/>
    <n v="252"/>
    <n v="41"/>
    <n v="1"/>
    <n v="30"/>
    <n v="2"/>
    <n v="107"/>
    <n v="37"/>
    <n v="1"/>
    <n v="1"/>
    <s v="W"/>
    <n v="4"/>
    <n v="73.92"/>
    <n v="104.31"/>
    <n v="96.21"/>
    <n v="136.96"/>
    <n v="0.53"/>
    <n v="0.47"/>
    <s v="N"/>
    <s v="N"/>
    <s v="N"/>
    <s v="N"/>
    <s v="N"/>
    <n v="85.45"/>
    <n v="90.71"/>
    <n v="119.5"/>
    <n v="91.85"/>
    <x v="47"/>
    <n v="46"/>
    <x v="243"/>
    <n v="52.63"/>
  </r>
  <r>
    <x v="59"/>
    <n v="430"/>
    <n v="10"/>
    <n v="157"/>
    <n v="33"/>
    <n v="0"/>
    <n v="19"/>
    <n v="2"/>
    <n v="56"/>
    <n v="34"/>
    <n v="0"/>
    <n v="1"/>
    <x v="65"/>
    <n v="257"/>
    <n v="24"/>
    <n v="160"/>
    <n v="25"/>
    <n v="2"/>
    <n v="13"/>
    <n v="3"/>
    <n v="155"/>
    <n v="49"/>
    <n v="1"/>
    <n v="0"/>
    <s v="L"/>
    <n v="5"/>
    <n v="65.319999999999993"/>
    <n v="137.12"/>
    <n v="29.39"/>
    <n v="123.55"/>
    <n v="0.34"/>
    <n v="0.65999999999999992"/>
    <s v="N"/>
    <s v="N"/>
    <s v="N"/>
    <s v="N"/>
    <s v="N"/>
    <n v="83.53"/>
    <n v="142.72"/>
    <n v="38.380000000000003"/>
    <n v="112.8"/>
    <x v="5"/>
    <n v="34"/>
    <x v="299"/>
    <n v="31.38"/>
  </r>
  <r>
    <x v="59"/>
    <n v="430"/>
    <n v="21"/>
    <n v="212"/>
    <n v="23"/>
    <n v="3"/>
    <n v="17"/>
    <n v="0"/>
    <n v="204"/>
    <n v="43"/>
    <n v="0"/>
    <n v="0"/>
    <x v="109"/>
    <n v="9"/>
    <n v="3"/>
    <n v="195"/>
    <n v="36"/>
    <n v="0"/>
    <n v="18"/>
    <n v="1"/>
    <n v="145"/>
    <n v="35"/>
    <n v="0"/>
    <n v="1"/>
    <s v="W"/>
    <n v="6"/>
    <n v="143.71"/>
    <n v="128.81"/>
    <n v="110.07"/>
    <n v="112.46"/>
    <n v="0.51"/>
    <n v="0.49"/>
    <s v="N"/>
    <s v="N"/>
    <s v="N"/>
    <s v="N"/>
    <s v="N"/>
    <n v="115.91"/>
    <n v="96.98"/>
    <n v="96.02"/>
    <n v="91.53"/>
    <x v="30"/>
    <n v="24"/>
    <x v="300"/>
    <n v="18.940000000000001"/>
  </r>
  <r>
    <x v="59"/>
    <n v="430"/>
    <n v="12"/>
    <n v="165"/>
    <n v="30"/>
    <n v="1"/>
    <n v="11"/>
    <n v="2"/>
    <n v="131"/>
    <n v="37"/>
    <n v="0"/>
    <n v="0"/>
    <x v="53"/>
    <n v="648"/>
    <n v="14"/>
    <n v="179"/>
    <n v="32"/>
    <n v="1"/>
    <n v="22"/>
    <n v="2"/>
    <n v="110"/>
    <n v="43"/>
    <n v="1"/>
    <n v="0"/>
    <s v="L"/>
    <n v="7"/>
    <n v="51.64"/>
    <n v="114.83"/>
    <n v="82.14"/>
    <n v="137.16"/>
    <n v="0.43"/>
    <n v="0.57000000000000006"/>
    <s v="N"/>
    <s v="N"/>
    <s v="N"/>
    <s v="N"/>
    <s v="N"/>
    <n v="73.34"/>
    <n v="93.28"/>
    <n v="108.47"/>
    <n v="153.63999999999999"/>
    <x v="35"/>
    <n v="26"/>
    <x v="301"/>
    <n v="14.05"/>
  </r>
  <r>
    <x v="60"/>
    <n v="434"/>
    <n v="69"/>
    <n v="316"/>
    <n v="27"/>
    <n v="4"/>
    <n v="20"/>
    <n v="0"/>
    <n v="428"/>
    <n v="54"/>
    <n v="4"/>
    <n v="2"/>
    <x v="159"/>
    <n v="771"/>
    <n v="0"/>
    <n v="20"/>
    <n v="15"/>
    <n v="0"/>
    <n v="4"/>
    <n v="1"/>
    <n v="24"/>
    <n v="31"/>
    <n v="0"/>
    <n v="0"/>
    <s v="W"/>
    <n v="3"/>
    <s v=" "/>
    <s v=" "/>
    <s v=" "/>
    <s v=" "/>
    <n v="0.33"/>
    <n v="0.66999999999999993"/>
    <s v="Y"/>
    <s v="N"/>
    <s v="N"/>
    <s v="N"/>
    <s v="N"/>
    <s v=" "/>
    <s v=" "/>
    <s v=" "/>
    <s v=" "/>
    <x v="54"/>
    <n v="69"/>
    <x v="0"/>
    <s v=" "/>
  </r>
  <r>
    <x v="60"/>
    <n v="434"/>
    <n v="17"/>
    <n v="129"/>
    <n v="26"/>
    <n v="1"/>
    <n v="17"/>
    <n v="1"/>
    <n v="162"/>
    <n v="37"/>
    <n v="1"/>
    <n v="0"/>
    <x v="48"/>
    <n v="414"/>
    <n v="6"/>
    <n v="194"/>
    <n v="39"/>
    <n v="0"/>
    <n v="26"/>
    <n v="1"/>
    <n v="76"/>
    <n v="36"/>
    <n v="1"/>
    <n v="1"/>
    <s v="W"/>
    <n v="1"/>
    <n v="86.66"/>
    <n v="113.92"/>
    <n v="105.63"/>
    <n v="155.19"/>
    <n v="0.52"/>
    <n v="0.48"/>
    <s v="N"/>
    <s v="N"/>
    <s v="N"/>
    <s v="N"/>
    <s v="N"/>
    <n v="88.04"/>
    <n v="110.31"/>
    <n v="106.38"/>
    <n v="64.31"/>
    <x v="6"/>
    <n v="23"/>
    <x v="276"/>
    <n v="17.920000000000002"/>
  </r>
  <r>
    <x v="60"/>
    <n v="434"/>
    <n v="30"/>
    <n v="319"/>
    <n v="42"/>
    <n v="2"/>
    <n v="26"/>
    <n v="0"/>
    <n v="182"/>
    <n v="37"/>
    <n v="1"/>
    <n v="0"/>
    <x v="133"/>
    <n v="28"/>
    <n v="37"/>
    <n v="388"/>
    <n v="33"/>
    <n v="4"/>
    <n v="25"/>
    <n v="0"/>
    <n v="104"/>
    <n v="31"/>
    <n v="1"/>
    <n v="1"/>
    <s v="L"/>
    <n v="2"/>
    <n v="110.44"/>
    <n v="41.97999999999999"/>
    <n v="118.17"/>
    <n v="127.01"/>
    <n v="0.52"/>
    <n v="0.48"/>
    <s v="N"/>
    <s v="N"/>
    <s v="N"/>
    <s v="N"/>
    <s v="N"/>
    <n v="116.37"/>
    <n v="46.71"/>
    <n v="120.8"/>
    <n v="114.5"/>
    <x v="20"/>
    <n v="67"/>
    <x v="25"/>
    <n v="291.67"/>
  </r>
  <r>
    <x v="60"/>
    <n v="434"/>
    <n v="28"/>
    <n v="291"/>
    <n v="33"/>
    <n v="1"/>
    <n v="16"/>
    <n v="0"/>
    <n v="241"/>
    <n v="42"/>
    <n v="3"/>
    <n v="0"/>
    <x v="59"/>
    <n v="522"/>
    <n v="38"/>
    <n v="448"/>
    <n v="48"/>
    <n v="3"/>
    <n v="35"/>
    <n v="2"/>
    <n v="144"/>
    <n v="39"/>
    <n v="2"/>
    <n v="0"/>
    <s v="L"/>
    <n v="4"/>
    <n v="101.09"/>
    <n v="79.34"/>
    <n v="143.84"/>
    <n v="106.65"/>
    <n v="0.55000000000000004"/>
    <n v="0.44999999999999996"/>
    <s v="N"/>
    <s v="N"/>
    <s v="N"/>
    <s v="N"/>
    <s v="N"/>
    <n v="119.16"/>
    <n v="89.11"/>
    <n v="189.45"/>
    <n v="115.79"/>
    <x v="12"/>
    <n v="66"/>
    <x v="302"/>
    <n v="32.340000000000003"/>
  </r>
  <r>
    <x v="60"/>
    <n v="434"/>
    <n v="17"/>
    <n v="214"/>
    <n v="35"/>
    <n v="0"/>
    <n v="19"/>
    <n v="1"/>
    <n v="112"/>
    <n v="31"/>
    <n v="2"/>
    <n v="0"/>
    <x v="63"/>
    <n v="327"/>
    <n v="24"/>
    <n v="112"/>
    <n v="16"/>
    <n v="0"/>
    <n v="11"/>
    <n v="1"/>
    <n v="174"/>
    <n v="54"/>
    <n v="3"/>
    <n v="0"/>
    <s v="L"/>
    <n v="6"/>
    <n v="79.040000000000006"/>
    <n v="111.85"/>
    <n v="93.5"/>
    <n v="116.91"/>
    <n v="0.23"/>
    <n v="0.77"/>
    <s v="N"/>
    <s v="N"/>
    <s v="N"/>
    <s v="N"/>
    <s v="N"/>
    <n v="80.86"/>
    <n v="115.5"/>
    <n v="114.94"/>
    <n v="142.16"/>
    <x v="20"/>
    <n v="41"/>
    <x v="219"/>
    <n v="538.46"/>
  </r>
  <r>
    <x v="60"/>
    <n v="434"/>
    <n v="52"/>
    <n v="289"/>
    <n v="29"/>
    <n v="3"/>
    <n v="20"/>
    <n v="2"/>
    <n v="294"/>
    <n v="58"/>
    <n v="4"/>
    <n v="1"/>
    <x v="64"/>
    <n v="311"/>
    <n v="17"/>
    <n v="186"/>
    <n v="40"/>
    <n v="0"/>
    <n v="20"/>
    <n v="1"/>
    <n v="157"/>
    <n v="36"/>
    <n v="1"/>
    <n v="2"/>
    <s v="W"/>
    <n v="7"/>
    <n v="118.11"/>
    <n v="132.16"/>
    <n v="122.77"/>
    <n v="111.32"/>
    <n v="0.53"/>
    <n v="0.47"/>
    <s v="N"/>
    <s v="N"/>
    <s v="N"/>
    <s v="N"/>
    <s v="N"/>
    <n v="110.88"/>
    <n v="110.8"/>
    <n v="121.8"/>
    <n v="97.15"/>
    <x v="32"/>
    <n v="69"/>
    <x v="210"/>
    <n v="41.49"/>
  </r>
  <r>
    <x v="60"/>
    <n v="434"/>
    <n v="24"/>
    <n v="215"/>
    <n v="28"/>
    <n v="1"/>
    <n v="15"/>
    <n v="3"/>
    <n v="248"/>
    <n v="52"/>
    <n v="2"/>
    <n v="1"/>
    <x v="23"/>
    <n v="521"/>
    <n v="45"/>
    <n v="338"/>
    <n v="50"/>
    <n v="3"/>
    <n v="33"/>
    <n v="1"/>
    <n v="195"/>
    <n v="31"/>
    <n v="3"/>
    <n v="0"/>
    <s v="L"/>
    <n v="8"/>
    <n v="68.63"/>
    <n v="94.16"/>
    <n v="110.65"/>
    <n v="39.550000000000011"/>
    <n v="0.62"/>
    <n v="0.38"/>
    <s v="N"/>
    <s v="N"/>
    <s v="N"/>
    <s v="N"/>
    <s v="N"/>
    <n v="84.7"/>
    <n v="111.23"/>
    <n v="115.1"/>
    <n v="48.14"/>
    <x v="23"/>
    <n v="69"/>
    <x v="303"/>
    <n v="24.14"/>
  </r>
  <r>
    <x v="61"/>
    <n v="726"/>
    <n v="40"/>
    <n v="46"/>
    <n v="7"/>
    <n v="1"/>
    <n v="4"/>
    <n v="1"/>
    <n v="391"/>
    <n v="59"/>
    <n v="4"/>
    <n v="0"/>
    <x v="160"/>
    <n v="180"/>
    <n v="17"/>
    <n v="143"/>
    <n v="29"/>
    <n v="0"/>
    <n v="17"/>
    <n v="1"/>
    <n v="220"/>
    <n v="37"/>
    <n v="2"/>
    <n v="1"/>
    <s v="W"/>
    <n v="1"/>
    <s v=" "/>
    <s v=" "/>
    <s v=" "/>
    <s v=" "/>
    <n v="0.44"/>
    <n v="0.56000000000000005"/>
    <s v="Y"/>
    <s v="Y"/>
    <s v="N"/>
    <s v="N"/>
    <s v="N"/>
    <s v=" "/>
    <s v=" "/>
    <s v=" "/>
    <s v=" "/>
    <x v="9"/>
    <n v="57"/>
    <x v="0"/>
    <s v=" "/>
  </r>
  <r>
    <x v="61"/>
    <n v="726"/>
    <n v="40"/>
    <n v="100"/>
    <n v="7"/>
    <n v="2"/>
    <n v="3"/>
    <n v="0"/>
    <n v="410"/>
    <n v="57"/>
    <n v="3"/>
    <n v="3"/>
    <x v="42"/>
    <n v="772"/>
    <n v="14"/>
    <n v="153"/>
    <n v="33"/>
    <n v="0"/>
    <n v="19"/>
    <n v="2"/>
    <n v="124"/>
    <n v="32"/>
    <n v="2"/>
    <n v="3"/>
    <s v="W"/>
    <n v="2"/>
    <s v=" "/>
    <n v="135.34"/>
    <n v="158.97999999999999"/>
    <n v="128.85"/>
    <n v="0.51"/>
    <n v="0.49"/>
    <s v="N"/>
    <s v="Y"/>
    <s v="N"/>
    <s v="N"/>
    <s v="N"/>
    <s v=" "/>
    <n v="108.39"/>
    <n v="178.26"/>
    <n v="122.8"/>
    <x v="4"/>
    <n v="54"/>
    <x v="0"/>
    <s v=" "/>
  </r>
  <r>
    <x v="61"/>
    <n v="726"/>
    <n v="21"/>
    <n v="61"/>
    <n v="9"/>
    <n v="0"/>
    <n v="5"/>
    <n v="1"/>
    <n v="274"/>
    <n v="47"/>
    <n v="3"/>
    <n v="0"/>
    <x v="53"/>
    <n v="648"/>
    <n v="24"/>
    <n v="204"/>
    <n v="25"/>
    <n v="0"/>
    <n v="18"/>
    <n v="1"/>
    <n v="254"/>
    <n v="44"/>
    <n v="3"/>
    <n v="0"/>
    <s v="L"/>
    <n v="3"/>
    <s v=" "/>
    <n v="95.53"/>
    <n v="144.83000000000001"/>
    <n v="55.849999999999994"/>
    <n v="0.36"/>
    <n v="0.64"/>
    <s v="N"/>
    <s v="Y"/>
    <s v="N"/>
    <s v="N"/>
    <s v="N"/>
    <s v=" "/>
    <n v="77.61"/>
    <n v="191.25"/>
    <n v="62.56"/>
    <x v="22"/>
    <n v="45"/>
    <x v="0"/>
    <s v=" "/>
  </r>
  <r>
    <x v="61"/>
    <n v="726"/>
    <n v="34"/>
    <n v="132"/>
    <n v="25"/>
    <n v="1"/>
    <n v="14"/>
    <n v="1"/>
    <n v="334"/>
    <n v="80"/>
    <n v="3"/>
    <n v="0"/>
    <x v="71"/>
    <n v="721"/>
    <n v="35"/>
    <n v="136"/>
    <n v="10"/>
    <n v="1"/>
    <n v="9"/>
    <n v="0"/>
    <n v="223"/>
    <n v="41"/>
    <n v="4"/>
    <n v="1"/>
    <s v="L"/>
    <n v="5"/>
    <n v="78.78"/>
    <s v=" "/>
    <n v="102.49"/>
    <n v="66.5"/>
    <n v="0.2"/>
    <n v="0.8"/>
    <s v="N"/>
    <s v="N"/>
    <s v="N"/>
    <s v="Y"/>
    <s v="N"/>
    <n v="58.44"/>
    <s v=" "/>
    <n v="61.26"/>
    <n v="78.12"/>
    <x v="3"/>
    <n v="69"/>
    <x v="0"/>
    <s v=" "/>
  </r>
  <r>
    <x v="61"/>
    <n v="726"/>
    <n v="35"/>
    <n v="148"/>
    <n v="12"/>
    <n v="2"/>
    <n v="7"/>
    <n v="0"/>
    <n v="421"/>
    <n v="61"/>
    <n v="3"/>
    <n v="0"/>
    <x v="148"/>
    <n v="664"/>
    <n v="63"/>
    <n v="301"/>
    <n v="25"/>
    <n v="4"/>
    <n v="22"/>
    <n v="0"/>
    <n v="283"/>
    <n v="50"/>
    <n v="4"/>
    <n v="1"/>
    <s v="L"/>
    <n v="6"/>
    <s v=" "/>
    <n v="22.379999999999995"/>
    <n v="167.5"/>
    <n v="62.69"/>
    <n v="0.33"/>
    <n v="0.66999999999999993"/>
    <s v="N"/>
    <s v="Y"/>
    <s v="N"/>
    <s v="N"/>
    <s v="N"/>
    <s v=" "/>
    <n v="24.73"/>
    <n v="197.7"/>
    <n v="62.98"/>
    <x v="15"/>
    <n v="98"/>
    <x v="0"/>
    <s v=" "/>
  </r>
  <r>
    <x v="61"/>
    <n v="726"/>
    <n v="20"/>
    <n v="143"/>
    <n v="13"/>
    <n v="0"/>
    <n v="6"/>
    <n v="2"/>
    <n v="162"/>
    <n v="46"/>
    <n v="1"/>
    <n v="0"/>
    <x v="150"/>
    <n v="587"/>
    <n v="21"/>
    <n v="271"/>
    <n v="31"/>
    <n v="2"/>
    <n v="23"/>
    <n v="2"/>
    <n v="152"/>
    <n v="36"/>
    <n v="1"/>
    <n v="1"/>
    <s v="L"/>
    <n v="7"/>
    <s v=" "/>
    <n v="87.84"/>
    <n v="84.97"/>
    <n v="106.21"/>
    <n v="0.46"/>
    <n v="0.54"/>
    <s v="N"/>
    <s v="Y"/>
    <s v="N"/>
    <s v="N"/>
    <s v="N"/>
    <s v=" "/>
    <n v="80.03"/>
    <n v="94.69"/>
    <n v="49.88"/>
    <x v="3"/>
    <n v="41"/>
    <x v="0"/>
    <s v=" "/>
  </r>
  <r>
    <x v="61"/>
    <n v="726"/>
    <n v="35"/>
    <n v="136"/>
    <n v="16"/>
    <n v="2"/>
    <n v="7"/>
    <n v="0"/>
    <n v="284"/>
    <n v="51"/>
    <n v="2"/>
    <n v="1"/>
    <x v="129"/>
    <n v="196"/>
    <n v="38"/>
    <n v="372"/>
    <n v="45"/>
    <n v="2"/>
    <n v="40"/>
    <n v="0"/>
    <n v="132"/>
    <n v="44"/>
    <n v="3"/>
    <n v="0"/>
    <s v="L"/>
    <n v="8"/>
    <n v="108.83"/>
    <n v="59.389999999999986"/>
    <n v="129.19"/>
    <n v="120.17"/>
    <n v="0.51"/>
    <n v="0.49"/>
    <s v="N"/>
    <s v="N"/>
    <s v="N"/>
    <s v="N"/>
    <s v="N"/>
    <n v="112.96"/>
    <n v="61.82"/>
    <n v="117.15"/>
    <n v="61.79"/>
    <x v="22"/>
    <n v="73"/>
    <x v="142"/>
    <n v="17.059999999999999"/>
  </r>
  <r>
    <x v="62"/>
    <n v="463"/>
    <n v="40"/>
    <n v="135"/>
    <n v="25"/>
    <n v="0"/>
    <n v="12"/>
    <n v="0"/>
    <n v="229"/>
    <n v="43"/>
    <n v="4"/>
    <n v="2"/>
    <x v="161"/>
    <n v="693"/>
    <n v="7"/>
    <n v="170"/>
    <n v="36"/>
    <n v="1"/>
    <n v="22"/>
    <n v="1"/>
    <n v="60"/>
    <n v="31"/>
    <n v="0"/>
    <n v="0"/>
    <s v="W"/>
    <n v="1"/>
    <s v=" "/>
    <s v=" "/>
    <s v=" "/>
    <s v=" "/>
    <n v="0.54"/>
    <n v="0.45999999999999996"/>
    <s v="Y"/>
    <s v="N"/>
    <s v="N"/>
    <s v="N"/>
    <s v="N"/>
    <s v=" "/>
    <s v=" "/>
    <s v=" "/>
    <s v=" "/>
    <x v="55"/>
    <n v="47"/>
    <x v="0"/>
    <s v=" "/>
  </r>
  <r>
    <x v="62"/>
    <n v="463"/>
    <n v="42"/>
    <n v="219"/>
    <n v="21"/>
    <n v="1"/>
    <n v="10"/>
    <n v="2"/>
    <n v="219"/>
    <n v="35"/>
    <n v="4"/>
    <n v="0"/>
    <x v="69"/>
    <n v="96"/>
    <n v="29"/>
    <n v="254"/>
    <n v="41"/>
    <n v="1"/>
    <n v="20"/>
    <n v="0"/>
    <n v="190"/>
    <n v="40"/>
    <n v="1"/>
    <n v="1"/>
    <s v="W"/>
    <n v="2"/>
    <n v="83.03"/>
    <n v="113.8"/>
    <n v="162.31"/>
    <n v="93.55"/>
    <n v="0.51"/>
    <n v="0.49"/>
    <s v="N"/>
    <s v="N"/>
    <s v="N"/>
    <s v="N"/>
    <s v="N"/>
    <n v="79.37"/>
    <n v="108.49"/>
    <n v="131.03"/>
    <n v="93.96"/>
    <x v="40"/>
    <n v="71"/>
    <x v="166"/>
    <n v="24.67"/>
  </r>
  <r>
    <x v="62"/>
    <n v="463"/>
    <n v="51"/>
    <n v="155"/>
    <n v="21"/>
    <n v="2"/>
    <n v="10"/>
    <n v="0"/>
    <n v="309"/>
    <n v="55"/>
    <n v="4"/>
    <n v="1"/>
    <x v="89"/>
    <n v="756"/>
    <n v="38"/>
    <n v="274"/>
    <n v="37"/>
    <n v="4"/>
    <n v="21"/>
    <n v="2"/>
    <n v="146"/>
    <n v="31"/>
    <n v="1"/>
    <n v="1"/>
    <s v="W"/>
    <n v="3"/>
    <n v="102.13"/>
    <n v="102.88"/>
    <n v="135.80000000000001"/>
    <n v="95.57"/>
    <n v="0.54"/>
    <n v="0.45999999999999996"/>
    <s v="N"/>
    <s v="N"/>
    <s v="N"/>
    <s v="N"/>
    <s v="N"/>
    <n v="95.84"/>
    <n v="129.36000000000001"/>
    <n v="141.30000000000001"/>
    <n v="112.93"/>
    <x v="40"/>
    <n v="89"/>
    <x v="304"/>
    <n v="35.729999999999997"/>
  </r>
  <r>
    <x v="62"/>
    <n v="463"/>
    <n v="38"/>
    <n v="157"/>
    <n v="21"/>
    <n v="1"/>
    <n v="12"/>
    <n v="0"/>
    <n v="333"/>
    <n v="49"/>
    <n v="4"/>
    <n v="1"/>
    <x v="78"/>
    <n v="811"/>
    <n v="14"/>
    <n v="168"/>
    <n v="34"/>
    <n v="2"/>
    <n v="18"/>
    <n v="1"/>
    <n v="137"/>
    <n v="31"/>
    <n v="0"/>
    <n v="0"/>
    <s v="W"/>
    <n v="4"/>
    <n v="105.03"/>
    <n v="120.13"/>
    <n v="163.79"/>
    <n v="97.47"/>
    <n v="0.52"/>
    <n v="0.48"/>
    <s v="N"/>
    <s v="N"/>
    <s v="N"/>
    <s v="N"/>
    <s v="N"/>
    <n v="109.18"/>
    <n v="110.7"/>
    <n v="181.94"/>
    <n v="114.63"/>
    <x v="14"/>
    <n v="52"/>
    <x v="305"/>
    <n v="27.77"/>
  </r>
  <r>
    <x v="62"/>
    <n v="463"/>
    <n v="17"/>
    <n v="176"/>
    <n v="22"/>
    <n v="0"/>
    <n v="11"/>
    <n v="3"/>
    <n v="159"/>
    <n v="43"/>
    <n v="2"/>
    <n v="0"/>
    <x v="135"/>
    <n v="796"/>
    <n v="48"/>
    <n v="255"/>
    <n v="20"/>
    <n v="2"/>
    <n v="14"/>
    <n v="0"/>
    <n v="231"/>
    <n v="50"/>
    <n v="5"/>
    <n v="1"/>
    <s v="L"/>
    <n v="5"/>
    <n v="52.69"/>
    <n v="45.509999999999991"/>
    <n v="92.76"/>
    <n v="83.82"/>
    <n v="0.28999999999999998"/>
    <n v="0.71"/>
    <s v="N"/>
    <s v="N"/>
    <s v="N"/>
    <s v="N"/>
    <s v="N"/>
    <n v="59.52"/>
    <n v="64.3"/>
    <n v="117.03"/>
    <n v="122.35"/>
    <x v="17"/>
    <n v="65"/>
    <x v="306"/>
    <n v="24.76"/>
  </r>
  <r>
    <x v="62"/>
    <n v="463"/>
    <n v="34"/>
    <n v="191"/>
    <n v="22"/>
    <n v="2"/>
    <n v="16"/>
    <n v="1"/>
    <n v="232"/>
    <n v="51"/>
    <n v="2"/>
    <n v="0"/>
    <x v="7"/>
    <n v="518"/>
    <n v="27"/>
    <n v="108"/>
    <n v="18"/>
    <n v="1"/>
    <n v="6"/>
    <n v="1"/>
    <n v="243"/>
    <n v="41"/>
    <n v="2"/>
    <n v="1"/>
    <s v="W"/>
    <n v="6"/>
    <n v="120.04"/>
    <n v="142.30000000000001"/>
    <n v="111.42"/>
    <n v="62.5"/>
    <n v="0.31"/>
    <n v="0.69"/>
    <s v="N"/>
    <s v="N"/>
    <s v="N"/>
    <s v="N"/>
    <s v="N"/>
    <n v="138.65"/>
    <n v="117.68"/>
    <n v="142.83000000000001"/>
    <n v="58.44"/>
    <x v="20"/>
    <n v="61"/>
    <x v="307"/>
    <n v="19.309999999999999"/>
  </r>
  <r>
    <x v="62"/>
    <n v="463"/>
    <n v="41"/>
    <n v="169"/>
    <n v="23"/>
    <n v="1"/>
    <n v="14"/>
    <n v="0"/>
    <n v="346"/>
    <n v="56"/>
    <n v="3"/>
    <n v="0"/>
    <x v="156"/>
    <n v="428"/>
    <n v="14"/>
    <n v="122"/>
    <n v="18"/>
    <n v="0"/>
    <n v="9"/>
    <n v="0"/>
    <n v="132"/>
    <n v="39"/>
    <n v="2"/>
    <n v="1"/>
    <s v="W"/>
    <n v="8"/>
    <n v="107.44"/>
    <n v="113.06"/>
    <n v="151.38"/>
    <n v="121.48"/>
    <n v="0.32"/>
    <n v="0.67999999999999994"/>
    <s v="N"/>
    <s v="N"/>
    <s v="N"/>
    <s v="N"/>
    <s v="N"/>
    <n v="93.18"/>
    <n v="90.45"/>
    <n v="131.03"/>
    <n v="101.71"/>
    <x v="18"/>
    <n v="55"/>
    <x v="297"/>
    <n v="28.92"/>
  </r>
  <r>
    <x v="63"/>
    <n v="466"/>
    <n v="20"/>
    <n v="233"/>
    <n v="39"/>
    <n v="1"/>
    <n v="23"/>
    <n v="3"/>
    <n v="283"/>
    <n v="51"/>
    <n v="2"/>
    <n v="0"/>
    <x v="25"/>
    <n v="529"/>
    <n v="69"/>
    <n v="331"/>
    <n v="26"/>
    <n v="6"/>
    <n v="15"/>
    <n v="0"/>
    <n v="272"/>
    <n v="43"/>
    <n v="2"/>
    <n v="0"/>
    <s v="L"/>
    <n v="2"/>
    <n v="72.3"/>
    <n v="38.31"/>
    <n v="134.62"/>
    <n v="46.27000000000001"/>
    <n v="0.38"/>
    <n v="0.62"/>
    <s v="N"/>
    <s v="N"/>
    <s v="N"/>
    <s v="N"/>
    <s v="N"/>
    <n v="86.51"/>
    <n v="42.55"/>
    <n v="139.26"/>
    <n v="73.760000000000005"/>
    <x v="26"/>
    <n v="89"/>
    <x v="308"/>
    <n v="45.16"/>
  </r>
  <r>
    <x v="63"/>
    <n v="466"/>
    <n v="17"/>
    <n v="112"/>
    <n v="21"/>
    <n v="0"/>
    <n v="11"/>
    <n v="2"/>
    <n v="261"/>
    <n v="60"/>
    <n v="2"/>
    <n v="2"/>
    <x v="85"/>
    <n v="630"/>
    <n v="14"/>
    <n v="152"/>
    <n v="33"/>
    <n v="0"/>
    <n v="13"/>
    <n v="1"/>
    <n v="138"/>
    <n v="30"/>
    <n v="2"/>
    <n v="3"/>
    <s v="W"/>
    <n v="3"/>
    <n v="52.88"/>
    <n v="144.59"/>
    <n v="95.92"/>
    <n v="113.28"/>
    <n v="0.52"/>
    <n v="0.48"/>
    <s v="N"/>
    <s v="N"/>
    <s v="N"/>
    <s v="N"/>
    <s v="N"/>
    <n v="55.82"/>
    <n v="122.95"/>
    <n v="81.3"/>
    <n v="92.24"/>
    <x v="22"/>
    <n v="31"/>
    <x v="309"/>
    <n v="44.98"/>
  </r>
  <r>
    <x v="63"/>
    <n v="466"/>
    <n v="34"/>
    <n v="250"/>
    <n v="24"/>
    <n v="2"/>
    <n v="15"/>
    <n v="0"/>
    <n v="312"/>
    <n v="46"/>
    <n v="2"/>
    <n v="0"/>
    <x v="142"/>
    <n v="700"/>
    <n v="35"/>
    <n v="222"/>
    <n v="38"/>
    <n v="3"/>
    <n v="26"/>
    <n v="0"/>
    <n v="219"/>
    <n v="38"/>
    <n v="2"/>
    <n v="0"/>
    <s v="L"/>
    <n v="4"/>
    <n v="131.77000000000001"/>
    <n v="87.9"/>
    <n v="163.88"/>
    <n v="58.400000000000006"/>
    <n v="0.5"/>
    <n v="0.5"/>
    <s v="N"/>
    <s v="N"/>
    <s v="N"/>
    <s v="N"/>
    <s v="N"/>
    <n v="130.49"/>
    <n v="105.15"/>
    <n v="151.96"/>
    <n v="60.04"/>
    <x v="3"/>
    <n v="69"/>
    <x v="310"/>
    <n v="2.38"/>
  </r>
  <r>
    <x v="63"/>
    <n v="466"/>
    <n v="10"/>
    <n v="123"/>
    <n v="20"/>
    <n v="1"/>
    <n v="9"/>
    <n v="1"/>
    <n v="59"/>
    <n v="35"/>
    <n v="0"/>
    <n v="1"/>
    <x v="6"/>
    <n v="66"/>
    <n v="30"/>
    <n v="160"/>
    <n v="35"/>
    <n v="2"/>
    <n v="21"/>
    <n v="2"/>
    <n v="169"/>
    <n v="36"/>
    <n v="2"/>
    <n v="0"/>
    <s v="L"/>
    <n v="5"/>
    <n v="71.02"/>
    <n v="123.66"/>
    <n v="30.54"/>
    <n v="82.76"/>
    <n v="0.49"/>
    <n v="0.51"/>
    <s v="N"/>
    <s v="N"/>
    <s v="N"/>
    <s v="N"/>
    <s v="N"/>
    <n v="90.02"/>
    <n v="162.32"/>
    <n v="35.049999999999997"/>
    <n v="94.93"/>
    <x v="37"/>
    <n v="40"/>
    <x v="311"/>
    <n v="21.73"/>
  </r>
  <r>
    <x v="63"/>
    <n v="466"/>
    <n v="37"/>
    <n v="459"/>
    <n v="44"/>
    <n v="3"/>
    <n v="29"/>
    <n v="3"/>
    <n v="240"/>
    <n v="48"/>
    <n v="1"/>
    <n v="2"/>
    <x v="125"/>
    <n v="465"/>
    <n v="0"/>
    <n v="8"/>
    <n v="14"/>
    <n v="0"/>
    <n v="1"/>
    <n v="1"/>
    <n v="102"/>
    <n v="39"/>
    <n v="0"/>
    <n v="1"/>
    <s v="W"/>
    <n v="6"/>
    <n v="112.54"/>
    <s v=" "/>
    <n v="106.63"/>
    <n v="147.02000000000001"/>
    <n v="0.26"/>
    <n v="0.74"/>
    <s v="N"/>
    <s v="N"/>
    <s v="N"/>
    <s v="Y"/>
    <s v="N"/>
    <n v="85.08"/>
    <s v=" "/>
    <n v="125.77"/>
    <n v="107.26"/>
    <x v="50"/>
    <n v="37"/>
    <x v="0"/>
    <s v=" "/>
  </r>
  <r>
    <x v="63"/>
    <n v="466"/>
    <n v="49"/>
    <n v="260"/>
    <n v="31"/>
    <n v="0"/>
    <n v="24"/>
    <n v="1"/>
    <n v="338"/>
    <n v="52"/>
    <n v="6"/>
    <n v="2"/>
    <x v="34"/>
    <n v="473"/>
    <n v="7"/>
    <n v="89"/>
    <n v="29"/>
    <n v="0"/>
    <n v="11"/>
    <n v="1"/>
    <n v="168"/>
    <n v="35"/>
    <n v="1"/>
    <n v="1"/>
    <s v="W"/>
    <n v="7"/>
    <n v="113.45"/>
    <n v="155.69"/>
    <n v="156.57"/>
    <n v="92.93"/>
    <n v="0.45"/>
    <n v="0.55000000000000004"/>
    <s v="N"/>
    <s v="N"/>
    <s v="N"/>
    <s v="N"/>
    <s v="N"/>
    <n v="75.599999999999994"/>
    <n v="132.94999999999999"/>
    <n v="105.71"/>
    <n v="67.78"/>
    <x v="7"/>
    <n v="56"/>
    <x v="312"/>
    <n v="35.4"/>
  </r>
  <r>
    <x v="63"/>
    <n v="466"/>
    <n v="45"/>
    <n v="313"/>
    <n v="27"/>
    <n v="1"/>
    <n v="19"/>
    <n v="0"/>
    <n v="268"/>
    <n v="48"/>
    <n v="2"/>
    <n v="0"/>
    <x v="69"/>
    <n v="96"/>
    <n v="38"/>
    <n v="315"/>
    <n v="37"/>
    <n v="3"/>
    <n v="20"/>
    <n v="0"/>
    <n v="207"/>
    <n v="33"/>
    <n v="2"/>
    <n v="2"/>
    <s v="W"/>
    <n v="8"/>
    <n v="139.11000000000001"/>
    <n v="87.39"/>
    <n v="135.78"/>
    <n v="63.56"/>
    <n v="0.53"/>
    <n v="0.47"/>
    <s v="N"/>
    <s v="N"/>
    <s v="N"/>
    <s v="N"/>
    <s v="N"/>
    <n v="132.97999999999999"/>
    <n v="83.31"/>
    <n v="109.61"/>
    <n v="63.84"/>
    <x v="20"/>
    <n v="83"/>
    <x v="170"/>
    <n v="27.09"/>
  </r>
  <r>
    <x v="64"/>
    <n v="473"/>
    <n v="10"/>
    <n v="179"/>
    <n v="31"/>
    <n v="1"/>
    <n v="20"/>
    <n v="0"/>
    <n v="150"/>
    <n v="48"/>
    <n v="0"/>
    <n v="3"/>
    <x v="70"/>
    <n v="156"/>
    <n v="14"/>
    <n v="178"/>
    <n v="26"/>
    <n v="1"/>
    <n v="22"/>
    <n v="0"/>
    <n v="92"/>
    <n v="28"/>
    <n v="1"/>
    <n v="1"/>
    <s v="L"/>
    <n v="1"/>
    <n v="100.82"/>
    <n v="72.3"/>
    <n v="53.75"/>
    <n v="129.13"/>
    <n v="0.48"/>
    <n v="0.52"/>
    <s v="N"/>
    <s v="N"/>
    <s v="N"/>
    <s v="N"/>
    <s v="N"/>
    <n v="92.43"/>
    <n v="69.62"/>
    <n v="39.24"/>
    <n v="76.099999999999994"/>
    <x v="27"/>
    <n v="24"/>
    <x v="121"/>
    <n v="9.09"/>
  </r>
  <r>
    <x v="64"/>
    <n v="473"/>
    <n v="3"/>
    <n v="202"/>
    <n v="38"/>
    <n v="0"/>
    <n v="22"/>
    <n v="0"/>
    <n v="95"/>
    <n v="28"/>
    <n v="0"/>
    <n v="0"/>
    <x v="17"/>
    <n v="31"/>
    <n v="52"/>
    <n v="373"/>
    <n v="39"/>
    <n v="2"/>
    <n v="26"/>
    <n v="1"/>
    <n v="259"/>
    <n v="42"/>
    <n v="4"/>
    <n v="1"/>
    <s v="L"/>
    <n v="2"/>
    <n v="86.87"/>
    <n v="81.209999999999994"/>
    <n v="78.709999999999994"/>
    <n v="49.789999999999992"/>
    <n v="0.48"/>
    <n v="0.52"/>
    <s v="N"/>
    <s v="N"/>
    <s v="N"/>
    <s v="N"/>
    <s v="N"/>
    <n v="94.55"/>
    <n v="86.34"/>
    <n v="67.66"/>
    <n v="51.97"/>
    <x v="26"/>
    <n v="55"/>
    <x v="30"/>
    <n v="47.38"/>
  </r>
  <r>
    <x v="64"/>
    <n v="473"/>
    <n v="13"/>
    <n v="228"/>
    <n v="29"/>
    <n v="0"/>
    <n v="10"/>
    <n v="1"/>
    <n v="109"/>
    <n v="37"/>
    <n v="1"/>
    <n v="2"/>
    <x v="142"/>
    <n v="700"/>
    <n v="59"/>
    <n v="446"/>
    <n v="50"/>
    <n v="6"/>
    <n v="45"/>
    <n v="0"/>
    <n v="178"/>
    <n v="35"/>
    <n v="2"/>
    <n v="1"/>
    <s v="L"/>
    <n v="3"/>
    <n v="66.989999999999995"/>
    <n v="43.389999999999986"/>
    <n v="56.18"/>
    <n v="82.01"/>
    <n v="0.59"/>
    <n v="0.41000000000000003"/>
    <s v="N"/>
    <s v="N"/>
    <s v="N"/>
    <s v="N"/>
    <s v="N"/>
    <n v="66.34"/>
    <n v="51.9"/>
    <n v="52.09"/>
    <n v="84.32"/>
    <x v="52"/>
    <n v="72"/>
    <x v="313"/>
    <n v="30.38"/>
  </r>
  <r>
    <x v="64"/>
    <n v="473"/>
    <n v="45"/>
    <n v="434"/>
    <n v="53"/>
    <n v="4"/>
    <n v="32"/>
    <n v="0"/>
    <n v="94"/>
    <n v="26"/>
    <n v="1"/>
    <n v="1"/>
    <x v="162"/>
    <n v="624"/>
    <n v="48"/>
    <n v="174"/>
    <n v="18"/>
    <n v="2"/>
    <n v="10"/>
    <n v="0"/>
    <n v="373"/>
    <n v="60"/>
    <n v="5"/>
    <n v="1"/>
    <s v="L"/>
    <n v="4"/>
    <n v="116.33"/>
    <n v="75.09"/>
    <n v="78.11"/>
    <n v="48.27000000000001"/>
    <n v="0.23"/>
    <n v="0.77"/>
    <s v="N"/>
    <s v="N"/>
    <s v="N"/>
    <s v="N"/>
    <s v="N"/>
    <n v="168.17"/>
    <n v="47.79"/>
    <n v="147.06"/>
    <n v="57.82"/>
    <x v="22"/>
    <n v="93"/>
    <x v="314"/>
    <n v="3.65"/>
  </r>
  <r>
    <x v="64"/>
    <n v="473"/>
    <n v="28"/>
    <n v="265"/>
    <n v="36"/>
    <n v="1"/>
    <n v="22"/>
    <n v="1"/>
    <n v="163"/>
    <n v="35"/>
    <n v="3"/>
    <n v="0"/>
    <x v="127"/>
    <n v="472"/>
    <n v="42"/>
    <n v="296"/>
    <n v="27"/>
    <n v="4"/>
    <n v="16"/>
    <n v="0"/>
    <n v="242"/>
    <n v="48"/>
    <n v="2"/>
    <n v="1"/>
    <s v="L"/>
    <n v="5"/>
    <n v="97.06"/>
    <n v="58.77000000000001"/>
    <n v="120.9"/>
    <n v="83.03"/>
    <n v="0.36"/>
    <n v="0.64"/>
    <s v="N"/>
    <s v="N"/>
    <s v="N"/>
    <s v="N"/>
    <s v="N"/>
    <n v="110.9"/>
    <n v="65.16"/>
    <n v="100.43"/>
    <n v="66.23"/>
    <x v="5"/>
    <n v="70"/>
    <x v="315"/>
    <n v="34.79"/>
  </r>
  <r>
    <x v="64"/>
    <n v="473"/>
    <n v="7"/>
    <n v="89"/>
    <n v="29"/>
    <n v="0"/>
    <n v="11"/>
    <n v="1"/>
    <n v="168"/>
    <n v="35"/>
    <n v="1"/>
    <n v="1"/>
    <x v="68"/>
    <n v="466"/>
    <n v="49"/>
    <n v="260"/>
    <n v="31"/>
    <n v="0"/>
    <n v="24"/>
    <n v="1"/>
    <n v="338"/>
    <n v="52"/>
    <n v="6"/>
    <n v="2"/>
    <s v="L"/>
    <n v="7"/>
    <n v="44.31"/>
    <n v="86.55"/>
    <n v="107.07"/>
    <n v="43.430000000000007"/>
    <n v="0.37"/>
    <n v="0.63"/>
    <s v="N"/>
    <s v="N"/>
    <s v="N"/>
    <s v="N"/>
    <s v="N"/>
    <n v="47.08"/>
    <n v="85.69"/>
    <n v="92.42"/>
    <n v="51.12"/>
    <x v="7"/>
    <n v="56"/>
    <x v="312"/>
    <n v="35.4"/>
  </r>
  <r>
    <x v="64"/>
    <n v="473"/>
    <n v="0"/>
    <n v="21"/>
    <n v="11"/>
    <n v="0"/>
    <n v="8"/>
    <n v="0"/>
    <n v="64"/>
    <n v="37"/>
    <n v="0"/>
    <n v="3"/>
    <x v="1"/>
    <n v="698"/>
    <n v="69"/>
    <n v="251"/>
    <n v="21"/>
    <n v="2"/>
    <n v="15"/>
    <n v="0"/>
    <n v="264"/>
    <n v="44"/>
    <n v="7"/>
    <n v="0"/>
    <s v="L"/>
    <n v="8"/>
    <s v=" "/>
    <n v="49.150000000000006"/>
    <n v="15.81"/>
    <n v="36.94"/>
    <n v="0.32"/>
    <n v="0.67999999999999994"/>
    <s v="N"/>
    <s v="Y"/>
    <s v="N"/>
    <s v="N"/>
    <s v="N"/>
    <s v=" "/>
    <n v="60.07"/>
    <n v="19.45"/>
    <n v="44.31"/>
    <x v="54"/>
    <n v="69"/>
    <x v="0"/>
    <s v=" "/>
  </r>
  <r>
    <x v="65"/>
    <n v="472"/>
    <n v="24"/>
    <n v="362"/>
    <n v="41"/>
    <n v="2"/>
    <n v="22"/>
    <n v="1"/>
    <n v="6"/>
    <n v="23"/>
    <n v="0"/>
    <n v="0"/>
    <x v="13"/>
    <n v="519"/>
    <n v="44"/>
    <n v="211"/>
    <n v="30"/>
    <n v="2"/>
    <n v="17"/>
    <n v="1"/>
    <n v="241"/>
    <n v="47"/>
    <n v="3"/>
    <n v="1"/>
    <s v="L"/>
    <n v="1"/>
    <n v="101.78"/>
    <n v="105"/>
    <n v="6.05"/>
    <n v="77.849999999999994"/>
    <n v="0.39"/>
    <n v="0.61"/>
    <s v="N"/>
    <s v="N"/>
    <s v="N"/>
    <s v="N"/>
    <s v="N"/>
    <n v="121.55"/>
    <n v="119.78"/>
    <n v="7.82"/>
    <n v="77.459999999999994"/>
    <x v="37"/>
    <n v="68"/>
    <x v="316"/>
    <n v="18.29"/>
  </r>
  <r>
    <x v="65"/>
    <n v="472"/>
    <n v="28"/>
    <n v="288"/>
    <n v="31"/>
    <n v="3"/>
    <n v="20"/>
    <n v="2"/>
    <n v="133"/>
    <n v="37"/>
    <n v="1"/>
    <n v="0"/>
    <x v="156"/>
    <n v="428"/>
    <n v="21"/>
    <n v="238"/>
    <n v="40"/>
    <n v="2"/>
    <n v="18"/>
    <n v="2"/>
    <n v="181"/>
    <n v="35"/>
    <n v="1"/>
    <n v="0"/>
    <s v="W"/>
    <n v="2"/>
    <n v="110.31"/>
    <n v="130.07"/>
    <n v="87.45"/>
    <n v="75.739999999999995"/>
    <n v="0.53"/>
    <n v="0.47"/>
    <s v="N"/>
    <s v="N"/>
    <s v="N"/>
    <s v="N"/>
    <s v="N"/>
    <n v="95.67"/>
    <n v="104.05"/>
    <n v="75.69"/>
    <n v="63.41"/>
    <x v="20"/>
    <n v="49"/>
    <x v="295"/>
    <n v="196.08"/>
  </r>
  <r>
    <x v="65"/>
    <n v="472"/>
    <n v="10"/>
    <n v="242"/>
    <n v="37"/>
    <n v="1"/>
    <n v="20"/>
    <n v="0"/>
    <n v="16"/>
    <n v="29"/>
    <n v="0"/>
    <n v="2"/>
    <x v="106"/>
    <n v="704"/>
    <n v="16"/>
    <n v="124"/>
    <n v="28"/>
    <n v="0"/>
    <n v="9"/>
    <n v="1"/>
    <n v="185"/>
    <n v="42"/>
    <n v="1"/>
    <n v="1"/>
    <s v="L"/>
    <n v="3"/>
    <n v="93.75"/>
    <n v="154.44"/>
    <n v="-7.89"/>
    <n v="101.38"/>
    <n v="0.4"/>
    <n v="0.6"/>
    <s v="N"/>
    <s v="N"/>
    <s v="N"/>
    <s v="N"/>
    <s v="N"/>
    <n v="100.88"/>
    <n v="119.62"/>
    <n v="-6.74"/>
    <n v="122.71"/>
    <x v="47"/>
    <n v="26"/>
    <x v="317"/>
    <n v="10.29"/>
  </r>
  <r>
    <x v="65"/>
    <n v="472"/>
    <n v="24"/>
    <n v="238"/>
    <n v="30"/>
    <n v="1"/>
    <n v="17"/>
    <n v="1"/>
    <n v="185"/>
    <n v="32"/>
    <n v="2"/>
    <n v="0"/>
    <x v="85"/>
    <n v="630"/>
    <n v="34"/>
    <n v="236"/>
    <n v="38"/>
    <n v="2"/>
    <n v="24"/>
    <n v="0"/>
    <n v="230"/>
    <n v="39"/>
    <n v="2"/>
    <n v="1"/>
    <s v="L"/>
    <n v="4"/>
    <n v="94.9"/>
    <n v="95.1"/>
    <n v="143.5"/>
    <n v="63.180000000000007"/>
    <n v="0.49"/>
    <n v="0.51"/>
    <s v="N"/>
    <s v="N"/>
    <s v="N"/>
    <s v="N"/>
    <s v="N"/>
    <n v="100.17"/>
    <n v="80.87"/>
    <n v="121.63"/>
    <n v="51.44"/>
    <x v="12"/>
    <n v="58"/>
    <x v="318"/>
    <n v="301.2"/>
  </r>
  <r>
    <x v="65"/>
    <n v="472"/>
    <n v="42"/>
    <n v="296"/>
    <n v="27"/>
    <n v="4"/>
    <n v="16"/>
    <n v="0"/>
    <n v="242"/>
    <n v="48"/>
    <n v="2"/>
    <n v="1"/>
    <x v="34"/>
    <n v="473"/>
    <n v="28"/>
    <n v="265"/>
    <n v="36"/>
    <n v="1"/>
    <n v="22"/>
    <n v="1"/>
    <n v="163"/>
    <n v="35"/>
    <n v="3"/>
    <n v="0"/>
    <s v="W"/>
    <n v="5"/>
    <n v="141.22999999999999"/>
    <n v="102.94"/>
    <n v="116.97"/>
    <n v="79.099999999999994"/>
    <n v="0.51"/>
    <n v="0.49"/>
    <s v="N"/>
    <s v="N"/>
    <s v="N"/>
    <s v="N"/>
    <s v="N"/>
    <n v="94.11"/>
    <n v="87.91"/>
    <n v="78.97"/>
    <n v="57.69"/>
    <x v="5"/>
    <n v="70"/>
    <x v="315"/>
    <n v="34.79"/>
  </r>
  <r>
    <x v="65"/>
    <n v="472"/>
    <n v="31"/>
    <n v="202"/>
    <n v="23"/>
    <n v="2"/>
    <n v="15"/>
    <n v="0"/>
    <n v="192"/>
    <n v="41"/>
    <n v="1"/>
    <n v="1"/>
    <x v="77"/>
    <n v="295"/>
    <n v="24"/>
    <n v="167"/>
    <n v="35"/>
    <n v="0"/>
    <n v="22"/>
    <n v="1"/>
    <n v="114"/>
    <n v="29"/>
    <n v="1"/>
    <n v="3"/>
    <s v="W"/>
    <n v="7"/>
    <n v="126.13"/>
    <n v="119.71"/>
    <n v="104.99"/>
    <n v="134.66"/>
    <n v="0.55000000000000004"/>
    <n v="0.44999999999999996"/>
    <s v="N"/>
    <s v="N"/>
    <s v="N"/>
    <s v="N"/>
    <s v="N"/>
    <n v="110.02"/>
    <n v="86.53"/>
    <n v="112.15"/>
    <n v="65.87"/>
    <x v="20"/>
    <n v="55"/>
    <x v="193"/>
    <n v="8.19"/>
  </r>
  <r>
    <x v="65"/>
    <n v="472"/>
    <n v="34"/>
    <n v="284"/>
    <n v="37"/>
    <n v="3"/>
    <n v="20"/>
    <n v="0"/>
    <n v="148"/>
    <n v="32"/>
    <n v="2"/>
    <n v="1"/>
    <x v="102"/>
    <n v="277"/>
    <n v="45"/>
    <n v="276"/>
    <n v="41"/>
    <n v="2"/>
    <n v="26"/>
    <n v="0"/>
    <n v="227"/>
    <n v="37"/>
    <n v="4"/>
    <n v="1"/>
    <s v="L"/>
    <n v="8"/>
    <n v="108.05"/>
    <n v="92.58"/>
    <n v="107.3"/>
    <n v="49.56"/>
    <n v="0.53"/>
    <n v="0.47"/>
    <s v="N"/>
    <s v="N"/>
    <s v="N"/>
    <s v="N"/>
    <s v="N"/>
    <n v="109.21"/>
    <n v="98.46"/>
    <n v="143.72999999999999"/>
    <n v="44.86"/>
    <x v="6"/>
    <n v="79"/>
    <x v="182"/>
    <n v="25.88"/>
  </r>
  <r>
    <x v="66"/>
    <n v="457"/>
    <n v="42"/>
    <n v="277"/>
    <n v="23"/>
    <n v="2"/>
    <n v="22"/>
    <n v="1"/>
    <n v="184"/>
    <n v="35"/>
    <n v="4"/>
    <n v="0"/>
    <x v="163"/>
    <n v="317"/>
    <n v="10"/>
    <n v="152"/>
    <n v="16"/>
    <n v="1"/>
    <n v="11"/>
    <n v="0"/>
    <n v="59"/>
    <n v="39"/>
    <n v="0"/>
    <n v="0"/>
    <s v="W"/>
    <n v="1"/>
    <s v=" "/>
    <s v=" "/>
    <s v=" "/>
    <s v=" "/>
    <n v="0.28999999999999998"/>
    <n v="0.71"/>
    <s v="Y"/>
    <s v="N"/>
    <s v="N"/>
    <s v="N"/>
    <s v="N"/>
    <s v=" "/>
    <s v=" "/>
    <s v=" "/>
    <s v=" "/>
    <x v="46"/>
    <n v="52"/>
    <x v="0"/>
    <s v=" "/>
  </r>
  <r>
    <x v="66"/>
    <n v="457"/>
    <n v="24"/>
    <n v="273"/>
    <n v="26"/>
    <n v="1"/>
    <n v="20"/>
    <n v="3"/>
    <n v="132"/>
    <n v="29"/>
    <n v="2"/>
    <n v="2"/>
    <x v="150"/>
    <n v="587"/>
    <n v="22"/>
    <n v="243"/>
    <n v="47"/>
    <n v="2"/>
    <n v="25"/>
    <n v="0"/>
    <n v="1"/>
    <n v="25"/>
    <n v="0"/>
    <n v="0"/>
    <s v="W"/>
    <n v="2"/>
    <n v="105.3"/>
    <n v="112.25"/>
    <n v="95.26"/>
    <n v="199.07"/>
    <n v="0.65"/>
    <n v="0.35"/>
    <s v="N"/>
    <s v="N"/>
    <s v="N"/>
    <s v="N"/>
    <s v="N"/>
    <n v="126.48"/>
    <n v="102.27"/>
    <n v="106.16"/>
    <n v="93.49"/>
    <x v="35"/>
    <n v="46"/>
    <x v="319"/>
    <n v="1.79"/>
  </r>
  <r>
    <x v="66"/>
    <n v="457"/>
    <n v="28"/>
    <n v="179"/>
    <n v="23"/>
    <n v="2"/>
    <n v="16"/>
    <n v="0"/>
    <n v="222"/>
    <n v="41"/>
    <n v="2"/>
    <n v="1"/>
    <x v="123"/>
    <n v="746"/>
    <n v="17"/>
    <n v="298"/>
    <n v="41"/>
    <n v="1"/>
    <n v="23"/>
    <n v="2"/>
    <n v="170"/>
    <n v="34"/>
    <n v="1"/>
    <n v="1"/>
    <s v="W"/>
    <n v="3"/>
    <n v="125.02"/>
    <n v="115.27"/>
    <n v="125.62"/>
    <n v="88.41"/>
    <n v="0.55000000000000004"/>
    <n v="0.44999999999999996"/>
    <s v="N"/>
    <s v="N"/>
    <s v="N"/>
    <s v="N"/>
    <s v="N"/>
    <n v="135.03"/>
    <n v="82.98"/>
    <n v="145.44"/>
    <n v="88.1"/>
    <x v="6"/>
    <n v="45"/>
    <x v="320"/>
    <n v="20.25"/>
  </r>
  <r>
    <x v="66"/>
    <n v="457"/>
    <n v="28"/>
    <n v="204"/>
    <n v="25"/>
    <n v="2"/>
    <n v="17"/>
    <n v="2"/>
    <n v="128"/>
    <n v="27"/>
    <n v="2"/>
    <n v="0"/>
    <x v="141"/>
    <n v="255"/>
    <n v="35"/>
    <n v="184"/>
    <n v="14"/>
    <n v="1"/>
    <n v="10"/>
    <n v="1"/>
    <n v="312"/>
    <n v="58"/>
    <n v="3"/>
    <n v="1"/>
    <s v="L"/>
    <n v="4"/>
    <n v="100.47"/>
    <s v=" "/>
    <n v="121.1"/>
    <n v="72.61"/>
    <n v="0.19"/>
    <n v="0.81"/>
    <s v="N"/>
    <s v="N"/>
    <s v="N"/>
    <s v="Y"/>
    <s v="N"/>
    <n v="121.82"/>
    <s v=" "/>
    <n v="102.46"/>
    <n v="103.69"/>
    <x v="20"/>
    <n v="63"/>
    <x v="0"/>
    <s v=" "/>
  </r>
  <r>
    <x v="66"/>
    <n v="457"/>
    <n v="35"/>
    <n v="230"/>
    <n v="20"/>
    <n v="4"/>
    <n v="13"/>
    <n v="0"/>
    <n v="226"/>
    <n v="40"/>
    <n v="1"/>
    <n v="0"/>
    <x v="129"/>
    <n v="196"/>
    <n v="20"/>
    <n v="417"/>
    <n v="58"/>
    <n v="2"/>
    <n v="41"/>
    <n v="2"/>
    <n v="73"/>
    <n v="21"/>
    <n v="0"/>
    <n v="2"/>
    <s v="W"/>
    <n v="5"/>
    <n v="157.68"/>
    <n v="95.3"/>
    <n v="134.83000000000001"/>
    <n v="147.92000000000002"/>
    <n v="0.73"/>
    <n v="0.27"/>
    <s v="N"/>
    <s v="N"/>
    <s v="N"/>
    <s v="N"/>
    <s v="N"/>
    <n v="163.66999999999999"/>
    <n v="99.19"/>
    <n v="122.27"/>
    <n v="76.06"/>
    <x v="24"/>
    <n v="55"/>
    <x v="321"/>
    <n v="11.05"/>
  </r>
  <r>
    <x v="66"/>
    <n v="457"/>
    <n v="14"/>
    <n v="178"/>
    <n v="19"/>
    <n v="1"/>
    <n v="12"/>
    <n v="0"/>
    <n v="86"/>
    <n v="32"/>
    <n v="1"/>
    <n v="1"/>
    <x v="96"/>
    <n v="367"/>
    <n v="7"/>
    <n v="173"/>
    <n v="31"/>
    <n v="1"/>
    <n v="19"/>
    <n v="1"/>
    <n v="100"/>
    <n v="38"/>
    <n v="0"/>
    <n v="0"/>
    <s v="W"/>
    <n v="6"/>
    <n v="122.11"/>
    <n v="113.13"/>
    <n v="57.66"/>
    <n v="138.94999999999999"/>
    <n v="0.45"/>
    <n v="0.55000000000000004"/>
    <s v="N"/>
    <s v="N"/>
    <s v="N"/>
    <s v="N"/>
    <s v="N"/>
    <n v="112.72"/>
    <n v="108.7"/>
    <n v="79.52"/>
    <n v="101.91"/>
    <x v="20"/>
    <n v="21"/>
    <x v="248"/>
    <n v="21.98"/>
  </r>
  <r>
    <x v="66"/>
    <n v="457"/>
    <n v="24"/>
    <n v="288"/>
    <n v="38"/>
    <n v="2"/>
    <n v="29"/>
    <n v="0"/>
    <n v="141"/>
    <n v="42"/>
    <n v="1"/>
    <n v="2"/>
    <x v="124"/>
    <n v="415"/>
    <n v="30"/>
    <n v="267"/>
    <n v="30"/>
    <n v="3"/>
    <n v="20"/>
    <n v="0"/>
    <n v="44"/>
    <n v="27"/>
    <n v="0"/>
    <n v="1"/>
    <s v="L"/>
    <n v="7"/>
    <n v="125.52"/>
    <n v="69.830000000000013"/>
    <n v="67.17"/>
    <n v="173.3"/>
    <n v="0.53"/>
    <n v="0.47"/>
    <s v="N"/>
    <s v="N"/>
    <s v="N"/>
    <s v="N"/>
    <s v="N"/>
    <n v="112.21"/>
    <n v="73.52"/>
    <n v="69.62"/>
    <n v="175.67"/>
    <x v="47"/>
    <n v="54"/>
    <x v="275"/>
    <n v="16.75"/>
  </r>
  <r>
    <x v="66"/>
    <n v="457"/>
    <n v="38"/>
    <n v="316"/>
    <n v="35"/>
    <n v="2"/>
    <n v="20"/>
    <n v="3"/>
    <n v="102"/>
    <n v="28"/>
    <n v="2"/>
    <n v="3"/>
    <x v="51"/>
    <n v="147"/>
    <n v="59"/>
    <n v="373"/>
    <n v="48"/>
    <n v="5"/>
    <n v="28"/>
    <n v="0"/>
    <n v="77"/>
    <n v="36"/>
    <n v="1"/>
    <n v="1"/>
    <s v="L"/>
    <n v="8"/>
    <n v="89.21"/>
    <n v="83.69"/>
    <n v="63.09"/>
    <n v="154.54"/>
    <n v="0.56999999999999995"/>
    <n v="0.43000000000000005"/>
    <s v="N"/>
    <s v="N"/>
    <s v="N"/>
    <s v="N"/>
    <s v="N"/>
    <n v="99.87"/>
    <n v="95.4"/>
    <n v="67.58"/>
    <n v="152.91999999999999"/>
    <x v="23"/>
    <n v="97"/>
    <x v="113"/>
    <n v="221.75"/>
  </r>
  <r>
    <x v="67"/>
    <n v="490"/>
    <n v="43"/>
    <n v="156"/>
    <n v="31"/>
    <n v="1"/>
    <n v="18"/>
    <n v="0"/>
    <n v="162"/>
    <n v="35"/>
    <n v="3"/>
    <n v="2"/>
    <x v="164"/>
    <n v="355"/>
    <n v="21"/>
    <n v="295"/>
    <n v="42"/>
    <n v="1"/>
    <n v="24"/>
    <n v="4"/>
    <n v="111"/>
    <n v="32"/>
    <n v="0"/>
    <n v="3"/>
    <s v="W"/>
    <n v="1"/>
    <s v=" "/>
    <s v=" "/>
    <s v=" "/>
    <s v=" "/>
    <n v="0.56999999999999995"/>
    <n v="0.43000000000000005"/>
    <s v="Y"/>
    <s v="N"/>
    <s v="N"/>
    <s v="N"/>
    <s v="N"/>
    <s v=" "/>
    <s v=" "/>
    <s v=" "/>
    <s v=" "/>
    <x v="39"/>
    <n v="64"/>
    <x v="0"/>
    <s v=" "/>
  </r>
  <r>
    <x v="67"/>
    <n v="490"/>
    <n v="35"/>
    <n v="297"/>
    <n v="22"/>
    <n v="4"/>
    <n v="19"/>
    <n v="0"/>
    <n v="95"/>
    <n v="37"/>
    <n v="1"/>
    <n v="3"/>
    <x v="144"/>
    <n v="646"/>
    <n v="13"/>
    <n v="182"/>
    <n v="32"/>
    <n v="0"/>
    <n v="17"/>
    <n v="2"/>
    <n v="104"/>
    <n v="33"/>
    <n v="1"/>
    <n v="1"/>
    <s v="W"/>
    <n v="3"/>
    <s v=" "/>
    <s v=" "/>
    <s v=" "/>
    <s v=" "/>
    <n v="0.49"/>
    <n v="0.51"/>
    <s v="Y"/>
    <s v="N"/>
    <s v="N"/>
    <s v="N"/>
    <s v="N"/>
    <s v=" "/>
    <s v=" "/>
    <s v=" "/>
    <s v=" "/>
    <x v="39"/>
    <n v="48"/>
    <x v="0"/>
    <s v=" "/>
  </r>
  <r>
    <x v="67"/>
    <n v="490"/>
    <n v="27"/>
    <n v="315"/>
    <n v="41"/>
    <n v="3"/>
    <n v="24"/>
    <n v="1"/>
    <n v="109"/>
    <n v="26"/>
    <n v="0"/>
    <n v="0"/>
    <x v="75"/>
    <n v="749"/>
    <n v="34"/>
    <n v="337"/>
    <n v="36"/>
    <n v="2"/>
    <n v="23"/>
    <n v="1"/>
    <n v="101"/>
    <n v="34"/>
    <n v="2"/>
    <n v="0"/>
    <s v="L"/>
    <n v="2"/>
    <n v="104.07"/>
    <n v="85.09"/>
    <n v="97.26"/>
    <n v="122.26"/>
    <n v="0.51"/>
    <n v="0.49"/>
    <s v="N"/>
    <s v="N"/>
    <s v="N"/>
    <s v="N"/>
    <s v="N"/>
    <n v="111.71"/>
    <n v="94.44"/>
    <n v="99.6"/>
    <n v="83.85"/>
    <x v="20"/>
    <n v="61"/>
    <x v="322"/>
    <n v="80.650000000000006"/>
  </r>
  <r>
    <x v="67"/>
    <n v="490"/>
    <n v="14"/>
    <n v="348"/>
    <n v="40"/>
    <n v="2"/>
    <n v="28"/>
    <n v="2"/>
    <n v="-26"/>
    <n v="22"/>
    <n v="0"/>
    <n v="1"/>
    <x v="10"/>
    <n v="140"/>
    <n v="44"/>
    <n v="263"/>
    <n v="34"/>
    <n v="2"/>
    <n v="25"/>
    <n v="1"/>
    <n v="240"/>
    <n v="46"/>
    <n v="3"/>
    <n v="0"/>
    <s v="L"/>
    <n v="4"/>
    <n v="109.92"/>
    <n v="84.31"/>
    <n v="-41.05"/>
    <n v="69.169999999999987"/>
    <n v="0.43"/>
    <n v="0.57000000000000006"/>
    <s v="N"/>
    <s v="N"/>
    <s v="N"/>
    <s v="N"/>
    <s v="N"/>
    <n v="108.41"/>
    <n v="88.4"/>
    <n v="-69.900000000000006"/>
    <n v="75.77"/>
    <x v="33"/>
    <n v="58"/>
    <x v="105"/>
    <n v="16.89"/>
  </r>
  <r>
    <x v="67"/>
    <n v="490"/>
    <n v="35"/>
    <n v="192"/>
    <n v="36"/>
    <n v="3"/>
    <n v="23"/>
    <n v="1"/>
    <n v="195"/>
    <n v="38"/>
    <n v="1"/>
    <n v="0"/>
    <x v="141"/>
    <n v="255"/>
    <n v="45"/>
    <n v="117"/>
    <n v="12"/>
    <n v="2"/>
    <n v="4"/>
    <n v="0"/>
    <n v="296"/>
    <n v="52"/>
    <n v="3"/>
    <n v="1"/>
    <s v="L"/>
    <n v="5"/>
    <n v="97.12"/>
    <s v=" "/>
    <n v="123"/>
    <n v="65.050000000000011"/>
    <n v="0.19"/>
    <n v="0.81"/>
    <s v="N"/>
    <s v="N"/>
    <s v="N"/>
    <s v="Y"/>
    <s v="N"/>
    <n v="117.76"/>
    <s v=" "/>
    <n v="104.07"/>
    <n v="92.9"/>
    <x v="12"/>
    <n v="80"/>
    <x v="0"/>
    <s v=" "/>
  </r>
  <r>
    <x v="67"/>
    <n v="490"/>
    <n v="38"/>
    <n v="244"/>
    <n v="36"/>
    <n v="4"/>
    <n v="20"/>
    <n v="0"/>
    <n v="162"/>
    <n v="45"/>
    <n v="1"/>
    <n v="1"/>
    <x v="60"/>
    <n v="129"/>
    <n v="24"/>
    <n v="245"/>
    <n v="32"/>
    <n v="2"/>
    <n v="19"/>
    <n v="4"/>
    <n v="182"/>
    <n v="25"/>
    <n v="1"/>
    <n v="1"/>
    <s v="W"/>
    <n v="6"/>
    <n v="109.16"/>
    <n v="127.02"/>
    <n v="80.19"/>
    <n v="37.099999999999994"/>
    <n v="0.56000000000000005"/>
    <n v="0.43999999999999995"/>
    <s v="N"/>
    <s v="N"/>
    <s v="N"/>
    <s v="N"/>
    <s v="N"/>
    <n v="101.82"/>
    <n v="117.45"/>
    <n v="69.52"/>
    <n v="34.43"/>
    <x v="5"/>
    <n v="62"/>
    <x v="102"/>
    <n v="30.09"/>
  </r>
  <r>
    <x v="67"/>
    <n v="490"/>
    <n v="28"/>
    <n v="231"/>
    <n v="36"/>
    <n v="3"/>
    <n v="20"/>
    <n v="2"/>
    <n v="114"/>
    <n v="38"/>
    <n v="0"/>
    <n v="0"/>
    <x v="123"/>
    <n v="746"/>
    <n v="14"/>
    <n v="125"/>
    <n v="35"/>
    <n v="2"/>
    <n v="11"/>
    <n v="3"/>
    <n v="124"/>
    <n v="33"/>
    <n v="0"/>
    <n v="1"/>
    <s v="W"/>
    <n v="8"/>
    <n v="86.36"/>
    <n v="166.25"/>
    <n v="69.599999999999994"/>
    <n v="121.92"/>
    <n v="0.51"/>
    <n v="0.49"/>
    <s v="N"/>
    <s v="N"/>
    <s v="N"/>
    <s v="N"/>
    <s v="N"/>
    <n v="93.27"/>
    <n v="119.68"/>
    <n v="80.58"/>
    <n v="121.49"/>
    <x v="5"/>
    <n v="42"/>
    <x v="323"/>
    <n v="31.72"/>
  </r>
  <r>
    <x v="68"/>
    <n v="497"/>
    <n v="16"/>
    <n v="204"/>
    <n v="35"/>
    <n v="0"/>
    <n v="19"/>
    <n v="0"/>
    <n v="97"/>
    <n v="38"/>
    <n v="0"/>
    <n v="1"/>
    <x v="12"/>
    <n v="231"/>
    <n v="41"/>
    <n v="193"/>
    <n v="23"/>
    <n v="1"/>
    <n v="16"/>
    <n v="0"/>
    <n v="208"/>
    <n v="40"/>
    <n v="4"/>
    <n v="2"/>
    <s v="L"/>
    <n v="1"/>
    <n v="86.05"/>
    <n v="78.180000000000007"/>
    <n v="51.33"/>
    <n v="79.36"/>
    <n v="0.37"/>
    <n v="0.63"/>
    <s v="N"/>
    <s v="N"/>
    <s v="N"/>
    <s v="N"/>
    <s v="N"/>
    <n v="88.54"/>
    <n v="84.39"/>
    <n v="61.5"/>
    <n v="68.86"/>
    <x v="19"/>
    <n v="57"/>
    <x v="145"/>
    <n v="23.79"/>
  </r>
  <r>
    <x v="68"/>
    <n v="497"/>
    <n v="23"/>
    <n v="172"/>
    <n v="34"/>
    <n v="1"/>
    <n v="21"/>
    <n v="1"/>
    <n v="118"/>
    <n v="34"/>
    <n v="2"/>
    <n v="2"/>
    <x v="110"/>
    <n v="288"/>
    <n v="48"/>
    <n v="563"/>
    <n v="59"/>
    <n v="5"/>
    <n v="39"/>
    <n v="1"/>
    <n v="127"/>
    <n v="31"/>
    <n v="1"/>
    <n v="1"/>
    <s v="L"/>
    <n v="2"/>
    <n v="84.92"/>
    <n v="74.27"/>
    <n v="71.69"/>
    <n v="109.79"/>
    <n v="0.66"/>
    <n v="0.33999999999999997"/>
    <s v="N"/>
    <s v="N"/>
    <s v="N"/>
    <s v="N"/>
    <s v="N"/>
    <n v="83.34"/>
    <n v="97.39"/>
    <n v="76.319999999999993"/>
    <n v="146.33000000000001"/>
    <x v="19"/>
    <n v="71"/>
    <x v="184"/>
    <n v="42.14"/>
  </r>
  <r>
    <x v="68"/>
    <n v="497"/>
    <n v="0"/>
    <n v="101"/>
    <n v="31"/>
    <n v="0"/>
    <n v="13"/>
    <n v="0"/>
    <n v="68"/>
    <n v="32"/>
    <n v="0"/>
    <n v="0"/>
    <x v="36"/>
    <n v="8"/>
    <n v="41"/>
    <n v="239"/>
    <n v="29"/>
    <n v="0"/>
    <n v="21"/>
    <n v="0"/>
    <n v="347"/>
    <n v="33"/>
    <n v="5"/>
    <n v="2"/>
    <s v="L"/>
    <n v="3"/>
    <n v="59.69"/>
    <n v="82.67"/>
    <n v="49.3"/>
    <n v="-48.5"/>
    <n v="0.47"/>
    <n v="0.53"/>
    <s v="N"/>
    <s v="N"/>
    <s v="N"/>
    <s v="N"/>
    <s v="N"/>
    <n v="80.239999999999995"/>
    <n v="92.99"/>
    <n v="82.95"/>
    <n v="-71.5"/>
    <x v="13"/>
    <n v="41"/>
    <x v="12"/>
    <n v="15.96"/>
  </r>
  <r>
    <x v="68"/>
    <n v="497"/>
    <n v="24"/>
    <n v="201"/>
    <n v="20"/>
    <n v="3"/>
    <n v="10"/>
    <n v="1"/>
    <n v="226"/>
    <n v="48"/>
    <n v="0"/>
    <n v="2"/>
    <x v="55"/>
    <n v="306"/>
    <n v="21"/>
    <n v="354"/>
    <n v="52"/>
    <n v="2"/>
    <n v="30"/>
    <n v="1"/>
    <n v="50"/>
    <n v="27"/>
    <n v="0"/>
    <n v="1"/>
    <s v="W"/>
    <n v="4"/>
    <n v="112.27"/>
    <n v="105.21"/>
    <n v="96.73"/>
    <n v="168.15"/>
    <n v="0.66"/>
    <n v="0.33999999999999997"/>
    <s v="N"/>
    <s v="N"/>
    <s v="N"/>
    <s v="N"/>
    <s v="N"/>
    <n v="91.4"/>
    <n v="85.69"/>
    <n v="80.83"/>
    <n v="119.93"/>
    <x v="22"/>
    <n v="45"/>
    <x v="324"/>
    <n v="3.64"/>
  </r>
  <r>
    <x v="68"/>
    <n v="497"/>
    <n v="24"/>
    <n v="261"/>
    <n v="26"/>
    <n v="2"/>
    <n v="18"/>
    <n v="2"/>
    <n v="130"/>
    <n v="56"/>
    <n v="1"/>
    <n v="0"/>
    <x v="67"/>
    <n v="719"/>
    <n v="41"/>
    <n v="314"/>
    <n v="32"/>
    <n v="3"/>
    <n v="20"/>
    <n v="1"/>
    <n v="98"/>
    <n v="24"/>
    <n v="1"/>
    <n v="1"/>
    <s v="L"/>
    <n v="5"/>
    <n v="112.4"/>
    <n v="79.33"/>
    <n v="56.54"/>
    <n v="111.52"/>
    <n v="0.56999999999999995"/>
    <n v="0.43000000000000005"/>
    <s v="N"/>
    <s v="N"/>
    <s v="N"/>
    <s v="N"/>
    <s v="N"/>
    <n v="111.52"/>
    <n v="73.930000000000007"/>
    <n v="72.84"/>
    <n v="113.52"/>
    <x v="0"/>
    <n v="65"/>
    <x v="325"/>
    <n v="42.28"/>
  </r>
  <r>
    <x v="68"/>
    <n v="497"/>
    <n v="31"/>
    <n v="108"/>
    <n v="27"/>
    <n v="0"/>
    <n v="13"/>
    <n v="0"/>
    <n v="129"/>
    <n v="43"/>
    <n v="2"/>
    <n v="1"/>
    <x v="52"/>
    <n v="229"/>
    <n v="17"/>
    <n v="165"/>
    <n v="39"/>
    <n v="1"/>
    <n v="16"/>
    <n v="3"/>
    <n v="169"/>
    <n v="35"/>
    <n v="1"/>
    <n v="1"/>
    <s v="W"/>
    <n v="6"/>
    <n v="69.95"/>
    <n v="155.15"/>
    <n v="69.599999999999994"/>
    <n v="92.26"/>
    <n v="0.53"/>
    <n v="0.47"/>
    <s v="N"/>
    <s v="N"/>
    <s v="N"/>
    <s v="N"/>
    <s v="N"/>
    <n v="70.09"/>
    <n v="109.29"/>
    <n v="72.92"/>
    <n v="51.27"/>
    <x v="5"/>
    <n v="48"/>
    <x v="326"/>
    <n v="107.36"/>
  </r>
  <r>
    <x v="68"/>
    <n v="497"/>
    <n v="10"/>
    <n v="144"/>
    <n v="26"/>
    <n v="0"/>
    <n v="14"/>
    <n v="1"/>
    <n v="88"/>
    <n v="38"/>
    <n v="1"/>
    <n v="1"/>
    <x v="114"/>
    <n v="671"/>
    <n v="30"/>
    <n v="250"/>
    <n v="22"/>
    <n v="4"/>
    <n v="15"/>
    <n v="0"/>
    <n v="95"/>
    <n v="36"/>
    <n v="0"/>
    <n v="2"/>
    <s v="L"/>
    <n v="7"/>
    <n v="72.489999999999995"/>
    <n v="42.610000000000014"/>
    <n v="49.78"/>
    <n v="155.44"/>
    <n v="0.38"/>
    <n v="0.62"/>
    <s v="N"/>
    <s v="N"/>
    <s v="N"/>
    <s v="N"/>
    <s v="N"/>
    <n v="74.06"/>
    <n v="45.95"/>
    <n v="57.07"/>
    <n v="120.95"/>
    <x v="37"/>
    <n v="40"/>
    <x v="327"/>
    <n v="25.1"/>
  </r>
  <r>
    <x v="68"/>
    <n v="497"/>
    <n v="38"/>
    <n v="332"/>
    <n v="39"/>
    <n v="3"/>
    <n v="23"/>
    <n v="0"/>
    <n v="127"/>
    <n v="33"/>
    <n v="1"/>
    <n v="0"/>
    <x v="43"/>
    <n v="498"/>
    <n v="21"/>
    <n v="201"/>
    <n v="35"/>
    <n v="0"/>
    <n v="16"/>
    <n v="1"/>
    <n v="142"/>
    <n v="35"/>
    <n v="2"/>
    <n v="1"/>
    <s v="W"/>
    <n v="8"/>
    <n v="116.91"/>
    <n v="131.56"/>
    <n v="93.83"/>
    <n v="105.87"/>
    <n v="0.5"/>
    <n v="0.5"/>
    <s v="N"/>
    <s v="N"/>
    <s v="N"/>
    <s v="N"/>
    <s v="N"/>
    <n v="114.09"/>
    <n v="117.37"/>
    <n v="116.44"/>
    <n v="75.77"/>
    <x v="0"/>
    <n v="59"/>
    <x v="241"/>
    <n v="35.29"/>
  </r>
  <r>
    <x v="69"/>
    <n v="503"/>
    <n v="47"/>
    <n v="187"/>
    <n v="21"/>
    <n v="2"/>
    <n v="18"/>
    <n v="0"/>
    <n v="356"/>
    <n v="52"/>
    <n v="4"/>
    <n v="2"/>
    <x v="165"/>
    <n v="90"/>
    <n v="30"/>
    <n v="75"/>
    <n v="11"/>
    <n v="1"/>
    <n v="6"/>
    <n v="0"/>
    <n v="297"/>
    <n v="60"/>
    <n v="3"/>
    <n v="0"/>
    <s v="W"/>
    <n v="4"/>
    <s v=" "/>
    <s v=" "/>
    <s v=" "/>
    <s v=" "/>
    <n v="0.15"/>
    <n v="0.85"/>
    <s v="Y"/>
    <s v="N"/>
    <s v="N"/>
    <s v="Y"/>
    <s v="N"/>
    <s v=" "/>
    <s v=" "/>
    <s v=" "/>
    <s v=" "/>
    <x v="0"/>
    <n v="77"/>
    <x v="0"/>
    <s v=" "/>
  </r>
  <r>
    <x v="69"/>
    <n v="503"/>
    <n v="49"/>
    <n v="220"/>
    <n v="24"/>
    <n v="5"/>
    <n v="15"/>
    <n v="1"/>
    <n v="289"/>
    <n v="47"/>
    <n v="1"/>
    <n v="1"/>
    <x v="58"/>
    <n v="725"/>
    <n v="26"/>
    <n v="106"/>
    <n v="16"/>
    <n v="1"/>
    <n v="7"/>
    <n v="1"/>
    <n v="303"/>
    <n v="63"/>
    <n v="3"/>
    <n v="2"/>
    <s v="W"/>
    <n v="1"/>
    <n v="131.21"/>
    <n v="129.51999999999998"/>
    <n v="139.46"/>
    <n v="90.8"/>
    <n v="0.2"/>
    <n v="0.8"/>
    <s v="N"/>
    <s v="N"/>
    <s v="N"/>
    <s v="N"/>
    <s v="N"/>
    <n v="128.34"/>
    <n v="91.29"/>
    <n v="110.81"/>
    <n v="112.85"/>
    <x v="9"/>
    <n v="75"/>
    <x v="41"/>
    <n v="25.28"/>
  </r>
  <r>
    <x v="69"/>
    <n v="503"/>
    <n v="42"/>
    <n v="315"/>
    <n v="33"/>
    <n v="2"/>
    <n v="27"/>
    <n v="0"/>
    <n v="147"/>
    <n v="29"/>
    <n v="4"/>
    <n v="0"/>
    <x v="122"/>
    <n v="328"/>
    <n v="45"/>
    <n v="281"/>
    <n v="30"/>
    <n v="3"/>
    <n v="21"/>
    <n v="0"/>
    <n v="253"/>
    <n v="60"/>
    <n v="3"/>
    <n v="1"/>
    <s v="L"/>
    <n v="2"/>
    <n v="142.93"/>
    <n v="63.949999999999989"/>
    <n v="138.29"/>
    <n v="99.67"/>
    <n v="0.33"/>
    <n v="0.66999999999999993"/>
    <s v="N"/>
    <s v="N"/>
    <s v="N"/>
    <s v="N"/>
    <s v="N"/>
    <n v="103.76"/>
    <n v="69.680000000000007"/>
    <n v="75.97"/>
    <n v="91.11"/>
    <x v="22"/>
    <n v="87"/>
    <x v="212"/>
    <n v="6.69"/>
  </r>
  <r>
    <x v="69"/>
    <n v="503"/>
    <n v="7"/>
    <n v="173"/>
    <n v="27"/>
    <n v="0"/>
    <n v="17"/>
    <n v="0"/>
    <n v="64"/>
    <n v="25"/>
    <n v="1"/>
    <n v="0"/>
    <x v="135"/>
    <n v="796"/>
    <n v="49"/>
    <n v="355"/>
    <n v="34"/>
    <n v="3"/>
    <n v="24"/>
    <n v="1"/>
    <n v="266"/>
    <n v="47"/>
    <n v="4"/>
    <n v="0"/>
    <s v="L"/>
    <n v="3"/>
    <n v="97.88"/>
    <n v="68.099999999999994"/>
    <n v="65.39"/>
    <n v="55.930000000000007"/>
    <n v="0.42"/>
    <n v="0.58000000000000007"/>
    <s v="N"/>
    <s v="N"/>
    <s v="N"/>
    <s v="N"/>
    <s v="N"/>
    <n v="110.56"/>
    <n v="96.21"/>
    <n v="82.5"/>
    <n v="81.64"/>
    <x v="7"/>
    <n v="56"/>
    <x v="328"/>
    <n v="37.270000000000003"/>
  </r>
  <r>
    <x v="69"/>
    <n v="503"/>
    <n v="41"/>
    <n v="370"/>
    <n v="51"/>
    <n v="2"/>
    <n v="27"/>
    <n v="2"/>
    <n v="217"/>
    <n v="44"/>
    <n v="2"/>
    <n v="0"/>
    <x v="60"/>
    <n v="129"/>
    <n v="48"/>
    <n v="387"/>
    <n v="28"/>
    <n v="4"/>
    <n v="17"/>
    <n v="0"/>
    <n v="176"/>
    <n v="32"/>
    <n v="2"/>
    <n v="0"/>
    <s v="L"/>
    <n v="5"/>
    <n v="86.6"/>
    <n v="42.53"/>
    <n v="121.24"/>
    <n v="63.02000000000001"/>
    <n v="0.47"/>
    <n v="0.53"/>
    <s v="N"/>
    <s v="N"/>
    <s v="N"/>
    <s v="N"/>
    <s v="N"/>
    <n v="80.77"/>
    <n v="39.32"/>
    <n v="105.1"/>
    <n v="58.48"/>
    <x v="20"/>
    <n v="89"/>
    <x v="101"/>
    <n v="8.08"/>
  </r>
  <r>
    <x v="69"/>
    <n v="503"/>
    <n v="40"/>
    <n v="135"/>
    <n v="19"/>
    <n v="1"/>
    <n v="15"/>
    <n v="0"/>
    <n v="209"/>
    <n v="43"/>
    <n v="2"/>
    <n v="3"/>
    <x v="14"/>
    <n v="331"/>
    <n v="10"/>
    <n v="63"/>
    <n v="24"/>
    <n v="0"/>
    <n v="6"/>
    <n v="1"/>
    <n v="1"/>
    <n v="38"/>
    <n v="0"/>
    <n v="2"/>
    <s v="W"/>
    <n v="6"/>
    <n v="125.57"/>
    <n v="173.19"/>
    <n v="98.81"/>
    <n v="215.18"/>
    <n v="0.39"/>
    <n v="0.61"/>
    <s v="N"/>
    <s v="N"/>
    <s v="N"/>
    <s v="N"/>
    <s v="N"/>
    <n v="143.01"/>
    <n v="82.08"/>
    <n v="119.44"/>
    <n v="63.93"/>
    <x v="33"/>
    <n v="50"/>
    <x v="224"/>
    <n v="14.1"/>
  </r>
  <r>
    <x v="69"/>
    <n v="503"/>
    <n v="51"/>
    <n v="203"/>
    <n v="28"/>
    <n v="0"/>
    <n v="14"/>
    <n v="1"/>
    <n v="494"/>
    <n v="54"/>
    <n v="6"/>
    <n v="1"/>
    <x v="80"/>
    <n v="774"/>
    <n v="22"/>
    <n v="233"/>
    <n v="48"/>
    <n v="2"/>
    <n v="29"/>
    <n v="2"/>
    <n v="91"/>
    <n v="31"/>
    <n v="0"/>
    <n v="0"/>
    <s v="W"/>
    <n v="7"/>
    <n v="78.8"/>
    <n v="119.38"/>
    <n v="223.35"/>
    <n v="131.9"/>
    <n v="0.61"/>
    <n v="0.39"/>
    <s v="N"/>
    <s v="N"/>
    <s v="N"/>
    <s v="N"/>
    <s v="N"/>
    <n v="83.23"/>
    <n v="132.78"/>
    <n v="163.56"/>
    <n v="97.03"/>
    <x v="29"/>
    <n v="73"/>
    <x v="329"/>
    <n v="18.899999999999999"/>
  </r>
  <r>
    <x v="69"/>
    <n v="503"/>
    <n v="31"/>
    <n v="150"/>
    <n v="26"/>
    <n v="0"/>
    <n v="11"/>
    <n v="0"/>
    <n v="178"/>
    <n v="47"/>
    <n v="4"/>
    <n v="0"/>
    <x v="57"/>
    <n v="86"/>
    <n v="30"/>
    <n v="404"/>
    <n v="54"/>
    <n v="3"/>
    <n v="35"/>
    <n v="2"/>
    <n v="168"/>
    <n v="38"/>
    <n v="1"/>
    <n v="3"/>
    <s v="W"/>
    <n v="8"/>
    <n v="73.75"/>
    <n v="97.19"/>
    <n v="100.63"/>
    <n v="117.17"/>
    <n v="0.59"/>
    <n v="0.41000000000000003"/>
    <s v="N"/>
    <s v="N"/>
    <s v="N"/>
    <s v="N"/>
    <s v="N"/>
    <n v="69.27"/>
    <n v="81.62"/>
    <n v="82.96"/>
    <n v="109.06"/>
    <x v="3"/>
    <n v="61"/>
    <x v="84"/>
    <n v="8.8800000000000008"/>
  </r>
  <r>
    <x v="70"/>
    <n v="509"/>
    <n v="42"/>
    <n v="117"/>
    <n v="16"/>
    <n v="1"/>
    <n v="12"/>
    <n v="0"/>
    <n v="320"/>
    <n v="67"/>
    <n v="5"/>
    <n v="0"/>
    <x v="166"/>
    <n v="201"/>
    <n v="21"/>
    <n v="209"/>
    <n v="25"/>
    <n v="1"/>
    <n v="14"/>
    <n v="1"/>
    <n v="132"/>
    <n v="26"/>
    <n v="2"/>
    <n v="1"/>
    <s v="W"/>
    <n v="2"/>
    <s v=" "/>
    <s v=" "/>
    <s v=" "/>
    <s v=" "/>
    <n v="0.49"/>
    <n v="0.51"/>
    <s v="Y"/>
    <s v="N"/>
    <s v="N"/>
    <s v="N"/>
    <s v="N"/>
    <s v=" "/>
    <s v=" "/>
    <s v=" "/>
    <s v=" "/>
    <x v="23"/>
    <n v="63"/>
    <x v="0"/>
    <s v=" "/>
  </r>
  <r>
    <x v="70"/>
    <n v="509"/>
    <n v="24"/>
    <n v="197"/>
    <n v="24"/>
    <n v="0"/>
    <n v="17"/>
    <n v="1"/>
    <n v="227"/>
    <n v="54"/>
    <n v="3"/>
    <n v="0"/>
    <x v="99"/>
    <n v="67"/>
    <n v="17"/>
    <n v="351"/>
    <n v="44"/>
    <n v="0"/>
    <n v="24"/>
    <n v="1"/>
    <n v="104"/>
    <n v="30"/>
    <n v="2"/>
    <n v="0"/>
    <s v="W"/>
    <n v="1"/>
    <n v="103.07"/>
    <n v="108.8"/>
    <n v="105.86"/>
    <n v="109.57"/>
    <n v="0.59"/>
    <n v="0.41000000000000003"/>
    <s v="N"/>
    <s v="N"/>
    <s v="N"/>
    <s v="N"/>
    <s v="N"/>
    <n v="90.95"/>
    <n v="81.96"/>
    <n v="99.14"/>
    <n v="85.49"/>
    <x v="20"/>
    <n v="41"/>
    <x v="68"/>
    <n v="25.64"/>
  </r>
  <r>
    <x v="70"/>
    <n v="509"/>
    <n v="14"/>
    <n v="194"/>
    <n v="30"/>
    <n v="2"/>
    <n v="17"/>
    <n v="0"/>
    <n v="115"/>
    <n v="27"/>
    <n v="0"/>
    <n v="0"/>
    <x v="58"/>
    <n v="725"/>
    <n v="21"/>
    <n v="6"/>
    <n v="7"/>
    <n v="0"/>
    <n v="1"/>
    <n v="0"/>
    <n v="381"/>
    <n v="75"/>
    <n v="3"/>
    <n v="1"/>
    <s v="L"/>
    <n v="3"/>
    <n v="101.91"/>
    <s v=" "/>
    <n v="98.81"/>
    <n v="80.14"/>
    <n v="0.09"/>
    <n v="0.91"/>
    <s v="N"/>
    <s v="N"/>
    <s v="N"/>
    <s v="Y"/>
    <s v="N"/>
    <n v="99.68"/>
    <s v=" "/>
    <n v="78.510000000000005"/>
    <n v="99.6"/>
    <x v="20"/>
    <n v="35"/>
    <x v="0"/>
    <s v=" "/>
  </r>
  <r>
    <x v="70"/>
    <n v="509"/>
    <n v="35"/>
    <n v="160"/>
    <n v="16"/>
    <n v="4"/>
    <n v="12"/>
    <n v="0"/>
    <n v="169"/>
    <n v="51"/>
    <n v="1"/>
    <n v="1"/>
    <x v="31"/>
    <n v="301"/>
    <n v="38"/>
    <n v="391"/>
    <n v="32"/>
    <n v="3"/>
    <n v="21"/>
    <n v="1"/>
    <n v="82"/>
    <n v="38"/>
    <n v="2"/>
    <n v="2"/>
    <s v="L"/>
    <n v="5"/>
    <n v="167"/>
    <n v="63.099999999999994"/>
    <n v="73.94"/>
    <n v="157.82999999999998"/>
    <n v="0.46"/>
    <n v="0.54"/>
    <s v="N"/>
    <s v="N"/>
    <s v="N"/>
    <s v="N"/>
    <s v="N"/>
    <n v="158.61000000000001"/>
    <n v="69.53"/>
    <n v="103.81"/>
    <n v="134.41999999999999"/>
    <x v="22"/>
    <n v="73"/>
    <x v="330"/>
    <n v="4.8499999999999996"/>
  </r>
  <r>
    <x v="70"/>
    <n v="509"/>
    <n v="24"/>
    <n v="331"/>
    <n v="45"/>
    <n v="0"/>
    <n v="32"/>
    <n v="1"/>
    <n v="107"/>
    <n v="25"/>
    <n v="3"/>
    <n v="1"/>
    <x v="113"/>
    <n v="418"/>
    <n v="42"/>
    <n v="362"/>
    <n v="28"/>
    <n v="2"/>
    <n v="19"/>
    <n v="3"/>
    <n v="179"/>
    <n v="50"/>
    <n v="4"/>
    <n v="0"/>
    <s v="L"/>
    <n v="6"/>
    <n v="104.53"/>
    <n v="83.11"/>
    <n v="105.3"/>
    <n v="104.94"/>
    <n v="0.36"/>
    <n v="0.64"/>
    <s v="N"/>
    <s v="N"/>
    <s v="N"/>
    <s v="N"/>
    <s v="N"/>
    <n v="112.19"/>
    <n v="74.37"/>
    <n v="114.79"/>
    <n v="138.13999999999999"/>
    <x v="30"/>
    <n v="66"/>
    <x v="284"/>
    <n v="849.06"/>
  </r>
  <r>
    <x v="70"/>
    <n v="509"/>
    <n v="31"/>
    <n v="342"/>
    <n v="51"/>
    <n v="3"/>
    <n v="37"/>
    <n v="1"/>
    <n v="153"/>
    <n v="41"/>
    <n v="1"/>
    <n v="1"/>
    <x v="136"/>
    <n v="312"/>
    <n v="41"/>
    <n v="224"/>
    <n v="22"/>
    <n v="2"/>
    <n v="14"/>
    <n v="1"/>
    <n v="155"/>
    <n v="28"/>
    <n v="2"/>
    <n v="0"/>
    <s v="L"/>
    <n v="7"/>
    <n v="112.04"/>
    <n v="80.87"/>
    <n v="82.92"/>
    <n v="60.860000000000014"/>
    <n v="0.44"/>
    <n v="0.56000000000000005"/>
    <s v="N"/>
    <s v="N"/>
    <s v="N"/>
    <s v="N"/>
    <s v="N"/>
    <n v="102.4"/>
    <n v="97.05"/>
    <n v="93.79"/>
    <n v="59.22"/>
    <x v="12"/>
    <n v="72"/>
    <x v="208"/>
    <n v="15.8"/>
  </r>
  <r>
    <x v="70"/>
    <n v="509"/>
    <n v="24"/>
    <n v="312"/>
    <n v="39"/>
    <n v="1"/>
    <n v="28"/>
    <n v="1"/>
    <n v="94"/>
    <n v="37"/>
    <n v="2"/>
    <n v="0"/>
    <x v="15"/>
    <n v="539"/>
    <n v="34"/>
    <n v="192"/>
    <n v="27"/>
    <n v="2"/>
    <n v="17"/>
    <n v="0"/>
    <n v="197"/>
    <n v="38"/>
    <n v="2"/>
    <n v="1"/>
    <s v="L"/>
    <n v="8"/>
    <n v="111.55"/>
    <n v="87.17"/>
    <n v="67.05"/>
    <n v="79.73"/>
    <n v="0.42"/>
    <n v="0.58000000000000007"/>
    <s v="N"/>
    <s v="N"/>
    <s v="N"/>
    <s v="N"/>
    <s v="N"/>
    <n v="140.61000000000001"/>
    <n v="76.22"/>
    <n v="88.33"/>
    <n v="70.209999999999994"/>
    <x v="12"/>
    <n v="58"/>
    <x v="331"/>
    <n v="18.350000000000001"/>
  </r>
  <r>
    <x v="71"/>
    <n v="513"/>
    <n v="20"/>
    <n v="391"/>
    <n v="49"/>
    <n v="2"/>
    <n v="31"/>
    <n v="3"/>
    <n v="117"/>
    <n v="29"/>
    <n v="1"/>
    <n v="2"/>
    <x v="56"/>
    <n v="651"/>
    <n v="23"/>
    <n v="128"/>
    <n v="30"/>
    <n v="1"/>
    <n v="18"/>
    <n v="0"/>
    <n v="126"/>
    <n v="42"/>
    <n v="0"/>
    <n v="0"/>
    <s v="L"/>
    <n v="1"/>
    <n v="94.51"/>
    <n v="111.75"/>
    <n v="78.08"/>
    <n v="130.4"/>
    <n v="0.42"/>
    <n v="0.58000000000000007"/>
    <s v="N"/>
    <s v="N"/>
    <s v="N"/>
    <s v="N"/>
    <s v="N"/>
    <n v="98.99"/>
    <n v="105.61"/>
    <n v="99.41"/>
    <n v="135.44"/>
    <x v="22"/>
    <n v="43"/>
    <x v="332"/>
    <n v="20.350000000000001"/>
  </r>
  <r>
    <x v="71"/>
    <n v="513"/>
    <n v="31"/>
    <n v="315"/>
    <n v="39"/>
    <n v="3"/>
    <n v="27"/>
    <n v="2"/>
    <n v="198"/>
    <n v="33"/>
    <n v="1"/>
    <n v="3"/>
    <x v="113"/>
    <n v="418"/>
    <n v="35"/>
    <n v="338"/>
    <n v="24"/>
    <n v="4"/>
    <n v="11"/>
    <n v="3"/>
    <n v="114"/>
    <n v="26"/>
    <n v="1"/>
    <n v="0"/>
    <s v="L"/>
    <n v="2"/>
    <n v="109.4"/>
    <n v="89.91"/>
    <n v="116.47"/>
    <n v="92.51"/>
    <n v="0.48"/>
    <n v="0.52"/>
    <s v="N"/>
    <s v="N"/>
    <s v="N"/>
    <s v="N"/>
    <s v="N"/>
    <n v="117.41"/>
    <n v="80.459999999999994"/>
    <n v="126.97"/>
    <n v="121.78"/>
    <x v="27"/>
    <n v="66"/>
    <x v="281"/>
    <n v="48.25"/>
  </r>
  <r>
    <x v="71"/>
    <n v="513"/>
    <n v="31"/>
    <n v="161"/>
    <n v="26"/>
    <n v="1"/>
    <n v="18"/>
    <n v="1"/>
    <n v="114"/>
    <n v="32"/>
    <n v="2"/>
    <n v="2"/>
    <x v="92"/>
    <n v="416"/>
    <n v="13"/>
    <n v="329"/>
    <n v="54"/>
    <n v="1"/>
    <n v="34"/>
    <n v="1"/>
    <n v="29"/>
    <n v="23"/>
    <n v="0"/>
    <n v="1"/>
    <s v="W"/>
    <n v="3"/>
    <n v="97.21"/>
    <n v="106.61"/>
    <n v="73.28"/>
    <n v="183.79"/>
    <n v="0.7"/>
    <n v="0.30000000000000004"/>
    <s v="N"/>
    <s v="N"/>
    <s v="N"/>
    <s v="N"/>
    <s v="N"/>
    <n v="123.73"/>
    <n v="116.04"/>
    <n v="107.42"/>
    <n v="137.05000000000001"/>
    <x v="30"/>
    <n v="44"/>
    <x v="333"/>
    <n v="29.56"/>
  </r>
  <r>
    <x v="71"/>
    <n v="513"/>
    <n v="15"/>
    <n v="216"/>
    <n v="41"/>
    <n v="1"/>
    <n v="24"/>
    <n v="1"/>
    <n v="182"/>
    <n v="32"/>
    <n v="1"/>
    <n v="1"/>
    <x v="82"/>
    <n v="545"/>
    <n v="12"/>
    <n v="165"/>
    <n v="32"/>
    <n v="1"/>
    <n v="22"/>
    <n v="0"/>
    <n v="103"/>
    <n v="38"/>
    <n v="0"/>
    <n v="0"/>
    <s v="W"/>
    <n v="4"/>
    <n v="83.59"/>
    <n v="98.46"/>
    <n v="127.26"/>
    <n v="137.12"/>
    <n v="0.46"/>
    <n v="0.54"/>
    <s v="N"/>
    <s v="N"/>
    <s v="N"/>
    <s v="N"/>
    <s v="N"/>
    <n v="88.39"/>
    <n v="77.36"/>
    <n v="152.76"/>
    <n v="126.47"/>
    <x v="22"/>
    <n v="27"/>
    <x v="334"/>
    <n v="6.46"/>
  </r>
  <r>
    <x v="71"/>
    <n v="513"/>
    <n v="38"/>
    <n v="264"/>
    <n v="41"/>
    <n v="3"/>
    <n v="25"/>
    <n v="0"/>
    <n v="287"/>
    <n v="40"/>
    <n v="2"/>
    <n v="0"/>
    <x v="134"/>
    <n v="559"/>
    <n v="10"/>
    <n v="192"/>
    <n v="38"/>
    <n v="1"/>
    <n v="19"/>
    <n v="1"/>
    <n v="84"/>
    <n v="27"/>
    <n v="0"/>
    <n v="0"/>
    <s v="W"/>
    <n v="5"/>
    <n v="107.04"/>
    <n v="126.41"/>
    <n v="173.96"/>
    <n v="127.82"/>
    <n v="0.57999999999999996"/>
    <n v="0.42000000000000004"/>
    <s v="N"/>
    <s v="N"/>
    <s v="N"/>
    <s v="N"/>
    <s v="N"/>
    <n v="118.46"/>
    <n v="112.26"/>
    <n v="184.11"/>
    <n v="123.74"/>
    <x v="15"/>
    <n v="48"/>
    <x v="335"/>
    <n v="20.71"/>
  </r>
  <r>
    <x v="71"/>
    <n v="513"/>
    <n v="59"/>
    <n v="294"/>
    <n v="36"/>
    <n v="4"/>
    <n v="27"/>
    <n v="0"/>
    <n v="266"/>
    <n v="29"/>
    <n v="4"/>
    <n v="0"/>
    <x v="71"/>
    <n v="721"/>
    <n v="33"/>
    <n v="202"/>
    <n v="28"/>
    <n v="2"/>
    <n v="16"/>
    <n v="1"/>
    <n v="363"/>
    <n v="60"/>
    <n v="2"/>
    <n v="1"/>
    <s v="W"/>
    <n v="6"/>
    <n v="136.18"/>
    <n v="103.54"/>
    <n v="233.49"/>
    <n v="59.639999999999986"/>
    <n v="0.32"/>
    <n v="0.67999999999999994"/>
    <s v="N"/>
    <s v="N"/>
    <s v="N"/>
    <s v="N"/>
    <s v="N"/>
    <n v="101.02"/>
    <n v="94.23"/>
    <n v="139.57"/>
    <n v="70.06"/>
    <x v="4"/>
    <n v="92"/>
    <x v="2"/>
    <n v="19.57"/>
  </r>
  <r>
    <x v="71"/>
    <n v="513"/>
    <n v="17"/>
    <n v="226"/>
    <n v="43"/>
    <n v="0"/>
    <n v="27"/>
    <n v="1"/>
    <n v="41"/>
    <n v="14"/>
    <n v="1"/>
    <n v="2"/>
    <x v="26"/>
    <n v="657"/>
    <n v="31"/>
    <n v="224"/>
    <n v="35"/>
    <n v="3"/>
    <n v="24"/>
    <n v="0"/>
    <n v="219"/>
    <n v="44"/>
    <n v="0"/>
    <n v="0"/>
    <s v="L"/>
    <n v="8"/>
    <n v="84.46"/>
    <n v="83.69"/>
    <s v=" "/>
    <n v="84.53"/>
    <n v="0.44"/>
    <n v="0.56000000000000005"/>
    <s v="N"/>
    <s v="N"/>
    <s v="Y"/>
    <s v="N"/>
    <s v="N"/>
    <n v="85.84"/>
    <n v="96.6"/>
    <s v=" "/>
    <n v="77.540000000000006"/>
    <x v="5"/>
    <n v="48"/>
    <x v="0"/>
    <s v=" "/>
  </r>
  <r>
    <x v="72"/>
    <n v="519"/>
    <n v="30"/>
    <n v="158"/>
    <n v="29"/>
    <n v="2"/>
    <n v="16"/>
    <n v="1"/>
    <n v="233"/>
    <n v="43"/>
    <n v="0"/>
    <n v="3"/>
    <x v="167"/>
    <n v="1092"/>
    <n v="3"/>
    <n v="19"/>
    <n v="18"/>
    <n v="0"/>
    <n v="4"/>
    <n v="3"/>
    <n v="105"/>
    <n v="42"/>
    <n v="0"/>
    <n v="0"/>
    <s v="W"/>
    <n v="2"/>
    <s v=" "/>
    <s v=" "/>
    <s v=" "/>
    <s v=" "/>
    <n v="0.3"/>
    <n v="0.7"/>
    <s v="Y"/>
    <s v="N"/>
    <s v="N"/>
    <s v="N"/>
    <s v="N"/>
    <s v=" "/>
    <s v=" "/>
    <s v=" "/>
    <s v=" "/>
    <x v="18"/>
    <n v="33"/>
    <x v="0"/>
    <s v=" "/>
  </r>
  <r>
    <x v="72"/>
    <n v="519"/>
    <n v="44"/>
    <n v="211"/>
    <n v="30"/>
    <n v="2"/>
    <n v="17"/>
    <n v="1"/>
    <n v="241"/>
    <n v="47"/>
    <n v="3"/>
    <n v="1"/>
    <x v="127"/>
    <n v="472"/>
    <n v="24"/>
    <n v="362"/>
    <n v="41"/>
    <n v="2"/>
    <n v="22"/>
    <n v="1"/>
    <n v="6"/>
    <n v="23"/>
    <n v="0"/>
    <n v="0"/>
    <s v="W"/>
    <n v="1"/>
    <n v="95"/>
    <n v="98.22"/>
    <n v="122.15"/>
    <n v="193.95"/>
    <n v="0.64"/>
    <n v="0.36"/>
    <s v="N"/>
    <s v="N"/>
    <s v="N"/>
    <s v="N"/>
    <s v="N"/>
    <n v="108.55"/>
    <n v="108.9"/>
    <n v="101.47"/>
    <n v="154.71"/>
    <x v="37"/>
    <n v="68"/>
    <x v="336"/>
    <n v="18.29"/>
  </r>
  <r>
    <x v="72"/>
    <n v="519"/>
    <n v="44"/>
    <n v="288"/>
    <n v="30"/>
    <n v="3"/>
    <n v="21"/>
    <n v="0"/>
    <n v="271"/>
    <n v="55"/>
    <n v="2"/>
    <n v="2"/>
    <x v="130"/>
    <n v="388"/>
    <n v="7"/>
    <n v="159"/>
    <n v="29"/>
    <n v="1"/>
    <n v="11"/>
    <n v="4"/>
    <n v="172"/>
    <n v="34"/>
    <n v="0"/>
    <n v="2"/>
    <s v="W"/>
    <n v="3"/>
    <n v="137.32"/>
    <n v="168.39"/>
    <n v="108.86"/>
    <n v="100.28"/>
    <n v="0.46"/>
    <n v="0.54"/>
    <s v="N"/>
    <s v="N"/>
    <s v="N"/>
    <s v="N"/>
    <s v="N"/>
    <n v="120.82"/>
    <n v="139.07"/>
    <n v="117.62"/>
    <n v="69.16"/>
    <x v="50"/>
    <n v="51"/>
    <x v="337"/>
    <n v="32.22"/>
  </r>
  <r>
    <x v="72"/>
    <n v="519"/>
    <n v="26"/>
    <n v="339"/>
    <n v="36"/>
    <n v="3"/>
    <n v="23"/>
    <n v="0"/>
    <n v="100"/>
    <n v="23"/>
    <n v="0"/>
    <n v="4"/>
    <x v="150"/>
    <n v="587"/>
    <n v="38"/>
    <n v="251"/>
    <n v="35"/>
    <n v="3"/>
    <n v="22"/>
    <n v="1"/>
    <n v="159"/>
    <n v="43"/>
    <n v="1"/>
    <n v="1"/>
    <s v="L"/>
    <n v="4"/>
    <n v="127.71"/>
    <n v="93.77"/>
    <n v="48.7"/>
    <n v="117.7"/>
    <n v="0.45"/>
    <n v="0.55000000000000004"/>
    <s v="N"/>
    <s v="N"/>
    <s v="N"/>
    <s v="N"/>
    <s v="N"/>
    <n v="153.38999999999999"/>
    <n v="85.43"/>
    <n v="54.27"/>
    <n v="55.27"/>
    <x v="51"/>
    <n v="64"/>
    <x v="338"/>
    <n v="99.01"/>
  </r>
  <r>
    <x v="72"/>
    <n v="519"/>
    <n v="17"/>
    <n v="276"/>
    <n v="42"/>
    <n v="2"/>
    <n v="28"/>
    <n v="0"/>
    <n v="115"/>
    <n v="39"/>
    <n v="0"/>
    <n v="1"/>
    <x v="14"/>
    <n v="331"/>
    <n v="10"/>
    <n v="117"/>
    <n v="36"/>
    <n v="0"/>
    <n v="15"/>
    <n v="3"/>
    <n v="83"/>
    <n v="32"/>
    <n v="1"/>
    <n v="1"/>
    <s v="W"/>
    <n v="5"/>
    <n v="109.62"/>
    <n v="165.62"/>
    <n v="60.72"/>
    <n v="144.51"/>
    <n v="0.53"/>
    <n v="0.47"/>
    <s v="N"/>
    <s v="N"/>
    <s v="N"/>
    <s v="N"/>
    <s v="N"/>
    <n v="124.84"/>
    <n v="78.489999999999995"/>
    <n v="73.400000000000006"/>
    <n v="42.93"/>
    <x v="20"/>
    <n v="27"/>
    <x v="223"/>
    <n v="8.6999999999999993"/>
  </r>
  <r>
    <x v="72"/>
    <n v="519"/>
    <n v="37"/>
    <n v="203"/>
    <n v="37"/>
    <n v="1"/>
    <n v="23"/>
    <n v="1"/>
    <n v="239"/>
    <n v="35"/>
    <n v="3"/>
    <n v="0"/>
    <x v="57"/>
    <n v="86"/>
    <n v="38"/>
    <n v="343"/>
    <n v="39"/>
    <n v="2"/>
    <n v="23"/>
    <n v="0"/>
    <n v="167"/>
    <n v="41"/>
    <n v="3"/>
    <n v="0"/>
    <s v="L"/>
    <n v="6"/>
    <n v="88.01"/>
    <n v="85.4"/>
    <n v="171.28"/>
    <n v="94.53"/>
    <n v="0.49"/>
    <n v="0.51"/>
    <s v="N"/>
    <s v="N"/>
    <s v="N"/>
    <s v="N"/>
    <s v="N"/>
    <n v="82.66"/>
    <n v="71.72"/>
    <n v="141.19999999999999"/>
    <n v="87.99"/>
    <x v="3"/>
    <n v="75"/>
    <x v="83"/>
    <n v="2.5499999999999998"/>
  </r>
  <r>
    <x v="72"/>
    <n v="519"/>
    <n v="20"/>
    <n v="283"/>
    <n v="31"/>
    <n v="3"/>
    <n v="19"/>
    <n v="2"/>
    <n v="130"/>
    <n v="30"/>
    <n v="0"/>
    <n v="1"/>
    <x v="46"/>
    <n v="47"/>
    <n v="23"/>
    <n v="206"/>
    <n v="37"/>
    <n v="0"/>
    <n v="21"/>
    <n v="0"/>
    <n v="166"/>
    <n v="41"/>
    <n v="2"/>
    <n v="0"/>
    <s v="L"/>
    <n v="7"/>
    <n v="106.2"/>
    <n v="112.9"/>
    <n v="90.53"/>
    <n v="98.75"/>
    <n v="0.47"/>
    <n v="0.53"/>
    <s v="N"/>
    <s v="N"/>
    <s v="N"/>
    <s v="N"/>
    <s v="N"/>
    <n v="90.25"/>
    <n v="109.9"/>
    <n v="78.3"/>
    <n v="85.03"/>
    <x v="22"/>
    <n v="43"/>
    <x v="54"/>
    <n v="35.799999999999997"/>
  </r>
  <r>
    <x v="72"/>
    <n v="519"/>
    <n v="37"/>
    <n v="344"/>
    <n v="31"/>
    <n v="2"/>
    <n v="23"/>
    <n v="1"/>
    <n v="212"/>
    <n v="49"/>
    <n v="2"/>
    <n v="2"/>
    <x v="95"/>
    <n v="5"/>
    <n v="20"/>
    <n v="168"/>
    <n v="33"/>
    <n v="2"/>
    <n v="17"/>
    <n v="0"/>
    <n v="81"/>
    <n v="35"/>
    <n v="0"/>
    <n v="1"/>
    <s v="W"/>
    <n v="8"/>
    <n v="134.66999999999999"/>
    <n v="111.65"/>
    <n v="94.25"/>
    <n v="154.88"/>
    <n v="0.49"/>
    <n v="0.51"/>
    <s v="N"/>
    <s v="N"/>
    <s v="N"/>
    <s v="N"/>
    <s v="N"/>
    <n v="111.42"/>
    <n v="78.16"/>
    <n v="87.2"/>
    <n v="87.42"/>
    <x v="0"/>
    <n v="57"/>
    <x v="339"/>
    <n v="17.809999999999999"/>
  </r>
  <r>
    <x v="73"/>
    <n v="518"/>
    <n v="42"/>
    <n v="293"/>
    <n v="28"/>
    <n v="4"/>
    <n v="20"/>
    <n v="0"/>
    <n v="224"/>
    <n v="51"/>
    <n v="2"/>
    <n v="1"/>
    <x v="95"/>
    <n v="5"/>
    <n v="0"/>
    <n v="55"/>
    <n v="19"/>
    <n v="0"/>
    <n v="7"/>
    <n v="1"/>
    <n v="35"/>
    <n v="27"/>
    <n v="0"/>
    <n v="0"/>
    <s v="W"/>
    <n v="1"/>
    <n v="149.88999999999999"/>
    <n v="163.17000000000002"/>
    <n v="101.9"/>
    <n v="169.93"/>
    <n v="0.41"/>
    <n v="0.59000000000000008"/>
    <s v="N"/>
    <s v="N"/>
    <s v="N"/>
    <s v="N"/>
    <s v="N"/>
    <n v="124.01"/>
    <n v="114.22"/>
    <n v="94.28"/>
    <n v="95.92"/>
    <x v="7"/>
    <n v="42"/>
    <x v="340"/>
    <n v="22.72"/>
  </r>
  <r>
    <x v="73"/>
    <n v="518"/>
    <n v="27"/>
    <n v="189"/>
    <n v="30"/>
    <n v="1"/>
    <n v="16"/>
    <n v="0"/>
    <n v="112"/>
    <n v="34"/>
    <n v="2"/>
    <n v="1"/>
    <x v="66"/>
    <n v="709"/>
    <n v="22"/>
    <n v="292"/>
    <n v="42"/>
    <n v="2"/>
    <n v="21"/>
    <n v="1"/>
    <n v="46"/>
    <n v="30"/>
    <n v="1"/>
    <n v="0"/>
    <s v="W"/>
    <n v="2"/>
    <n v="92.67"/>
    <n v="112.11"/>
    <n v="76.42"/>
    <n v="159.43"/>
    <n v="0.57999999999999996"/>
    <n v="0.42000000000000004"/>
    <s v="N"/>
    <s v="N"/>
    <s v="N"/>
    <s v="N"/>
    <s v="N"/>
    <n v="94.1"/>
    <n v="131.32"/>
    <n v="101.41"/>
    <n v="166.22"/>
    <x v="28"/>
    <n v="49"/>
    <x v="341"/>
    <n v="12.31"/>
  </r>
  <r>
    <x v="73"/>
    <n v="518"/>
    <n v="6"/>
    <n v="35"/>
    <n v="18"/>
    <n v="0"/>
    <n v="4"/>
    <n v="1"/>
    <n v="174"/>
    <n v="37"/>
    <n v="0"/>
    <n v="1"/>
    <x v="124"/>
    <n v="415"/>
    <n v="24"/>
    <n v="123"/>
    <n v="23"/>
    <n v="2"/>
    <n v="16"/>
    <n v="2"/>
    <n v="240"/>
    <n v="42"/>
    <n v="1"/>
    <n v="0"/>
    <s v="L"/>
    <n v="3"/>
    <n v="16.149999999999999"/>
    <n v="114.33"/>
    <n v="100.99"/>
    <n v="63.860000000000014"/>
    <n v="0.35"/>
    <n v="0.65"/>
    <s v="N"/>
    <s v="N"/>
    <s v="N"/>
    <s v="N"/>
    <s v="N"/>
    <n v="14.44"/>
    <n v="120.37"/>
    <n v="104.67"/>
    <n v="64.73"/>
    <x v="30"/>
    <n v="30"/>
    <x v="273"/>
    <n v="17.2"/>
  </r>
  <r>
    <x v="73"/>
    <n v="518"/>
    <n v="37"/>
    <n v="110"/>
    <n v="15"/>
    <n v="2"/>
    <n v="7"/>
    <n v="0"/>
    <n v="226"/>
    <n v="47"/>
    <n v="2"/>
    <n v="0"/>
    <x v="88"/>
    <n v="157"/>
    <n v="17"/>
    <n v="238"/>
    <n v="39"/>
    <n v="2"/>
    <n v="22"/>
    <n v="0"/>
    <n v="76"/>
    <n v="16"/>
    <n v="0"/>
    <n v="2"/>
    <s v="W"/>
    <n v="4"/>
    <n v="106.63"/>
    <n v="102.64"/>
    <n v="117.94"/>
    <n v="127.3"/>
    <n v="0.71"/>
    <n v="0.29000000000000004"/>
    <s v="N"/>
    <s v="N"/>
    <s v="N"/>
    <s v="N"/>
    <s v="N"/>
    <n v="91.73"/>
    <n v="95.52"/>
    <n v="99.35"/>
    <n v="86.16"/>
    <x v="37"/>
    <n v="54"/>
    <x v="116"/>
    <n v="36.69"/>
  </r>
  <r>
    <x v="73"/>
    <n v="518"/>
    <n v="7"/>
    <n v="143"/>
    <n v="25"/>
    <n v="1"/>
    <n v="12"/>
    <n v="1"/>
    <n v="35"/>
    <n v="39"/>
    <n v="0"/>
    <n v="0"/>
    <x v="92"/>
    <n v="416"/>
    <n v="10"/>
    <n v="250"/>
    <n v="32"/>
    <n v="1"/>
    <n v="20"/>
    <n v="2"/>
    <n v="71"/>
    <n v="31"/>
    <n v="0"/>
    <n v="1"/>
    <s v="L"/>
    <n v="5"/>
    <n v="73.17"/>
    <n v="108.98"/>
    <n v="20.82"/>
    <n v="156.54"/>
    <n v="0.51"/>
    <n v="0.49"/>
    <s v="N"/>
    <s v="N"/>
    <s v="N"/>
    <s v="N"/>
    <s v="N"/>
    <n v="93.13"/>
    <n v="118.62"/>
    <n v="30.52"/>
    <n v="116.73"/>
    <x v="22"/>
    <n v="17"/>
    <x v="342"/>
    <n v="7.41"/>
  </r>
  <r>
    <x v="73"/>
    <n v="518"/>
    <n v="27"/>
    <n v="108"/>
    <n v="18"/>
    <n v="1"/>
    <n v="6"/>
    <n v="1"/>
    <n v="243"/>
    <n v="41"/>
    <n v="2"/>
    <n v="1"/>
    <x v="119"/>
    <n v="463"/>
    <n v="34"/>
    <n v="191"/>
    <n v="22"/>
    <n v="2"/>
    <n v="16"/>
    <n v="1"/>
    <n v="232"/>
    <n v="51"/>
    <n v="2"/>
    <n v="0"/>
    <s v="L"/>
    <n v="6"/>
    <n v="57.7"/>
    <n v="79.959999999999994"/>
    <n v="137.5"/>
    <n v="88.58"/>
    <n v="0.3"/>
    <n v="0.7"/>
    <s v="N"/>
    <s v="N"/>
    <s v="N"/>
    <s v="N"/>
    <s v="N"/>
    <n v="61.32"/>
    <n v="76.010000000000005"/>
    <n v="127.05"/>
    <n v="120.68"/>
    <x v="20"/>
    <n v="61"/>
    <x v="307"/>
    <n v="19.309999999999999"/>
  </r>
  <r>
    <x v="73"/>
    <n v="518"/>
    <n v="17"/>
    <n v="17"/>
    <n v="4"/>
    <n v="1"/>
    <n v="1"/>
    <n v="0"/>
    <n v="211"/>
    <n v="51"/>
    <n v="1"/>
    <n v="0"/>
    <x v="31"/>
    <n v="301"/>
    <n v="7"/>
    <n v="169"/>
    <n v="34"/>
    <n v="1"/>
    <n v="20"/>
    <n v="2"/>
    <n v="116"/>
    <n v="35"/>
    <n v="0"/>
    <n v="1"/>
    <s v="W"/>
    <n v="7"/>
    <s v=" "/>
    <n v="127.32"/>
    <n v="98.93"/>
    <n v="131.68"/>
    <n v="0.49"/>
    <n v="0.51"/>
    <s v="N"/>
    <s v="Y"/>
    <s v="N"/>
    <s v="N"/>
    <s v="N"/>
    <s v=" "/>
    <n v="140.30000000000001"/>
    <n v="138.9"/>
    <n v="112.15"/>
    <x v="12"/>
    <n v="24"/>
    <x v="0"/>
    <s v=" "/>
  </r>
  <r>
    <x v="74"/>
    <n v="522"/>
    <n v="47"/>
    <n v="417"/>
    <n v="54"/>
    <n v="1"/>
    <n v="39"/>
    <n v="0"/>
    <n v="246"/>
    <n v="46"/>
    <n v="5"/>
    <n v="1"/>
    <x v="67"/>
    <n v="719"/>
    <n v="14"/>
    <n v="271"/>
    <n v="33"/>
    <n v="2"/>
    <n v="18"/>
    <n v="1"/>
    <n v="129"/>
    <n v="31"/>
    <n v="0"/>
    <n v="2"/>
    <s v="W"/>
    <n v="1"/>
    <n v="117.09"/>
    <n v="100.7"/>
    <n v="133.85"/>
    <n v="122.81"/>
    <n v="0.52"/>
    <n v="0.48"/>
    <s v="N"/>
    <s v="N"/>
    <s v="N"/>
    <s v="N"/>
    <s v="N"/>
    <n v="116.17"/>
    <n v="93.84"/>
    <n v="172.44"/>
    <n v="125.01"/>
    <x v="55"/>
    <n v="61"/>
    <x v="343"/>
    <n v="44.33"/>
  </r>
  <r>
    <x v="74"/>
    <n v="522"/>
    <n v="23"/>
    <n v="199"/>
    <n v="27"/>
    <n v="1"/>
    <n v="18"/>
    <n v="2"/>
    <n v="111"/>
    <n v="39"/>
    <n v="1"/>
    <n v="0"/>
    <x v="98"/>
    <n v="234"/>
    <n v="13"/>
    <n v="219"/>
    <n v="34"/>
    <n v="1"/>
    <n v="20"/>
    <n v="3"/>
    <n v="27"/>
    <n v="26"/>
    <n v="0"/>
    <n v="0"/>
    <s v="W"/>
    <n v="3"/>
    <n v="90.17"/>
    <n v="128.13"/>
    <n v="69.88"/>
    <n v="175.91"/>
    <n v="0.56999999999999995"/>
    <n v="0.43000000000000005"/>
    <s v="N"/>
    <s v="N"/>
    <s v="N"/>
    <s v="N"/>
    <s v="N"/>
    <n v="92.88"/>
    <n v="125.99"/>
    <n v="99.87"/>
    <n v="145.13999999999999"/>
    <x v="12"/>
    <n v="36"/>
    <x v="344"/>
    <n v="15.6"/>
  </r>
  <r>
    <x v="74"/>
    <n v="522"/>
    <n v="38"/>
    <n v="448"/>
    <n v="48"/>
    <n v="3"/>
    <n v="35"/>
    <n v="2"/>
    <n v="144"/>
    <n v="39"/>
    <n v="2"/>
    <n v="0"/>
    <x v="30"/>
    <n v="434"/>
    <n v="28"/>
    <n v="291"/>
    <n v="33"/>
    <n v="1"/>
    <n v="16"/>
    <n v="0"/>
    <n v="241"/>
    <n v="42"/>
    <n v="3"/>
    <n v="0"/>
    <s v="W"/>
    <n v="4"/>
    <n v="120.66"/>
    <n v="98.91"/>
    <n v="93.35"/>
    <n v="56.16"/>
    <n v="0.44"/>
    <n v="0.56000000000000005"/>
    <s v="N"/>
    <s v="N"/>
    <s v="N"/>
    <s v="N"/>
    <s v="N"/>
    <n v="115.31"/>
    <n v="92.97"/>
    <n v="102.16"/>
    <n v="65.010000000000005"/>
    <x v="12"/>
    <n v="66"/>
    <x v="302"/>
    <n v="32.340000000000003"/>
  </r>
  <r>
    <x v="74"/>
    <n v="522"/>
    <n v="62"/>
    <n v="447"/>
    <n v="39"/>
    <n v="5"/>
    <n v="27"/>
    <n v="1"/>
    <n v="208"/>
    <n v="38"/>
    <n v="2"/>
    <n v="1"/>
    <x v="46"/>
    <n v="47"/>
    <n v="6"/>
    <n v="95"/>
    <n v="36"/>
    <n v="0"/>
    <n v="14"/>
    <n v="3"/>
    <n v="119"/>
    <n v="35"/>
    <n v="0"/>
    <n v="1"/>
    <s v="W"/>
    <n v="5"/>
    <n v="143.22999999999999"/>
    <n v="171.73"/>
    <n v="126.99"/>
    <n v="129.69"/>
    <n v="0.51"/>
    <n v="0.49"/>
    <s v="N"/>
    <s v="N"/>
    <s v="N"/>
    <s v="N"/>
    <s v="N"/>
    <n v="121.72"/>
    <n v="167.17"/>
    <n v="109.83"/>
    <n v="111.67"/>
    <x v="34"/>
    <n v="68"/>
    <x v="345"/>
    <n v="32.630000000000003"/>
  </r>
  <r>
    <x v="74"/>
    <n v="522"/>
    <n v="55"/>
    <n v="367"/>
    <n v="52"/>
    <n v="3"/>
    <n v="31"/>
    <n v="0"/>
    <n v="86"/>
    <n v="19"/>
    <n v="1"/>
    <n v="1"/>
    <x v="84"/>
    <n v="703"/>
    <n v="17"/>
    <n v="223"/>
    <n v="36"/>
    <n v="1"/>
    <n v="20"/>
    <n v="2"/>
    <n v="36"/>
    <n v="45"/>
    <n v="0"/>
    <n v="3"/>
    <s v="W"/>
    <n v="6"/>
    <n v="106.73"/>
    <n v="123.18"/>
    <n v="97.12"/>
    <n v="201.44"/>
    <n v="0.44"/>
    <n v="0.56000000000000005"/>
    <s v="N"/>
    <s v="N"/>
    <s v="N"/>
    <s v="N"/>
    <s v="N"/>
    <n v="131.72"/>
    <n v="124.96"/>
    <n v="103.06"/>
    <n v="179.54"/>
    <x v="8"/>
    <n v="72"/>
    <x v="346"/>
    <n v="29.58"/>
  </r>
  <r>
    <x v="74"/>
    <n v="522"/>
    <n v="47"/>
    <n v="363"/>
    <n v="48"/>
    <n v="3"/>
    <n v="29"/>
    <n v="1"/>
    <n v="247"/>
    <n v="40"/>
    <n v="2"/>
    <n v="2"/>
    <x v="122"/>
    <n v="328"/>
    <n v="17"/>
    <n v="108"/>
    <n v="25"/>
    <n v="0"/>
    <n v="13"/>
    <n v="0"/>
    <n v="144"/>
    <n v="38"/>
    <n v="2"/>
    <n v="0"/>
    <s v="W"/>
    <n v="7"/>
    <n v="104.76"/>
    <n v="124.46"/>
    <n v="135.76"/>
    <n v="104.19"/>
    <n v="0.4"/>
    <n v="0.6"/>
    <s v="N"/>
    <s v="N"/>
    <s v="N"/>
    <s v="N"/>
    <s v="N"/>
    <n v="76.05"/>
    <n v="135.62"/>
    <n v="74.58"/>
    <n v="95.24"/>
    <x v="33"/>
    <n v="64"/>
    <x v="215"/>
    <n v="43.37"/>
  </r>
  <r>
    <x v="74"/>
    <n v="522"/>
    <n v="38"/>
    <n v="412"/>
    <n v="55"/>
    <n v="5"/>
    <n v="30"/>
    <n v="1"/>
    <n v="124"/>
    <n v="25"/>
    <n v="0"/>
    <n v="1"/>
    <x v="142"/>
    <n v="700"/>
    <n v="41"/>
    <n v="452"/>
    <n v="53"/>
    <n v="4"/>
    <n v="34"/>
    <n v="0"/>
    <n v="120"/>
    <n v="43"/>
    <n v="1"/>
    <n v="0"/>
    <s v="L"/>
    <n v="8"/>
    <n v="103.55"/>
    <n v="78.05"/>
    <n v="103.07"/>
    <n v="131.76999999999998"/>
    <n v="0.55000000000000004"/>
    <n v="0.44999999999999996"/>
    <s v="N"/>
    <s v="N"/>
    <s v="N"/>
    <s v="N"/>
    <s v="N"/>
    <n v="102.54"/>
    <n v="93.37"/>
    <n v="95.58"/>
    <n v="135.47999999999999"/>
    <x v="22"/>
    <n v="79"/>
    <x v="347"/>
    <n v="18.25"/>
  </r>
  <r>
    <x v="75"/>
    <n v="521"/>
    <n v="61"/>
    <n v="458"/>
    <n v="43"/>
    <n v="4"/>
    <n v="28"/>
    <n v="3"/>
    <n v="208"/>
    <n v="44"/>
    <n v="3"/>
    <n v="0"/>
    <x v="114"/>
    <n v="671"/>
    <n v="34"/>
    <n v="212"/>
    <n v="37"/>
    <n v="0"/>
    <n v="20"/>
    <n v="1"/>
    <n v="108"/>
    <n v="37"/>
    <n v="2"/>
    <n v="1"/>
    <s v="W"/>
    <n v="1"/>
    <n v="116.19"/>
    <n v="122.83"/>
    <n v="119.9"/>
    <n v="132.28"/>
    <n v="0.5"/>
    <n v="0.5"/>
    <s v="N"/>
    <s v="N"/>
    <s v="N"/>
    <s v="N"/>
    <s v="N"/>
    <n v="118.71"/>
    <n v="132.47"/>
    <n v="137.47"/>
    <n v="102.93"/>
    <x v="18"/>
    <n v="95"/>
    <x v="231"/>
    <n v="29.61"/>
  </r>
  <r>
    <x v="75"/>
    <n v="521"/>
    <n v="37"/>
    <n v="397"/>
    <n v="53"/>
    <n v="2"/>
    <n v="42"/>
    <n v="1"/>
    <n v="197"/>
    <n v="31"/>
    <n v="3"/>
    <n v="0"/>
    <x v="168"/>
    <n v="29"/>
    <n v="14"/>
    <n v="398"/>
    <n v="51"/>
    <n v="1"/>
    <n v="37"/>
    <n v="0"/>
    <n v="41"/>
    <n v="21"/>
    <n v="1"/>
    <n v="1"/>
    <s v="W"/>
    <n v="2"/>
    <n v="120.07"/>
    <n v="81.98"/>
    <n v="161.94999999999999"/>
    <n v="161.85"/>
    <n v="0.71"/>
    <n v="0.29000000000000004"/>
    <s v="N"/>
    <s v="N"/>
    <s v="N"/>
    <s v="N"/>
    <s v="N"/>
    <n v="98.72"/>
    <n v="91.68"/>
    <n v="120.15"/>
    <n v="117.3"/>
    <x v="9"/>
    <n v="51"/>
    <x v="348"/>
    <n v="18.28"/>
  </r>
  <r>
    <x v="75"/>
    <n v="521"/>
    <n v="59"/>
    <n v="369"/>
    <n v="40"/>
    <n v="3"/>
    <n v="29"/>
    <n v="2"/>
    <n v="174"/>
    <n v="48"/>
    <n v="4"/>
    <n v="0"/>
    <x v="67"/>
    <n v="719"/>
    <n v="33"/>
    <n v="117"/>
    <n v="26"/>
    <n v="2"/>
    <n v="8"/>
    <n v="4"/>
    <n v="365"/>
    <n v="59"/>
    <n v="2"/>
    <n v="2"/>
    <s v="W"/>
    <n v="4"/>
    <n v="119.03"/>
    <n v="179.32"/>
    <n v="96.6"/>
    <n v="61.56"/>
    <n v="0.31"/>
    <n v="0.69"/>
    <s v="N"/>
    <s v="N"/>
    <s v="N"/>
    <s v="N"/>
    <s v="N"/>
    <n v="118.1"/>
    <n v="167.11"/>
    <n v="124.45"/>
    <n v="62.66"/>
    <x v="4"/>
    <n v="92"/>
    <x v="349"/>
    <n v="46.01"/>
  </r>
  <r>
    <x v="75"/>
    <n v="521"/>
    <n v="30"/>
    <n v="438"/>
    <n v="60"/>
    <n v="2"/>
    <n v="47"/>
    <n v="0"/>
    <n v="46"/>
    <n v="35"/>
    <n v="1"/>
    <n v="1"/>
    <x v="37"/>
    <n v="697"/>
    <n v="29"/>
    <n v="309"/>
    <n v="47"/>
    <n v="2"/>
    <n v="28"/>
    <n v="3"/>
    <n v="162"/>
    <n v="27"/>
    <n v="1"/>
    <n v="1"/>
    <s v="W"/>
    <n v="4"/>
    <n v="123.12"/>
    <n v="117.36"/>
    <n v="26.21"/>
    <n v="66.360000000000014"/>
    <n v="0.64"/>
    <n v="0.36"/>
    <s v="N"/>
    <s v="N"/>
    <s v="N"/>
    <s v="N"/>
    <s v="N"/>
    <n v="121.23"/>
    <n v="132.34"/>
    <n v="36.520000000000003"/>
    <n v="86.1"/>
    <x v="3"/>
    <n v="59"/>
    <x v="350"/>
    <n v="1.49"/>
  </r>
  <r>
    <x v="75"/>
    <n v="521"/>
    <n v="70"/>
    <n v="494"/>
    <n v="49"/>
    <n v="7"/>
    <n v="38"/>
    <n v="0"/>
    <n v="106"/>
    <n v="27"/>
    <n v="3"/>
    <n v="0"/>
    <x v="122"/>
    <n v="328"/>
    <n v="28"/>
    <n v="325"/>
    <n v="37"/>
    <n v="2"/>
    <n v="26"/>
    <n v="2"/>
    <n v="153"/>
    <n v="44"/>
    <n v="2"/>
    <n v="2"/>
    <s v="W"/>
    <n v="6"/>
    <n v="153.91999999999999"/>
    <n v="89.97"/>
    <n v="107.75"/>
    <n v="126.15"/>
    <n v="0.46"/>
    <n v="0.54"/>
    <s v="N"/>
    <s v="N"/>
    <s v="N"/>
    <s v="N"/>
    <s v="N"/>
    <n v="111.74"/>
    <n v="98.03"/>
    <n v="59.19"/>
    <n v="115.32"/>
    <x v="7"/>
    <n v="98"/>
    <x v="214"/>
    <n v="53.99"/>
  </r>
  <r>
    <x v="75"/>
    <n v="521"/>
    <n v="38"/>
    <n v="218"/>
    <n v="41"/>
    <n v="1"/>
    <n v="23"/>
    <n v="0"/>
    <n v="202"/>
    <n v="27"/>
    <n v="3"/>
    <n v="1"/>
    <x v="84"/>
    <n v="703"/>
    <n v="26"/>
    <n v="139"/>
    <n v="40"/>
    <n v="0"/>
    <n v="22"/>
    <n v="2"/>
    <n v="231"/>
    <n v="49"/>
    <n v="2"/>
    <n v="1"/>
    <s v="W"/>
    <n v="7"/>
    <n v="88.73"/>
    <n v="141.06"/>
    <n v="179.13"/>
    <n v="90.63"/>
    <n v="0.45"/>
    <n v="0.55000000000000004"/>
    <s v="N"/>
    <s v="N"/>
    <s v="N"/>
    <s v="N"/>
    <s v="N"/>
    <n v="109.51"/>
    <n v="143.1"/>
    <n v="190.09"/>
    <n v="80.78"/>
    <x v="51"/>
    <n v="64"/>
    <x v="351"/>
    <n v="12.05"/>
  </r>
  <r>
    <x v="75"/>
    <n v="521"/>
    <n v="45"/>
    <n v="338"/>
    <n v="50"/>
    <n v="3"/>
    <n v="33"/>
    <n v="1"/>
    <n v="195"/>
    <n v="31"/>
    <n v="3"/>
    <n v="0"/>
    <x v="30"/>
    <n v="434"/>
    <n v="24"/>
    <n v="215"/>
    <n v="28"/>
    <n v="1"/>
    <n v="15"/>
    <n v="3"/>
    <n v="248"/>
    <n v="52"/>
    <n v="2"/>
    <n v="1"/>
    <s v="W"/>
    <n v="8"/>
    <n v="105.84"/>
    <n v="131.37"/>
    <n v="160.44999999999999"/>
    <n v="89.35"/>
    <n v="0.35"/>
    <n v="0.65"/>
    <s v="N"/>
    <s v="N"/>
    <s v="N"/>
    <s v="N"/>
    <s v="N"/>
    <n v="101.15"/>
    <n v="123.48"/>
    <n v="175.59"/>
    <n v="103.43"/>
    <x v="23"/>
    <n v="69"/>
    <x v="303"/>
    <n v="24.14"/>
  </r>
  <r>
    <x v="76"/>
    <n v="433"/>
    <n v="42"/>
    <n v="136"/>
    <n v="19"/>
    <n v="1"/>
    <n v="12"/>
    <n v="0"/>
    <n v="179"/>
    <n v="40"/>
    <n v="4"/>
    <n v="1"/>
    <x v="169"/>
    <n v="659"/>
    <n v="24"/>
    <n v="197"/>
    <n v="30"/>
    <n v="2"/>
    <n v="14"/>
    <n v="4"/>
    <n v="223"/>
    <n v="38"/>
    <n v="1"/>
    <n v="0"/>
    <s v="W"/>
    <n v="2"/>
    <s v=" "/>
    <s v=" "/>
    <s v=" "/>
    <s v=" "/>
    <n v="0.44"/>
    <n v="0.56000000000000005"/>
    <s v="Y"/>
    <s v="N"/>
    <s v="N"/>
    <s v="N"/>
    <s v="N"/>
    <s v=" "/>
    <s v=" "/>
    <s v=" "/>
    <s v=" "/>
    <x v="30"/>
    <n v="66"/>
    <x v="0"/>
    <s v=" "/>
  </r>
  <r>
    <x v="76"/>
    <n v="433"/>
    <n v="13"/>
    <n v="144"/>
    <n v="28"/>
    <n v="0"/>
    <n v="15"/>
    <n v="0"/>
    <n v="64"/>
    <n v="29"/>
    <n v="0"/>
    <n v="2"/>
    <x v="170"/>
    <n v="77"/>
    <n v="14"/>
    <n v="225"/>
    <n v="38"/>
    <n v="1"/>
    <n v="24"/>
    <n v="1"/>
    <n v="91"/>
    <n v="31"/>
    <n v="0"/>
    <n v="0"/>
    <s v="L"/>
    <n v="1"/>
    <n v="81.599999999999994"/>
    <n v="108.52"/>
    <n v="30.51"/>
    <n v="131.9"/>
    <n v="0.55000000000000004"/>
    <n v="0.44999999999999996"/>
    <s v="N"/>
    <s v="N"/>
    <s v="N"/>
    <s v="N"/>
    <s v="N"/>
    <n v="90.35"/>
    <n v="94.6"/>
    <n v="33.909999999999997"/>
    <n v="91.93"/>
    <x v="3"/>
    <n v="27"/>
    <x v="352"/>
    <n v="2.11"/>
  </r>
  <r>
    <x v="76"/>
    <n v="433"/>
    <n v="7"/>
    <n v="149"/>
    <n v="30"/>
    <n v="1"/>
    <n v="15"/>
    <n v="5"/>
    <n v="85"/>
    <n v="32"/>
    <n v="0"/>
    <n v="0"/>
    <x v="19"/>
    <n v="736"/>
    <n v="30"/>
    <n v="106"/>
    <n v="22"/>
    <n v="0"/>
    <n v="14"/>
    <n v="1"/>
    <n v="281"/>
    <n v="49"/>
    <n v="3"/>
    <n v="2"/>
    <s v="L"/>
    <n v="3"/>
    <n v="32.07"/>
    <n v="123.74"/>
    <n v="61.63"/>
    <n v="70.02000000000001"/>
    <n v="0.31"/>
    <n v="0.69"/>
    <s v="N"/>
    <s v="N"/>
    <s v="N"/>
    <s v="N"/>
    <s v="N"/>
    <n v="40.5"/>
    <n v="77.7"/>
    <n v="75.260000000000005"/>
    <n v="61.91"/>
    <x v="9"/>
    <n v="37"/>
    <x v="353"/>
    <n v="20.440000000000001"/>
  </r>
  <r>
    <x v="76"/>
    <n v="433"/>
    <n v="13"/>
    <n v="149"/>
    <n v="30"/>
    <n v="1"/>
    <n v="12"/>
    <n v="2"/>
    <n v="34"/>
    <n v="26"/>
    <n v="0"/>
    <n v="0"/>
    <x v="65"/>
    <n v="257"/>
    <n v="27"/>
    <n v="268"/>
    <n v="26"/>
    <n v="2"/>
    <n v="17"/>
    <n v="1"/>
    <n v="207"/>
    <n v="56"/>
    <n v="1"/>
    <n v="0"/>
    <s v="L"/>
    <n v="4"/>
    <n v="52.07"/>
    <n v="78.44"/>
    <n v="30.34"/>
    <n v="111.56"/>
    <n v="0.32"/>
    <n v="0.67999999999999994"/>
    <s v="N"/>
    <s v="N"/>
    <s v="N"/>
    <s v="N"/>
    <s v="N"/>
    <n v="66.58"/>
    <n v="81.650000000000006"/>
    <n v="39.619999999999997"/>
    <n v="101.85"/>
    <x v="5"/>
    <n v="40"/>
    <x v="354"/>
    <n v="10.97"/>
  </r>
  <r>
    <x v="76"/>
    <n v="433"/>
    <n v="38"/>
    <n v="214"/>
    <n v="18"/>
    <n v="1"/>
    <n v="8"/>
    <n v="0"/>
    <n v="216"/>
    <n v="44"/>
    <n v="4"/>
    <n v="0"/>
    <x v="69"/>
    <n v="96"/>
    <n v="28"/>
    <n v="281"/>
    <n v="38"/>
    <n v="1"/>
    <n v="25"/>
    <n v="1"/>
    <n v="163"/>
    <n v="36"/>
    <n v="3"/>
    <n v="1"/>
    <s v="W"/>
    <n v="5"/>
    <n v="117.57"/>
    <n v="97.86"/>
    <n v="127.53"/>
    <n v="90.79"/>
    <n v="0.51"/>
    <n v="0.49"/>
    <s v="N"/>
    <s v="N"/>
    <s v="N"/>
    <s v="N"/>
    <s v="N"/>
    <n v="112.39"/>
    <n v="93.29"/>
    <n v="102.95"/>
    <n v="91.19"/>
    <x v="12"/>
    <n v="66"/>
    <x v="168"/>
    <n v="29.63"/>
  </r>
  <r>
    <x v="76"/>
    <n v="433"/>
    <n v="7"/>
    <n v="113"/>
    <n v="21"/>
    <n v="0"/>
    <n v="10"/>
    <n v="1"/>
    <n v="28"/>
    <n v="31"/>
    <n v="1"/>
    <n v="1"/>
    <x v="36"/>
    <n v="8"/>
    <n v="52"/>
    <n v="226"/>
    <n v="25"/>
    <n v="1"/>
    <n v="20"/>
    <n v="0"/>
    <n v="389"/>
    <n v="42"/>
    <n v="6"/>
    <n v="0"/>
    <s v="L"/>
    <n v="7"/>
    <n v="62.66"/>
    <n v="64.72999999999999"/>
    <n v="16.12"/>
    <n v="-36.300000000000011"/>
    <n v="0.37"/>
    <n v="0.63"/>
    <s v="N"/>
    <s v="N"/>
    <s v="N"/>
    <s v="N"/>
    <s v="N"/>
    <n v="84.24"/>
    <n v="72.81"/>
    <n v="27.12"/>
    <n v="-53.51"/>
    <x v="10"/>
    <n v="59"/>
    <x v="16"/>
    <n v="15.37"/>
  </r>
  <r>
    <x v="76"/>
    <n v="433"/>
    <n v="24"/>
    <n v="219"/>
    <n v="30"/>
    <n v="2"/>
    <n v="18"/>
    <n v="1"/>
    <n v="151"/>
    <n v="46"/>
    <n v="1"/>
    <n v="0"/>
    <x v="17"/>
    <n v="31"/>
    <n v="29"/>
    <n v="232"/>
    <n v="28"/>
    <n v="0"/>
    <n v="13"/>
    <n v="0"/>
    <n v="206"/>
    <n v="29"/>
    <n v="3"/>
    <n v="1"/>
    <s v="L"/>
    <n v="8"/>
    <n v="99.79"/>
    <n v="108.41"/>
    <n v="79.42"/>
    <n v="30.03"/>
    <n v="0.49"/>
    <n v="0.51"/>
    <s v="N"/>
    <s v="N"/>
    <s v="N"/>
    <s v="N"/>
    <s v="N"/>
    <n v="108.61"/>
    <n v="115.26"/>
    <n v="68.27"/>
    <n v="31.34"/>
    <x v="28"/>
    <n v="53"/>
    <x v="34"/>
    <n v="6.07"/>
  </r>
  <r>
    <x v="77"/>
    <n v="529"/>
    <n v="56"/>
    <n v="265"/>
    <n v="21"/>
    <n v="5"/>
    <n v="16"/>
    <n v="0"/>
    <n v="416"/>
    <n v="43"/>
    <n v="3"/>
    <n v="0"/>
    <x v="33"/>
    <n v="669"/>
    <n v="7"/>
    <n v="104"/>
    <n v="15"/>
    <n v="0"/>
    <n v="8"/>
    <n v="0"/>
    <n v="185"/>
    <n v="55"/>
    <n v="1"/>
    <n v="0"/>
    <s v="W"/>
    <n v="3"/>
    <s v=" "/>
    <s v=" "/>
    <s v=" "/>
    <s v=" "/>
    <n v="0.21"/>
    <n v="0.79"/>
    <s v="Y"/>
    <s v="N"/>
    <s v="N"/>
    <s v="N"/>
    <s v="N"/>
    <s v=" "/>
    <s v=" "/>
    <s v=" "/>
    <s v=" "/>
    <x v="26"/>
    <n v="63"/>
    <x v="0"/>
    <s v=" "/>
  </r>
  <r>
    <x v="77"/>
    <n v="529"/>
    <n v="27"/>
    <n v="240"/>
    <n v="54"/>
    <n v="1"/>
    <n v="31"/>
    <n v="1"/>
    <n v="95"/>
    <n v="28"/>
    <n v="2"/>
    <n v="3"/>
    <x v="54"/>
    <n v="365"/>
    <n v="40"/>
    <n v="98"/>
    <n v="22"/>
    <n v="1"/>
    <n v="10"/>
    <n v="0"/>
    <n v="175"/>
    <n v="48"/>
    <n v="3"/>
    <n v="1"/>
    <s v="L"/>
    <n v="1"/>
    <n v="78.849999999999994"/>
    <n v="123.45"/>
    <n v="57.29"/>
    <n v="112.29"/>
    <n v="0.31"/>
    <n v="0.69"/>
    <s v="N"/>
    <s v="N"/>
    <s v="N"/>
    <s v="N"/>
    <s v="N"/>
    <n v="105.2"/>
    <n v="136.29"/>
    <n v="80.02"/>
    <n v="121.12"/>
    <x v="40"/>
    <n v="67"/>
    <x v="250"/>
    <n v="46.23"/>
  </r>
  <r>
    <x v="77"/>
    <n v="529"/>
    <n v="69"/>
    <n v="331"/>
    <n v="26"/>
    <n v="6"/>
    <n v="15"/>
    <n v="0"/>
    <n v="272"/>
    <n v="43"/>
    <n v="2"/>
    <n v="0"/>
    <x v="68"/>
    <n v="466"/>
    <n v="20"/>
    <n v="233"/>
    <n v="39"/>
    <n v="1"/>
    <n v="23"/>
    <n v="3"/>
    <n v="283"/>
    <n v="51"/>
    <n v="2"/>
    <n v="0"/>
    <s v="W"/>
    <n v="2"/>
    <n v="161.69"/>
    <n v="127.7"/>
    <n v="153.72999999999999"/>
    <n v="65.38"/>
    <n v="0.43"/>
    <n v="0.57000000000000006"/>
    <s v="N"/>
    <s v="N"/>
    <s v="N"/>
    <s v="N"/>
    <s v="N"/>
    <n v="171.81"/>
    <n v="126.44"/>
    <n v="132.69999999999999"/>
    <n v="76.959999999999994"/>
    <x v="26"/>
    <n v="89"/>
    <x v="308"/>
    <n v="45.16"/>
  </r>
  <r>
    <x v="77"/>
    <n v="529"/>
    <n v="56"/>
    <n v="101"/>
    <n v="20"/>
    <n v="2"/>
    <n v="11"/>
    <n v="0"/>
    <n v="415"/>
    <n v="47"/>
    <n v="6"/>
    <n v="0"/>
    <x v="168"/>
    <n v="29"/>
    <n v="31"/>
    <n v="398"/>
    <n v="57"/>
    <n v="3"/>
    <n v="34"/>
    <n v="0"/>
    <n v="82"/>
    <n v="35"/>
    <n v="1"/>
    <n v="0"/>
    <s v="W"/>
    <n v="4"/>
    <n v="97.52"/>
    <n v="94.4"/>
    <n v="224"/>
    <n v="141.36000000000001"/>
    <n v="0.62"/>
    <n v="0.38"/>
    <s v="N"/>
    <s v="N"/>
    <s v="N"/>
    <s v="N"/>
    <s v="N"/>
    <n v="80.180000000000007"/>
    <n v="105.56"/>
    <n v="166.19"/>
    <n v="102.45"/>
    <x v="19"/>
    <n v="87"/>
    <x v="355"/>
    <n v="15.9"/>
  </r>
  <r>
    <x v="77"/>
    <n v="529"/>
    <n v="43"/>
    <n v="198"/>
    <n v="25"/>
    <n v="3"/>
    <n v="13"/>
    <n v="1"/>
    <n v="365"/>
    <n v="51"/>
    <n v="3"/>
    <n v="0"/>
    <x v="103"/>
    <n v="107"/>
    <n v="15"/>
    <n v="321"/>
    <n v="60"/>
    <n v="1"/>
    <n v="28"/>
    <n v="0"/>
    <n v="144"/>
    <n v="27"/>
    <n v="0"/>
    <n v="0"/>
    <s v="W"/>
    <n v="6"/>
    <n v="101.16"/>
    <n v="121.68"/>
    <n v="174.86"/>
    <n v="76.27"/>
    <n v="0.69"/>
    <n v="0.31000000000000005"/>
    <s v="N"/>
    <s v="N"/>
    <s v="N"/>
    <s v="N"/>
    <s v="N"/>
    <n v="100.73"/>
    <n v="113.92"/>
    <n v="220.17"/>
    <n v="60.54"/>
    <x v="15"/>
    <n v="58"/>
    <x v="95"/>
    <n v="37.85"/>
  </r>
  <r>
    <x v="77"/>
    <n v="529"/>
    <n v="41"/>
    <n v="209"/>
    <n v="22"/>
    <n v="2"/>
    <n v="15"/>
    <n v="1"/>
    <n v="327"/>
    <n v="49"/>
    <n v="3"/>
    <n v="1"/>
    <x v="133"/>
    <n v="28"/>
    <n v="27"/>
    <n v="291"/>
    <n v="46"/>
    <n v="2"/>
    <n v="29"/>
    <n v="2"/>
    <n v="169"/>
    <n v="35"/>
    <n v="1"/>
    <n v="0"/>
    <s v="W"/>
    <n v="7"/>
    <n v="119.96"/>
    <n v="109"/>
    <n v="157.88999999999999"/>
    <n v="83.69"/>
    <n v="0.56999999999999995"/>
    <n v="0.43000000000000005"/>
    <s v="N"/>
    <s v="N"/>
    <s v="N"/>
    <s v="N"/>
    <s v="N"/>
    <n v="126.4"/>
    <n v="121.29"/>
    <n v="161.4"/>
    <n v="75.45"/>
    <x v="5"/>
    <n v="68"/>
    <x v="29"/>
    <n v="19.850000000000001"/>
  </r>
  <r>
    <x v="77"/>
    <n v="529"/>
    <n v="45"/>
    <n v="156"/>
    <n v="21"/>
    <n v="2"/>
    <n v="11"/>
    <n v="0"/>
    <n v="371"/>
    <n v="48"/>
    <n v="3"/>
    <n v="0"/>
    <x v="88"/>
    <n v="157"/>
    <n v="2"/>
    <n v="133"/>
    <n v="33"/>
    <n v="0"/>
    <n v="15"/>
    <n v="1"/>
    <n v="98"/>
    <n v="39"/>
    <n v="0"/>
    <n v="0"/>
    <s v="W"/>
    <n v="8"/>
    <n v="107.15"/>
    <n v="141.67000000000002"/>
    <n v="188.69"/>
    <n v="141.69999999999999"/>
    <n v="0.46"/>
    <n v="0.54"/>
    <s v="N"/>
    <s v="N"/>
    <s v="N"/>
    <s v="N"/>
    <s v="N"/>
    <n v="92.18"/>
    <n v="131.84"/>
    <n v="158.94999999999999"/>
    <n v="95.9"/>
    <x v="45"/>
    <n v="47"/>
    <x v="120"/>
    <n v="23.99"/>
  </r>
  <r>
    <x v="78"/>
    <n v="528"/>
    <n v="28"/>
    <n v="230"/>
    <n v="36"/>
    <n v="0"/>
    <n v="19"/>
    <n v="1"/>
    <n v="266"/>
    <n v="43"/>
    <n v="3"/>
    <n v="1"/>
    <x v="171"/>
    <n v="102"/>
    <n v="29"/>
    <n v="296"/>
    <n v="36"/>
    <n v="4"/>
    <n v="23"/>
    <n v="0"/>
    <n v="71"/>
    <n v="32"/>
    <n v="0"/>
    <n v="2"/>
    <s v="L"/>
    <n v="1"/>
    <s v=" "/>
    <s v=" "/>
    <s v=" "/>
    <s v=" "/>
    <n v="0.53"/>
    <n v="0.47"/>
    <s v="Y"/>
    <s v="N"/>
    <s v="N"/>
    <s v="N"/>
    <s v="N"/>
    <s v=" "/>
    <s v=" "/>
    <s v=" "/>
    <s v=" "/>
    <x v="3"/>
    <n v="57"/>
    <x v="0"/>
    <s v=" "/>
  </r>
  <r>
    <x v="78"/>
    <n v="528"/>
    <n v="0"/>
    <n v="261"/>
    <n v="41"/>
    <n v="0"/>
    <n v="27"/>
    <n v="0"/>
    <n v="23"/>
    <n v="24"/>
    <n v="0"/>
    <n v="1"/>
    <x v="135"/>
    <n v="796"/>
    <n v="35"/>
    <n v="189"/>
    <n v="22"/>
    <n v="3"/>
    <n v="17"/>
    <n v="0"/>
    <n v="208"/>
    <n v="43"/>
    <n v="2"/>
    <n v="0"/>
    <s v="L"/>
    <n v="2"/>
    <n v="100.55"/>
    <n v="55.449999999999989"/>
    <n v="9.73"/>
    <n v="80.8"/>
    <n v="0.34"/>
    <n v="0.65999999999999992"/>
    <s v="N"/>
    <s v="N"/>
    <s v="N"/>
    <s v="N"/>
    <s v="N"/>
    <n v="113.57"/>
    <n v="78.34"/>
    <n v="12.28"/>
    <n v="117.94"/>
    <x v="32"/>
    <n v="35"/>
    <x v="356"/>
    <n v="22.81"/>
  </r>
  <r>
    <x v="78"/>
    <n v="528"/>
    <n v="19"/>
    <n v="287"/>
    <n v="40"/>
    <n v="1"/>
    <n v="24"/>
    <n v="1"/>
    <n v="88"/>
    <n v="29"/>
    <n v="0"/>
    <n v="1"/>
    <x v="28"/>
    <n v="110"/>
    <n v="27"/>
    <n v="146"/>
    <n v="12"/>
    <n v="1"/>
    <n v="7"/>
    <n v="0"/>
    <n v="211"/>
    <n v="49"/>
    <n v="3"/>
    <n v="0"/>
    <s v="L"/>
    <n v="4"/>
    <n v="95.35"/>
    <s v=" "/>
    <n v="60.06"/>
    <n v="90.91"/>
    <n v="0.2"/>
    <n v="0.8"/>
    <s v="N"/>
    <s v="N"/>
    <s v="N"/>
    <s v="Y"/>
    <s v="N"/>
    <n v="84.03"/>
    <s v=" "/>
    <n v="48.04"/>
    <n v="92.08"/>
    <x v="11"/>
    <n v="46"/>
    <x v="0"/>
    <s v=" "/>
  </r>
  <r>
    <x v="78"/>
    <n v="528"/>
    <n v="20"/>
    <n v="341"/>
    <n v="66"/>
    <n v="1"/>
    <n v="40"/>
    <n v="4"/>
    <n v="47"/>
    <n v="14"/>
    <n v="1"/>
    <n v="1"/>
    <x v="133"/>
    <n v="28"/>
    <n v="35"/>
    <n v="258"/>
    <n v="37"/>
    <n v="2"/>
    <n v="24"/>
    <n v="3"/>
    <n v="108"/>
    <n v="34"/>
    <n v="2"/>
    <n v="1"/>
    <s v="L"/>
    <n v="5"/>
    <n v="72.86"/>
    <n v="113.35"/>
    <s v=" "/>
    <n v="126.31"/>
    <n v="0.52"/>
    <n v="0.48"/>
    <s v="N"/>
    <s v="N"/>
    <s v="Y"/>
    <s v="N"/>
    <s v="N"/>
    <n v="76.77"/>
    <n v="126.13"/>
    <s v=" "/>
    <n v="113.87"/>
    <x v="24"/>
    <n v="55"/>
    <x v="0"/>
    <s v=" "/>
  </r>
  <r>
    <x v="78"/>
    <n v="528"/>
    <n v="37"/>
    <n v="280"/>
    <n v="43"/>
    <n v="2"/>
    <n v="33"/>
    <n v="2"/>
    <n v="128"/>
    <n v="35"/>
    <n v="1"/>
    <n v="0"/>
    <x v="168"/>
    <n v="29"/>
    <n v="27"/>
    <n v="378"/>
    <n v="45"/>
    <n v="1"/>
    <n v="31"/>
    <n v="2"/>
    <n v="53"/>
    <n v="19"/>
    <n v="2"/>
    <n v="2"/>
    <s v="W"/>
    <n v="6"/>
    <n v="105.26"/>
    <n v="95.33"/>
    <n v="89.13"/>
    <n v="151.07"/>
    <n v="0.7"/>
    <n v="0.30000000000000004"/>
    <s v="N"/>
    <s v="N"/>
    <s v="N"/>
    <s v="N"/>
    <s v="N"/>
    <n v="86.54"/>
    <n v="106.6"/>
    <n v="66.13"/>
    <n v="109.48"/>
    <x v="12"/>
    <n v="64"/>
    <x v="357"/>
    <n v="24.52"/>
  </r>
  <r>
    <x v="78"/>
    <n v="528"/>
    <n v="28"/>
    <n v="306"/>
    <n v="43"/>
    <n v="1"/>
    <n v="27"/>
    <n v="2"/>
    <n v="59"/>
    <n v="23"/>
    <n v="2"/>
    <n v="2"/>
    <x v="170"/>
    <n v="77"/>
    <n v="38"/>
    <n v="217"/>
    <n v="29"/>
    <n v="3"/>
    <n v="17"/>
    <n v="1"/>
    <n v="282"/>
    <n v="48"/>
    <n v="2"/>
    <n v="1"/>
    <s v="L"/>
    <n v="7"/>
    <n v="91.11"/>
    <n v="95.43"/>
    <n v="46.47"/>
    <n v="63.699999999999989"/>
    <n v="0.38"/>
    <n v="0.62"/>
    <s v="N"/>
    <s v="N"/>
    <s v="N"/>
    <s v="N"/>
    <s v="N"/>
    <n v="100.88"/>
    <n v="83.18"/>
    <n v="51.65"/>
    <n v="44.4"/>
    <x v="12"/>
    <n v="66"/>
    <x v="91"/>
    <n v="9.68"/>
  </r>
  <r>
    <x v="78"/>
    <n v="528"/>
    <n v="44"/>
    <n v="376"/>
    <n v="34"/>
    <n v="4"/>
    <n v="26"/>
    <n v="1"/>
    <n v="175"/>
    <n v="34"/>
    <n v="1"/>
    <n v="0"/>
    <x v="104"/>
    <n v="754"/>
    <n v="21"/>
    <n v="232"/>
    <n v="33"/>
    <n v="1"/>
    <n v="21"/>
    <n v="1"/>
    <n v="83"/>
    <n v="29"/>
    <n v="2"/>
    <n v="2"/>
    <s v="W"/>
    <n v="8"/>
    <n v="145.56"/>
    <n v="102.59"/>
    <n v="123.82"/>
    <n v="143.94"/>
    <n v="0.53"/>
    <n v="0.47"/>
    <s v="N"/>
    <s v="N"/>
    <s v="N"/>
    <s v="N"/>
    <s v="N"/>
    <n v="132.46"/>
    <n v="113.47"/>
    <n v="118.36"/>
    <n v="85.95"/>
    <x v="9"/>
    <n v="65"/>
    <x v="358"/>
    <n v="19.84"/>
  </r>
  <r>
    <x v="79"/>
    <n v="539"/>
    <n v="41"/>
    <n v="114"/>
    <n v="20"/>
    <n v="0"/>
    <n v="12"/>
    <n v="0"/>
    <n v="245"/>
    <n v="48"/>
    <n v="5"/>
    <n v="0"/>
    <x v="172"/>
    <n v="305"/>
    <n v="7"/>
    <n v="105"/>
    <n v="23"/>
    <n v="1"/>
    <n v="11"/>
    <n v="2"/>
    <n v="65"/>
    <n v="30"/>
    <n v="0"/>
    <n v="1"/>
    <s v="W"/>
    <n v="1"/>
    <s v=" "/>
    <s v=" "/>
    <s v=" "/>
    <s v=" "/>
    <n v="0.43"/>
    <n v="0.57000000000000006"/>
    <s v="Y"/>
    <s v="N"/>
    <s v="N"/>
    <s v="N"/>
    <s v="N"/>
    <s v=" "/>
    <s v=" "/>
    <s v=" "/>
    <s v=" "/>
    <x v="16"/>
    <n v="48"/>
    <x v="0"/>
    <s v=" "/>
  </r>
  <r>
    <x v="79"/>
    <n v="539"/>
    <n v="11"/>
    <n v="144"/>
    <n v="39"/>
    <n v="0"/>
    <n v="12"/>
    <n v="1"/>
    <n v="107"/>
    <n v="30"/>
    <n v="1"/>
    <n v="2"/>
    <x v="36"/>
    <n v="8"/>
    <n v="27"/>
    <n v="163"/>
    <n v="31"/>
    <n v="1"/>
    <n v="19"/>
    <n v="0"/>
    <n v="196"/>
    <n v="41"/>
    <n v="2"/>
    <n v="0"/>
    <s v="L"/>
    <n v="2"/>
    <n v="43.2"/>
    <n v="105.21"/>
    <n v="67.75"/>
    <n v="81.78"/>
    <n v="0.43"/>
    <n v="0.57000000000000006"/>
    <s v="N"/>
    <s v="N"/>
    <s v="N"/>
    <s v="N"/>
    <s v="N"/>
    <n v="58.08"/>
    <n v="118.35"/>
    <n v="114"/>
    <n v="120.55"/>
    <x v="1"/>
    <n v="38"/>
    <x v="359"/>
    <n v="15.68"/>
  </r>
  <r>
    <x v="79"/>
    <n v="539"/>
    <n v="14"/>
    <n v="216"/>
    <n v="37"/>
    <n v="0"/>
    <n v="22"/>
    <n v="1"/>
    <n v="92"/>
    <n v="36"/>
    <n v="2"/>
    <n v="0"/>
    <x v="8"/>
    <n v="690"/>
    <n v="10"/>
    <n v="123"/>
    <n v="28"/>
    <n v="0"/>
    <n v="12"/>
    <n v="2"/>
    <n v="74"/>
    <n v="30"/>
    <n v="1"/>
    <n v="1"/>
    <s v="W"/>
    <n v="3"/>
    <n v="83.17"/>
    <n v="154.63"/>
    <n v="67.62"/>
    <n v="147.77000000000001"/>
    <n v="0.48"/>
    <n v="0.52"/>
    <s v="N"/>
    <s v="N"/>
    <s v="N"/>
    <s v="N"/>
    <s v="N"/>
    <n v="95.13"/>
    <n v="104.04"/>
    <n v="93.3"/>
    <n v="164.25"/>
    <x v="27"/>
    <n v="24"/>
    <x v="360"/>
    <n v="7.52"/>
  </r>
  <r>
    <x v="79"/>
    <n v="539"/>
    <n v="34"/>
    <n v="364"/>
    <n v="35"/>
    <n v="4"/>
    <n v="23"/>
    <n v="1"/>
    <n v="104"/>
    <n v="25"/>
    <n v="0"/>
    <n v="2"/>
    <x v="11"/>
    <n v="204"/>
    <n v="6"/>
    <n v="202"/>
    <n v="31"/>
    <n v="0"/>
    <n v="18"/>
    <n v="1"/>
    <n v="68"/>
    <n v="43"/>
    <n v="0"/>
    <n v="2"/>
    <s v="W"/>
    <n v="4"/>
    <n v="130.97"/>
    <n v="116.1"/>
    <n v="72.510000000000005"/>
    <n v="177.27"/>
    <n v="0.42"/>
    <n v="0.58000000000000007"/>
    <s v="N"/>
    <s v="N"/>
    <s v="N"/>
    <s v="N"/>
    <s v="N"/>
    <n v="117.79"/>
    <n v="87.45"/>
    <n v="66.44"/>
    <n v="162.43"/>
    <x v="15"/>
    <n v="40"/>
    <x v="361"/>
    <n v="28.91"/>
  </r>
  <r>
    <x v="79"/>
    <n v="539"/>
    <n v="16"/>
    <n v="271"/>
    <n v="36"/>
    <n v="1"/>
    <n v="16"/>
    <n v="1"/>
    <n v="193"/>
    <n v="50"/>
    <n v="0"/>
    <n v="2"/>
    <x v="55"/>
    <n v="306"/>
    <n v="10"/>
    <n v="184"/>
    <n v="45"/>
    <n v="1"/>
    <n v="22"/>
    <n v="1"/>
    <n v="72"/>
    <n v="31"/>
    <n v="0"/>
    <n v="1"/>
    <s v="W"/>
    <n v="5"/>
    <n v="81.3"/>
    <n v="132.16"/>
    <n v="77.55"/>
    <n v="155.79"/>
    <n v="0.59"/>
    <n v="0.41000000000000003"/>
    <s v="N"/>
    <s v="N"/>
    <s v="N"/>
    <s v="N"/>
    <s v="N"/>
    <n v="66.180000000000007"/>
    <n v="107.64"/>
    <n v="64.8"/>
    <n v="111.12"/>
    <x v="47"/>
    <n v="26"/>
    <x v="201"/>
    <n v="12.82"/>
  </r>
  <r>
    <x v="79"/>
    <n v="539"/>
    <n v="13"/>
    <n v="164"/>
    <n v="26"/>
    <n v="1"/>
    <n v="15"/>
    <n v="1"/>
    <n v="231"/>
    <n v="46"/>
    <n v="0"/>
    <n v="0"/>
    <x v="136"/>
    <n v="312"/>
    <n v="3"/>
    <n v="169"/>
    <n v="34"/>
    <n v="0"/>
    <n v="17"/>
    <n v="2"/>
    <n v="84"/>
    <n v="30"/>
    <n v="0"/>
    <n v="1"/>
    <s v="W"/>
    <n v="6"/>
    <n v="86.3"/>
    <n v="140.56"/>
    <n v="116.5"/>
    <n v="145.04"/>
    <n v="0.53"/>
    <n v="0.47"/>
    <s v="N"/>
    <s v="N"/>
    <s v="N"/>
    <s v="N"/>
    <s v="N"/>
    <n v="78.87"/>
    <n v="168.69"/>
    <n v="131.77000000000001"/>
    <n v="141.13999999999999"/>
    <x v="12"/>
    <n v="16"/>
    <x v="362"/>
    <n v="11.31"/>
  </r>
  <r>
    <x v="79"/>
    <n v="539"/>
    <n v="23"/>
    <n v="185"/>
    <n v="23"/>
    <n v="0"/>
    <n v="10"/>
    <n v="1"/>
    <n v="182"/>
    <n v="48"/>
    <n v="2"/>
    <n v="0"/>
    <x v="134"/>
    <n v="559"/>
    <n v="18"/>
    <n v="182"/>
    <n v="30"/>
    <n v="1"/>
    <n v="14"/>
    <n v="3"/>
    <n v="162"/>
    <n v="33"/>
    <n v="1"/>
    <n v="0"/>
    <s v="W"/>
    <n v="7"/>
    <n v="74.27"/>
    <n v="145.27000000000001"/>
    <n v="94.22"/>
    <n v="81.56"/>
    <n v="0.48"/>
    <n v="0.52"/>
    <s v="N"/>
    <s v="N"/>
    <s v="N"/>
    <s v="N"/>
    <s v="N"/>
    <n v="82.19"/>
    <n v="129"/>
    <n v="99.72"/>
    <n v="78.959999999999994"/>
    <x v="28"/>
    <n v="41"/>
    <x v="363"/>
    <n v="106.84"/>
  </r>
  <r>
    <x v="79"/>
    <n v="539"/>
    <n v="34"/>
    <n v="192"/>
    <n v="27"/>
    <n v="2"/>
    <n v="17"/>
    <n v="0"/>
    <n v="197"/>
    <n v="38"/>
    <n v="2"/>
    <n v="1"/>
    <x v="45"/>
    <n v="509"/>
    <n v="24"/>
    <n v="312"/>
    <n v="39"/>
    <n v="1"/>
    <n v="28"/>
    <n v="1"/>
    <n v="94"/>
    <n v="37"/>
    <n v="2"/>
    <n v="0"/>
    <s v="W"/>
    <n v="8"/>
    <n v="112.83"/>
    <n v="88.45"/>
    <n v="120.27"/>
    <n v="132.94999999999999"/>
    <n v="0.51"/>
    <n v="0.49"/>
    <s v="N"/>
    <s v="N"/>
    <s v="N"/>
    <s v="N"/>
    <s v="N"/>
    <n v="95.47"/>
    <n v="103.21"/>
    <n v="118.88"/>
    <n v="118.3"/>
    <x v="12"/>
    <n v="58"/>
    <x v="364"/>
    <n v="18.350000000000001"/>
  </r>
  <r>
    <x v="80"/>
    <n v="545"/>
    <n v="35"/>
    <n v="257"/>
    <n v="42"/>
    <n v="0"/>
    <n v="26"/>
    <n v="2"/>
    <n v="124"/>
    <n v="48"/>
    <n v="4"/>
    <n v="0"/>
    <x v="173"/>
    <n v="380"/>
    <n v="29"/>
    <n v="334"/>
    <n v="46"/>
    <n v="3"/>
    <n v="27"/>
    <n v="0"/>
    <n v="37"/>
    <n v="25"/>
    <n v="1"/>
    <n v="0"/>
    <s v="W"/>
    <n v="2"/>
    <s v=" "/>
    <s v=" "/>
    <s v=" "/>
    <s v=" "/>
    <n v="0.65"/>
    <n v="0.35"/>
    <s v="Y"/>
    <s v="N"/>
    <s v="N"/>
    <s v="N"/>
    <s v="N"/>
    <s v=" "/>
    <s v=" "/>
    <s v=" "/>
    <s v=" "/>
    <x v="47"/>
    <n v="64"/>
    <x v="0"/>
    <s v=" "/>
  </r>
  <r>
    <x v="80"/>
    <n v="545"/>
    <n v="35"/>
    <n v="179"/>
    <n v="28"/>
    <n v="1"/>
    <n v="16"/>
    <n v="0"/>
    <n v="231"/>
    <n v="38"/>
    <n v="4"/>
    <n v="1"/>
    <x v="57"/>
    <n v="86"/>
    <n v="16"/>
    <n v="276"/>
    <n v="49"/>
    <n v="0"/>
    <n v="32"/>
    <n v="1"/>
    <n v="127"/>
    <n v="44"/>
    <n v="2"/>
    <n v="0"/>
    <s v="W"/>
    <n v="1"/>
    <n v="97.34"/>
    <n v="110.12"/>
    <n v="148.93"/>
    <n v="126.22"/>
    <n v="0.53"/>
    <n v="0.47"/>
    <s v="N"/>
    <s v="N"/>
    <s v="N"/>
    <s v="N"/>
    <s v="N"/>
    <n v="91.42"/>
    <n v="92.48"/>
    <n v="122.78"/>
    <n v="117.49"/>
    <x v="31"/>
    <n v="51"/>
    <x v="80"/>
    <n v="23"/>
  </r>
  <r>
    <x v="80"/>
    <n v="545"/>
    <n v="27"/>
    <n v="285"/>
    <n v="34"/>
    <n v="3"/>
    <n v="24"/>
    <n v="2"/>
    <n v="137"/>
    <n v="37"/>
    <n v="0"/>
    <n v="1"/>
    <x v="136"/>
    <n v="312"/>
    <n v="31"/>
    <n v="399"/>
    <n v="48"/>
    <n v="3"/>
    <n v="31"/>
    <n v="1"/>
    <n v="76"/>
    <n v="33"/>
    <n v="1"/>
    <n v="0"/>
    <s v="L"/>
    <n v="3"/>
    <n v="111.86"/>
    <n v="86.99"/>
    <n v="77.790000000000006"/>
    <n v="142.02000000000001"/>
    <n v="0.59"/>
    <n v="0.41000000000000003"/>
    <s v="N"/>
    <s v="N"/>
    <s v="N"/>
    <s v="N"/>
    <s v="N"/>
    <n v="102.23"/>
    <n v="104.4"/>
    <n v="87.99"/>
    <n v="138.19999999999999"/>
    <x v="27"/>
    <n v="58"/>
    <x v="205"/>
    <n v="21.44"/>
  </r>
  <r>
    <x v="80"/>
    <n v="545"/>
    <n v="12"/>
    <n v="165"/>
    <n v="32"/>
    <n v="1"/>
    <n v="22"/>
    <n v="0"/>
    <n v="103"/>
    <n v="38"/>
    <n v="0"/>
    <n v="0"/>
    <x v="4"/>
    <n v="513"/>
    <n v="15"/>
    <n v="216"/>
    <n v="41"/>
    <n v="1"/>
    <n v="24"/>
    <n v="1"/>
    <n v="182"/>
    <n v="32"/>
    <n v="1"/>
    <n v="1"/>
    <s v="L"/>
    <n v="4"/>
    <n v="101.54"/>
    <n v="116.41"/>
    <n v="62.88"/>
    <n v="72.739999999999995"/>
    <n v="0.56000000000000005"/>
    <n v="0.43999999999999995"/>
    <s v="N"/>
    <s v="N"/>
    <s v="N"/>
    <s v="N"/>
    <s v="N"/>
    <n v="104.49"/>
    <n v="118.47"/>
    <n v="73.28"/>
    <n v="97.29"/>
    <x v="22"/>
    <n v="27"/>
    <x v="334"/>
    <n v="6.46"/>
  </r>
  <r>
    <x v="80"/>
    <n v="545"/>
    <n v="44"/>
    <n v="216"/>
    <n v="33"/>
    <n v="1"/>
    <n v="22"/>
    <n v="0"/>
    <n v="307"/>
    <n v="58"/>
    <n v="4"/>
    <n v="1"/>
    <x v="56"/>
    <n v="651"/>
    <n v="17"/>
    <n v="223"/>
    <n v="36"/>
    <n v="0"/>
    <n v="18"/>
    <n v="0"/>
    <n v="202"/>
    <n v="38"/>
    <n v="2"/>
    <n v="2"/>
    <s v="W"/>
    <n v="5"/>
    <n v="106.88"/>
    <n v="116.24"/>
    <n v="127.97"/>
    <n v="84.57"/>
    <n v="0.49"/>
    <n v="0.51"/>
    <s v="N"/>
    <s v="N"/>
    <s v="N"/>
    <s v="N"/>
    <s v="N"/>
    <n v="111.95"/>
    <n v="109.85"/>
    <n v="162.93"/>
    <n v="87.84"/>
    <x v="18"/>
    <n v="61"/>
    <x v="365"/>
    <n v="75.72"/>
  </r>
  <r>
    <x v="80"/>
    <n v="545"/>
    <n v="10"/>
    <n v="137"/>
    <n v="33"/>
    <n v="0"/>
    <n v="16"/>
    <n v="4"/>
    <n v="134"/>
    <n v="35"/>
    <n v="1"/>
    <n v="0"/>
    <x v="150"/>
    <n v="587"/>
    <n v="34"/>
    <n v="174"/>
    <n v="24"/>
    <n v="2"/>
    <n v="11"/>
    <n v="0"/>
    <n v="97"/>
    <n v="42"/>
    <n v="1"/>
    <n v="1"/>
    <s v="L"/>
    <n v="6"/>
    <n v="34.75"/>
    <n v="102.15"/>
    <n v="93.11"/>
    <n v="149.99"/>
    <n v="0.36"/>
    <n v="0.64"/>
    <s v="N"/>
    <s v="N"/>
    <s v="N"/>
    <s v="N"/>
    <s v="N"/>
    <n v="41.74"/>
    <n v="93.06"/>
    <n v="103.76"/>
    <n v="70.44"/>
    <x v="14"/>
    <n v="44"/>
    <x v="366"/>
    <n v="120"/>
  </r>
  <r>
    <x v="80"/>
    <n v="545"/>
    <n v="14"/>
    <n v="50"/>
    <n v="30"/>
    <n v="0"/>
    <n v="9"/>
    <n v="2"/>
    <n v="70"/>
    <n v="31"/>
    <n v="0"/>
    <n v="1"/>
    <x v="32"/>
    <n v="732"/>
    <n v="26"/>
    <n v="127"/>
    <n v="23"/>
    <n v="1"/>
    <n v="14"/>
    <n v="0"/>
    <n v="124"/>
    <n v="52"/>
    <n v="0"/>
    <n v="0"/>
    <s v="L"/>
    <n v="7"/>
    <n v="19.079999999999998"/>
    <n v="102.52"/>
    <n v="42.71"/>
    <n v="144.68"/>
    <n v="0.31"/>
    <n v="0.69"/>
    <s v="N"/>
    <s v="N"/>
    <s v="N"/>
    <s v="N"/>
    <s v="N"/>
    <n v="20.37"/>
    <n v="85.71"/>
    <n v="65.41"/>
    <n v="81.650000000000006"/>
    <x v="51"/>
    <n v="40"/>
    <x v="367"/>
    <n v="13.19"/>
  </r>
  <r>
    <x v="81"/>
    <n v="559"/>
    <n v="59"/>
    <n v="234"/>
    <n v="25"/>
    <n v="1"/>
    <n v="21"/>
    <n v="0"/>
    <n v="393"/>
    <n v="53"/>
    <n v="7"/>
    <n v="1"/>
    <x v="174"/>
    <n v="654"/>
    <n v="0"/>
    <n v="66"/>
    <n v="19"/>
    <n v="0"/>
    <n v="8"/>
    <n v="1"/>
    <n v="87"/>
    <n v="41"/>
    <n v="0"/>
    <n v="0"/>
    <s v="W"/>
    <n v="3"/>
    <s v=" "/>
    <s v=" "/>
    <s v=" "/>
    <s v=" "/>
    <n v="0.32"/>
    <n v="0.67999999999999994"/>
    <s v="Y"/>
    <s v="N"/>
    <s v="N"/>
    <s v="N"/>
    <s v="N"/>
    <s v=" "/>
    <s v=" "/>
    <s v=" "/>
    <s v=" "/>
    <x v="49"/>
    <n v="59"/>
    <x v="0"/>
    <s v=" "/>
  </r>
  <r>
    <x v="81"/>
    <n v="559"/>
    <n v="27"/>
    <n v="220"/>
    <n v="35"/>
    <n v="2"/>
    <n v="19"/>
    <n v="1"/>
    <n v="200"/>
    <n v="46"/>
    <n v="1"/>
    <n v="1"/>
    <x v="116"/>
    <n v="419"/>
    <n v="24"/>
    <n v="330"/>
    <n v="47"/>
    <n v="2"/>
    <n v="27"/>
    <n v="1"/>
    <n v="130"/>
    <n v="33"/>
    <n v="1"/>
    <n v="0"/>
    <s v="W"/>
    <n v="1"/>
    <n v="88.54"/>
    <n v="104.29"/>
    <n v="97.61"/>
    <n v="104.06"/>
    <n v="0.59"/>
    <n v="0.41000000000000003"/>
    <s v="N"/>
    <s v="N"/>
    <s v="N"/>
    <s v="N"/>
    <s v="N"/>
    <n v="92.21"/>
    <n v="101.9"/>
    <n v="107.12"/>
    <n v="113.12"/>
    <x v="22"/>
    <n v="51"/>
    <x v="290"/>
    <n v="54.55"/>
  </r>
  <r>
    <x v="81"/>
    <n v="559"/>
    <n v="22"/>
    <n v="183"/>
    <n v="32"/>
    <n v="1"/>
    <n v="18"/>
    <n v="0"/>
    <n v="183"/>
    <n v="40"/>
    <n v="1"/>
    <n v="0"/>
    <x v="62"/>
    <n v="574"/>
    <n v="24"/>
    <n v="242"/>
    <n v="32"/>
    <n v="2"/>
    <n v="20"/>
    <n v="0"/>
    <n v="110"/>
    <n v="48"/>
    <n v="1"/>
    <n v="1"/>
    <s v="L"/>
    <n v="2"/>
    <n v="92.1"/>
    <n v="86.91"/>
    <n v="109.89"/>
    <n v="149.96"/>
    <n v="0.4"/>
    <n v="0.6"/>
    <s v="N"/>
    <s v="N"/>
    <s v="N"/>
    <s v="N"/>
    <s v="N"/>
    <n v="86.08"/>
    <n v="78.45"/>
    <n v="97.21"/>
    <n v="101.63"/>
    <x v="35"/>
    <n v="46"/>
    <x v="368"/>
    <n v="5.15"/>
  </r>
  <r>
    <x v="81"/>
    <n v="559"/>
    <n v="10"/>
    <n v="192"/>
    <n v="38"/>
    <n v="1"/>
    <n v="19"/>
    <n v="1"/>
    <n v="84"/>
    <n v="27"/>
    <n v="0"/>
    <n v="0"/>
    <x v="4"/>
    <n v="513"/>
    <n v="38"/>
    <n v="264"/>
    <n v="41"/>
    <n v="3"/>
    <n v="25"/>
    <n v="0"/>
    <n v="287"/>
    <n v="40"/>
    <n v="2"/>
    <n v="0"/>
    <s v="L"/>
    <n v="5"/>
    <n v="73.59"/>
    <n v="92.96"/>
    <n v="72.180000000000007"/>
    <n v="26.039999999999992"/>
    <n v="0.51"/>
    <n v="0.49"/>
    <s v="N"/>
    <s v="N"/>
    <s v="N"/>
    <s v="N"/>
    <s v="N"/>
    <n v="75.73"/>
    <n v="94.61"/>
    <n v="84.12"/>
    <n v="34.83"/>
    <x v="15"/>
    <n v="48"/>
    <x v="335"/>
    <n v="20.71"/>
  </r>
  <r>
    <x v="81"/>
    <n v="559"/>
    <n v="45"/>
    <n v="155"/>
    <n v="27"/>
    <n v="2"/>
    <n v="18"/>
    <n v="0"/>
    <n v="217"/>
    <n v="47"/>
    <n v="3"/>
    <n v="0"/>
    <x v="156"/>
    <n v="428"/>
    <n v="17"/>
    <n v="113"/>
    <n v="23"/>
    <n v="0"/>
    <n v="10"/>
    <n v="1"/>
    <n v="100"/>
    <n v="33"/>
    <n v="1"/>
    <n v="2"/>
    <s v="W"/>
    <n v="6"/>
    <n v="109.06"/>
    <n v="142.79"/>
    <n v="116.69"/>
    <n v="143.32999999999998"/>
    <n v="0.41"/>
    <n v="0.59000000000000008"/>
    <s v="N"/>
    <s v="N"/>
    <s v="N"/>
    <s v="N"/>
    <s v="N"/>
    <n v="94.58"/>
    <n v="114.23"/>
    <n v="101"/>
    <n v="120"/>
    <x v="15"/>
    <n v="62"/>
    <x v="296"/>
    <n v="25.03"/>
  </r>
  <r>
    <x v="81"/>
    <n v="559"/>
    <n v="18"/>
    <n v="182"/>
    <n v="30"/>
    <n v="1"/>
    <n v="14"/>
    <n v="3"/>
    <n v="162"/>
    <n v="33"/>
    <n v="1"/>
    <n v="0"/>
    <x v="15"/>
    <n v="539"/>
    <n v="23"/>
    <n v="185"/>
    <n v="23"/>
    <n v="0"/>
    <n v="10"/>
    <n v="1"/>
    <n v="182"/>
    <n v="48"/>
    <n v="2"/>
    <n v="0"/>
    <s v="L"/>
    <n v="7"/>
    <n v="54.73"/>
    <n v="125.73"/>
    <n v="118.44"/>
    <n v="105.78"/>
    <n v="0.32"/>
    <n v="0.67999999999999994"/>
    <s v="N"/>
    <s v="N"/>
    <s v="N"/>
    <s v="N"/>
    <s v="N"/>
    <n v="68.989999999999995"/>
    <n v="109.93"/>
    <n v="156.03"/>
    <n v="93.15"/>
    <x v="28"/>
    <n v="41"/>
    <x v="363"/>
    <n v="106.84"/>
  </r>
  <r>
    <x v="81"/>
    <n v="559"/>
    <n v="21"/>
    <n v="178"/>
    <n v="25"/>
    <n v="2"/>
    <n v="16"/>
    <n v="0"/>
    <n v="126"/>
    <n v="42"/>
    <n v="1"/>
    <n v="1"/>
    <x v="31"/>
    <n v="301"/>
    <n v="14"/>
    <n v="245"/>
    <n v="41"/>
    <n v="0"/>
    <n v="26"/>
    <n v="1"/>
    <n v="121"/>
    <n v="33"/>
    <n v="2"/>
    <n v="0"/>
    <s v="W"/>
    <n v="8"/>
    <n v="114.8"/>
    <n v="111.34"/>
    <n v="66.03"/>
    <n v="105.84"/>
    <n v="0.55000000000000004"/>
    <n v="0.44999999999999996"/>
    <s v="N"/>
    <s v="N"/>
    <s v="N"/>
    <s v="N"/>
    <s v="N"/>
    <n v="109.03"/>
    <n v="122.69"/>
    <n v="92.71"/>
    <n v="90.14"/>
    <x v="20"/>
    <n v="35"/>
    <x v="198"/>
    <n v="351.76"/>
  </r>
  <r>
    <x v="82"/>
    <n v="574"/>
    <n v="9"/>
    <n v="94"/>
    <n v="30"/>
    <n v="0"/>
    <n v="15"/>
    <n v="0"/>
    <n v="130"/>
    <n v="30"/>
    <n v="0"/>
    <n v="2"/>
    <x v="84"/>
    <n v="703"/>
    <n v="34"/>
    <n v="277"/>
    <n v="27"/>
    <n v="2"/>
    <n v="15"/>
    <n v="0"/>
    <n v="229"/>
    <n v="48"/>
    <n v="2"/>
    <n v="1"/>
    <s v="L"/>
    <n v="1"/>
    <n v="67.08"/>
    <n v="77.42"/>
    <n v="80.53"/>
    <n v="89.32"/>
    <n v="0.36"/>
    <n v="0.64"/>
    <s v="N"/>
    <s v="N"/>
    <s v="N"/>
    <s v="N"/>
    <s v="N"/>
    <n v="82.79"/>
    <n v="78.540000000000006"/>
    <n v="85.46"/>
    <n v="79.61"/>
    <x v="19"/>
    <n v="43"/>
    <x v="369"/>
    <n v="29.19"/>
  </r>
  <r>
    <x v="82"/>
    <n v="574"/>
    <n v="24"/>
    <n v="242"/>
    <n v="32"/>
    <n v="2"/>
    <n v="20"/>
    <n v="0"/>
    <n v="110"/>
    <n v="48"/>
    <n v="1"/>
    <n v="1"/>
    <x v="134"/>
    <n v="559"/>
    <n v="22"/>
    <n v="183"/>
    <n v="32"/>
    <n v="1"/>
    <n v="18"/>
    <n v="0"/>
    <n v="183"/>
    <n v="40"/>
    <n v="1"/>
    <n v="0"/>
    <s v="W"/>
    <n v="2"/>
    <n v="113.09"/>
    <n v="107.9"/>
    <n v="50.04"/>
    <n v="90.11"/>
    <n v="0.44"/>
    <n v="0.56000000000000005"/>
    <s v="N"/>
    <s v="N"/>
    <s v="N"/>
    <s v="N"/>
    <s v="N"/>
    <n v="125.16"/>
    <n v="95.82"/>
    <n v="52.96"/>
    <n v="87.23"/>
    <x v="35"/>
    <n v="46"/>
    <x v="368"/>
    <n v="5.15"/>
  </r>
  <r>
    <x v="82"/>
    <n v="574"/>
    <n v="31"/>
    <n v="260"/>
    <n v="39"/>
    <n v="3"/>
    <n v="23"/>
    <n v="1"/>
    <n v="156"/>
    <n v="38"/>
    <n v="1"/>
    <n v="1"/>
    <x v="139"/>
    <n v="51"/>
    <n v="56"/>
    <n v="367"/>
    <n v="35"/>
    <n v="5"/>
    <n v="31"/>
    <n v="0"/>
    <n v="306"/>
    <n v="50"/>
    <n v="2"/>
    <n v="2"/>
    <s v="L"/>
    <n v="4"/>
    <n v="99.15"/>
    <n v="32.849999999999994"/>
    <n v="91.29"/>
    <n v="64.02000000000001"/>
    <n v="0.41"/>
    <n v="0.59000000000000008"/>
    <s v="N"/>
    <s v="N"/>
    <s v="N"/>
    <s v="N"/>
    <s v="N"/>
    <n v="101.49"/>
    <n v="50.48"/>
    <n v="82.26"/>
    <n v="70.19"/>
    <x v="19"/>
    <n v="87"/>
    <x v="58"/>
    <n v="22.18"/>
  </r>
  <r>
    <x v="82"/>
    <n v="574"/>
    <n v="24"/>
    <n v="196"/>
    <n v="41"/>
    <n v="1"/>
    <n v="21"/>
    <n v="0"/>
    <n v="33"/>
    <n v="30"/>
    <n v="0"/>
    <n v="2"/>
    <x v="148"/>
    <n v="664"/>
    <n v="48"/>
    <n v="284"/>
    <n v="34"/>
    <n v="3"/>
    <n v="21"/>
    <n v="2"/>
    <n v="370"/>
    <n v="51"/>
    <n v="3"/>
    <n v="2"/>
    <s v="L"/>
    <n v="5"/>
    <n v="80.930000000000007"/>
    <n v="97.12"/>
    <n v="5.52"/>
    <n v="34.629999999999995"/>
    <n v="0.4"/>
    <n v="0.6"/>
    <s v="N"/>
    <s v="N"/>
    <s v="N"/>
    <s v="N"/>
    <s v="N"/>
    <n v="101.49"/>
    <n v="107.34"/>
    <n v="6.52"/>
    <n v="34.79"/>
    <x v="14"/>
    <n v="72"/>
    <x v="370"/>
    <n v="13.2"/>
  </r>
  <r>
    <x v="82"/>
    <n v="574"/>
    <n v="28"/>
    <n v="170"/>
    <n v="22"/>
    <n v="1"/>
    <n v="15"/>
    <n v="2"/>
    <n v="180"/>
    <n v="45"/>
    <n v="2"/>
    <n v="1"/>
    <x v="40"/>
    <n v="404"/>
    <n v="6"/>
    <n v="237"/>
    <n v="43"/>
    <n v="0"/>
    <n v="24"/>
    <n v="2"/>
    <n v="70"/>
    <n v="29"/>
    <n v="0"/>
    <n v="1"/>
    <s v="W"/>
    <n v="6"/>
    <n v="89.84"/>
    <n v="128.1"/>
    <n v="92.8"/>
    <n v="154.34"/>
    <n v="0.6"/>
    <n v="0.4"/>
    <s v="N"/>
    <s v="N"/>
    <s v="N"/>
    <s v="N"/>
    <s v="N"/>
    <n v="72.83"/>
    <n v="107.03"/>
    <n v="76.67"/>
    <n v="71.88"/>
    <x v="39"/>
    <n v="34"/>
    <x v="270"/>
    <n v="33.799999999999997"/>
  </r>
  <r>
    <x v="82"/>
    <n v="574"/>
    <n v="20"/>
    <n v="167"/>
    <n v="21"/>
    <n v="1"/>
    <n v="12"/>
    <n v="0"/>
    <n v="194"/>
    <n v="41"/>
    <n v="1"/>
    <n v="2"/>
    <x v="130"/>
    <n v="388"/>
    <n v="24"/>
    <n v="111"/>
    <n v="27"/>
    <n v="0"/>
    <n v="14"/>
    <n v="1"/>
    <n v="217"/>
    <n v="43"/>
    <n v="3"/>
    <n v="0"/>
    <s v="L"/>
    <n v="7"/>
    <n v="107.63"/>
    <n v="136.85"/>
    <n v="98.8"/>
    <n v="72.459999999999994"/>
    <n v="0.39"/>
    <n v="0.61"/>
    <s v="N"/>
    <s v="N"/>
    <s v="N"/>
    <s v="N"/>
    <s v="N"/>
    <n v="94.7"/>
    <n v="113.02"/>
    <n v="106.75"/>
    <n v="49.97"/>
    <x v="27"/>
    <n v="44"/>
    <x v="262"/>
    <n v="25.41"/>
  </r>
  <r>
    <x v="82"/>
    <n v="574"/>
    <n v="20"/>
    <n v="250"/>
    <n v="42"/>
    <n v="1"/>
    <n v="22"/>
    <n v="2"/>
    <n v="103"/>
    <n v="35"/>
    <n v="1"/>
    <n v="2"/>
    <x v="67"/>
    <n v="719"/>
    <n v="38"/>
    <n v="318"/>
    <n v="34"/>
    <n v="3"/>
    <n v="21"/>
    <n v="0"/>
    <n v="155"/>
    <n v="42"/>
    <n v="2"/>
    <n v="1"/>
    <s v="L"/>
    <n v="8"/>
    <n v="74.11"/>
    <n v="74.03"/>
    <n v="55.42"/>
    <n v="114.38"/>
    <n v="0.45"/>
    <n v="0.55000000000000004"/>
    <s v="N"/>
    <s v="N"/>
    <s v="N"/>
    <s v="N"/>
    <s v="N"/>
    <n v="73.53"/>
    <n v="68.989999999999995"/>
    <n v="71.400000000000006"/>
    <n v="116.43"/>
    <x v="30"/>
    <n v="58"/>
    <x v="371"/>
    <n v="21.94"/>
  </r>
  <r>
    <x v="83"/>
    <n v="587"/>
    <n v="48"/>
    <n v="210"/>
    <n v="34"/>
    <n v="2"/>
    <n v="15"/>
    <n v="1"/>
    <n v="137"/>
    <n v="41"/>
    <n v="2"/>
    <n v="0"/>
    <x v="175"/>
    <n v="489"/>
    <n v="0"/>
    <n v="112"/>
    <n v="30"/>
    <n v="0"/>
    <n v="14"/>
    <n v="2"/>
    <n v="8"/>
    <n v="30"/>
    <n v="0"/>
    <n v="2"/>
    <s v="W"/>
    <n v="1"/>
    <s v=" "/>
    <s v=" "/>
    <s v=" "/>
    <s v=" "/>
    <n v="0.5"/>
    <n v="0.5"/>
    <s v="Y"/>
    <s v="N"/>
    <s v="N"/>
    <s v="N"/>
    <s v="N"/>
    <s v=" "/>
    <s v=" "/>
    <s v=" "/>
    <s v=" "/>
    <x v="36"/>
    <n v="48"/>
    <x v="0"/>
    <s v=" "/>
  </r>
  <r>
    <x v="83"/>
    <n v="587"/>
    <n v="22"/>
    <n v="243"/>
    <n v="47"/>
    <n v="2"/>
    <n v="25"/>
    <n v="0"/>
    <n v="1"/>
    <n v="25"/>
    <n v="0"/>
    <n v="0"/>
    <x v="101"/>
    <n v="457"/>
    <n v="24"/>
    <n v="273"/>
    <n v="26"/>
    <n v="1"/>
    <n v="20"/>
    <n v="3"/>
    <n v="132"/>
    <n v="29"/>
    <n v="2"/>
    <n v="2"/>
    <s v="L"/>
    <n v="2"/>
    <n v="87.75"/>
    <n v="94.7"/>
    <n v="0.93"/>
    <n v="104.74"/>
    <n v="0.47"/>
    <n v="0.53"/>
    <s v="N"/>
    <s v="N"/>
    <s v="N"/>
    <s v="N"/>
    <s v="N"/>
    <n v="86.21"/>
    <n v="111.65"/>
    <n v="1.3"/>
    <n v="99.46"/>
    <x v="35"/>
    <n v="46"/>
    <x v="319"/>
    <n v="1.79"/>
  </r>
  <r>
    <x v="83"/>
    <n v="587"/>
    <n v="38"/>
    <n v="251"/>
    <n v="35"/>
    <n v="3"/>
    <n v="22"/>
    <n v="1"/>
    <n v="159"/>
    <n v="43"/>
    <n v="1"/>
    <n v="1"/>
    <x v="13"/>
    <n v="519"/>
    <n v="26"/>
    <n v="339"/>
    <n v="36"/>
    <n v="3"/>
    <n v="23"/>
    <n v="0"/>
    <n v="100"/>
    <n v="23"/>
    <n v="0"/>
    <n v="4"/>
    <s v="W"/>
    <n v="4"/>
    <n v="106.23"/>
    <n v="72.290000000000006"/>
    <n v="82.3"/>
    <n v="151.30000000000001"/>
    <n v="0.61"/>
    <n v="0.39"/>
    <s v="N"/>
    <s v="N"/>
    <s v="N"/>
    <s v="N"/>
    <s v="N"/>
    <n v="126.86"/>
    <n v="82.47"/>
    <n v="106.36"/>
    <n v="150.54"/>
    <x v="51"/>
    <n v="64"/>
    <x v="372"/>
    <n v="99.01"/>
  </r>
  <r>
    <x v="83"/>
    <n v="587"/>
    <n v="19"/>
    <n v="297"/>
    <n v="57"/>
    <n v="1"/>
    <n v="29"/>
    <n v="1"/>
    <n v="5"/>
    <n v="38"/>
    <n v="0"/>
    <n v="3"/>
    <x v="176"/>
    <n v="688"/>
    <n v="16"/>
    <n v="169"/>
    <n v="32"/>
    <n v="0"/>
    <n v="15"/>
    <n v="3"/>
    <n v="126"/>
    <n v="32"/>
    <n v="1"/>
    <n v="2"/>
    <s v="W"/>
    <n v="5"/>
    <n v="76.64"/>
    <n v="152.47"/>
    <n v="-20.63"/>
    <n v="122.71"/>
    <n v="0.5"/>
    <n v="0.5"/>
    <s v="N"/>
    <s v="N"/>
    <s v="N"/>
    <s v="N"/>
    <s v="N"/>
    <n v="68.5"/>
    <n v="161.37"/>
    <n v="-27.73"/>
    <n v="111.12"/>
    <x v="22"/>
    <n v="35"/>
    <x v="373"/>
    <n v="4.3600000000000003"/>
  </r>
  <r>
    <x v="83"/>
    <n v="587"/>
    <n v="34"/>
    <n v="174"/>
    <n v="24"/>
    <n v="2"/>
    <n v="11"/>
    <n v="0"/>
    <n v="97"/>
    <n v="42"/>
    <n v="1"/>
    <n v="1"/>
    <x v="82"/>
    <n v="545"/>
    <n v="10"/>
    <n v="137"/>
    <n v="33"/>
    <n v="0"/>
    <n v="16"/>
    <n v="4"/>
    <n v="134"/>
    <n v="35"/>
    <n v="1"/>
    <n v="0"/>
    <s v="W"/>
    <n v="6"/>
    <n v="97.85"/>
    <n v="165.25"/>
    <n v="50.01"/>
    <n v="106.89"/>
    <n v="0.49"/>
    <n v="0.51"/>
    <s v="N"/>
    <s v="N"/>
    <s v="N"/>
    <s v="N"/>
    <s v="N"/>
    <n v="103.46"/>
    <n v="129.85"/>
    <n v="60.03"/>
    <n v="98.59"/>
    <x v="14"/>
    <n v="44"/>
    <x v="374"/>
    <n v="120"/>
  </r>
  <r>
    <x v="83"/>
    <n v="587"/>
    <n v="21"/>
    <n v="271"/>
    <n v="31"/>
    <n v="2"/>
    <n v="23"/>
    <n v="2"/>
    <n v="152"/>
    <n v="36"/>
    <n v="1"/>
    <n v="1"/>
    <x v="3"/>
    <n v="726"/>
    <n v="20"/>
    <n v="143"/>
    <n v="13"/>
    <n v="0"/>
    <n v="6"/>
    <n v="2"/>
    <n v="162"/>
    <n v="46"/>
    <n v="1"/>
    <n v="0"/>
    <s v="W"/>
    <n v="7"/>
    <n v="112.16"/>
    <s v=" "/>
    <n v="93.79"/>
    <n v="115.03"/>
    <n v="0.22"/>
    <n v="0.78"/>
    <s v="N"/>
    <s v="N"/>
    <s v="N"/>
    <s v="Y"/>
    <s v="N"/>
    <n v="89.84"/>
    <s v=" "/>
    <n v="84.45"/>
    <n v="151.07"/>
    <x v="3"/>
    <n v="41"/>
    <x v="0"/>
    <s v=" "/>
  </r>
  <r>
    <x v="83"/>
    <n v="587"/>
    <n v="14"/>
    <n v="207"/>
    <n v="33"/>
    <n v="1"/>
    <n v="18"/>
    <n v="3"/>
    <n v="91"/>
    <n v="30"/>
    <n v="1"/>
    <n v="0"/>
    <x v="96"/>
    <n v="367"/>
    <n v="16"/>
    <n v="122"/>
    <n v="18"/>
    <n v="1"/>
    <n v="10"/>
    <n v="1"/>
    <n v="187"/>
    <n v="34"/>
    <n v="1"/>
    <n v="0"/>
    <s v="L"/>
    <n v="8"/>
    <n v="66"/>
    <n v="115.84"/>
    <n v="75.37"/>
    <n v="67.990000000000009"/>
    <n v="0.35"/>
    <n v="0.65"/>
    <s v="N"/>
    <s v="N"/>
    <s v="N"/>
    <s v="N"/>
    <s v="N"/>
    <n v="60.93"/>
    <n v="111.3"/>
    <n v="103.94"/>
    <n v="49.87"/>
    <x v="35"/>
    <n v="30"/>
    <x v="249"/>
    <n v="2.67"/>
  </r>
  <r>
    <x v="84"/>
    <n v="624"/>
    <n v="22"/>
    <n v="126"/>
    <n v="21"/>
    <n v="1"/>
    <n v="8"/>
    <n v="1"/>
    <n v="222"/>
    <n v="43"/>
    <n v="2"/>
    <n v="1"/>
    <x v="177"/>
    <n v="706"/>
    <n v="7"/>
    <n v="217"/>
    <n v="52"/>
    <n v="0"/>
    <n v="26"/>
    <n v="3"/>
    <n v="29"/>
    <n v="19"/>
    <n v="1"/>
    <n v="2"/>
    <s v="W"/>
    <n v="5"/>
    <n v="63.65"/>
    <n v="144.56"/>
    <n v="119.78"/>
    <n v="188.27"/>
    <n v="0.73"/>
    <n v="0.27"/>
    <s v="N"/>
    <s v="N"/>
    <s v="N"/>
    <s v="N"/>
    <s v="N"/>
    <n v="58.96"/>
    <n v="123.09"/>
    <n v="129.81"/>
    <n v="103.68"/>
    <x v="24"/>
    <n v="29"/>
    <x v="375"/>
    <n v="12.9"/>
  </r>
  <r>
    <x v="85"/>
    <n v="626"/>
    <n v="49"/>
    <n v="203"/>
    <n v="28"/>
    <n v="4"/>
    <n v="15"/>
    <n v="0"/>
    <n v="289"/>
    <n v="49"/>
    <n v="2"/>
    <n v="0"/>
    <x v="165"/>
    <n v="90"/>
    <n v="21"/>
    <n v="147"/>
    <n v="14"/>
    <n v="0"/>
    <n v="7"/>
    <n v="0"/>
    <n v="137"/>
    <n v="46"/>
    <n v="3"/>
    <n v="1"/>
    <s v="W"/>
    <n v="1"/>
    <s v=" "/>
    <s v=" "/>
    <s v=" "/>
    <s v=" "/>
    <n v="0.23"/>
    <n v="0.77"/>
    <s v="Y"/>
    <s v="N"/>
    <s v="N"/>
    <s v="Y"/>
    <s v="N"/>
    <s v=" "/>
    <s v=" "/>
    <s v=" "/>
    <s v=" "/>
    <x v="15"/>
    <n v="70"/>
    <x v="0"/>
    <s v=" "/>
  </r>
  <r>
    <x v="85"/>
    <n v="626"/>
    <n v="23"/>
    <n v="146"/>
    <n v="18"/>
    <n v="1"/>
    <n v="8"/>
    <n v="0"/>
    <n v="146"/>
    <n v="25"/>
    <n v="2"/>
    <n v="0"/>
    <x v="58"/>
    <n v="725"/>
    <n v="20"/>
    <n v="43"/>
    <n v="7"/>
    <n v="0"/>
    <n v="2"/>
    <n v="0"/>
    <n v="403"/>
    <n v="77"/>
    <n v="3"/>
    <n v="3"/>
    <s v="W"/>
    <n v="2"/>
    <n v="96.98"/>
    <s v=" "/>
    <n v="147.49"/>
    <n v="84.42"/>
    <n v="0.08"/>
    <n v="0.92"/>
    <s v="N"/>
    <s v="N"/>
    <s v="N"/>
    <s v="Y"/>
    <s v="N"/>
    <n v="94.86"/>
    <s v=" "/>
    <n v="117.2"/>
    <n v="104.92"/>
    <x v="22"/>
    <n v="43"/>
    <x v="0"/>
    <s v=" "/>
  </r>
  <r>
    <x v="85"/>
    <n v="626"/>
    <n v="42"/>
    <n v="273"/>
    <n v="37"/>
    <n v="2"/>
    <n v="21"/>
    <n v="1"/>
    <n v="227"/>
    <n v="44"/>
    <n v="4"/>
    <n v="1"/>
    <x v="104"/>
    <n v="754"/>
    <n v="24"/>
    <n v="368"/>
    <n v="42"/>
    <n v="3"/>
    <n v="20"/>
    <n v="2"/>
    <n v="51"/>
    <n v="28"/>
    <n v="0"/>
    <n v="2"/>
    <s v="W"/>
    <n v="3"/>
    <n v="96.97"/>
    <n v="108.2"/>
    <n v="126.51"/>
    <n v="179.17000000000002"/>
    <n v="0.6"/>
    <n v="0.4"/>
    <s v="N"/>
    <s v="N"/>
    <s v="N"/>
    <s v="N"/>
    <s v="N"/>
    <n v="88.25"/>
    <n v="119.68"/>
    <n v="120.93"/>
    <n v="106.98"/>
    <x v="30"/>
    <n v="66"/>
    <x v="376"/>
    <n v="16.239999999999998"/>
  </r>
  <r>
    <x v="85"/>
    <n v="626"/>
    <n v="7"/>
    <n v="253"/>
    <n v="48"/>
    <n v="1"/>
    <n v="23"/>
    <n v="0"/>
    <n v="123"/>
    <n v="29"/>
    <n v="0"/>
    <n v="3"/>
    <x v="113"/>
    <n v="418"/>
    <n v="28"/>
    <n v="93"/>
    <n v="17"/>
    <n v="0"/>
    <n v="8"/>
    <n v="2"/>
    <n v="320"/>
    <n v="45"/>
    <n v="4"/>
    <n v="2"/>
    <s v="L"/>
    <n v="4"/>
    <n v="79.77"/>
    <n v="158.42000000000002"/>
    <n v="67.37"/>
    <n v="35.02000000000001"/>
    <n v="0.27"/>
    <n v="0.73"/>
    <s v="N"/>
    <s v="N"/>
    <s v="N"/>
    <s v="N"/>
    <s v="N"/>
    <n v="85.61"/>
    <n v="141.77000000000001"/>
    <n v="73.44"/>
    <n v="46.1"/>
    <x v="23"/>
    <n v="35"/>
    <x v="377"/>
    <n v="35.340000000000003"/>
  </r>
  <r>
    <x v="85"/>
    <n v="626"/>
    <n v="14"/>
    <n v="206"/>
    <n v="42"/>
    <n v="2"/>
    <n v="16"/>
    <n v="3"/>
    <n v="90"/>
    <n v="30"/>
    <n v="0"/>
    <n v="1"/>
    <x v="1"/>
    <n v="698"/>
    <n v="27"/>
    <n v="212"/>
    <n v="22"/>
    <n v="2"/>
    <n v="14"/>
    <n v="2"/>
    <n v="234"/>
    <n v="52"/>
    <n v="1"/>
    <n v="2"/>
    <s v="L"/>
    <n v="6"/>
    <n v="50.54"/>
    <n v="97.48"/>
    <n v="59.6"/>
    <n v="104.25"/>
    <n v="0.3"/>
    <n v="0.7"/>
    <s v="N"/>
    <s v="N"/>
    <s v="N"/>
    <s v="N"/>
    <s v="N"/>
    <n v="45.22"/>
    <n v="119.14"/>
    <n v="73.34"/>
    <n v="125.06"/>
    <x v="40"/>
    <n v="41"/>
    <x v="378"/>
    <n v="14.75"/>
  </r>
  <r>
    <x v="85"/>
    <n v="626"/>
    <n v="41"/>
    <n v="209"/>
    <n v="21"/>
    <n v="2"/>
    <n v="15"/>
    <n v="0"/>
    <n v="201"/>
    <n v="35"/>
    <n v="2"/>
    <n v="1"/>
    <x v="71"/>
    <n v="721"/>
    <n v="27"/>
    <n v="224"/>
    <n v="37"/>
    <n v="2"/>
    <n v="22"/>
    <n v="2"/>
    <n v="195"/>
    <n v="47"/>
    <n v="1"/>
    <n v="1"/>
    <s v="W"/>
    <n v="7"/>
    <n v="139.94999999999999"/>
    <n v="115.65"/>
    <n v="133.22999999999999"/>
    <n v="106.94"/>
    <n v="0.44"/>
    <n v="0.56000000000000005"/>
    <s v="N"/>
    <s v="N"/>
    <s v="N"/>
    <s v="N"/>
    <s v="N"/>
    <n v="103.81"/>
    <n v="105.25"/>
    <n v="79.64"/>
    <n v="125.62"/>
    <x v="5"/>
    <n v="68"/>
    <x v="3"/>
    <n v="14.62"/>
  </r>
  <r>
    <x v="86"/>
    <n v="630"/>
    <n v="3"/>
    <n v="210"/>
    <n v="33"/>
    <n v="0"/>
    <n v="17"/>
    <n v="0"/>
    <n v="27"/>
    <n v="32"/>
    <n v="0"/>
    <n v="3"/>
    <x v="24"/>
    <n v="674"/>
    <n v="57"/>
    <n v="232"/>
    <n v="31"/>
    <n v="3"/>
    <n v="22"/>
    <n v="0"/>
    <n v="141"/>
    <n v="40"/>
    <n v="4"/>
    <n v="0"/>
    <s v="L"/>
    <n v="1"/>
    <n v="86.2"/>
    <n v="73.73"/>
    <n v="-8.5500000000000007"/>
    <n v="103.22"/>
    <n v="0.44"/>
    <n v="0.56000000000000005"/>
    <s v="N"/>
    <s v="N"/>
    <s v="N"/>
    <s v="N"/>
    <s v="N"/>
    <n v="89.02"/>
    <n v="98.4"/>
    <n v="-12.2"/>
    <n v="148.63"/>
    <x v="56"/>
    <n v="60"/>
    <x v="379"/>
    <n v="37.14"/>
  </r>
  <r>
    <x v="86"/>
    <n v="630"/>
    <n v="17"/>
    <n v="115"/>
    <n v="34"/>
    <n v="0"/>
    <n v="16"/>
    <n v="2"/>
    <n v="202"/>
    <n v="29"/>
    <n v="2"/>
    <n v="0"/>
    <x v="28"/>
    <n v="110"/>
    <n v="27"/>
    <n v="145"/>
    <n v="23"/>
    <n v="1"/>
    <n v="12"/>
    <n v="0"/>
    <n v="272"/>
    <n v="42"/>
    <n v="2"/>
    <n v="2"/>
    <s v="L"/>
    <n v="2"/>
    <n v="47.85"/>
    <n v="106.95"/>
    <n v="171.94"/>
    <n v="56.900000000000006"/>
    <n v="0.35"/>
    <n v="0.65"/>
    <s v="N"/>
    <s v="N"/>
    <s v="N"/>
    <s v="N"/>
    <s v="N"/>
    <n v="42.17"/>
    <n v="104.56"/>
    <n v="137.53"/>
    <n v="57.63"/>
    <x v="12"/>
    <n v="44"/>
    <x v="380"/>
    <n v="61.12"/>
  </r>
  <r>
    <x v="86"/>
    <n v="630"/>
    <n v="14"/>
    <n v="152"/>
    <n v="33"/>
    <n v="0"/>
    <n v="13"/>
    <n v="1"/>
    <n v="138"/>
    <n v="30"/>
    <n v="2"/>
    <n v="3"/>
    <x v="68"/>
    <n v="466"/>
    <n v="17"/>
    <n v="112"/>
    <n v="21"/>
    <n v="0"/>
    <n v="11"/>
    <n v="2"/>
    <n v="261"/>
    <n v="60"/>
    <n v="2"/>
    <n v="2"/>
    <s v="L"/>
    <n v="3"/>
    <n v="55.41"/>
    <n v="147.12"/>
    <n v="86.72"/>
    <n v="104.08"/>
    <n v="0.26"/>
    <n v="0.74"/>
    <s v="N"/>
    <s v="N"/>
    <s v="N"/>
    <s v="N"/>
    <s v="N"/>
    <n v="58.88"/>
    <n v="145.66"/>
    <n v="74.849999999999994"/>
    <n v="122.51"/>
    <x v="22"/>
    <n v="31"/>
    <x v="309"/>
    <n v="44.98"/>
  </r>
  <r>
    <x v="86"/>
    <n v="630"/>
    <n v="34"/>
    <n v="236"/>
    <n v="38"/>
    <n v="2"/>
    <n v="24"/>
    <n v="0"/>
    <n v="230"/>
    <n v="39"/>
    <n v="2"/>
    <n v="1"/>
    <x v="127"/>
    <n v="472"/>
    <n v="24"/>
    <n v="238"/>
    <n v="30"/>
    <n v="1"/>
    <n v="17"/>
    <n v="1"/>
    <n v="185"/>
    <n v="32"/>
    <n v="2"/>
    <n v="0"/>
    <s v="W"/>
    <n v="4"/>
    <n v="104.9"/>
    <n v="105.1"/>
    <n v="136.82"/>
    <n v="56.5"/>
    <n v="0.48"/>
    <n v="0.52"/>
    <s v="N"/>
    <s v="N"/>
    <s v="N"/>
    <s v="N"/>
    <s v="N"/>
    <n v="119.86"/>
    <n v="116.53"/>
    <n v="113.65"/>
    <n v="45.07"/>
    <x v="12"/>
    <n v="58"/>
    <x v="318"/>
    <n v="301.2"/>
  </r>
  <r>
    <x v="86"/>
    <n v="630"/>
    <n v="38"/>
    <n v="313"/>
    <n v="38"/>
    <n v="2"/>
    <n v="25"/>
    <n v="1"/>
    <n v="137"/>
    <n v="39"/>
    <n v="2"/>
    <n v="2"/>
    <x v="70"/>
    <n v="156"/>
    <n v="31"/>
    <n v="387"/>
    <n v="43"/>
    <n v="3"/>
    <n v="28"/>
    <n v="2"/>
    <n v="71"/>
    <n v="26"/>
    <n v="1"/>
    <n v="1"/>
    <s v="W"/>
    <n v="5"/>
    <n v="110.68"/>
    <n v="89.32"/>
    <n v="73.81"/>
    <n v="142.42000000000002"/>
    <n v="0.62"/>
    <n v="0.38"/>
    <s v="N"/>
    <s v="N"/>
    <s v="N"/>
    <s v="N"/>
    <s v="N"/>
    <n v="101.47"/>
    <n v="86.01"/>
    <n v="53.88"/>
    <n v="83.93"/>
    <x v="20"/>
    <n v="69"/>
    <x v="123"/>
    <n v="43.13"/>
  </r>
  <r>
    <x v="86"/>
    <n v="630"/>
    <n v="16"/>
    <n v="255"/>
    <n v="35"/>
    <n v="0"/>
    <n v="25"/>
    <n v="2"/>
    <n v="70"/>
    <n v="26"/>
    <n v="1"/>
    <n v="0"/>
    <x v="170"/>
    <n v="77"/>
    <n v="29"/>
    <n v="219"/>
    <n v="24"/>
    <n v="3"/>
    <n v="14"/>
    <n v="2"/>
    <n v="224"/>
    <n v="44"/>
    <n v="0"/>
    <n v="1"/>
    <s v="L"/>
    <n v="6"/>
    <n v="93.99"/>
    <n v="98.19"/>
    <n v="68.23"/>
    <n v="88.71"/>
    <n v="0.35"/>
    <n v="0.65"/>
    <s v="N"/>
    <s v="N"/>
    <s v="N"/>
    <s v="N"/>
    <s v="N"/>
    <n v="104.07"/>
    <n v="85.59"/>
    <n v="75.83"/>
    <n v="61.83"/>
    <x v="40"/>
    <n v="45"/>
    <x v="381"/>
    <n v="25.55"/>
  </r>
  <r>
    <x v="86"/>
    <n v="630"/>
    <n v="28"/>
    <n v="366"/>
    <n v="41"/>
    <n v="1"/>
    <n v="27"/>
    <n v="3"/>
    <n v="103"/>
    <n v="40"/>
    <n v="1"/>
    <n v="3"/>
    <x v="102"/>
    <n v="277"/>
    <n v="27"/>
    <n v="303"/>
    <n v="46"/>
    <n v="2"/>
    <n v="27"/>
    <n v="3"/>
    <n v="142"/>
    <n v="17"/>
    <n v="2"/>
    <n v="3"/>
    <s v="W"/>
    <n v="7"/>
    <n v="96.21"/>
    <n v="118.45"/>
    <n v="40.99"/>
    <n v="41.509999999999991"/>
    <n v="0.73"/>
    <n v="0.27"/>
    <s v="N"/>
    <s v="N"/>
    <s v="N"/>
    <s v="N"/>
    <s v="N"/>
    <n v="97.24"/>
    <n v="125.97"/>
    <n v="54.91"/>
    <n v="37.58"/>
    <x v="3"/>
    <n v="55"/>
    <x v="181"/>
    <n v="0.97"/>
  </r>
  <r>
    <x v="87"/>
    <n v="663"/>
    <n v="40"/>
    <n v="416"/>
    <n v="51"/>
    <n v="0"/>
    <n v="26"/>
    <n v="2"/>
    <n v="114"/>
    <n v="26"/>
    <n v="5"/>
    <n v="1"/>
    <x v="151"/>
    <n v="508"/>
    <n v="7"/>
    <n v="77"/>
    <n v="21"/>
    <n v="0"/>
    <n v="13"/>
    <n v="0"/>
    <n v="49"/>
    <n v="29"/>
    <n v="0"/>
    <n v="1"/>
    <s v="W"/>
    <n v="3"/>
    <s v=" "/>
    <s v=" "/>
    <s v=" "/>
    <s v=" "/>
    <n v="0.42"/>
    <n v="0.58000000000000007"/>
    <s v="Y"/>
    <s v="N"/>
    <s v="N"/>
    <s v="N"/>
    <s v="N"/>
    <s v=" "/>
    <s v=" "/>
    <s v=" "/>
    <s v=" "/>
    <x v="55"/>
    <n v="47"/>
    <x v="0"/>
    <s v=" "/>
  </r>
  <r>
    <x v="87"/>
    <n v="663"/>
    <n v="14"/>
    <n v="268"/>
    <n v="38"/>
    <n v="1"/>
    <n v="23"/>
    <n v="2"/>
    <n v="79"/>
    <n v="32"/>
    <n v="1"/>
    <n v="0"/>
    <x v="37"/>
    <n v="697"/>
    <n v="46"/>
    <n v="246"/>
    <n v="26"/>
    <n v="2"/>
    <n v="21"/>
    <n v="0"/>
    <n v="212"/>
    <n v="39"/>
    <n v="4"/>
    <n v="0"/>
    <s v="L"/>
    <n v="2"/>
    <n v="87.12"/>
    <n v="56.129999999999995"/>
    <n v="61.96"/>
    <n v="58.5"/>
    <n v="0.4"/>
    <n v="0.6"/>
    <s v="N"/>
    <s v="N"/>
    <s v="N"/>
    <s v="N"/>
    <s v="N"/>
    <n v="85.78"/>
    <n v="63.29"/>
    <n v="86.33"/>
    <n v="75.900000000000006"/>
    <x v="46"/>
    <n v="60"/>
    <x v="382"/>
    <n v="23.48"/>
  </r>
  <r>
    <x v="87"/>
    <n v="663"/>
    <n v="28"/>
    <n v="244"/>
    <n v="31"/>
    <n v="0"/>
    <n v="18"/>
    <n v="1"/>
    <n v="146"/>
    <n v="27"/>
    <n v="3"/>
    <n v="2"/>
    <x v="106"/>
    <n v="704"/>
    <n v="17"/>
    <n v="276"/>
    <n v="47"/>
    <n v="0"/>
    <n v="24"/>
    <n v="1"/>
    <n v="30"/>
    <n v="26"/>
    <n v="2"/>
    <n v="1"/>
    <s v="W"/>
    <n v="2"/>
    <n v="91.28"/>
    <n v="123.31"/>
    <n v="119.9"/>
    <n v="173.23"/>
    <n v="0.64"/>
    <n v="0.36"/>
    <s v="N"/>
    <s v="N"/>
    <s v="N"/>
    <s v="N"/>
    <s v="N"/>
    <n v="98.23"/>
    <n v="95.51"/>
    <n v="102.37"/>
    <n v="209.67"/>
    <x v="6"/>
    <n v="45"/>
    <x v="383"/>
    <n v="10.210000000000001"/>
  </r>
  <r>
    <x v="87"/>
    <n v="663"/>
    <n v="42"/>
    <n v="357"/>
    <n v="44"/>
    <n v="3"/>
    <n v="28"/>
    <n v="1"/>
    <n v="162"/>
    <n v="30"/>
    <n v="3"/>
    <n v="3"/>
    <x v="40"/>
    <n v="404"/>
    <n v="0"/>
    <n v="153"/>
    <n v="32"/>
    <n v="0"/>
    <n v="17"/>
    <n v="0"/>
    <n v="-14"/>
    <n v="24"/>
    <n v="0"/>
    <n v="1"/>
    <s v="W"/>
    <n v="4"/>
    <n v="111.26"/>
    <n v="120.82"/>
    <n v="110.28"/>
    <n v="226.03"/>
    <n v="0.56999999999999995"/>
    <n v="0.43000000000000005"/>
    <s v="N"/>
    <s v="N"/>
    <s v="N"/>
    <s v="N"/>
    <s v="N"/>
    <n v="90.2"/>
    <n v="100.95"/>
    <n v="91.11"/>
    <n v="105.28"/>
    <x v="7"/>
    <n v="42"/>
    <x v="384"/>
    <n v="24.94"/>
  </r>
  <r>
    <x v="87"/>
    <n v="663"/>
    <n v="40"/>
    <n v="349"/>
    <n v="45"/>
    <n v="4"/>
    <n v="23"/>
    <n v="1"/>
    <n v="112"/>
    <n v="24"/>
    <n v="0"/>
    <n v="0"/>
    <x v="1"/>
    <n v="698"/>
    <n v="33"/>
    <n v="304"/>
    <n v="43"/>
    <n v="3"/>
    <n v="30"/>
    <n v="0"/>
    <n v="150"/>
    <n v="31"/>
    <n v="1"/>
    <n v="1"/>
    <s v="W"/>
    <n v="5"/>
    <n v="100.05"/>
    <n v="81.239999999999995"/>
    <n v="108.27"/>
    <n v="92.58"/>
    <n v="0.57999999999999996"/>
    <n v="0.42000000000000004"/>
    <s v="N"/>
    <s v="N"/>
    <s v="N"/>
    <s v="N"/>
    <s v="N"/>
    <n v="89.51"/>
    <n v="99.29"/>
    <n v="133.22999999999999"/>
    <n v="111.06"/>
    <x v="20"/>
    <n v="73"/>
    <x v="385"/>
    <n v="39.19"/>
  </r>
  <r>
    <x v="87"/>
    <n v="663"/>
    <n v="38"/>
    <n v="358"/>
    <n v="31"/>
    <n v="2"/>
    <n v="20"/>
    <n v="1"/>
    <n v="82"/>
    <n v="16"/>
    <n v="2"/>
    <n v="0"/>
    <x v="73"/>
    <n v="128"/>
    <n v="17"/>
    <n v="349"/>
    <n v="44"/>
    <n v="2"/>
    <n v="32"/>
    <n v="0"/>
    <n v="110"/>
    <n v="36"/>
    <n v="0"/>
    <n v="0"/>
    <s v="W"/>
    <n v="7"/>
    <n v="127.45"/>
    <n v="77.23"/>
    <n v="137.65"/>
    <n v="129.11000000000001"/>
    <n v="0.55000000000000004"/>
    <n v="0.44999999999999996"/>
    <s v="N"/>
    <s v="N"/>
    <s v="N"/>
    <s v="N"/>
    <s v="N"/>
    <n v="156.30000000000001"/>
    <n v="80.62"/>
    <n v="152.11000000000001"/>
    <n v="111.5"/>
    <x v="23"/>
    <n v="55"/>
    <x v="386"/>
    <n v="29.4"/>
  </r>
  <r>
    <x v="87"/>
    <n v="663"/>
    <n v="3"/>
    <n v="173"/>
    <n v="32"/>
    <n v="0"/>
    <n v="16"/>
    <n v="2"/>
    <n v="157"/>
    <n v="24"/>
    <n v="0"/>
    <n v="0"/>
    <x v="148"/>
    <n v="664"/>
    <n v="27"/>
    <n v="266"/>
    <n v="37"/>
    <n v="1"/>
    <n v="27"/>
    <n v="1"/>
    <n v="187"/>
    <n v="42"/>
    <n v="1"/>
    <n v="1"/>
    <s v="L"/>
    <n v="8"/>
    <n v="60.71"/>
    <n v="91.9"/>
    <n v="151.77000000000001"/>
    <n v="100.28"/>
    <n v="0.47"/>
    <n v="0.53"/>
    <s v="N"/>
    <s v="N"/>
    <s v="N"/>
    <s v="N"/>
    <s v="N"/>
    <n v="76.13"/>
    <n v="101.57"/>
    <n v="179.13"/>
    <n v="100.74"/>
    <x v="14"/>
    <n v="30"/>
    <x v="387"/>
    <n v="515.02"/>
  </r>
  <r>
    <x v="88"/>
    <n v="648"/>
    <n v="56"/>
    <n v="131"/>
    <n v="25"/>
    <n v="1"/>
    <n v="10"/>
    <n v="0"/>
    <n v="220"/>
    <n v="40"/>
    <n v="5"/>
    <n v="4"/>
    <x v="129"/>
    <n v="196"/>
    <n v="37"/>
    <n v="260"/>
    <n v="56"/>
    <n v="4"/>
    <n v="37"/>
    <n v="1"/>
    <n v="85"/>
    <n v="28"/>
    <n v="1"/>
    <n v="4"/>
    <s v="W"/>
    <n v="1"/>
    <n v="74.56"/>
    <n v="103.27"/>
    <n v="116.35"/>
    <n v="167.07"/>
    <n v="0.67"/>
    <n v="0.32999999999999996"/>
    <s v="N"/>
    <s v="N"/>
    <s v="N"/>
    <s v="N"/>
    <s v="N"/>
    <n v="77.39"/>
    <n v="107.49"/>
    <n v="105.51"/>
    <n v="85.91"/>
    <x v="31"/>
    <n v="93"/>
    <x v="388"/>
    <n v="31.02"/>
  </r>
  <r>
    <x v="88"/>
    <n v="648"/>
    <n v="45"/>
    <n v="142"/>
    <n v="26"/>
    <n v="1"/>
    <n v="11"/>
    <n v="2"/>
    <n v="253"/>
    <n v="41"/>
    <n v="3"/>
    <n v="0"/>
    <x v="65"/>
    <n v="257"/>
    <n v="42"/>
    <n v="248"/>
    <n v="29"/>
    <n v="4"/>
    <n v="19"/>
    <n v="1"/>
    <n v="188"/>
    <n v="38"/>
    <n v="1"/>
    <n v="2"/>
    <s v="W"/>
    <n v="2"/>
    <n v="54.77"/>
    <n v="77.53"/>
    <n v="154.13999999999999"/>
    <n v="97.06"/>
    <n v="0.43"/>
    <n v="0.57000000000000006"/>
    <s v="N"/>
    <s v="N"/>
    <s v="N"/>
    <s v="N"/>
    <s v="N"/>
    <n v="70.040000000000006"/>
    <n v="80.7"/>
    <n v="201.3"/>
    <n v="88.62"/>
    <x v="22"/>
    <n v="87"/>
    <x v="171"/>
    <n v="18.18"/>
  </r>
  <r>
    <x v="88"/>
    <n v="648"/>
    <n v="24"/>
    <n v="204"/>
    <n v="25"/>
    <n v="0"/>
    <n v="18"/>
    <n v="1"/>
    <n v="254"/>
    <n v="44"/>
    <n v="3"/>
    <n v="0"/>
    <x v="3"/>
    <n v="726"/>
    <n v="21"/>
    <n v="61"/>
    <n v="9"/>
    <n v="0"/>
    <n v="5"/>
    <n v="1"/>
    <n v="274"/>
    <n v="47"/>
    <n v="3"/>
    <n v="0"/>
    <s v="W"/>
    <n v="3"/>
    <n v="104.47"/>
    <s v=" "/>
    <n v="144.15"/>
    <n v="55.169999999999987"/>
    <n v="0.16"/>
    <n v="0.84"/>
    <s v="N"/>
    <s v="N"/>
    <s v="N"/>
    <s v="Y"/>
    <s v="N"/>
    <n v="83.68"/>
    <s v=" "/>
    <n v="129.80000000000001"/>
    <n v="72.45"/>
    <x v="22"/>
    <n v="45"/>
    <x v="0"/>
    <s v=" "/>
  </r>
  <r>
    <x v="88"/>
    <n v="648"/>
    <n v="21"/>
    <n v="236"/>
    <n v="32"/>
    <n v="1"/>
    <n v="17"/>
    <n v="4"/>
    <n v="131"/>
    <n v="40"/>
    <n v="1"/>
    <n v="0"/>
    <x v="19"/>
    <n v="736"/>
    <n v="3"/>
    <n v="73"/>
    <n v="23"/>
    <n v="0"/>
    <n v="16"/>
    <n v="1"/>
    <n v="4"/>
    <n v="25"/>
    <n v="0"/>
    <n v="2"/>
    <s v="W"/>
    <n v="4"/>
    <n v="60.51"/>
    <n v="126.18"/>
    <n v="79.73"/>
    <n v="220.29"/>
    <n v="0.48"/>
    <n v="0.52"/>
    <s v="N"/>
    <s v="N"/>
    <s v="N"/>
    <s v="N"/>
    <s v="N"/>
    <n v="76.42"/>
    <n v="79.23"/>
    <n v="97.36"/>
    <n v="194.78"/>
    <x v="30"/>
    <n v="24"/>
    <x v="389"/>
    <n v="20.76"/>
  </r>
  <r>
    <x v="88"/>
    <n v="648"/>
    <n v="13"/>
    <n v="160"/>
    <n v="23"/>
    <n v="1"/>
    <n v="9"/>
    <n v="2"/>
    <n v="129"/>
    <n v="29"/>
    <n v="1"/>
    <n v="2"/>
    <x v="38"/>
    <n v="37"/>
    <n v="16"/>
    <n v="112"/>
    <n v="25"/>
    <n v="1"/>
    <n v="12"/>
    <n v="4"/>
    <n v="246"/>
    <n v="67"/>
    <n v="1"/>
    <n v="0"/>
    <s v="L"/>
    <n v="5"/>
    <n v="57.48"/>
    <n v="169.57999999999998"/>
    <n v="87.68"/>
    <n v="112.58"/>
    <n v="0.27"/>
    <n v="0.73"/>
    <s v="N"/>
    <s v="N"/>
    <s v="N"/>
    <s v="N"/>
    <s v="N"/>
    <n v="58.24"/>
    <n v="141.41999999999999"/>
    <n v="87.92"/>
    <n v="118.79"/>
    <x v="22"/>
    <n v="29"/>
    <x v="390"/>
    <n v="10.98"/>
  </r>
  <r>
    <x v="88"/>
    <n v="648"/>
    <n v="54"/>
    <n v="351"/>
    <n v="43"/>
    <n v="5"/>
    <n v="30"/>
    <n v="0"/>
    <n v="288"/>
    <n v="48"/>
    <n v="2"/>
    <n v="1"/>
    <x v="91"/>
    <n v="334"/>
    <n v="3"/>
    <n v="17"/>
    <n v="26"/>
    <n v="0"/>
    <n v="4"/>
    <n v="4"/>
    <n v="79"/>
    <n v="27"/>
    <n v="0"/>
    <n v="2"/>
    <s v="W"/>
    <n v="6"/>
    <n v="131.69999999999999"/>
    <n v="227.21"/>
    <n v="139.19999999999999"/>
    <n v="154.34"/>
    <n v="0.49"/>
    <n v="0.51"/>
    <s v="N"/>
    <s v="N"/>
    <s v="N"/>
    <s v="N"/>
    <s v="N"/>
    <n v="155.93"/>
    <n v="109.32"/>
    <n v="118.28"/>
    <n v="100.51"/>
    <x v="42"/>
    <n v="57"/>
    <x v="230"/>
    <n v="20.2"/>
  </r>
  <r>
    <x v="88"/>
    <n v="648"/>
    <n v="14"/>
    <n v="179"/>
    <n v="32"/>
    <n v="1"/>
    <n v="22"/>
    <n v="2"/>
    <n v="110"/>
    <n v="43"/>
    <n v="1"/>
    <n v="0"/>
    <x v="50"/>
    <n v="430"/>
    <n v="12"/>
    <n v="165"/>
    <n v="30"/>
    <n v="1"/>
    <n v="11"/>
    <n v="2"/>
    <n v="131"/>
    <n v="37"/>
    <n v="0"/>
    <n v="0"/>
    <s v="W"/>
    <n v="7"/>
    <n v="85.17"/>
    <n v="148.36000000000001"/>
    <n v="62.84"/>
    <n v="117.86"/>
    <n v="0.45"/>
    <n v="0.55000000000000004"/>
    <s v="N"/>
    <s v="N"/>
    <s v="N"/>
    <s v="N"/>
    <s v="N"/>
    <n v="94.99"/>
    <n v="132.53"/>
    <n v="70.790000000000006"/>
    <n v="114.69"/>
    <x v="35"/>
    <n v="26"/>
    <x v="391"/>
    <n v="14.05"/>
  </r>
  <r>
    <x v="89"/>
    <n v="651"/>
    <n v="70"/>
    <n v="477"/>
    <n v="43"/>
    <n v="4"/>
    <n v="30"/>
    <n v="2"/>
    <n v="268"/>
    <n v="47"/>
    <n v="5"/>
    <n v="1"/>
    <x v="178"/>
    <n v="228"/>
    <n v="17"/>
    <n v="142"/>
    <n v="30"/>
    <n v="2"/>
    <n v="12"/>
    <n v="1"/>
    <n v="39"/>
    <n v="29"/>
    <n v="0"/>
    <n v="1"/>
    <s v="W"/>
    <n v="3"/>
    <s v=" "/>
    <s v=" "/>
    <s v=" "/>
    <s v=" "/>
    <n v="0.51"/>
    <n v="0.49"/>
    <s v="Y"/>
    <s v="N"/>
    <s v="N"/>
    <s v="N"/>
    <s v="N"/>
    <s v=" "/>
    <s v=" "/>
    <s v=" "/>
    <s v=" "/>
    <x v="41"/>
    <n v="87"/>
    <x v="0"/>
    <s v=" "/>
  </r>
  <r>
    <x v="89"/>
    <n v="651"/>
    <n v="23"/>
    <n v="128"/>
    <n v="30"/>
    <n v="1"/>
    <n v="18"/>
    <n v="0"/>
    <n v="126"/>
    <n v="42"/>
    <n v="0"/>
    <n v="0"/>
    <x v="4"/>
    <n v="513"/>
    <n v="20"/>
    <n v="391"/>
    <n v="49"/>
    <n v="2"/>
    <n v="31"/>
    <n v="3"/>
    <n v="117"/>
    <n v="29"/>
    <n v="1"/>
    <n v="2"/>
    <s v="W"/>
    <n v="1"/>
    <n v="88.25"/>
    <n v="105.49"/>
    <n v="69.599999999999994"/>
    <n v="121.92"/>
    <n v="0.63"/>
    <n v="0.37"/>
    <s v="N"/>
    <s v="N"/>
    <s v="N"/>
    <s v="N"/>
    <s v="N"/>
    <n v="90.82"/>
    <n v="107.36"/>
    <n v="81.11"/>
    <n v="163.08000000000001"/>
    <x v="22"/>
    <n v="43"/>
    <x v="332"/>
    <n v="20.350000000000001"/>
  </r>
  <r>
    <x v="89"/>
    <n v="651"/>
    <n v="37"/>
    <n v="372"/>
    <n v="50"/>
    <n v="1"/>
    <n v="31"/>
    <n v="2"/>
    <n v="147"/>
    <n v="38"/>
    <n v="2"/>
    <n v="0"/>
    <x v="46"/>
    <n v="47"/>
    <n v="7"/>
    <n v="148"/>
    <n v="35"/>
    <n v="0"/>
    <n v="24"/>
    <n v="0"/>
    <n v="77"/>
    <n v="33"/>
    <n v="1"/>
    <n v="3"/>
    <s v="W"/>
    <n v="2"/>
    <n v="93.55"/>
    <n v="108.38"/>
    <n v="97.64"/>
    <n v="168.59"/>
    <n v="0.51"/>
    <n v="0.49"/>
    <s v="N"/>
    <s v="N"/>
    <s v="N"/>
    <s v="N"/>
    <s v="N"/>
    <n v="79.5"/>
    <n v="105.5"/>
    <n v="84.45"/>
    <n v="145.16"/>
    <x v="33"/>
    <n v="44"/>
    <x v="392"/>
    <n v="44.01"/>
  </r>
  <r>
    <x v="89"/>
    <n v="651"/>
    <n v="52"/>
    <n v="202"/>
    <n v="24"/>
    <n v="2"/>
    <n v="15"/>
    <n v="0"/>
    <n v="373"/>
    <n v="45"/>
    <n v="4"/>
    <n v="0"/>
    <x v="106"/>
    <n v="704"/>
    <n v="24"/>
    <n v="244"/>
    <n v="42"/>
    <n v="2"/>
    <n v="27"/>
    <n v="3"/>
    <n v="95"/>
    <n v="32"/>
    <n v="1"/>
    <n v="0"/>
    <s v="W"/>
    <n v="4"/>
    <n v="120.87"/>
    <n v="118.34"/>
    <n v="205.64"/>
    <n v="126.44"/>
    <n v="0.56999999999999995"/>
    <n v="0.43000000000000005"/>
    <s v="N"/>
    <s v="N"/>
    <s v="N"/>
    <s v="N"/>
    <s v="N"/>
    <n v="130.07"/>
    <n v="91.66"/>
    <n v="175.58"/>
    <n v="153.04"/>
    <x v="15"/>
    <n v="76"/>
    <x v="393"/>
    <n v="16.350000000000001"/>
  </r>
  <r>
    <x v="89"/>
    <n v="651"/>
    <n v="17"/>
    <n v="223"/>
    <n v="36"/>
    <n v="0"/>
    <n v="18"/>
    <n v="0"/>
    <n v="202"/>
    <n v="38"/>
    <n v="2"/>
    <n v="2"/>
    <x v="82"/>
    <n v="545"/>
    <n v="44"/>
    <n v="216"/>
    <n v="33"/>
    <n v="1"/>
    <n v="22"/>
    <n v="0"/>
    <n v="307"/>
    <n v="58"/>
    <n v="4"/>
    <n v="1"/>
    <s v="L"/>
    <n v="5"/>
    <n v="83.76"/>
    <n v="93.12"/>
    <n v="115.43"/>
    <n v="72.03"/>
    <n v="0.36"/>
    <n v="0.64"/>
    <s v="N"/>
    <s v="N"/>
    <s v="N"/>
    <s v="N"/>
    <s v="N"/>
    <n v="88.57"/>
    <n v="73.17"/>
    <n v="138.56"/>
    <n v="66.430000000000007"/>
    <x v="18"/>
    <n v="61"/>
    <x v="365"/>
    <n v="75.72"/>
  </r>
  <r>
    <x v="89"/>
    <n v="651"/>
    <n v="10"/>
    <n v="164"/>
    <n v="27"/>
    <n v="0"/>
    <n v="15"/>
    <n v="2"/>
    <n v="175"/>
    <n v="36"/>
    <n v="1"/>
    <n v="2"/>
    <x v="83"/>
    <n v="164"/>
    <n v="16"/>
    <n v="135"/>
    <n v="25"/>
    <n v="0"/>
    <n v="14"/>
    <n v="0"/>
    <n v="118"/>
    <n v="48"/>
    <n v="0"/>
    <n v="2"/>
    <s v="L"/>
    <n v="7"/>
    <n v="66.44"/>
    <n v="114.57"/>
    <n v="100.28"/>
    <n v="155.47"/>
    <n v="0.34"/>
    <n v="0.65999999999999992"/>
    <s v="N"/>
    <s v="N"/>
    <s v="N"/>
    <s v="N"/>
    <s v="N"/>
    <n v="73.819999999999993"/>
    <n v="96.28"/>
    <n v="136.13"/>
    <n v="85.96"/>
    <x v="47"/>
    <n v="26"/>
    <x v="394"/>
    <n v="16.32"/>
  </r>
  <r>
    <x v="89"/>
    <n v="651"/>
    <n v="34"/>
    <n v="409"/>
    <n v="48"/>
    <n v="3"/>
    <n v="31"/>
    <n v="1"/>
    <n v="86"/>
    <n v="36"/>
    <n v="1"/>
    <n v="3"/>
    <x v="10"/>
    <n v="140"/>
    <n v="37"/>
    <n v="389"/>
    <n v="41"/>
    <n v="3"/>
    <n v="26"/>
    <n v="2"/>
    <n v="118"/>
    <n v="34"/>
    <n v="2"/>
    <n v="1"/>
    <s v="L"/>
    <n v="8"/>
    <n v="114.15"/>
    <n v="88.54"/>
    <n v="34.590000000000003"/>
    <n v="119.48"/>
    <n v="0.55000000000000004"/>
    <n v="0.44999999999999996"/>
    <s v="N"/>
    <s v="N"/>
    <s v="N"/>
    <s v="N"/>
    <s v="N"/>
    <n v="112.58"/>
    <n v="92.83"/>
    <n v="58.9"/>
    <n v="130.88"/>
    <x v="22"/>
    <n v="71"/>
    <x v="108"/>
    <n v="6.94"/>
  </r>
  <r>
    <x v="90"/>
    <n v="655"/>
    <n v="38"/>
    <n v="349"/>
    <n v="45"/>
    <n v="0"/>
    <n v="26"/>
    <n v="0"/>
    <n v="147"/>
    <n v="39"/>
    <n v="5"/>
    <n v="0"/>
    <x v="153"/>
    <n v="670"/>
    <n v="28"/>
    <n v="172"/>
    <n v="21"/>
    <n v="1"/>
    <n v="12"/>
    <n v="0"/>
    <n v="336"/>
    <n v="45"/>
    <n v="3"/>
    <n v="2"/>
    <s v="W"/>
    <n v="8"/>
    <n v="100.05"/>
    <n v="91.08"/>
    <n v="106.68"/>
    <n v="30.110000000000014"/>
    <n v="0.32"/>
    <n v="0.67999999999999994"/>
    <s v="N"/>
    <s v="N"/>
    <s v="N"/>
    <s v="N"/>
    <s v="N"/>
    <n v="109.21"/>
    <n v="87.06"/>
    <n v="71.02"/>
    <n v="29.54"/>
    <x v="12"/>
    <n v="66"/>
    <x v="395"/>
    <n v="13.87"/>
  </r>
  <r>
    <x v="91"/>
    <n v="657"/>
    <n v="19"/>
    <n v="304"/>
    <n v="45"/>
    <n v="3"/>
    <n v="34"/>
    <n v="0"/>
    <n v="67"/>
    <n v="28"/>
    <n v="0"/>
    <n v="1"/>
    <x v="156"/>
    <n v="428"/>
    <n v="17"/>
    <n v="192"/>
    <n v="26"/>
    <n v="1"/>
    <n v="14"/>
    <n v="1"/>
    <n v="110"/>
    <n v="34"/>
    <n v="1"/>
    <n v="0"/>
    <s v="W"/>
    <n v="1"/>
    <n v="122.37"/>
    <n v="111.68"/>
    <n v="44.8"/>
    <n v="120.53"/>
    <n v="0.43"/>
    <n v="0.57000000000000006"/>
    <s v="N"/>
    <s v="N"/>
    <s v="N"/>
    <s v="N"/>
    <s v="N"/>
    <n v="106.13"/>
    <n v="89.34"/>
    <n v="38.78"/>
    <n v="100.91"/>
    <x v="35"/>
    <n v="36"/>
    <x v="294"/>
    <n v="322.58"/>
  </r>
  <r>
    <x v="91"/>
    <n v="657"/>
    <n v="23"/>
    <n v="264"/>
    <n v="32"/>
    <n v="1"/>
    <n v="20"/>
    <n v="1"/>
    <n v="152"/>
    <n v="39"/>
    <n v="1"/>
    <n v="2"/>
    <x v="32"/>
    <n v="732"/>
    <n v="14"/>
    <n v="238"/>
    <n v="46"/>
    <n v="1"/>
    <n v="23"/>
    <n v="0"/>
    <n v="81"/>
    <n v="25"/>
    <n v="1"/>
    <n v="1"/>
    <s v="W"/>
    <n v="2"/>
    <n v="102.78"/>
    <n v="118.54"/>
    <n v="78.88"/>
    <n v="130.82999999999998"/>
    <n v="0.65"/>
    <n v="0.35"/>
    <s v="N"/>
    <s v="N"/>
    <s v="N"/>
    <s v="N"/>
    <s v="N"/>
    <n v="109.76"/>
    <n v="99.11"/>
    <n v="120.81"/>
    <n v="73.83"/>
    <x v="44"/>
    <n v="37"/>
    <x v="396"/>
    <n v="29"/>
  </r>
  <r>
    <x v="91"/>
    <n v="657"/>
    <n v="38"/>
    <n v="326"/>
    <n v="40"/>
    <n v="5"/>
    <n v="27"/>
    <n v="0"/>
    <n v="175"/>
    <n v="33"/>
    <n v="0"/>
    <n v="1"/>
    <x v="176"/>
    <n v="688"/>
    <n v="17"/>
    <n v="258"/>
    <n v="38"/>
    <n v="2"/>
    <n v="26"/>
    <n v="0"/>
    <n v="73"/>
    <n v="21"/>
    <n v="0"/>
    <n v="1"/>
    <s v="W"/>
    <n v="3"/>
    <n v="130.66999999999999"/>
    <n v="86.68"/>
    <n v="113.94"/>
    <n v="133.63999999999999"/>
    <n v="0.64"/>
    <n v="0.36"/>
    <s v="N"/>
    <s v="N"/>
    <s v="N"/>
    <s v="N"/>
    <s v="N"/>
    <n v="116.79"/>
    <n v="91.74"/>
    <n v="153.13999999999999"/>
    <n v="121.02"/>
    <x v="23"/>
    <n v="55"/>
    <x v="397"/>
    <n v="32.340000000000003"/>
  </r>
  <r>
    <x v="91"/>
    <n v="657"/>
    <n v="22"/>
    <n v="227"/>
    <n v="33"/>
    <n v="1"/>
    <n v="21"/>
    <n v="2"/>
    <n v="175"/>
    <n v="33"/>
    <n v="1"/>
    <n v="2"/>
    <x v="133"/>
    <n v="28"/>
    <n v="43"/>
    <n v="223"/>
    <n v="32"/>
    <n v="2"/>
    <n v="25"/>
    <n v="0"/>
    <n v="169"/>
    <n v="36"/>
    <n v="3"/>
    <n v="0"/>
    <s v="L"/>
    <n v="4"/>
    <n v="87.49"/>
    <n v="74.52"/>
    <n v="109.39"/>
    <n v="78.59"/>
    <n v="0.47"/>
    <n v="0.53"/>
    <s v="N"/>
    <s v="N"/>
    <s v="N"/>
    <s v="N"/>
    <s v="N"/>
    <n v="92.18"/>
    <n v="82.92"/>
    <n v="111.82"/>
    <n v="70.849999999999994"/>
    <x v="23"/>
    <n v="65"/>
    <x v="27"/>
    <n v="41.99"/>
  </r>
  <r>
    <x v="91"/>
    <n v="657"/>
    <n v="48"/>
    <n v="468"/>
    <n v="39"/>
    <n v="4"/>
    <n v="32"/>
    <n v="1"/>
    <n v="114"/>
    <n v="25"/>
    <n v="2"/>
    <n v="0"/>
    <x v="168"/>
    <n v="29"/>
    <n v="41"/>
    <n v="425"/>
    <n v="53"/>
    <n v="4"/>
    <n v="41"/>
    <n v="2"/>
    <n v="129"/>
    <n v="33"/>
    <n v="2"/>
    <n v="0"/>
    <s v="W"/>
    <n v="5"/>
    <n v="155.13999999999999"/>
    <n v="78.94"/>
    <n v="117.79"/>
    <n v="100.22"/>
    <n v="0.62"/>
    <n v="0.38"/>
    <s v="N"/>
    <s v="N"/>
    <s v="N"/>
    <s v="N"/>
    <s v="N"/>
    <n v="127.55"/>
    <n v="88.28"/>
    <n v="87.39"/>
    <n v="72.63"/>
    <x v="20"/>
    <n v="89"/>
    <x v="21"/>
    <n v="13.44"/>
  </r>
  <r>
    <x v="91"/>
    <n v="657"/>
    <n v="30"/>
    <n v="195"/>
    <n v="35"/>
    <n v="2"/>
    <n v="19"/>
    <n v="0"/>
    <n v="118"/>
    <n v="37"/>
    <n v="1"/>
    <n v="2"/>
    <x v="103"/>
    <n v="107"/>
    <n v="9"/>
    <n v="294"/>
    <n v="43"/>
    <n v="0"/>
    <n v="25"/>
    <n v="3"/>
    <n v="35"/>
    <n v="26"/>
    <n v="1"/>
    <n v="2"/>
    <s v="W"/>
    <n v="7"/>
    <n v="93.22"/>
    <n v="125.53"/>
    <n v="61.83"/>
    <n v="186.08"/>
    <n v="0.62"/>
    <n v="0.38"/>
    <s v="N"/>
    <s v="N"/>
    <s v="N"/>
    <s v="N"/>
    <s v="N"/>
    <n v="92.83"/>
    <n v="117.52"/>
    <n v="77.849999999999994"/>
    <n v="147.71"/>
    <x v="23"/>
    <n v="39"/>
    <x v="398"/>
    <n v="31.5"/>
  </r>
  <r>
    <x v="91"/>
    <n v="657"/>
    <n v="31"/>
    <n v="224"/>
    <n v="35"/>
    <n v="3"/>
    <n v="24"/>
    <n v="0"/>
    <n v="219"/>
    <n v="44"/>
    <n v="0"/>
    <n v="0"/>
    <x v="4"/>
    <n v="513"/>
    <n v="17"/>
    <n v="226"/>
    <n v="43"/>
    <n v="0"/>
    <n v="27"/>
    <n v="1"/>
    <n v="41"/>
    <n v="14"/>
    <n v="1"/>
    <n v="2"/>
    <s v="W"/>
    <n v="8"/>
    <n v="116.31"/>
    <n v="115.54"/>
    <n v="115.47"/>
    <s v=" "/>
    <n v="0.75"/>
    <n v="0.25"/>
    <s v="N"/>
    <s v="N"/>
    <s v="N"/>
    <s v="N"/>
    <s v="Y"/>
    <n v="119.69"/>
    <n v="117.59"/>
    <n v="134.57"/>
    <s v=" "/>
    <x v="5"/>
    <n v="48"/>
    <x v="0"/>
    <s v=" "/>
  </r>
  <r>
    <x v="92"/>
    <n v="664"/>
    <n v="52"/>
    <n v="143"/>
    <n v="23"/>
    <n v="2"/>
    <n v="16"/>
    <n v="0"/>
    <n v="335"/>
    <n v="53"/>
    <n v="3"/>
    <n v="1"/>
    <x v="179"/>
    <n v="655"/>
    <n v="6"/>
    <n v="234"/>
    <n v="41"/>
    <n v="0"/>
    <n v="20"/>
    <n v="3"/>
    <n v="51"/>
    <n v="33"/>
    <n v="0"/>
    <n v="0"/>
    <s v="W"/>
    <n v="3"/>
    <n v="116.49"/>
    <n v="142.07"/>
    <n v="149.47"/>
    <n v="164.15"/>
    <n v="0.55000000000000004"/>
    <n v="0.44999999999999996"/>
    <s v="N"/>
    <s v="N"/>
    <s v="N"/>
    <s v="N"/>
    <s v="N"/>
    <n v="106.1"/>
    <n v="142.13999999999999"/>
    <n v="45.01"/>
    <n v="175.12"/>
    <x v="52"/>
    <n v="58"/>
    <x v="399"/>
    <n v="26.72"/>
  </r>
  <r>
    <x v="92"/>
    <n v="664"/>
    <n v="19"/>
    <n v="226"/>
    <n v="38"/>
    <n v="0"/>
    <n v="21"/>
    <n v="1"/>
    <n v="153"/>
    <n v="38"/>
    <n v="1"/>
    <n v="1"/>
    <x v="126"/>
    <n v="366"/>
    <n v="17"/>
    <n v="176"/>
    <n v="36"/>
    <n v="0"/>
    <n v="20"/>
    <n v="0"/>
    <n v="68"/>
    <n v="33"/>
    <n v="1"/>
    <n v="0"/>
    <s v="W"/>
    <n v="1"/>
    <n v="79.78"/>
    <n v="117.8"/>
    <n v="89.46"/>
    <n v="147.65"/>
    <n v="0.52"/>
    <n v="0.48"/>
    <s v="N"/>
    <s v="N"/>
    <s v="N"/>
    <s v="N"/>
    <s v="N"/>
    <n v="92.22"/>
    <n v="102.44"/>
    <n v="111.12"/>
    <n v="99.01"/>
    <x v="35"/>
    <n v="36"/>
    <x v="242"/>
    <n v="5.77"/>
  </r>
  <r>
    <x v="92"/>
    <n v="664"/>
    <n v="20"/>
    <n v="309"/>
    <n v="49"/>
    <n v="2"/>
    <n v="25"/>
    <n v="3"/>
    <n v="75"/>
    <n v="28"/>
    <n v="0"/>
    <n v="3"/>
    <x v="130"/>
    <n v="388"/>
    <n v="26"/>
    <n v="275"/>
    <n v="42"/>
    <n v="3"/>
    <n v="27"/>
    <n v="2"/>
    <n v="103"/>
    <n v="37"/>
    <n v="0"/>
    <n v="0"/>
    <s v="L"/>
    <n v="2"/>
    <n v="73.14"/>
    <n v="103.6"/>
    <n v="30"/>
    <n v="135.42000000000002"/>
    <n v="0.53"/>
    <n v="0.47"/>
    <s v="N"/>
    <s v="N"/>
    <s v="N"/>
    <s v="N"/>
    <s v="N"/>
    <n v="64.349999999999994"/>
    <n v="85.56"/>
    <n v="32.409999999999997"/>
    <n v="93.4"/>
    <x v="47"/>
    <n v="46"/>
    <x v="400"/>
    <n v="10.37"/>
  </r>
  <r>
    <x v="92"/>
    <n v="664"/>
    <n v="30"/>
    <n v="313"/>
    <n v="42"/>
    <n v="3"/>
    <n v="27"/>
    <n v="0"/>
    <n v="61"/>
    <n v="35"/>
    <n v="0"/>
    <n v="1"/>
    <x v="123"/>
    <n v="746"/>
    <n v="24"/>
    <n v="221"/>
    <n v="44"/>
    <n v="1"/>
    <n v="26"/>
    <n v="3"/>
    <n v="153"/>
    <n v="40"/>
    <n v="2"/>
    <n v="0"/>
    <s v="W"/>
    <n v="4"/>
    <n v="115.62"/>
    <n v="130.57999999999998"/>
    <n v="31.86"/>
    <n v="103.76"/>
    <n v="0.52"/>
    <n v="0.48"/>
    <s v="N"/>
    <s v="N"/>
    <s v="N"/>
    <s v="N"/>
    <s v="N"/>
    <n v="124.87"/>
    <n v="94"/>
    <n v="36.89"/>
    <n v="103.39"/>
    <x v="47"/>
    <n v="54"/>
    <x v="401"/>
    <n v="33"/>
  </r>
  <r>
    <x v="92"/>
    <n v="664"/>
    <n v="48"/>
    <n v="284"/>
    <n v="34"/>
    <n v="3"/>
    <n v="21"/>
    <n v="2"/>
    <n v="370"/>
    <n v="51"/>
    <n v="3"/>
    <n v="2"/>
    <x v="62"/>
    <n v="574"/>
    <n v="24"/>
    <n v="196"/>
    <n v="41"/>
    <n v="1"/>
    <n v="21"/>
    <n v="0"/>
    <n v="33"/>
    <n v="30"/>
    <n v="0"/>
    <n v="2"/>
    <s v="W"/>
    <n v="5"/>
    <n v="102.88"/>
    <n v="119.07"/>
    <n v="165.37"/>
    <n v="194.48"/>
    <n v="0.57999999999999996"/>
    <n v="0.42000000000000004"/>
    <s v="N"/>
    <s v="N"/>
    <s v="N"/>
    <s v="N"/>
    <s v="N"/>
    <n v="96.16"/>
    <n v="107.47"/>
    <n v="146.30000000000001"/>
    <n v="131.80000000000001"/>
    <x v="14"/>
    <n v="72"/>
    <x v="402"/>
    <n v="13.2"/>
  </r>
  <r>
    <x v="92"/>
    <n v="664"/>
    <n v="63"/>
    <n v="301"/>
    <n v="25"/>
    <n v="4"/>
    <n v="22"/>
    <n v="0"/>
    <n v="283"/>
    <n v="50"/>
    <n v="4"/>
    <n v="1"/>
    <x v="3"/>
    <n v="726"/>
    <n v="35"/>
    <n v="148"/>
    <n v="12"/>
    <n v="2"/>
    <n v="7"/>
    <n v="0"/>
    <n v="421"/>
    <n v="61"/>
    <n v="3"/>
    <n v="0"/>
    <s v="W"/>
    <n v="6"/>
    <n v="177.62"/>
    <s v=" "/>
    <n v="137.31"/>
    <n v="32.5"/>
    <n v="0.16"/>
    <n v="0.84"/>
    <s v="N"/>
    <s v="N"/>
    <s v="N"/>
    <s v="Y"/>
    <s v="N"/>
    <n v="142.27000000000001"/>
    <s v=" "/>
    <n v="123.64"/>
    <n v="42.68"/>
    <x v="15"/>
    <n v="98"/>
    <x v="0"/>
    <s v=" "/>
  </r>
  <r>
    <x v="92"/>
    <n v="664"/>
    <n v="27"/>
    <n v="266"/>
    <n v="37"/>
    <n v="1"/>
    <n v="27"/>
    <n v="1"/>
    <n v="187"/>
    <n v="42"/>
    <n v="1"/>
    <n v="1"/>
    <x v="154"/>
    <n v="663"/>
    <n v="3"/>
    <n v="173"/>
    <n v="32"/>
    <n v="0"/>
    <n v="16"/>
    <n v="2"/>
    <n v="157"/>
    <n v="24"/>
    <n v="0"/>
    <n v="0"/>
    <s v="W"/>
    <n v="8"/>
    <n v="108.1"/>
    <n v="139.29"/>
    <n v="99.72"/>
    <n v="48.22999999999999"/>
    <n v="0.56999999999999995"/>
    <n v="0.43000000000000005"/>
    <s v="N"/>
    <s v="N"/>
    <s v="N"/>
    <s v="N"/>
    <s v="N"/>
    <n v="99.21"/>
    <n v="134.15"/>
    <n v="129.59"/>
    <n v="55.45"/>
    <x v="14"/>
    <n v="30"/>
    <x v="387"/>
    <n v="515.02"/>
  </r>
  <r>
    <x v="93"/>
    <n v="667"/>
    <n v="45"/>
    <n v="305"/>
    <n v="36"/>
    <n v="3"/>
    <n v="24"/>
    <n v="0"/>
    <n v="118"/>
    <n v="34"/>
    <n v="2"/>
    <n v="1"/>
    <x v="177"/>
    <n v="706"/>
    <n v="22"/>
    <n v="147"/>
    <n v="29"/>
    <n v="1"/>
    <n v="15"/>
    <n v="1"/>
    <n v="147"/>
    <n v="35"/>
    <n v="2"/>
    <n v="1"/>
    <s v="W"/>
    <n v="3"/>
    <n v="125.34"/>
    <n v="125.82"/>
    <n v="80.52"/>
    <n v="102.56"/>
    <n v="0.45"/>
    <n v="0.55000000000000004"/>
    <s v="N"/>
    <s v="N"/>
    <s v="N"/>
    <s v="N"/>
    <s v="N"/>
    <n v="116.1"/>
    <n v="107.14"/>
    <n v="87.26"/>
    <n v="56.48"/>
    <x v="9"/>
    <n v="67"/>
    <x v="403"/>
    <n v="67.17"/>
  </r>
  <r>
    <x v="94"/>
    <n v="674"/>
    <n v="57"/>
    <n v="232"/>
    <n v="31"/>
    <n v="3"/>
    <n v="22"/>
    <n v="0"/>
    <n v="141"/>
    <n v="40"/>
    <n v="4"/>
    <n v="0"/>
    <x v="85"/>
    <n v="630"/>
    <n v="3"/>
    <n v="210"/>
    <n v="33"/>
    <n v="0"/>
    <n v="17"/>
    <n v="0"/>
    <n v="27"/>
    <n v="32"/>
    <n v="0"/>
    <n v="3"/>
    <s v="W"/>
    <n v="1"/>
    <n v="126.27"/>
    <n v="113.8"/>
    <n v="96.78"/>
    <n v="208.55"/>
    <n v="0.51"/>
    <n v="0.49"/>
    <s v="N"/>
    <s v="N"/>
    <s v="N"/>
    <s v="N"/>
    <s v="N"/>
    <n v="133.28"/>
    <n v="96.77"/>
    <n v="82.03"/>
    <n v="169.81"/>
    <x v="56"/>
    <n v="60"/>
    <x v="404"/>
    <n v="37.14"/>
  </r>
  <r>
    <x v="94"/>
    <n v="674"/>
    <n v="44"/>
    <n v="299"/>
    <n v="30"/>
    <n v="4"/>
    <n v="21"/>
    <n v="1"/>
    <n v="205"/>
    <n v="30"/>
    <n v="2"/>
    <n v="0"/>
    <x v="74"/>
    <n v="193"/>
    <n v="14"/>
    <n v="305"/>
    <n v="39"/>
    <n v="0"/>
    <n v="28"/>
    <n v="0"/>
    <n v="30"/>
    <n v="33"/>
    <n v="1"/>
    <n v="1"/>
    <s v="W"/>
    <n v="2"/>
    <n v="134.32"/>
    <n v="85.58"/>
    <n v="168.53"/>
    <n v="183.45"/>
    <n v="0.54"/>
    <n v="0.45999999999999996"/>
    <s v="N"/>
    <s v="N"/>
    <s v="N"/>
    <s v="N"/>
    <s v="N"/>
    <n v="119"/>
    <n v="89.15"/>
    <n v="164.51"/>
    <n v="117.8"/>
    <x v="33"/>
    <n v="58"/>
    <x v="405"/>
    <n v="17.45"/>
  </r>
  <r>
    <x v="94"/>
    <n v="674"/>
    <n v="37"/>
    <n v="325"/>
    <n v="31"/>
    <n v="2"/>
    <n v="20"/>
    <n v="0"/>
    <n v="242"/>
    <n v="39"/>
    <n v="2"/>
    <n v="0"/>
    <x v="168"/>
    <n v="29"/>
    <n v="10"/>
    <n v="282"/>
    <n v="39"/>
    <n v="1"/>
    <n v="28"/>
    <n v="0"/>
    <n v="51"/>
    <n v="23"/>
    <n v="0"/>
    <n v="0"/>
    <s v="W"/>
    <n v="3"/>
    <n v="131.33000000000001"/>
    <n v="84.95"/>
    <n v="151.65"/>
    <n v="148.56"/>
    <n v="0.63"/>
    <n v="0.37"/>
    <s v="N"/>
    <s v="N"/>
    <s v="N"/>
    <s v="N"/>
    <s v="N"/>
    <n v="107.97"/>
    <n v="95"/>
    <n v="112.51"/>
    <n v="107.66"/>
    <x v="18"/>
    <n v="47"/>
    <x v="19"/>
    <n v="23.18"/>
  </r>
  <r>
    <x v="94"/>
    <n v="674"/>
    <n v="45"/>
    <n v="240"/>
    <n v="28"/>
    <n v="3"/>
    <n v="24"/>
    <n v="0"/>
    <n v="202"/>
    <n v="41"/>
    <n v="3"/>
    <n v="0"/>
    <x v="28"/>
    <n v="110"/>
    <n v="19"/>
    <n v="202"/>
    <n v="33"/>
    <n v="2"/>
    <n v="18"/>
    <n v="0"/>
    <n v="141"/>
    <n v="29"/>
    <n v="1"/>
    <n v="2"/>
    <s v="W"/>
    <n v="5"/>
    <n v="148.5"/>
    <n v="103"/>
    <n v="125.28"/>
    <n v="102.72"/>
    <n v="0.53"/>
    <n v="0.47"/>
    <s v="N"/>
    <s v="N"/>
    <s v="N"/>
    <s v="N"/>
    <s v="N"/>
    <n v="130.87"/>
    <n v="100.7"/>
    <n v="100.21"/>
    <n v="104.04"/>
    <x v="4"/>
    <n v="64"/>
    <x v="406"/>
    <n v="32.700000000000003"/>
  </r>
  <r>
    <x v="94"/>
    <n v="674"/>
    <n v="48"/>
    <n v="392"/>
    <n v="35"/>
    <n v="3"/>
    <n v="27"/>
    <n v="1"/>
    <n v="161"/>
    <n v="35"/>
    <n v="3"/>
    <n v="1"/>
    <x v="88"/>
    <n v="157"/>
    <n v="7"/>
    <n v="204"/>
    <n v="30"/>
    <n v="1"/>
    <n v="16"/>
    <n v="1"/>
    <n v="60"/>
    <n v="27"/>
    <n v="0"/>
    <n v="0"/>
    <s v="W"/>
    <n v="6"/>
    <n v="142.47"/>
    <n v="114.61"/>
    <n v="111.01"/>
    <n v="148.44"/>
    <n v="0.53"/>
    <n v="0.47"/>
    <s v="N"/>
    <s v="N"/>
    <s v="N"/>
    <s v="N"/>
    <s v="N"/>
    <n v="122.56"/>
    <n v="106.66"/>
    <n v="93.51"/>
    <n v="100.47"/>
    <x v="13"/>
    <n v="55"/>
    <x v="118"/>
    <n v="35.18"/>
  </r>
  <r>
    <x v="94"/>
    <n v="674"/>
    <n v="44"/>
    <n v="336"/>
    <n v="36"/>
    <n v="4"/>
    <n v="23"/>
    <n v="1"/>
    <n v="139"/>
    <n v="30"/>
    <n v="1"/>
    <n v="1"/>
    <x v="104"/>
    <n v="754"/>
    <n v="14"/>
    <n v="209"/>
    <n v="39"/>
    <n v="0"/>
    <n v="24"/>
    <n v="0"/>
    <n v="48"/>
    <n v="28"/>
    <n v="2"/>
    <n v="1"/>
    <s v="W"/>
    <n v="7"/>
    <n v="123.09"/>
    <n v="109.26"/>
    <n v="102.49"/>
    <n v="160.22999999999999"/>
    <n v="0.57999999999999996"/>
    <n v="0.42000000000000004"/>
    <s v="N"/>
    <s v="N"/>
    <s v="N"/>
    <s v="N"/>
    <s v="N"/>
    <n v="112.02"/>
    <n v="120.85"/>
    <n v="97.97"/>
    <n v="95.67"/>
    <x v="33"/>
    <n v="58"/>
    <x v="407"/>
    <n v="31.56"/>
  </r>
  <r>
    <x v="94"/>
    <n v="674"/>
    <n v="65"/>
    <n v="169"/>
    <n v="22"/>
    <n v="2"/>
    <n v="16"/>
    <n v="0"/>
    <n v="446"/>
    <n v="44"/>
    <n v="5"/>
    <n v="0"/>
    <x v="89"/>
    <n v="756"/>
    <n v="21"/>
    <n v="258"/>
    <n v="38"/>
    <n v="1"/>
    <n v="24"/>
    <n v="2"/>
    <n v="172"/>
    <n v="26"/>
    <n v="2"/>
    <n v="1"/>
    <s v="W"/>
    <n v="8"/>
    <n v="128.22999999999999"/>
    <n v="111.68"/>
    <n v="252.21"/>
    <n v="46.52000000000001"/>
    <n v="0.59"/>
    <n v="0.41000000000000003"/>
    <s v="N"/>
    <s v="N"/>
    <s v="N"/>
    <s v="N"/>
    <s v="N"/>
    <n v="120.34"/>
    <n v="140.43"/>
    <n v="262.42"/>
    <n v="54.97"/>
    <x v="25"/>
    <n v="86"/>
    <x v="408"/>
    <n v="31.74"/>
  </r>
  <r>
    <x v="95"/>
    <n v="676"/>
    <n v="26"/>
    <n v="353"/>
    <n v="65"/>
    <n v="0"/>
    <n v="32"/>
    <n v="1"/>
    <n v="66"/>
    <n v="17"/>
    <n v="1"/>
    <n v="0"/>
    <x v="153"/>
    <n v="670"/>
    <n v="35"/>
    <n v="241"/>
    <n v="17"/>
    <n v="4"/>
    <n v="10"/>
    <n v="1"/>
    <n v="272"/>
    <n v="59"/>
    <n v="1"/>
    <n v="1"/>
    <s v="L"/>
    <n v="4"/>
    <n v="74.209999999999994"/>
    <n v="46.27000000000001"/>
    <n v="98.89"/>
    <n v="95.59"/>
    <n v="0.22"/>
    <n v="0.78"/>
    <s v="N"/>
    <s v="N"/>
    <s v="N"/>
    <s v="N"/>
    <s v="N"/>
    <n v="81.010000000000005"/>
    <n v="44.23"/>
    <n v="65.83"/>
    <n v="93.78"/>
    <x v="44"/>
    <n v="61"/>
    <x v="409"/>
    <n v="10.58"/>
  </r>
  <r>
    <x v="96"/>
    <n v="688"/>
    <n v="21"/>
    <n v="318"/>
    <n v="37"/>
    <n v="3"/>
    <n v="29"/>
    <n v="1"/>
    <n v="36"/>
    <n v="25"/>
    <n v="0"/>
    <n v="0"/>
    <x v="180"/>
    <n v="572"/>
    <n v="14"/>
    <n v="154"/>
    <n v="30"/>
    <n v="1"/>
    <n v="14"/>
    <n v="2"/>
    <n v="112"/>
    <n v="34"/>
    <n v="1"/>
    <n v="0"/>
    <s v="W"/>
    <n v="2"/>
    <s v=" "/>
    <s v=" "/>
    <s v=" "/>
    <s v=" "/>
    <n v="0.47"/>
    <n v="0.53"/>
    <s v="Y"/>
    <s v="N"/>
    <s v="N"/>
    <s v="N"/>
    <s v="N"/>
    <s v=" "/>
    <s v=" "/>
    <s v=" "/>
    <s v=" "/>
    <x v="20"/>
    <n v="35"/>
    <x v="0"/>
    <s v=" "/>
  </r>
  <r>
    <x v="96"/>
    <n v="688"/>
    <n v="36"/>
    <n v="178"/>
    <n v="28"/>
    <n v="3"/>
    <n v="20"/>
    <n v="0"/>
    <n v="121"/>
    <n v="30"/>
    <n v="2"/>
    <n v="1"/>
    <x v="75"/>
    <n v="749"/>
    <n v="29"/>
    <n v="326"/>
    <n v="41"/>
    <n v="3"/>
    <n v="24"/>
    <n v="1"/>
    <n v="80"/>
    <n v="43"/>
    <n v="0"/>
    <n v="0"/>
    <s v="W"/>
    <n v="1"/>
    <n v="122.15"/>
    <n v="94.47"/>
    <n v="93.57"/>
    <n v="156.84"/>
    <n v="0.49"/>
    <n v="0.51"/>
    <s v="N"/>
    <s v="N"/>
    <s v="N"/>
    <s v="N"/>
    <s v="N"/>
    <n v="131.12"/>
    <n v="104.86"/>
    <n v="95.82"/>
    <n v="107.56"/>
    <x v="20"/>
    <n v="65"/>
    <x v="410"/>
    <n v="10.44"/>
  </r>
  <r>
    <x v="96"/>
    <n v="688"/>
    <n v="17"/>
    <n v="258"/>
    <n v="38"/>
    <n v="2"/>
    <n v="26"/>
    <n v="0"/>
    <n v="73"/>
    <n v="21"/>
    <n v="0"/>
    <n v="1"/>
    <x v="26"/>
    <n v="657"/>
    <n v="38"/>
    <n v="326"/>
    <n v="40"/>
    <n v="5"/>
    <n v="27"/>
    <n v="0"/>
    <n v="175"/>
    <n v="33"/>
    <n v="0"/>
    <n v="1"/>
    <s v="L"/>
    <n v="3"/>
    <n v="113.32"/>
    <n v="69.330000000000013"/>
    <n v="66.36"/>
    <n v="86.06"/>
    <n v="0.55000000000000004"/>
    <n v="0.44999999999999996"/>
    <s v="N"/>
    <s v="N"/>
    <s v="N"/>
    <s v="N"/>
    <s v="N"/>
    <n v="115.17"/>
    <n v="80.02"/>
    <n v="82.94"/>
    <n v="78.94"/>
    <x v="23"/>
    <n v="55"/>
    <x v="397"/>
    <n v="32.340000000000003"/>
  </r>
  <r>
    <x v="96"/>
    <n v="688"/>
    <n v="33"/>
    <n v="213"/>
    <n v="25"/>
    <n v="2"/>
    <n v="16"/>
    <n v="0"/>
    <n v="153"/>
    <n v="41"/>
    <n v="1"/>
    <n v="1"/>
    <x v="66"/>
    <n v="709"/>
    <n v="30"/>
    <n v="300"/>
    <n v="42"/>
    <n v="1"/>
    <n v="28"/>
    <n v="1"/>
    <n v="138"/>
    <n v="37"/>
    <n v="2"/>
    <n v="0"/>
    <s v="W"/>
    <n v="4"/>
    <n v="122.43"/>
    <n v="97.98"/>
    <n v="82.92"/>
    <n v="105.36"/>
    <n v="0.53"/>
    <n v="0.47"/>
    <s v="N"/>
    <s v="N"/>
    <s v="N"/>
    <s v="N"/>
    <s v="N"/>
    <n v="124.32"/>
    <n v="114.77"/>
    <n v="110.04"/>
    <n v="109.85"/>
    <x v="22"/>
    <n v="63"/>
    <x v="411"/>
    <n v="34.520000000000003"/>
  </r>
  <r>
    <x v="96"/>
    <n v="688"/>
    <n v="16"/>
    <n v="169"/>
    <n v="32"/>
    <n v="0"/>
    <n v="15"/>
    <n v="3"/>
    <n v="126"/>
    <n v="32"/>
    <n v="1"/>
    <n v="2"/>
    <x v="150"/>
    <n v="587"/>
    <n v="19"/>
    <n v="297"/>
    <n v="57"/>
    <n v="1"/>
    <n v="29"/>
    <n v="1"/>
    <n v="5"/>
    <n v="38"/>
    <n v="0"/>
    <n v="3"/>
    <s v="L"/>
    <n v="5"/>
    <n v="47.53"/>
    <n v="123.36"/>
    <n v="77.290000000000006"/>
    <n v="220.63"/>
    <n v="0.6"/>
    <n v="0.4"/>
    <s v="N"/>
    <s v="N"/>
    <s v="N"/>
    <s v="N"/>
    <s v="N"/>
    <n v="57.09"/>
    <n v="112.39"/>
    <n v="86.13"/>
    <n v="103.61"/>
    <x v="22"/>
    <n v="35"/>
    <x v="412"/>
    <n v="4.3600000000000003"/>
  </r>
  <r>
    <x v="96"/>
    <n v="688"/>
    <n v="37"/>
    <n v="186"/>
    <n v="34"/>
    <n v="2"/>
    <n v="19"/>
    <n v="0"/>
    <n v="170"/>
    <n v="40"/>
    <n v="2"/>
    <n v="0"/>
    <x v="47"/>
    <n v="718"/>
    <n v="34"/>
    <n v="355"/>
    <n v="31"/>
    <n v="2"/>
    <n v="25"/>
    <n v="0"/>
    <n v="116"/>
    <n v="27"/>
    <n v="2"/>
    <n v="2"/>
    <s v="W"/>
    <n v="6"/>
    <n v="94.52"/>
    <n v="47.27000000000001"/>
    <n v="106.1"/>
    <n v="111.44"/>
    <n v="0.53"/>
    <n v="0.47"/>
    <s v="N"/>
    <s v="N"/>
    <s v="N"/>
    <s v="N"/>
    <s v="N"/>
    <n v="109.09"/>
    <n v="45.33"/>
    <n v="107.87"/>
    <n v="93.43"/>
    <x v="22"/>
    <n v="71"/>
    <x v="413"/>
    <n v="7.38"/>
  </r>
  <r>
    <x v="96"/>
    <n v="688"/>
    <n v="49"/>
    <n v="249"/>
    <n v="33"/>
    <n v="4"/>
    <n v="25"/>
    <n v="0"/>
    <n v="194"/>
    <n v="41"/>
    <n v="2"/>
    <n v="0"/>
    <x v="79"/>
    <n v="768"/>
    <n v="23"/>
    <n v="338"/>
    <n v="41"/>
    <n v="2"/>
    <n v="24"/>
    <n v="2"/>
    <n v="70"/>
    <n v="24"/>
    <n v="1"/>
    <n v="0"/>
    <s v="W"/>
    <n v="8"/>
    <n v="135.06"/>
    <n v="103.85"/>
    <n v="117.09"/>
    <n v="126.08"/>
    <n v="0.63"/>
    <n v="0.37"/>
    <s v="N"/>
    <s v="N"/>
    <s v="N"/>
    <s v="N"/>
    <s v="N"/>
    <n v="144.94999999999999"/>
    <n v="114.2"/>
    <n v="129.01"/>
    <n v="100.18"/>
    <x v="4"/>
    <n v="72"/>
    <x v="414"/>
    <n v="31.68"/>
  </r>
  <r>
    <x v="97"/>
    <n v="698"/>
    <n v="55"/>
    <n v="214"/>
    <n v="20"/>
    <n v="3"/>
    <n v="14"/>
    <n v="1"/>
    <n v="248"/>
    <n v="33"/>
    <n v="2"/>
    <n v="0"/>
    <x v="181"/>
    <n v="550"/>
    <n v="13"/>
    <n v="176"/>
    <n v="34"/>
    <n v="0"/>
    <n v="19"/>
    <n v="1"/>
    <n v="119"/>
    <n v="44"/>
    <n v="1"/>
    <n v="0"/>
    <s v="W"/>
    <n v="4"/>
    <s v=" "/>
    <s v=" "/>
    <s v=" "/>
    <s v=" "/>
    <n v="0.44"/>
    <n v="0.56000000000000005"/>
    <s v="Y"/>
    <s v="N"/>
    <s v="N"/>
    <s v="N"/>
    <s v="N"/>
    <s v=" "/>
    <s v=" "/>
    <s v=" "/>
    <s v=" "/>
    <x v="7"/>
    <n v="68"/>
    <x v="0"/>
    <s v=" "/>
  </r>
  <r>
    <x v="97"/>
    <n v="698"/>
    <n v="48"/>
    <n v="251"/>
    <n v="40"/>
    <n v="4"/>
    <n v="25"/>
    <n v="1"/>
    <n v="215"/>
    <n v="38"/>
    <n v="2"/>
    <n v="0"/>
    <x v="139"/>
    <n v="51"/>
    <n v="50"/>
    <n v="414"/>
    <n v="29"/>
    <n v="6"/>
    <n v="23"/>
    <n v="0"/>
    <n v="150"/>
    <n v="36"/>
    <n v="1"/>
    <n v="1"/>
    <s v="L"/>
    <n v="1"/>
    <n v="104.2"/>
    <n v="11.849999999999994"/>
    <n v="139.16"/>
    <n v="107.5"/>
    <n v="0.45"/>
    <n v="0.55000000000000004"/>
    <s v="N"/>
    <s v="N"/>
    <s v="N"/>
    <s v="N"/>
    <s v="N"/>
    <n v="106.66"/>
    <n v="18.21"/>
    <n v="125.4"/>
    <n v="117.86"/>
    <x v="35"/>
    <n v="98"/>
    <x v="56"/>
    <n v="5.36"/>
  </r>
  <r>
    <x v="97"/>
    <n v="698"/>
    <n v="35"/>
    <n v="206"/>
    <n v="25"/>
    <n v="2"/>
    <n v="20"/>
    <n v="0"/>
    <n v="204"/>
    <n v="44"/>
    <n v="3"/>
    <n v="1"/>
    <x v="71"/>
    <n v="721"/>
    <n v="19"/>
    <n v="167"/>
    <n v="21"/>
    <n v="1"/>
    <n v="12"/>
    <n v="0"/>
    <n v="249"/>
    <n v="43"/>
    <n v="1"/>
    <n v="2"/>
    <s v="W"/>
    <n v="2"/>
    <n v="136.91"/>
    <n v="92.37"/>
    <n v="110.97"/>
    <n v="76.12"/>
    <n v="0.33"/>
    <n v="0.66999999999999993"/>
    <s v="N"/>
    <s v="N"/>
    <s v="N"/>
    <s v="N"/>
    <s v="N"/>
    <n v="101.56"/>
    <n v="84.06"/>
    <n v="66.33"/>
    <n v="89.42"/>
    <x v="1"/>
    <n v="54"/>
    <x v="1"/>
    <n v="97.74"/>
  </r>
  <r>
    <x v="97"/>
    <n v="698"/>
    <n v="38"/>
    <n v="204"/>
    <n v="23"/>
    <n v="1"/>
    <n v="15"/>
    <n v="0"/>
    <n v="207"/>
    <n v="45"/>
    <n v="3"/>
    <n v="2"/>
    <x v="43"/>
    <n v="498"/>
    <n v="17"/>
    <n v="232"/>
    <n v="42"/>
    <n v="2"/>
    <n v="29"/>
    <n v="0"/>
    <n v="82"/>
    <n v="26"/>
    <n v="0"/>
    <n v="1"/>
    <s v="W"/>
    <n v="3"/>
    <n v="120.08"/>
    <n v="93.7"/>
    <n v="103.39"/>
    <n v="138.37"/>
    <n v="0.62"/>
    <n v="0.38"/>
    <s v="N"/>
    <s v="N"/>
    <s v="N"/>
    <s v="N"/>
    <s v="N"/>
    <n v="117.18"/>
    <n v="83.59"/>
    <n v="128.31"/>
    <n v="99.02"/>
    <x v="23"/>
    <n v="55"/>
    <x v="237"/>
    <n v="37.81"/>
  </r>
  <r>
    <x v="97"/>
    <n v="698"/>
    <n v="33"/>
    <n v="304"/>
    <n v="43"/>
    <n v="3"/>
    <n v="30"/>
    <n v="0"/>
    <n v="150"/>
    <n v="31"/>
    <n v="1"/>
    <n v="1"/>
    <x v="154"/>
    <n v="663"/>
    <n v="40"/>
    <n v="349"/>
    <n v="45"/>
    <n v="4"/>
    <n v="23"/>
    <n v="1"/>
    <n v="112"/>
    <n v="24"/>
    <n v="0"/>
    <n v="0"/>
    <s v="L"/>
    <n v="5"/>
    <n v="118.76"/>
    <n v="99.95"/>
    <n v="107.42"/>
    <n v="91.73"/>
    <n v="0.65"/>
    <n v="0.35"/>
    <s v="N"/>
    <s v="N"/>
    <s v="N"/>
    <s v="N"/>
    <s v="N"/>
    <n v="108.99"/>
    <n v="96.26"/>
    <n v="139.6"/>
    <n v="105.46"/>
    <x v="20"/>
    <n v="73"/>
    <x v="385"/>
    <n v="39.19"/>
  </r>
  <r>
    <x v="97"/>
    <n v="698"/>
    <n v="27"/>
    <n v="212"/>
    <n v="22"/>
    <n v="2"/>
    <n v="14"/>
    <n v="2"/>
    <n v="234"/>
    <n v="52"/>
    <n v="1"/>
    <n v="2"/>
    <x v="5"/>
    <n v="626"/>
    <n v="14"/>
    <n v="206"/>
    <n v="42"/>
    <n v="2"/>
    <n v="16"/>
    <n v="3"/>
    <n v="90"/>
    <n v="30"/>
    <n v="0"/>
    <n v="1"/>
    <s v="W"/>
    <n v="6"/>
    <n v="102.52"/>
    <n v="149.46"/>
    <n v="95.75"/>
    <n v="140.4"/>
    <n v="0.57999999999999996"/>
    <n v="0.42000000000000004"/>
    <s v="N"/>
    <s v="N"/>
    <s v="N"/>
    <s v="N"/>
    <s v="N"/>
    <n v="122.96"/>
    <n v="138.76"/>
    <n v="97.63"/>
    <n v="150"/>
    <x v="40"/>
    <n v="41"/>
    <x v="415"/>
    <n v="14.75"/>
  </r>
  <r>
    <x v="97"/>
    <n v="698"/>
    <n v="69"/>
    <n v="251"/>
    <n v="21"/>
    <n v="2"/>
    <n v="15"/>
    <n v="0"/>
    <n v="264"/>
    <n v="44"/>
    <n v="7"/>
    <n v="0"/>
    <x v="34"/>
    <n v="473"/>
    <n v="0"/>
    <n v="21"/>
    <n v="11"/>
    <n v="0"/>
    <n v="8"/>
    <n v="0"/>
    <n v="64"/>
    <n v="37"/>
    <n v="0"/>
    <n v="3"/>
    <s v="W"/>
    <n v="8"/>
    <n v="150.85"/>
    <s v=" "/>
    <n v="163.06"/>
    <n v="184.19"/>
    <n v="0.23"/>
    <n v="0.77"/>
    <s v="N"/>
    <s v="N"/>
    <s v="N"/>
    <s v="Y"/>
    <s v="N"/>
    <n v="100.52"/>
    <s v=" "/>
    <n v="110.09"/>
    <n v="134.34"/>
    <x v="54"/>
    <n v="69"/>
    <x v="0"/>
    <s v=" "/>
  </r>
  <r>
    <x v="98"/>
    <n v="690"/>
    <n v="42"/>
    <n v="235"/>
    <n v="20"/>
    <n v="2"/>
    <n v="14"/>
    <n v="0"/>
    <n v="240"/>
    <n v="45"/>
    <n v="4"/>
    <n v="0"/>
    <x v="182"/>
    <n v="739"/>
    <n v="7"/>
    <n v="153"/>
    <n v="26"/>
    <n v="0"/>
    <n v="12"/>
    <n v="3"/>
    <n v="122"/>
    <n v="35"/>
    <n v="1"/>
    <n v="1"/>
    <s v="W"/>
    <n v="1"/>
    <s v=" "/>
    <s v=" "/>
    <s v=" "/>
    <s v=" "/>
    <n v="0.43"/>
    <n v="0.57000000000000006"/>
    <s v="Y"/>
    <s v="N"/>
    <s v="N"/>
    <s v="N"/>
    <s v="N"/>
    <s v=" "/>
    <s v=" "/>
    <s v=" "/>
    <s v=" "/>
    <x v="32"/>
    <n v="49"/>
    <x v="0"/>
    <s v=" "/>
  </r>
  <r>
    <x v="98"/>
    <n v="690"/>
    <n v="41"/>
    <n v="111"/>
    <n v="19"/>
    <n v="1"/>
    <n v="8"/>
    <n v="0"/>
    <n v="305"/>
    <n v="49"/>
    <n v="4"/>
    <n v="1"/>
    <x v="95"/>
    <n v="5"/>
    <n v="3"/>
    <n v="227"/>
    <n v="34"/>
    <n v="0"/>
    <n v="16"/>
    <n v="1"/>
    <n v="42"/>
    <n v="28"/>
    <n v="0"/>
    <n v="1"/>
    <s v="W"/>
    <n v="2"/>
    <n v="81.84"/>
    <n v="125.38"/>
    <n v="150.53"/>
    <n v="175.91"/>
    <n v="0.55000000000000004"/>
    <n v="0.44999999999999996"/>
    <s v="N"/>
    <s v="N"/>
    <s v="N"/>
    <s v="N"/>
    <s v="N"/>
    <n v="67.709999999999994"/>
    <n v="87.77"/>
    <n v="139.27000000000001"/>
    <n v="99.3"/>
    <x v="8"/>
    <n v="44"/>
    <x v="416"/>
    <n v="28.43"/>
  </r>
  <r>
    <x v="98"/>
    <n v="690"/>
    <n v="10"/>
    <n v="123"/>
    <n v="28"/>
    <n v="0"/>
    <n v="12"/>
    <n v="2"/>
    <n v="74"/>
    <n v="30"/>
    <n v="1"/>
    <n v="1"/>
    <x v="15"/>
    <n v="539"/>
    <n v="14"/>
    <n v="216"/>
    <n v="37"/>
    <n v="0"/>
    <n v="22"/>
    <n v="1"/>
    <n v="92"/>
    <n v="36"/>
    <n v="2"/>
    <n v="0"/>
    <s v="L"/>
    <n v="3"/>
    <n v="45.37"/>
    <n v="116.83"/>
    <n v="52.23"/>
    <n v="132.38"/>
    <n v="0.51"/>
    <n v="0.49"/>
    <s v="N"/>
    <s v="N"/>
    <s v="N"/>
    <s v="N"/>
    <s v="N"/>
    <n v="57.19"/>
    <n v="102.15"/>
    <n v="68.81"/>
    <n v="116.57"/>
    <x v="27"/>
    <n v="24"/>
    <x v="417"/>
    <n v="7.52"/>
  </r>
  <r>
    <x v="98"/>
    <n v="690"/>
    <n v="38"/>
    <n v="140"/>
    <n v="9"/>
    <n v="0"/>
    <n v="9"/>
    <n v="0"/>
    <n v="285"/>
    <n v="62"/>
    <n v="5"/>
    <n v="1"/>
    <x v="100"/>
    <n v="392"/>
    <n v="7"/>
    <n v="195"/>
    <n v="37"/>
    <n v="1"/>
    <n v="21"/>
    <n v="1"/>
    <n v="45"/>
    <n v="23"/>
    <n v="0"/>
    <n v="0"/>
    <s v="W"/>
    <n v="4"/>
    <s v=" "/>
    <n v="118.57"/>
    <n v="113.9"/>
    <n v="154.61000000000001"/>
    <n v="0.62"/>
    <n v="0.38"/>
    <s v="N"/>
    <s v="Y"/>
    <s v="N"/>
    <s v="N"/>
    <s v="N"/>
    <s v=" "/>
    <n v="92.6"/>
    <n v="98.83"/>
    <n v="159.86000000000001"/>
    <x v="17"/>
    <n v="45"/>
    <x v="0"/>
    <s v=" "/>
  </r>
  <r>
    <x v="98"/>
    <n v="690"/>
    <n v="13"/>
    <n v="173"/>
    <n v="20"/>
    <n v="1"/>
    <n v="10"/>
    <n v="2"/>
    <n v="145"/>
    <n v="46"/>
    <n v="0"/>
    <n v="2"/>
    <x v="66"/>
    <n v="709"/>
    <n v="36"/>
    <n v="148"/>
    <n v="15"/>
    <n v="2"/>
    <n v="13"/>
    <n v="0"/>
    <n v="157"/>
    <n v="39"/>
    <n v="3"/>
    <n v="1"/>
    <s v="L"/>
    <n v="5"/>
    <n v="74.64"/>
    <n v="39.56"/>
    <n v="60.09"/>
    <n v="102.76"/>
    <n v="0.28000000000000003"/>
    <n v="0.72"/>
    <s v="N"/>
    <s v="N"/>
    <s v="N"/>
    <s v="N"/>
    <s v="N"/>
    <n v="75.790000000000006"/>
    <n v="46.34"/>
    <n v="79.739999999999995"/>
    <n v="107.14"/>
    <x v="9"/>
    <n v="49"/>
    <x v="418"/>
    <n v="18.71"/>
  </r>
  <r>
    <x v="98"/>
    <n v="690"/>
    <n v="42"/>
    <n v="160"/>
    <n v="13"/>
    <n v="1"/>
    <n v="10"/>
    <n v="0"/>
    <n v="350"/>
    <n v="62"/>
    <n v="5"/>
    <n v="0"/>
    <x v="46"/>
    <n v="47"/>
    <n v="0"/>
    <n v="155"/>
    <n v="34"/>
    <n v="0"/>
    <n v="19"/>
    <n v="2"/>
    <n v="81"/>
    <n v="25"/>
    <n v="0"/>
    <n v="1"/>
    <s v="W"/>
    <n v="6"/>
    <s v=" "/>
    <n v="136.92000000000002"/>
    <n v="143.06"/>
    <n v="136.82999999999998"/>
    <n v="0.57999999999999996"/>
    <n v="0.42000000000000004"/>
    <s v="N"/>
    <s v="Y"/>
    <s v="N"/>
    <s v="N"/>
    <s v="N"/>
    <s v=" "/>
    <n v="133.28"/>
    <n v="123.73"/>
    <n v="117.82"/>
    <x v="7"/>
    <n v="42"/>
    <x v="0"/>
    <s v=" "/>
  </r>
  <r>
    <x v="98"/>
    <n v="690"/>
    <n v="34"/>
    <n v="58"/>
    <n v="11"/>
    <n v="0"/>
    <n v="7"/>
    <n v="0"/>
    <n v="400"/>
    <n v="65"/>
    <n v="4"/>
    <n v="0"/>
    <x v="57"/>
    <n v="86"/>
    <n v="0"/>
    <n v="84"/>
    <n v="26"/>
    <n v="0"/>
    <n v="9"/>
    <n v="1"/>
    <n v="71"/>
    <n v="28"/>
    <n v="0"/>
    <n v="0"/>
    <s v="W"/>
    <n v="7"/>
    <s v=" "/>
    <n v="159.32"/>
    <n v="152"/>
    <n v="141.17000000000002"/>
    <n v="0.48"/>
    <n v="0.52"/>
    <s v="N"/>
    <s v="Y"/>
    <s v="N"/>
    <s v="N"/>
    <s v="N"/>
    <s v=" "/>
    <n v="133.80000000000001"/>
    <n v="125.31"/>
    <n v="131.4"/>
    <x v="16"/>
    <n v="34"/>
    <x v="0"/>
    <s v=" "/>
  </r>
  <r>
    <x v="98"/>
    <n v="690"/>
    <n v="10"/>
    <n v="66"/>
    <n v="13"/>
    <n v="0"/>
    <n v="7"/>
    <n v="0"/>
    <n v="218"/>
    <n v="49"/>
    <n v="1"/>
    <n v="0"/>
    <x v="131"/>
    <n v="71"/>
    <n v="13"/>
    <n v="204"/>
    <n v="34"/>
    <n v="1"/>
    <n v="20"/>
    <n v="0"/>
    <n v="114"/>
    <n v="34"/>
    <n v="0"/>
    <n v="0"/>
    <s v="L"/>
    <n v="8"/>
    <s v=" "/>
    <n v="104.06"/>
    <n v="106.28"/>
    <n v="122.21"/>
    <n v="0.5"/>
    <n v="0.5"/>
    <s v="N"/>
    <s v="Y"/>
    <s v="N"/>
    <s v="N"/>
    <s v="N"/>
    <s v=" "/>
    <n v="99.13"/>
    <n v="94.46"/>
    <n v="92.06"/>
    <x v="22"/>
    <n v="23"/>
    <x v="0"/>
    <s v=" "/>
  </r>
  <r>
    <x v="99"/>
    <n v="694"/>
    <n v="42"/>
    <n v="311"/>
    <n v="25"/>
    <n v="3"/>
    <n v="18"/>
    <n v="0"/>
    <n v="128"/>
    <n v="46"/>
    <n v="2"/>
    <n v="0"/>
    <x v="183"/>
    <n v="441"/>
    <n v="16"/>
    <n v="235"/>
    <n v="38"/>
    <n v="1"/>
    <n v="20"/>
    <n v="1"/>
    <n v="111"/>
    <n v="30"/>
    <n v="1"/>
    <n v="2"/>
    <s v="W"/>
    <n v="1"/>
    <s v=" "/>
    <s v=" "/>
    <s v=" "/>
    <s v=" "/>
    <n v="0.56000000000000005"/>
    <n v="0.43999999999999995"/>
    <s v="Y"/>
    <s v="N"/>
    <s v="N"/>
    <s v="N"/>
    <s v="N"/>
    <s v=" "/>
    <s v=" "/>
    <s v=" "/>
    <s v=" "/>
    <x v="4"/>
    <n v="58"/>
    <x v="0"/>
    <s v=" "/>
  </r>
  <r>
    <x v="99"/>
    <n v="694"/>
    <n v="45"/>
    <n v="405"/>
    <n v="41"/>
    <n v="4"/>
    <n v="34"/>
    <n v="0"/>
    <n v="126"/>
    <n v="35"/>
    <n v="2"/>
    <n v="2"/>
    <x v="10"/>
    <n v="140"/>
    <n v="23"/>
    <n v="230"/>
    <n v="34"/>
    <n v="2"/>
    <n v="21"/>
    <n v="0"/>
    <n v="166"/>
    <n v="26"/>
    <n v="1"/>
    <n v="0"/>
    <s v="W"/>
    <n v="2"/>
    <n v="151.4"/>
    <n v="92.54"/>
    <n v="74.95"/>
    <n v="46.110000000000014"/>
    <n v="0.56999999999999995"/>
    <n v="0.43000000000000005"/>
    <s v="N"/>
    <s v="N"/>
    <s v="N"/>
    <s v="N"/>
    <s v="N"/>
    <n v="149.32"/>
    <n v="97.03"/>
    <n v="127.62"/>
    <n v="50.51"/>
    <x v="39"/>
    <n v="68"/>
    <x v="103"/>
    <n v="62.86"/>
  </r>
  <r>
    <x v="99"/>
    <n v="694"/>
    <n v="23"/>
    <n v="288"/>
    <n v="48"/>
    <n v="3"/>
    <n v="26"/>
    <n v="2"/>
    <n v="-9"/>
    <n v="21"/>
    <n v="0"/>
    <n v="0"/>
    <x v="18"/>
    <n v="235"/>
    <n v="33"/>
    <n v="213"/>
    <n v="23"/>
    <n v="2"/>
    <n v="14"/>
    <n v="0"/>
    <n v="134"/>
    <n v="40"/>
    <n v="1"/>
    <n v="1"/>
    <s v="L"/>
    <n v="3"/>
    <n v="83.74"/>
    <n v="75.62"/>
    <n v="-9.94"/>
    <n v="126.03"/>
    <n v="0.37"/>
    <n v="0.63"/>
    <s v="N"/>
    <s v="N"/>
    <s v="N"/>
    <s v="N"/>
    <s v="N"/>
    <n v="102"/>
    <n v="69"/>
    <n v="-12.97"/>
    <n v="122.87"/>
    <x v="12"/>
    <n v="56"/>
    <x v="419"/>
    <n v="8.0299999999999994"/>
  </r>
  <r>
    <x v="99"/>
    <n v="694"/>
    <n v="41"/>
    <n v="342"/>
    <n v="31"/>
    <n v="4"/>
    <n v="21"/>
    <n v="0"/>
    <n v="199"/>
    <n v="44"/>
    <n v="1"/>
    <n v="2"/>
    <x v="57"/>
    <n v="86"/>
    <n v="10"/>
    <n v="116"/>
    <n v="25"/>
    <n v="0"/>
    <n v="10"/>
    <n v="0"/>
    <n v="148"/>
    <n v="28"/>
    <n v="1"/>
    <n v="1"/>
    <s v="W"/>
    <n v="5"/>
    <n v="147.22"/>
    <n v="134.70999999999998"/>
    <n v="94.7"/>
    <n v="82.73"/>
    <n v="0.47"/>
    <n v="0.53"/>
    <s v="N"/>
    <s v="N"/>
    <s v="N"/>
    <s v="N"/>
    <s v="N"/>
    <n v="138.27000000000001"/>
    <n v="113.13"/>
    <n v="78.069999999999993"/>
    <n v="77.010000000000005"/>
    <x v="17"/>
    <n v="51"/>
    <x v="82"/>
    <n v="52.22"/>
  </r>
  <r>
    <x v="99"/>
    <n v="694"/>
    <n v="12"/>
    <n v="290"/>
    <n v="40"/>
    <n v="0"/>
    <n v="22"/>
    <n v="0"/>
    <n v="-21"/>
    <n v="23"/>
    <n v="1"/>
    <n v="0"/>
    <x v="65"/>
    <n v="257"/>
    <n v="20"/>
    <n v="227"/>
    <n v="25"/>
    <n v="0"/>
    <n v="15"/>
    <n v="0"/>
    <n v="139"/>
    <n v="38"/>
    <n v="2"/>
    <n v="0"/>
    <s v="L"/>
    <n v="6"/>
    <n v="94.51"/>
    <n v="90.51"/>
    <n v="-14.66"/>
    <n v="107.24"/>
    <n v="0.4"/>
    <n v="0.6"/>
    <s v="N"/>
    <s v="N"/>
    <s v="N"/>
    <s v="N"/>
    <s v="N"/>
    <n v="120.85"/>
    <n v="94.21"/>
    <n v="-19.14"/>
    <n v="97.91"/>
    <x v="11"/>
    <n v="32"/>
    <x v="420"/>
    <n v="6.54"/>
  </r>
  <r>
    <x v="99"/>
    <n v="694"/>
    <n v="7"/>
    <n v="128"/>
    <n v="20"/>
    <n v="0"/>
    <n v="6"/>
    <n v="2"/>
    <n v="111"/>
    <n v="29"/>
    <n v="1"/>
    <n v="0"/>
    <x v="54"/>
    <n v="365"/>
    <n v="38"/>
    <n v="146"/>
    <n v="20"/>
    <n v="3"/>
    <n v="14"/>
    <n v="0"/>
    <n v="237"/>
    <n v="49"/>
    <n v="2"/>
    <n v="0"/>
    <s v="L"/>
    <n v="7"/>
    <n v="34.880000000000003"/>
    <n v="67.710000000000008"/>
    <n v="93.97"/>
    <n v="81.67"/>
    <n v="0.28999999999999998"/>
    <n v="0.71"/>
    <s v="N"/>
    <s v="N"/>
    <s v="N"/>
    <s v="N"/>
    <s v="N"/>
    <n v="46.53"/>
    <n v="74.760000000000005"/>
    <n v="131.26"/>
    <n v="88.09"/>
    <x v="17"/>
    <n v="45"/>
    <x v="421"/>
    <n v="25.46"/>
  </r>
  <r>
    <x v="99"/>
    <n v="694"/>
    <n v="6"/>
    <n v="63"/>
    <n v="18"/>
    <n v="0"/>
    <n v="9"/>
    <n v="1"/>
    <n v="92"/>
    <n v="32"/>
    <n v="0"/>
    <n v="1"/>
    <x v="36"/>
    <n v="8"/>
    <n v="37"/>
    <n v="294"/>
    <n v="28"/>
    <n v="1"/>
    <n v="18"/>
    <n v="1"/>
    <n v="143"/>
    <n v="38"/>
    <n v="3"/>
    <n v="0"/>
    <s v="L"/>
    <n v="8"/>
    <n v="52.41"/>
    <n v="83.85"/>
    <n v="57.33"/>
    <n v="100.85"/>
    <n v="0.42"/>
    <n v="0.58000000000000007"/>
    <s v="N"/>
    <s v="N"/>
    <s v="N"/>
    <s v="N"/>
    <s v="N"/>
    <n v="70.459999999999994"/>
    <n v="94.32"/>
    <n v="96.46"/>
    <n v="148.66999999999999"/>
    <x v="17"/>
    <n v="43"/>
    <x v="422"/>
    <n v="29.37"/>
  </r>
  <r>
    <x v="100"/>
    <n v="703"/>
    <n v="34"/>
    <n v="277"/>
    <n v="27"/>
    <n v="2"/>
    <n v="15"/>
    <n v="0"/>
    <n v="229"/>
    <n v="48"/>
    <n v="2"/>
    <n v="1"/>
    <x v="62"/>
    <n v="574"/>
    <n v="9"/>
    <n v="94"/>
    <n v="30"/>
    <n v="0"/>
    <n v="15"/>
    <n v="0"/>
    <n v="130"/>
    <n v="30"/>
    <n v="0"/>
    <n v="2"/>
    <s v="W"/>
    <n v="1"/>
    <n v="122.58"/>
    <n v="132.92000000000002"/>
    <n v="110.68"/>
    <n v="119.47"/>
    <n v="0.5"/>
    <n v="0.5"/>
    <s v="N"/>
    <s v="N"/>
    <s v="N"/>
    <s v="N"/>
    <s v="N"/>
    <n v="114.57"/>
    <n v="119.98"/>
    <n v="97.91"/>
    <n v="80.97"/>
    <x v="19"/>
    <n v="43"/>
    <x v="423"/>
    <n v="29.19"/>
  </r>
  <r>
    <x v="100"/>
    <n v="703"/>
    <n v="17"/>
    <n v="123"/>
    <n v="20"/>
    <n v="0"/>
    <n v="12"/>
    <n v="2"/>
    <n v="166"/>
    <n v="43"/>
    <n v="2"/>
    <n v="0"/>
    <x v="170"/>
    <n v="77"/>
    <n v="16"/>
    <n v="192"/>
    <n v="38"/>
    <n v="1"/>
    <n v="22"/>
    <n v="2"/>
    <n v="43"/>
    <n v="23"/>
    <n v="0"/>
    <n v="0"/>
    <s v="W"/>
    <n v="2"/>
    <n v="63.52"/>
    <n v="126.41"/>
    <n v="96.54"/>
    <n v="156.63"/>
    <n v="0.62"/>
    <n v="0.38"/>
    <s v="N"/>
    <s v="N"/>
    <s v="N"/>
    <s v="N"/>
    <s v="N"/>
    <n v="70.33"/>
    <n v="110.19"/>
    <n v="107.29"/>
    <n v="109.17"/>
    <x v="3"/>
    <n v="33"/>
    <x v="424"/>
    <n v="2.3199999999999998"/>
  </r>
  <r>
    <x v="100"/>
    <n v="703"/>
    <n v="49"/>
    <n v="204"/>
    <n v="20"/>
    <n v="3"/>
    <n v="16"/>
    <n v="0"/>
    <n v="284"/>
    <n v="50"/>
    <n v="4"/>
    <n v="2"/>
    <x v="28"/>
    <n v="110"/>
    <n v="20"/>
    <n v="176"/>
    <n v="26"/>
    <n v="0"/>
    <n v="11"/>
    <n v="3"/>
    <n v="141"/>
    <n v="34"/>
    <n v="2"/>
    <n v="1"/>
    <s v="W"/>
    <n v="3"/>
    <n v="158.09"/>
    <n v="155.42000000000002"/>
    <n v="131.78"/>
    <n v="103.79"/>
    <n v="0.43"/>
    <n v="0.57000000000000006"/>
    <s v="N"/>
    <s v="N"/>
    <s v="N"/>
    <s v="N"/>
    <s v="N"/>
    <n v="139.32"/>
    <n v="151.94999999999999"/>
    <n v="105.41"/>
    <n v="105.12"/>
    <x v="29"/>
    <n v="69"/>
    <x v="425"/>
    <n v="19.45"/>
  </r>
  <r>
    <x v="100"/>
    <n v="703"/>
    <n v="37"/>
    <n v="255"/>
    <n v="24"/>
    <n v="2"/>
    <n v="14"/>
    <n v="0"/>
    <n v="145"/>
    <n v="40"/>
    <n v="1"/>
    <n v="0"/>
    <x v="64"/>
    <n v="311"/>
    <n v="14"/>
    <n v="251"/>
    <n v="51"/>
    <n v="1"/>
    <n v="28"/>
    <n v="1"/>
    <n v="129"/>
    <n v="38"/>
    <n v="1"/>
    <n v="2"/>
    <s v="W"/>
    <n v="5"/>
    <n v="128.74"/>
    <n v="121.22"/>
    <n v="87.85"/>
    <n v="133.07999999999998"/>
    <n v="0.56999999999999995"/>
    <n v="0.43000000000000005"/>
    <s v="N"/>
    <s v="N"/>
    <s v="N"/>
    <s v="N"/>
    <s v="N"/>
    <n v="120.86"/>
    <n v="101.63"/>
    <n v="87.15"/>
    <n v="116.14"/>
    <x v="9"/>
    <n v="51"/>
    <x v="426"/>
    <n v="32.44"/>
  </r>
  <r>
    <x v="100"/>
    <n v="703"/>
    <n v="17"/>
    <n v="223"/>
    <n v="36"/>
    <n v="1"/>
    <n v="20"/>
    <n v="2"/>
    <n v="36"/>
    <n v="45"/>
    <n v="0"/>
    <n v="3"/>
    <x v="59"/>
    <n v="522"/>
    <n v="55"/>
    <n v="367"/>
    <n v="52"/>
    <n v="3"/>
    <n v="31"/>
    <n v="0"/>
    <n v="86"/>
    <n v="19"/>
    <n v="1"/>
    <n v="1"/>
    <s v="L"/>
    <n v="6"/>
    <n v="76.819999999999993"/>
    <n v="93.27"/>
    <n v="-1.44"/>
    <n v="102.88"/>
    <n v="0.73"/>
    <n v="0.27"/>
    <s v="N"/>
    <s v="N"/>
    <s v="N"/>
    <s v="N"/>
    <s v="N"/>
    <n v="90.56"/>
    <n v="104.75"/>
    <n v="-1.9"/>
    <n v="111.7"/>
    <x v="8"/>
    <n v="72"/>
    <x v="346"/>
    <n v="29.58"/>
  </r>
  <r>
    <x v="100"/>
    <n v="703"/>
    <n v="26"/>
    <n v="139"/>
    <n v="40"/>
    <n v="0"/>
    <n v="22"/>
    <n v="2"/>
    <n v="231"/>
    <n v="49"/>
    <n v="2"/>
    <n v="1"/>
    <x v="23"/>
    <n v="521"/>
    <n v="38"/>
    <n v="218"/>
    <n v="41"/>
    <n v="1"/>
    <n v="23"/>
    <n v="0"/>
    <n v="202"/>
    <n v="27"/>
    <n v="3"/>
    <n v="1"/>
    <s v="L"/>
    <n v="7"/>
    <n v="58.94"/>
    <n v="111.27"/>
    <n v="109.37"/>
    <n v="20.870000000000005"/>
    <n v="0.6"/>
    <n v="0.4"/>
    <s v="N"/>
    <s v="N"/>
    <s v="N"/>
    <s v="N"/>
    <s v="N"/>
    <n v="72.739999999999995"/>
    <n v="131.44"/>
    <n v="113.77"/>
    <n v="25.4"/>
    <x v="51"/>
    <n v="64"/>
    <x v="351"/>
    <n v="12.05"/>
  </r>
  <r>
    <x v="101"/>
    <n v="697"/>
    <n v="46"/>
    <n v="246"/>
    <n v="26"/>
    <n v="2"/>
    <n v="21"/>
    <n v="0"/>
    <n v="212"/>
    <n v="39"/>
    <n v="4"/>
    <n v="0"/>
    <x v="154"/>
    <n v="663"/>
    <n v="14"/>
    <n v="268"/>
    <n v="38"/>
    <n v="1"/>
    <n v="23"/>
    <n v="2"/>
    <n v="79"/>
    <n v="32"/>
    <n v="1"/>
    <n v="0"/>
    <s v="W"/>
    <n v="2"/>
    <n v="143.87"/>
    <n v="112.88"/>
    <n v="141.5"/>
    <n v="138.04"/>
    <n v="0.54"/>
    <n v="0.45999999999999996"/>
    <s v="N"/>
    <s v="N"/>
    <s v="N"/>
    <s v="N"/>
    <s v="N"/>
    <n v="132.03"/>
    <n v="108.72"/>
    <n v="183.89"/>
    <n v="158.71"/>
    <x v="46"/>
    <n v="60"/>
    <x v="382"/>
    <n v="23.48"/>
  </r>
  <r>
    <x v="101"/>
    <n v="697"/>
    <n v="37"/>
    <n v="377"/>
    <n v="43"/>
    <n v="2"/>
    <n v="30"/>
    <n v="1"/>
    <n v="140"/>
    <n v="38"/>
    <n v="2"/>
    <n v="1"/>
    <x v="77"/>
    <n v="295"/>
    <n v="7"/>
    <n v="131"/>
    <n v="29"/>
    <n v="0"/>
    <n v="17"/>
    <n v="0"/>
    <n v="56"/>
    <n v="29"/>
    <n v="1"/>
    <n v="0"/>
    <s v="W"/>
    <n v="3"/>
    <n v="117.55"/>
    <n v="116.76"/>
    <n v="85.47"/>
    <n v="150.03"/>
    <n v="0.5"/>
    <n v="0.5"/>
    <s v="N"/>
    <s v="N"/>
    <s v="N"/>
    <s v="N"/>
    <s v="N"/>
    <n v="102.54"/>
    <n v="84.4"/>
    <n v="91.3"/>
    <n v="73.38"/>
    <x v="33"/>
    <n v="44"/>
    <x v="189"/>
    <n v="42.97"/>
  </r>
  <r>
    <x v="101"/>
    <n v="697"/>
    <n v="29"/>
    <n v="309"/>
    <n v="47"/>
    <n v="2"/>
    <n v="28"/>
    <n v="3"/>
    <n v="162"/>
    <n v="27"/>
    <n v="1"/>
    <n v="1"/>
    <x v="23"/>
    <n v="521"/>
    <n v="30"/>
    <n v="438"/>
    <n v="60"/>
    <n v="2"/>
    <n v="47"/>
    <n v="0"/>
    <n v="46"/>
    <n v="35"/>
    <n v="1"/>
    <n v="1"/>
    <s v="L"/>
    <n v="4"/>
    <n v="82.64"/>
    <n v="76.88"/>
    <n v="133.63999999999999"/>
    <n v="173.79"/>
    <n v="0.63"/>
    <n v="0.37"/>
    <s v="N"/>
    <s v="N"/>
    <s v="N"/>
    <s v="N"/>
    <s v="N"/>
    <n v="101.99"/>
    <n v="90.82"/>
    <n v="139.02000000000001"/>
    <n v="211.52"/>
    <x v="3"/>
    <n v="59"/>
    <x v="350"/>
    <n v="1.49"/>
  </r>
  <r>
    <x v="101"/>
    <n v="697"/>
    <n v="38"/>
    <n v="247"/>
    <n v="35"/>
    <n v="0"/>
    <n v="25"/>
    <n v="1"/>
    <n v="381"/>
    <n v="54"/>
    <n v="5"/>
    <n v="1"/>
    <x v="17"/>
    <n v="31"/>
    <n v="42"/>
    <n v="510"/>
    <n v="51"/>
    <n v="3"/>
    <n v="30"/>
    <n v="0"/>
    <n v="71"/>
    <n v="30"/>
    <n v="2"/>
    <n v="0"/>
    <s v="L"/>
    <n v="5"/>
    <n v="101.32"/>
    <n v="77.849999999999994"/>
    <n v="172.02"/>
    <n v="135.09"/>
    <n v="0.63"/>
    <n v="0.37"/>
    <s v="N"/>
    <s v="N"/>
    <s v="N"/>
    <s v="N"/>
    <s v="N"/>
    <n v="110.28"/>
    <n v="82.77"/>
    <n v="147.87"/>
    <n v="141"/>
    <x v="27"/>
    <n v="80"/>
    <x v="32"/>
    <n v="4.6399999999999997"/>
  </r>
  <r>
    <x v="101"/>
    <n v="697"/>
    <n v="45"/>
    <n v="188"/>
    <n v="26"/>
    <n v="1"/>
    <n v="16"/>
    <n v="0"/>
    <n v="205"/>
    <n v="46"/>
    <n v="4"/>
    <n v="0"/>
    <x v="142"/>
    <n v="700"/>
    <n v="40"/>
    <n v="391"/>
    <n v="66"/>
    <n v="3"/>
    <n v="44"/>
    <n v="0"/>
    <n v="132"/>
    <n v="39"/>
    <n v="1"/>
    <n v="0"/>
    <s v="W"/>
    <n v="6"/>
    <n v="106.72"/>
    <n v="94.23"/>
    <n v="116.43"/>
    <n v="117.63"/>
    <n v="0.63"/>
    <n v="0.37"/>
    <s v="N"/>
    <s v="N"/>
    <s v="N"/>
    <s v="N"/>
    <s v="N"/>
    <n v="105.68"/>
    <n v="112.72"/>
    <n v="107.96"/>
    <n v="120.94"/>
    <x v="28"/>
    <n v="85"/>
    <x v="427"/>
    <n v="14.28"/>
  </r>
  <r>
    <x v="101"/>
    <n v="697"/>
    <n v="55"/>
    <n v="415"/>
    <n v="38"/>
    <n v="6"/>
    <n v="25"/>
    <n v="1"/>
    <n v="266"/>
    <n v="45"/>
    <n v="1"/>
    <n v="0"/>
    <x v="139"/>
    <n v="51"/>
    <n v="28"/>
    <n v="430"/>
    <n v="40"/>
    <n v="3"/>
    <n v="28"/>
    <n v="1"/>
    <n v="50"/>
    <n v="31"/>
    <n v="1"/>
    <n v="0"/>
    <s v="W"/>
    <n v="7"/>
    <n v="141.1"/>
    <n v="67.66"/>
    <n v="140.47"/>
    <n v="157.74"/>
    <n v="0.56000000000000005"/>
    <n v="0.43999999999999995"/>
    <s v="N"/>
    <s v="N"/>
    <s v="N"/>
    <s v="N"/>
    <s v="N"/>
    <n v="144.43"/>
    <n v="103.97"/>
    <n v="126.58"/>
    <n v="172.95"/>
    <x v="18"/>
    <n v="83"/>
    <x v="61"/>
    <n v="25.24"/>
  </r>
  <r>
    <x v="101"/>
    <n v="697"/>
    <n v="33"/>
    <n v="263"/>
    <n v="43"/>
    <n v="2"/>
    <n v="24"/>
    <n v="0"/>
    <n v="247"/>
    <n v="47"/>
    <n v="1"/>
    <n v="1"/>
    <x v="64"/>
    <n v="311"/>
    <n v="17"/>
    <n v="180"/>
    <n v="40"/>
    <n v="0"/>
    <n v="16"/>
    <n v="1"/>
    <n v="125"/>
    <n v="33"/>
    <n v="2"/>
    <n v="0"/>
    <s v="W"/>
    <n v="8"/>
    <n v="96.12"/>
    <n v="142.97"/>
    <n v="118.73"/>
    <n v="103.03"/>
    <n v="0.55000000000000004"/>
    <n v="0.44999999999999996"/>
    <s v="N"/>
    <s v="N"/>
    <s v="N"/>
    <s v="N"/>
    <s v="N"/>
    <n v="90.24"/>
    <n v="119.86"/>
    <n v="117.79"/>
    <n v="89.91"/>
    <x v="1"/>
    <n v="50"/>
    <x v="211"/>
    <n v="26.29"/>
  </r>
  <r>
    <x v="102"/>
    <n v="670"/>
    <n v="38"/>
    <n v="106"/>
    <n v="22"/>
    <n v="0"/>
    <n v="11"/>
    <n v="0"/>
    <n v="235"/>
    <n v="49"/>
    <n v="4"/>
    <n v="0"/>
    <x v="184"/>
    <n v="1395"/>
    <n v="28"/>
    <n v="256"/>
    <n v="42"/>
    <n v="1"/>
    <n v="21"/>
    <n v="0"/>
    <n v="45"/>
    <n v="26"/>
    <n v="1"/>
    <n v="1"/>
    <s v="W"/>
    <n v="3"/>
    <s v=" "/>
    <s v=" "/>
    <s v=" "/>
    <s v=" "/>
    <n v="0.62"/>
    <n v="0.38"/>
    <s v="Y"/>
    <s v="N"/>
    <s v="N"/>
    <s v="N"/>
    <s v="N"/>
    <s v=" "/>
    <s v=" "/>
    <s v=" "/>
    <s v=" "/>
    <x v="12"/>
    <n v="66"/>
    <x v="0"/>
    <s v=" "/>
  </r>
  <r>
    <x v="102"/>
    <n v="670"/>
    <n v="38"/>
    <n v="160"/>
    <n v="18"/>
    <n v="3"/>
    <n v="12"/>
    <n v="1"/>
    <n v="212"/>
    <n v="44"/>
    <n v="1"/>
    <n v="4"/>
    <x v="146"/>
    <n v="483"/>
    <n v="12"/>
    <n v="105"/>
    <n v="28"/>
    <n v="0"/>
    <n v="11"/>
    <n v="1"/>
    <n v="103"/>
    <n v="36"/>
    <n v="1"/>
    <n v="1"/>
    <s v="W"/>
    <n v="5"/>
    <s v=" "/>
    <s v=" "/>
    <s v=" "/>
    <s v=" "/>
    <n v="0.44"/>
    <n v="0.56000000000000005"/>
    <s v="Y"/>
    <s v="N"/>
    <s v="N"/>
    <s v="N"/>
    <s v="N"/>
    <s v=" "/>
    <s v=" "/>
    <s v=" "/>
    <s v=" "/>
    <x v="4"/>
    <n v="50"/>
    <x v="0"/>
    <s v=" "/>
  </r>
  <r>
    <x v="102"/>
    <n v="670"/>
    <n v="46"/>
    <n v="243"/>
    <n v="28"/>
    <n v="3"/>
    <n v="17"/>
    <n v="1"/>
    <n v="292"/>
    <n v="48"/>
    <n v="3"/>
    <n v="0"/>
    <x v="185"/>
    <n v="346"/>
    <n v="21"/>
    <n v="174"/>
    <n v="24"/>
    <n v="1"/>
    <n v="10"/>
    <n v="0"/>
    <n v="72"/>
    <n v="29"/>
    <n v="2"/>
    <n v="0"/>
    <s v="W"/>
    <n v="7"/>
    <s v=" "/>
    <s v=" "/>
    <s v=" "/>
    <s v=" "/>
    <n v="0.45"/>
    <n v="0.55000000000000004"/>
    <s v="Y"/>
    <s v="N"/>
    <s v="N"/>
    <s v="N"/>
    <s v="N"/>
    <s v=" "/>
    <s v=" "/>
    <s v=" "/>
    <s v=" "/>
    <x v="19"/>
    <n v="67"/>
    <x v="0"/>
    <s v=" "/>
  </r>
  <r>
    <x v="102"/>
    <n v="670"/>
    <n v="10"/>
    <n v="75"/>
    <n v="21"/>
    <n v="0"/>
    <n v="10"/>
    <n v="0"/>
    <n v="256"/>
    <n v="50"/>
    <n v="1"/>
    <n v="4"/>
    <x v="142"/>
    <n v="700"/>
    <n v="50"/>
    <n v="348"/>
    <n v="37"/>
    <n v="4"/>
    <n v="25"/>
    <n v="0"/>
    <n v="157"/>
    <n v="33"/>
    <n v="3"/>
    <n v="1"/>
    <s v="L"/>
    <n v="1"/>
    <n v="67.08"/>
    <n v="64.960000000000008"/>
    <n v="97.78"/>
    <n v="85.08"/>
    <n v="0.53"/>
    <n v="0.47"/>
    <s v="N"/>
    <s v="N"/>
    <s v="N"/>
    <s v="N"/>
    <s v="N"/>
    <n v="66.430000000000007"/>
    <n v="77.709999999999994"/>
    <n v="90.67"/>
    <n v="87.47"/>
    <x v="57"/>
    <n v="60"/>
    <x v="428"/>
    <n v="47"/>
  </r>
  <r>
    <x v="102"/>
    <n v="670"/>
    <n v="10"/>
    <n v="112"/>
    <n v="23"/>
    <n v="0"/>
    <n v="12"/>
    <n v="2"/>
    <n v="77"/>
    <n v="34"/>
    <n v="1"/>
    <n v="1"/>
    <x v="78"/>
    <n v="811"/>
    <n v="45"/>
    <n v="236"/>
    <n v="31"/>
    <n v="1"/>
    <n v="16"/>
    <n v="2"/>
    <n v="382"/>
    <n v="50"/>
    <n v="5"/>
    <n v="0"/>
    <s v="L"/>
    <n v="2"/>
    <n v="52.63"/>
    <n v="121.41"/>
    <n v="48.13"/>
    <n v="7.75"/>
    <n v="0.38"/>
    <n v="0.62"/>
    <s v="N"/>
    <s v="N"/>
    <s v="N"/>
    <s v="N"/>
    <s v="N"/>
    <n v="54.71"/>
    <n v="111.88"/>
    <n v="53.46"/>
    <n v="9.11"/>
    <x v="32"/>
    <n v="55"/>
    <x v="429"/>
    <n v="20.58"/>
  </r>
  <r>
    <x v="102"/>
    <n v="670"/>
    <n v="35"/>
    <n v="241"/>
    <n v="17"/>
    <n v="4"/>
    <n v="10"/>
    <n v="1"/>
    <n v="272"/>
    <n v="59"/>
    <n v="1"/>
    <n v="1"/>
    <x v="61"/>
    <n v="676"/>
    <n v="26"/>
    <n v="353"/>
    <n v="65"/>
    <n v="0"/>
    <n v="32"/>
    <n v="1"/>
    <n v="66"/>
    <n v="17"/>
    <n v="1"/>
    <n v="0"/>
    <s v="W"/>
    <n v="4"/>
    <n v="153.72999999999999"/>
    <n v="125.79"/>
    <n v="104.41"/>
    <n v="101.11"/>
    <n v="0.79"/>
    <n v="0.20999999999999996"/>
    <s v="N"/>
    <s v="N"/>
    <s v="N"/>
    <s v="N"/>
    <s v="N"/>
    <n v="71.13"/>
    <n v="93.35"/>
    <n v="99.81"/>
    <n v="99.99"/>
    <x v="44"/>
    <n v="61"/>
    <x v="409"/>
    <n v="10.58"/>
  </r>
  <r>
    <x v="102"/>
    <n v="670"/>
    <n v="21"/>
    <n v="110"/>
    <n v="12"/>
    <n v="1"/>
    <n v="8"/>
    <n v="0"/>
    <n v="139"/>
    <n v="48"/>
    <n v="1"/>
    <n v="0"/>
    <x v="140"/>
    <n v="402"/>
    <n v="14"/>
    <n v="145"/>
    <n v="27"/>
    <n v="0"/>
    <n v="13"/>
    <n v="1"/>
    <n v="220"/>
    <n v="35"/>
    <n v="2"/>
    <n v="0"/>
    <s v="W"/>
    <n v="6"/>
    <s v=" "/>
    <n v="133.69"/>
    <n v="70.31"/>
    <n v="45.599999999999994"/>
    <n v="0.44"/>
    <n v="0.56000000000000005"/>
    <s v="N"/>
    <s v="Y"/>
    <s v="N"/>
    <s v="N"/>
    <s v="N"/>
    <s v=" "/>
    <n v="88.65"/>
    <n v="91.19"/>
    <n v="70.41"/>
    <x v="20"/>
    <n v="35"/>
    <x v="0"/>
    <s v=" "/>
  </r>
  <r>
    <x v="102"/>
    <n v="670"/>
    <n v="28"/>
    <n v="172"/>
    <n v="21"/>
    <n v="1"/>
    <n v="12"/>
    <n v="0"/>
    <n v="336"/>
    <n v="45"/>
    <n v="3"/>
    <n v="2"/>
    <x v="179"/>
    <n v="655"/>
    <n v="38"/>
    <n v="349"/>
    <n v="45"/>
    <n v="0"/>
    <n v="26"/>
    <n v="0"/>
    <n v="147"/>
    <n v="39"/>
    <n v="5"/>
    <n v="0"/>
    <s v="L"/>
    <n v="8"/>
    <n v="108.92"/>
    <n v="99.95"/>
    <n v="169.89"/>
    <n v="93.32"/>
    <n v="0.54"/>
    <n v="0.45999999999999996"/>
    <s v="N"/>
    <s v="N"/>
    <s v="N"/>
    <s v="N"/>
    <s v="N"/>
    <n v="99.2"/>
    <n v="100"/>
    <n v="51.15"/>
    <n v="99.55"/>
    <x v="12"/>
    <n v="66"/>
    <x v="395"/>
    <n v="13.87"/>
  </r>
  <r>
    <x v="103"/>
    <n v="700"/>
    <n v="50"/>
    <n v="348"/>
    <n v="37"/>
    <n v="4"/>
    <n v="25"/>
    <n v="0"/>
    <n v="157"/>
    <n v="33"/>
    <n v="3"/>
    <n v="1"/>
    <x v="153"/>
    <n v="670"/>
    <n v="10"/>
    <n v="75"/>
    <n v="21"/>
    <n v="0"/>
    <n v="10"/>
    <n v="0"/>
    <n v="256"/>
    <n v="50"/>
    <n v="1"/>
    <n v="4"/>
    <s v="W"/>
    <n v="1"/>
    <n v="135.04"/>
    <n v="132.92000000000002"/>
    <n v="114.92"/>
    <n v="102.22"/>
    <n v="0.3"/>
    <n v="0.7"/>
    <s v="N"/>
    <s v="N"/>
    <s v="N"/>
    <s v="N"/>
    <s v="N"/>
    <n v="147.41"/>
    <n v="127.06"/>
    <n v="76.5"/>
    <n v="100.28"/>
    <x v="57"/>
    <n v="60"/>
    <x v="430"/>
    <n v="47"/>
  </r>
  <r>
    <x v="103"/>
    <n v="700"/>
    <n v="59"/>
    <n v="446"/>
    <n v="50"/>
    <n v="6"/>
    <n v="45"/>
    <n v="0"/>
    <n v="178"/>
    <n v="35"/>
    <n v="2"/>
    <n v="1"/>
    <x v="34"/>
    <n v="473"/>
    <n v="13"/>
    <n v="228"/>
    <n v="29"/>
    <n v="0"/>
    <n v="10"/>
    <n v="1"/>
    <n v="109"/>
    <n v="37"/>
    <n v="1"/>
    <n v="2"/>
    <s v="W"/>
    <n v="3"/>
    <n v="156.61000000000001"/>
    <n v="133.01"/>
    <n v="117.99"/>
    <n v="143.82"/>
    <n v="0.44"/>
    <n v="0.56000000000000005"/>
    <s v="N"/>
    <s v="N"/>
    <s v="N"/>
    <s v="N"/>
    <s v="N"/>
    <n v="104.36"/>
    <n v="113.59"/>
    <n v="79.66"/>
    <n v="104.89"/>
    <x v="52"/>
    <n v="72"/>
    <x v="431"/>
    <n v="30.38"/>
  </r>
  <r>
    <x v="103"/>
    <n v="700"/>
    <n v="35"/>
    <n v="222"/>
    <n v="38"/>
    <n v="3"/>
    <n v="26"/>
    <n v="0"/>
    <n v="219"/>
    <n v="38"/>
    <n v="2"/>
    <n v="0"/>
    <x v="68"/>
    <n v="466"/>
    <n v="34"/>
    <n v="250"/>
    <n v="24"/>
    <n v="2"/>
    <n v="15"/>
    <n v="0"/>
    <n v="312"/>
    <n v="46"/>
    <n v="2"/>
    <n v="0"/>
    <s v="W"/>
    <n v="4"/>
    <n v="112.1"/>
    <n v="68.22999999999999"/>
    <n v="141.6"/>
    <n v="36.120000000000005"/>
    <n v="0.34"/>
    <n v="0.65999999999999992"/>
    <s v="N"/>
    <s v="N"/>
    <s v="N"/>
    <s v="N"/>
    <s v="N"/>
    <n v="119.11"/>
    <n v="67.55"/>
    <n v="122.23"/>
    <n v="42.52"/>
    <x v="3"/>
    <n v="69"/>
    <x v="310"/>
    <n v="2.38"/>
  </r>
  <r>
    <x v="103"/>
    <n v="700"/>
    <n v="45"/>
    <n v="366"/>
    <n v="46"/>
    <n v="3"/>
    <n v="29"/>
    <n v="1"/>
    <n v="164"/>
    <n v="40"/>
    <n v="3"/>
    <n v="0"/>
    <x v="122"/>
    <n v="328"/>
    <n v="34"/>
    <n v="239"/>
    <n v="22"/>
    <n v="3"/>
    <n v="16"/>
    <n v="3"/>
    <n v="239"/>
    <n v="51"/>
    <n v="2"/>
    <n v="1"/>
    <s v="W"/>
    <n v="5"/>
    <n v="109.67"/>
    <n v="88.52"/>
    <n v="106.37"/>
    <n v="91.28"/>
    <n v="0.3"/>
    <n v="0.7"/>
    <s v="N"/>
    <s v="N"/>
    <s v="N"/>
    <s v="N"/>
    <s v="N"/>
    <n v="79.62"/>
    <n v="96.45"/>
    <n v="58.44"/>
    <n v="83.44"/>
    <x v="6"/>
    <n v="79"/>
    <x v="213"/>
    <n v="264.42"/>
  </r>
  <r>
    <x v="103"/>
    <n v="700"/>
    <n v="40"/>
    <n v="391"/>
    <n v="66"/>
    <n v="3"/>
    <n v="44"/>
    <n v="0"/>
    <n v="132"/>
    <n v="39"/>
    <n v="1"/>
    <n v="0"/>
    <x v="37"/>
    <n v="697"/>
    <n v="45"/>
    <n v="188"/>
    <n v="26"/>
    <n v="1"/>
    <n v="16"/>
    <n v="0"/>
    <n v="205"/>
    <n v="46"/>
    <n v="4"/>
    <n v="0"/>
    <s v="L"/>
    <n v="6"/>
    <n v="105.77"/>
    <n v="93.28"/>
    <n v="82.37"/>
    <n v="83.57"/>
    <n v="0.36"/>
    <n v="0.64"/>
    <s v="N"/>
    <s v="N"/>
    <s v="N"/>
    <s v="N"/>
    <s v="N"/>
    <n v="104.14"/>
    <n v="105.18"/>
    <n v="114.77"/>
    <n v="108.43"/>
    <x v="28"/>
    <n v="85"/>
    <x v="427"/>
    <n v="14.28"/>
  </r>
  <r>
    <x v="103"/>
    <n v="700"/>
    <n v="34"/>
    <n v="461"/>
    <n v="63"/>
    <n v="1"/>
    <n v="43"/>
    <n v="3"/>
    <n v="119"/>
    <n v="33"/>
    <n v="3"/>
    <n v="1"/>
    <x v="63"/>
    <n v="327"/>
    <n v="41"/>
    <n v="146"/>
    <n v="18"/>
    <n v="1"/>
    <n v="12"/>
    <n v="0"/>
    <n v="193"/>
    <n v="47"/>
    <n v="3"/>
    <n v="0"/>
    <s v="L"/>
    <n v="7"/>
    <n v="96.23"/>
    <n v="80.790000000000006"/>
    <n v="88.21"/>
    <n v="95.16"/>
    <n v="0.28000000000000003"/>
    <n v="0.72"/>
    <s v="N"/>
    <s v="N"/>
    <s v="N"/>
    <s v="N"/>
    <s v="N"/>
    <n v="98.44"/>
    <n v="83.43"/>
    <n v="108.44"/>
    <n v="115.71"/>
    <x v="20"/>
    <n v="75"/>
    <x v="220"/>
    <n v="17.670000000000002"/>
  </r>
  <r>
    <x v="103"/>
    <n v="700"/>
    <n v="41"/>
    <n v="452"/>
    <n v="53"/>
    <n v="4"/>
    <n v="34"/>
    <n v="0"/>
    <n v="120"/>
    <n v="43"/>
    <n v="1"/>
    <n v="0"/>
    <x v="59"/>
    <n v="522"/>
    <n v="38"/>
    <n v="412"/>
    <n v="55"/>
    <n v="5"/>
    <n v="30"/>
    <n v="1"/>
    <n v="124"/>
    <n v="25"/>
    <n v="0"/>
    <n v="1"/>
    <s v="W"/>
    <n v="8"/>
    <n v="121.95"/>
    <n v="96.45"/>
    <n v="68.23"/>
    <n v="96.93"/>
    <n v="0.69"/>
    <n v="0.31000000000000005"/>
    <s v="N"/>
    <s v="N"/>
    <s v="N"/>
    <s v="N"/>
    <s v="N"/>
    <n v="143.75"/>
    <n v="108.33"/>
    <n v="89.87"/>
    <n v="105.24"/>
    <x v="22"/>
    <n v="79"/>
    <x v="347"/>
    <n v="18.25"/>
  </r>
  <r>
    <x v="104"/>
    <n v="709"/>
    <n v="58"/>
    <n v="304"/>
    <n v="36"/>
    <n v="5"/>
    <n v="27"/>
    <n v="0"/>
    <n v="278"/>
    <n v="47"/>
    <n v="2"/>
    <n v="0"/>
    <x v="186"/>
    <n v="469"/>
    <n v="22"/>
    <n v="180"/>
    <n v="33"/>
    <n v="1"/>
    <n v="24"/>
    <n v="2"/>
    <n v="152"/>
    <n v="33"/>
    <n v="2"/>
    <n v="3"/>
    <s v="W"/>
    <n v="1"/>
    <s v=" "/>
    <s v=" "/>
    <s v=" "/>
    <s v=" "/>
    <n v="0.5"/>
    <n v="0.5"/>
    <s v="Y"/>
    <s v="N"/>
    <s v="N"/>
    <s v="N"/>
    <s v="N"/>
    <s v=" "/>
    <s v=" "/>
    <s v=" "/>
    <s v=" "/>
    <x v="21"/>
    <n v="80"/>
    <x v="0"/>
    <s v=" "/>
  </r>
  <r>
    <x v="104"/>
    <n v="709"/>
    <n v="22"/>
    <n v="292"/>
    <n v="42"/>
    <n v="2"/>
    <n v="21"/>
    <n v="1"/>
    <n v="46"/>
    <n v="30"/>
    <n v="1"/>
    <n v="0"/>
    <x v="7"/>
    <n v="518"/>
    <n v="27"/>
    <n v="189"/>
    <n v="30"/>
    <n v="1"/>
    <n v="16"/>
    <n v="0"/>
    <n v="112"/>
    <n v="34"/>
    <n v="2"/>
    <n v="1"/>
    <s v="L"/>
    <n v="2"/>
    <n v="87.89"/>
    <n v="107.33"/>
    <n v="40.57"/>
    <n v="123.58"/>
    <n v="0.47"/>
    <n v="0.53"/>
    <s v="N"/>
    <s v="N"/>
    <s v="N"/>
    <s v="N"/>
    <s v="N"/>
    <n v="101.51"/>
    <n v="88.76"/>
    <n v="52.01"/>
    <n v="115.55"/>
    <x v="28"/>
    <n v="49"/>
    <x v="432"/>
    <n v="12.31"/>
  </r>
  <r>
    <x v="104"/>
    <n v="709"/>
    <n v="15"/>
    <n v="251"/>
    <n v="40"/>
    <n v="1"/>
    <n v="20"/>
    <n v="1"/>
    <n v="98"/>
    <n v="30"/>
    <n v="1"/>
    <n v="1"/>
    <x v="6"/>
    <n v="66"/>
    <n v="40"/>
    <n v="465"/>
    <n v="43"/>
    <n v="5"/>
    <n v="33"/>
    <n v="1"/>
    <n v="145"/>
    <n v="38"/>
    <n v="1"/>
    <n v="0"/>
    <s v="L"/>
    <n v="3"/>
    <n v="80.45"/>
    <n v="53.849999999999994"/>
    <n v="70.790000000000006"/>
    <n v="107.53"/>
    <n v="0.53"/>
    <n v="0.47"/>
    <s v="N"/>
    <s v="N"/>
    <s v="N"/>
    <s v="N"/>
    <s v="N"/>
    <n v="101.97"/>
    <n v="70.69"/>
    <n v="81.25"/>
    <n v="123.34"/>
    <x v="19"/>
    <n v="55"/>
    <x v="63"/>
    <n v="28.61"/>
  </r>
  <r>
    <x v="104"/>
    <n v="709"/>
    <n v="30"/>
    <n v="300"/>
    <n v="42"/>
    <n v="1"/>
    <n v="28"/>
    <n v="1"/>
    <n v="138"/>
    <n v="37"/>
    <n v="2"/>
    <n v="0"/>
    <x v="176"/>
    <n v="688"/>
    <n v="33"/>
    <n v="213"/>
    <n v="25"/>
    <n v="2"/>
    <n v="16"/>
    <n v="0"/>
    <n v="153"/>
    <n v="41"/>
    <n v="1"/>
    <n v="1"/>
    <s v="L"/>
    <n v="4"/>
    <n v="102.02"/>
    <n v="77.569999999999993"/>
    <n v="94.64"/>
    <n v="117.08"/>
    <n v="0.38"/>
    <n v="0.62"/>
    <s v="N"/>
    <s v="N"/>
    <s v="N"/>
    <s v="N"/>
    <s v="N"/>
    <n v="91.18"/>
    <n v="82.1"/>
    <n v="127.2"/>
    <n v="106.02"/>
    <x v="22"/>
    <n v="63"/>
    <x v="411"/>
    <n v="34.520000000000003"/>
  </r>
  <r>
    <x v="104"/>
    <n v="709"/>
    <n v="36"/>
    <n v="148"/>
    <n v="15"/>
    <n v="2"/>
    <n v="13"/>
    <n v="0"/>
    <n v="157"/>
    <n v="39"/>
    <n v="3"/>
    <n v="1"/>
    <x v="8"/>
    <n v="690"/>
    <n v="13"/>
    <n v="173"/>
    <n v="20"/>
    <n v="1"/>
    <n v="10"/>
    <n v="2"/>
    <n v="145"/>
    <n v="46"/>
    <n v="0"/>
    <n v="2"/>
    <s v="W"/>
    <n v="5"/>
    <n v="160.44"/>
    <n v="125.36"/>
    <n v="97.24"/>
    <n v="139.91"/>
    <n v="0.3"/>
    <n v="0.7"/>
    <s v="N"/>
    <s v="N"/>
    <s v="N"/>
    <s v="N"/>
    <s v="N"/>
    <n v="183.51"/>
    <n v="84.35"/>
    <n v="134.16999999999999"/>
    <n v="155.52000000000001"/>
    <x v="9"/>
    <n v="49"/>
    <x v="418"/>
    <n v="18.71"/>
  </r>
  <r>
    <x v="104"/>
    <n v="709"/>
    <n v="54"/>
    <n v="302"/>
    <n v="31"/>
    <n v="4"/>
    <n v="27"/>
    <n v="0"/>
    <n v="240"/>
    <n v="43"/>
    <n v="2"/>
    <n v="1"/>
    <x v="11"/>
    <n v="204"/>
    <n v="16"/>
    <n v="138"/>
    <n v="24"/>
    <n v="1"/>
    <n v="13"/>
    <n v="2"/>
    <n v="89"/>
    <n v="32"/>
    <n v="1"/>
    <n v="1"/>
    <s v="W"/>
    <n v="6"/>
    <n v="159.55000000000001"/>
    <n v="133.25"/>
    <n v="129.49"/>
    <n v="140.16"/>
    <n v="0.43"/>
    <n v="0.57000000000000006"/>
    <s v="N"/>
    <s v="N"/>
    <s v="N"/>
    <s v="N"/>
    <s v="N"/>
    <n v="143.49"/>
    <n v="100.37"/>
    <n v="118.64"/>
    <n v="128.43"/>
    <x v="8"/>
    <n v="70"/>
    <x v="433"/>
    <n v="23.39"/>
  </r>
  <r>
    <x v="104"/>
    <n v="709"/>
    <n v="28"/>
    <n v="188"/>
    <n v="22"/>
    <n v="0"/>
    <n v="14"/>
    <n v="0"/>
    <n v="268"/>
    <n v="47"/>
    <n v="4"/>
    <n v="0"/>
    <x v="131"/>
    <n v="71"/>
    <n v="21"/>
    <n v="220"/>
    <n v="42"/>
    <n v="1"/>
    <n v="21"/>
    <n v="1"/>
    <n v="123"/>
    <n v="33"/>
    <n v="1"/>
    <n v="0"/>
    <s v="W"/>
    <n v="7"/>
    <n v="110.21"/>
    <n v="125.02"/>
    <n v="145.06"/>
    <n v="108.98"/>
    <n v="0.56000000000000005"/>
    <n v="0.43999999999999995"/>
    <s v="N"/>
    <s v="N"/>
    <s v="N"/>
    <s v="N"/>
    <s v="N"/>
    <n v="108.19"/>
    <n v="119.1"/>
    <n v="128.93"/>
    <n v="82.09"/>
    <x v="20"/>
    <n v="49"/>
    <x v="79"/>
    <n v="7.84"/>
  </r>
  <r>
    <x v="104"/>
    <n v="709"/>
    <n v="49"/>
    <n v="228"/>
    <n v="28"/>
    <n v="2"/>
    <n v="18"/>
    <n v="0"/>
    <n v="269"/>
    <n v="45"/>
    <n v="4"/>
    <n v="0"/>
    <x v="48"/>
    <n v="414"/>
    <n v="28"/>
    <n v="394"/>
    <n v="43"/>
    <n v="3"/>
    <n v="28"/>
    <n v="2"/>
    <n v="14"/>
    <n v="21"/>
    <n v="1"/>
    <n v="1"/>
    <s v="W"/>
    <n v="8"/>
    <n v="119.38"/>
    <n v="88.43"/>
    <n v="152.02000000000001"/>
    <n v="191.68"/>
    <n v="0.67"/>
    <n v="0.32999999999999996"/>
    <s v="N"/>
    <s v="N"/>
    <s v="N"/>
    <s v="N"/>
    <s v="N"/>
    <n v="121.29"/>
    <n v="85.63"/>
    <n v="153.1"/>
    <n v="79.430000000000007"/>
    <x v="23"/>
    <n v="77"/>
    <x v="280"/>
    <n v="13.86"/>
  </r>
  <r>
    <x v="105"/>
    <n v="716"/>
    <n v="19"/>
    <n v="258"/>
    <n v="42"/>
    <n v="1"/>
    <n v="24"/>
    <n v="1"/>
    <n v="165"/>
    <n v="36"/>
    <n v="1"/>
    <n v="2"/>
    <x v="51"/>
    <n v="147"/>
    <n v="43"/>
    <n v="271"/>
    <n v="31"/>
    <n v="3"/>
    <n v="21"/>
    <n v="1"/>
    <n v="197"/>
    <n v="38"/>
    <n v="2"/>
    <n v="0"/>
    <s v="L"/>
    <n v="1"/>
    <n v="87.05"/>
    <n v="79.78"/>
    <n v="93.83"/>
    <n v="71.830000000000013"/>
    <n v="0.45"/>
    <n v="0.55000000000000004"/>
    <s v="N"/>
    <s v="N"/>
    <s v="N"/>
    <s v="N"/>
    <s v="N"/>
    <n v="97.45"/>
    <n v="90.95"/>
    <n v="100.51"/>
    <n v="71.08"/>
    <x v="14"/>
    <n v="62"/>
    <x v="109"/>
    <n v="35.549999999999997"/>
  </r>
  <r>
    <x v="105"/>
    <n v="716"/>
    <n v="28"/>
    <n v="373"/>
    <n v="63"/>
    <n v="3"/>
    <n v="36"/>
    <n v="1"/>
    <n v="84"/>
    <n v="20"/>
    <n v="0"/>
    <n v="0"/>
    <x v="17"/>
    <n v="31"/>
    <n v="38"/>
    <n v="303"/>
    <n v="36"/>
    <n v="2"/>
    <n v="23"/>
    <n v="1"/>
    <n v="151"/>
    <n v="40"/>
    <n v="3"/>
    <n v="2"/>
    <s v="L"/>
    <n v="3"/>
    <n v="91.79"/>
    <n v="90.24"/>
    <n v="97.44"/>
    <n v="116.17"/>
    <n v="0.47"/>
    <n v="0.53"/>
    <s v="N"/>
    <s v="N"/>
    <s v="N"/>
    <s v="N"/>
    <s v="N"/>
    <n v="99.91"/>
    <n v="95.94"/>
    <n v="83.76"/>
    <n v="121.25"/>
    <x v="12"/>
    <n v="66"/>
    <x v="31"/>
    <n v="229.36"/>
  </r>
  <r>
    <x v="105"/>
    <n v="716"/>
    <n v="38"/>
    <n v="347"/>
    <n v="42"/>
    <n v="3"/>
    <n v="27"/>
    <n v="1"/>
    <n v="132"/>
    <n v="36"/>
    <n v="1"/>
    <n v="1"/>
    <x v="116"/>
    <n v="419"/>
    <n v="35"/>
    <n v="415"/>
    <n v="48"/>
    <n v="5"/>
    <n v="28"/>
    <n v="1"/>
    <n v="167"/>
    <n v="42"/>
    <n v="0"/>
    <n v="1"/>
    <s v="W"/>
    <n v="4"/>
    <n v="112.88"/>
    <n v="85.17"/>
    <n v="80.900000000000006"/>
    <n v="114.9"/>
    <n v="0.53"/>
    <n v="0.47"/>
    <s v="N"/>
    <s v="N"/>
    <s v="N"/>
    <s v="N"/>
    <s v="N"/>
    <n v="117.55"/>
    <n v="83.22"/>
    <n v="88.78"/>
    <n v="124.91"/>
    <x v="22"/>
    <n v="73"/>
    <x v="291"/>
    <n v="48.78"/>
  </r>
  <r>
    <x v="105"/>
    <n v="716"/>
    <n v="24"/>
    <n v="349"/>
    <n v="50"/>
    <n v="0"/>
    <n v="30"/>
    <n v="1"/>
    <n v="172"/>
    <n v="37"/>
    <n v="3"/>
    <n v="2"/>
    <x v="109"/>
    <n v="9"/>
    <n v="23"/>
    <n v="196"/>
    <n v="39"/>
    <n v="0"/>
    <n v="19"/>
    <n v="1"/>
    <n v="160"/>
    <n v="39"/>
    <n v="1"/>
    <n v="0"/>
    <s v="W"/>
    <n v="5"/>
    <n v="92.04"/>
    <n v="131.57999999999998"/>
    <n v="103.79"/>
    <n v="100.97"/>
    <n v="0.5"/>
    <n v="0.5"/>
    <s v="N"/>
    <s v="N"/>
    <s v="N"/>
    <s v="N"/>
    <s v="N"/>
    <n v="74.239999999999995"/>
    <n v="99.06"/>
    <n v="90.54"/>
    <n v="82.18"/>
    <x v="3"/>
    <n v="47"/>
    <x v="434"/>
    <n v="3.52"/>
  </r>
  <r>
    <x v="105"/>
    <n v="716"/>
    <n v="17"/>
    <n v="325"/>
    <n v="55"/>
    <n v="2"/>
    <n v="39"/>
    <n v="1"/>
    <n v="77"/>
    <n v="27"/>
    <n v="0"/>
    <n v="1"/>
    <x v="114"/>
    <n v="671"/>
    <n v="31"/>
    <n v="265"/>
    <n v="32"/>
    <n v="2"/>
    <n v="23"/>
    <n v="0"/>
    <n v="117"/>
    <n v="40"/>
    <n v="1"/>
    <n v="1"/>
    <s v="L"/>
    <n v="6"/>
    <n v="103.11"/>
    <n v="73.62"/>
    <n v="55.05"/>
    <n v="135.88999999999999"/>
    <n v="0.44"/>
    <n v="0.56000000000000005"/>
    <s v="N"/>
    <s v="N"/>
    <s v="N"/>
    <s v="N"/>
    <s v="N"/>
    <n v="105.34"/>
    <n v="79.400000000000006"/>
    <n v="63.12"/>
    <n v="105.74"/>
    <x v="5"/>
    <n v="48"/>
    <x v="435"/>
    <n v="43.3"/>
  </r>
  <r>
    <x v="105"/>
    <n v="716"/>
    <n v="10"/>
    <n v="140"/>
    <n v="36"/>
    <n v="0"/>
    <n v="20"/>
    <n v="2"/>
    <n v="-14"/>
    <n v="21"/>
    <n v="1"/>
    <n v="1"/>
    <x v="43"/>
    <n v="498"/>
    <n v="38"/>
    <n v="275"/>
    <n v="33"/>
    <n v="3"/>
    <n v="23"/>
    <n v="0"/>
    <n v="248"/>
    <n v="44"/>
    <n v="2"/>
    <n v="2"/>
    <s v="L"/>
    <n v="7"/>
    <n v="60.08"/>
    <n v="71.25"/>
    <n v="-22.61"/>
    <n v="76.05"/>
    <n v="0.43"/>
    <n v="0.57000000000000006"/>
    <s v="N"/>
    <s v="N"/>
    <s v="N"/>
    <s v="N"/>
    <s v="N"/>
    <n v="58.63"/>
    <n v="63.56"/>
    <n v="-28.06"/>
    <n v="54.43"/>
    <x v="15"/>
    <n v="48"/>
    <x v="436"/>
    <n v="13.01"/>
  </r>
  <r>
    <x v="106"/>
    <n v="718"/>
    <n v="47"/>
    <n v="267"/>
    <n v="25"/>
    <n v="3"/>
    <n v="14"/>
    <n v="0"/>
    <n v="126"/>
    <n v="37"/>
    <n v="3"/>
    <n v="0"/>
    <x v="179"/>
    <n v="655"/>
    <n v="33"/>
    <n v="295"/>
    <n v="45"/>
    <n v="0"/>
    <n v="25"/>
    <n v="1"/>
    <n v="124"/>
    <n v="44"/>
    <n v="4"/>
    <n v="0"/>
    <s v="W"/>
    <n v="1"/>
    <n v="132.21"/>
    <n v="115.38"/>
    <n v="91.17"/>
    <n v="120.98"/>
    <n v="0.51"/>
    <n v="0.49"/>
    <s v="N"/>
    <s v="N"/>
    <s v="N"/>
    <s v="N"/>
    <s v="N"/>
    <n v="120.42"/>
    <n v="115.44"/>
    <n v="27.45"/>
    <n v="129.06"/>
    <x v="5"/>
    <n v="80"/>
    <x v="437"/>
    <n v="23.43"/>
  </r>
  <r>
    <x v="106"/>
    <n v="718"/>
    <n v="3"/>
    <n v="176"/>
    <n v="42"/>
    <n v="0"/>
    <n v="19"/>
    <n v="1"/>
    <n v="59"/>
    <n v="35"/>
    <n v="0"/>
    <n v="2"/>
    <x v="67"/>
    <n v="719"/>
    <n v="31"/>
    <n v="246"/>
    <n v="32"/>
    <n v="3"/>
    <n v="22"/>
    <n v="1"/>
    <n v="166"/>
    <n v="37"/>
    <n v="1"/>
    <n v="1"/>
    <s v="L"/>
    <n v="2"/>
    <n v="60.93"/>
    <n v="84.67"/>
    <n v="21.97"/>
    <n v="99.97"/>
    <n v="0.46"/>
    <n v="0.54"/>
    <s v="N"/>
    <s v="N"/>
    <s v="N"/>
    <s v="N"/>
    <s v="N"/>
    <n v="60.45"/>
    <n v="78.900000000000006"/>
    <n v="28.3"/>
    <n v="101.76"/>
    <x v="15"/>
    <n v="34"/>
    <x v="438"/>
    <n v="21.14"/>
  </r>
  <r>
    <x v="106"/>
    <n v="718"/>
    <n v="49"/>
    <n v="278"/>
    <n v="27"/>
    <n v="3"/>
    <n v="23"/>
    <n v="0"/>
    <n v="262"/>
    <n v="49"/>
    <n v="2"/>
    <n v="0"/>
    <x v="109"/>
    <n v="9"/>
    <n v="10"/>
    <n v="145"/>
    <n v="28"/>
    <n v="0"/>
    <n v="10"/>
    <n v="3"/>
    <n v="48"/>
    <n v="17"/>
    <n v="0"/>
    <n v="0"/>
    <s v="W"/>
    <n v="3"/>
    <n v="157.97"/>
    <n v="168.21"/>
    <n v="130.16999999999999"/>
    <n v="134.49"/>
    <n v="0.62"/>
    <n v="0.38"/>
    <s v="N"/>
    <s v="N"/>
    <s v="N"/>
    <s v="N"/>
    <s v="N"/>
    <n v="127.41"/>
    <n v="126.64"/>
    <n v="113.56"/>
    <n v="109.46"/>
    <x v="2"/>
    <n v="59"/>
    <x v="439"/>
    <n v="20.440000000000001"/>
  </r>
  <r>
    <x v="106"/>
    <n v="718"/>
    <n v="27"/>
    <n v="263"/>
    <n v="37"/>
    <n v="1"/>
    <n v="18"/>
    <n v="1"/>
    <n v="55"/>
    <n v="22"/>
    <n v="1"/>
    <n v="0"/>
    <x v="74"/>
    <n v="193"/>
    <n v="48"/>
    <n v="333"/>
    <n v="36"/>
    <n v="1"/>
    <n v="24"/>
    <n v="1"/>
    <n v="151"/>
    <n v="43"/>
    <n v="5"/>
    <n v="1"/>
    <s v="L"/>
    <n v="4"/>
    <n v="83.33"/>
    <n v="87.09"/>
    <n v="64.819999999999993"/>
    <n v="108.07"/>
    <n v="0.46"/>
    <n v="0.54"/>
    <s v="N"/>
    <s v="N"/>
    <s v="N"/>
    <s v="N"/>
    <s v="N"/>
    <n v="73.83"/>
    <n v="90.72"/>
    <n v="63.28"/>
    <n v="69.39"/>
    <x v="23"/>
    <n v="75"/>
    <x v="133"/>
    <n v="37.04"/>
  </r>
  <r>
    <x v="106"/>
    <n v="718"/>
    <n v="6"/>
    <n v="74"/>
    <n v="20"/>
    <n v="0"/>
    <n v="10"/>
    <n v="2"/>
    <n v="125"/>
    <n v="28"/>
    <n v="1"/>
    <n v="2"/>
    <x v="58"/>
    <n v="725"/>
    <n v="45"/>
    <n v="70"/>
    <n v="3"/>
    <n v="1"/>
    <n v="3"/>
    <n v="0"/>
    <n v="353"/>
    <n v="62"/>
    <n v="5"/>
    <n v="2"/>
    <s v="L"/>
    <n v="5"/>
    <n v="40.17"/>
    <s v=" "/>
    <n v="87.5"/>
    <n v="65.490000000000009"/>
    <n v="0.05"/>
    <n v="0.95"/>
    <s v="N"/>
    <s v="N"/>
    <s v="N"/>
    <s v="Y"/>
    <s v="N"/>
    <n v="39.29"/>
    <s v=" "/>
    <n v="69.53"/>
    <n v="81.39"/>
    <x v="2"/>
    <n v="51"/>
    <x v="0"/>
    <s v=" "/>
  </r>
  <r>
    <x v="106"/>
    <n v="718"/>
    <n v="34"/>
    <n v="355"/>
    <n v="31"/>
    <n v="2"/>
    <n v="25"/>
    <n v="0"/>
    <n v="116"/>
    <n v="27"/>
    <n v="2"/>
    <n v="2"/>
    <x v="176"/>
    <n v="688"/>
    <n v="37"/>
    <n v="186"/>
    <n v="34"/>
    <n v="2"/>
    <n v="19"/>
    <n v="0"/>
    <n v="170"/>
    <n v="40"/>
    <n v="2"/>
    <n v="0"/>
    <s v="L"/>
    <n v="6"/>
    <n v="152.72999999999999"/>
    <n v="105.48"/>
    <n v="88.56"/>
    <n v="93.9"/>
    <n v="0.46"/>
    <n v="0.54"/>
    <s v="N"/>
    <s v="N"/>
    <s v="N"/>
    <s v="N"/>
    <s v="N"/>
    <n v="136.5"/>
    <n v="111.63"/>
    <n v="119.03"/>
    <n v="85.03"/>
    <x v="22"/>
    <n v="71"/>
    <x v="413"/>
    <n v="7.38"/>
  </r>
  <r>
    <x v="106"/>
    <n v="718"/>
    <n v="7"/>
    <n v="237"/>
    <n v="48"/>
    <n v="0"/>
    <n v="21"/>
    <n v="4"/>
    <n v="128"/>
    <n v="24"/>
    <n v="1"/>
    <n v="0"/>
    <x v="106"/>
    <n v="704"/>
    <n v="44"/>
    <n v="124"/>
    <n v="17"/>
    <n v="1"/>
    <n v="7"/>
    <n v="2"/>
    <n v="266"/>
    <n v="43"/>
    <n v="3"/>
    <n v="1"/>
    <s v="L"/>
    <n v="7"/>
    <n v="45.66"/>
    <n v="145.54"/>
    <n v="129.97999999999999"/>
    <n v="53"/>
    <n v="0.28000000000000003"/>
    <n v="0.72"/>
    <s v="N"/>
    <s v="N"/>
    <s v="N"/>
    <s v="N"/>
    <s v="N"/>
    <n v="49.13"/>
    <n v="112.73"/>
    <n v="110.98"/>
    <n v="64.150000000000006"/>
    <x v="50"/>
    <n v="51"/>
    <x v="440"/>
    <n v="143.30000000000001"/>
  </r>
  <r>
    <x v="106"/>
    <n v="718"/>
    <n v="17"/>
    <n v="377"/>
    <n v="50"/>
    <n v="1"/>
    <n v="31"/>
    <n v="2"/>
    <n v="82"/>
    <n v="31"/>
    <n v="1"/>
    <n v="1"/>
    <x v="40"/>
    <n v="404"/>
    <n v="33"/>
    <n v="213"/>
    <n v="26"/>
    <n v="2"/>
    <n v="14"/>
    <n v="1"/>
    <n v="76"/>
    <n v="33"/>
    <n v="2"/>
    <n v="0"/>
    <s v="L"/>
    <n v="8"/>
    <n v="94.09"/>
    <n v="101.51"/>
    <n v="56.53"/>
    <n v="137.47999999999999"/>
    <n v="0.44"/>
    <n v="0.56000000000000005"/>
    <s v="N"/>
    <s v="N"/>
    <s v="N"/>
    <s v="N"/>
    <s v="N"/>
    <n v="76.28"/>
    <n v="84.81"/>
    <n v="46.7"/>
    <n v="64.03"/>
    <x v="1"/>
    <n v="50"/>
    <x v="272"/>
    <n v="153.99"/>
  </r>
  <r>
    <x v="107"/>
    <n v="719"/>
    <n v="14"/>
    <n v="271"/>
    <n v="33"/>
    <n v="2"/>
    <n v="18"/>
    <n v="1"/>
    <n v="129"/>
    <n v="31"/>
    <n v="0"/>
    <n v="2"/>
    <x v="59"/>
    <n v="522"/>
    <n v="47"/>
    <n v="417"/>
    <n v="54"/>
    <n v="1"/>
    <n v="39"/>
    <n v="0"/>
    <n v="246"/>
    <n v="46"/>
    <n v="5"/>
    <n v="1"/>
    <s v="L"/>
    <n v="1"/>
    <n v="99.3"/>
    <n v="82.91"/>
    <n v="77.19"/>
    <n v="66.150000000000006"/>
    <n v="0.54"/>
    <n v="0.45999999999999996"/>
    <s v="N"/>
    <s v="N"/>
    <s v="N"/>
    <s v="N"/>
    <s v="N"/>
    <n v="117.05"/>
    <n v="93.12"/>
    <n v="101.67"/>
    <n v="71.819999999999993"/>
    <x v="55"/>
    <n v="61"/>
    <x v="343"/>
    <n v="44.33"/>
  </r>
  <r>
    <x v="107"/>
    <n v="719"/>
    <n v="31"/>
    <n v="246"/>
    <n v="32"/>
    <n v="3"/>
    <n v="22"/>
    <n v="1"/>
    <n v="166"/>
    <n v="37"/>
    <n v="1"/>
    <n v="1"/>
    <x v="47"/>
    <n v="718"/>
    <n v="3"/>
    <n v="176"/>
    <n v="42"/>
    <n v="0"/>
    <n v="19"/>
    <n v="1"/>
    <n v="59"/>
    <n v="35"/>
    <n v="0"/>
    <n v="2"/>
    <s v="W"/>
    <n v="2"/>
    <n v="115.33"/>
    <n v="139.07"/>
    <n v="100.03"/>
    <n v="178.03"/>
    <n v="0.55000000000000004"/>
    <n v="0.44999999999999996"/>
    <s v="N"/>
    <s v="N"/>
    <s v="N"/>
    <s v="N"/>
    <s v="N"/>
    <n v="133.1"/>
    <n v="133.35"/>
    <n v="101.7"/>
    <n v="149.26"/>
    <x v="15"/>
    <n v="34"/>
    <x v="441"/>
    <n v="21.14"/>
  </r>
  <r>
    <x v="107"/>
    <n v="719"/>
    <n v="21"/>
    <n v="136"/>
    <n v="26"/>
    <n v="2"/>
    <n v="15"/>
    <n v="4"/>
    <n v="155"/>
    <n v="30"/>
    <n v="1"/>
    <n v="0"/>
    <x v="6"/>
    <n v="66"/>
    <n v="41"/>
    <n v="327"/>
    <n v="37"/>
    <n v="5"/>
    <n v="28"/>
    <n v="0"/>
    <n v="131"/>
    <n v="45"/>
    <n v="1"/>
    <n v="1"/>
    <s v="L"/>
    <n v="4"/>
    <n v="51.58"/>
    <n v="55.889999999999986"/>
    <n v="124.87"/>
    <n v="135.80000000000001"/>
    <n v="0.45"/>
    <n v="0.55000000000000004"/>
    <s v="N"/>
    <s v="N"/>
    <s v="N"/>
    <s v="N"/>
    <s v="N"/>
    <n v="65.38"/>
    <n v="73.37"/>
    <n v="143.32"/>
    <n v="155.76"/>
    <x v="37"/>
    <n v="62"/>
    <x v="64"/>
    <n v="62.77"/>
  </r>
  <r>
    <x v="107"/>
    <n v="719"/>
    <n v="33"/>
    <n v="117"/>
    <n v="26"/>
    <n v="2"/>
    <n v="8"/>
    <n v="4"/>
    <n v="365"/>
    <n v="59"/>
    <n v="2"/>
    <n v="2"/>
    <x v="23"/>
    <n v="521"/>
    <n v="59"/>
    <n v="369"/>
    <n v="40"/>
    <n v="3"/>
    <n v="29"/>
    <n v="2"/>
    <n v="174"/>
    <n v="48"/>
    <n v="4"/>
    <n v="0"/>
    <s v="L"/>
    <n v="4"/>
    <n v="20.68"/>
    <n v="80.97"/>
    <n v="138.44"/>
    <n v="103.4"/>
    <n v="0.45"/>
    <n v="0.55000000000000004"/>
    <s v="N"/>
    <s v="N"/>
    <s v="N"/>
    <s v="N"/>
    <s v="N"/>
    <n v="25.52"/>
    <n v="95.65"/>
    <n v="144.01"/>
    <n v="125.85"/>
    <x v="4"/>
    <n v="92"/>
    <x v="349"/>
    <n v="46.01"/>
  </r>
  <r>
    <x v="107"/>
    <n v="719"/>
    <n v="41"/>
    <n v="314"/>
    <n v="32"/>
    <n v="3"/>
    <n v="20"/>
    <n v="1"/>
    <n v="98"/>
    <n v="24"/>
    <n v="1"/>
    <n v="1"/>
    <x v="16"/>
    <n v="497"/>
    <n v="24"/>
    <n v="261"/>
    <n v="26"/>
    <n v="2"/>
    <n v="18"/>
    <n v="2"/>
    <n v="130"/>
    <n v="56"/>
    <n v="1"/>
    <n v="0"/>
    <s v="W"/>
    <n v="5"/>
    <n v="120.67"/>
    <n v="87.6"/>
    <n v="88.48"/>
    <n v="143.46"/>
    <n v="0.32"/>
    <n v="0.67999999999999994"/>
    <s v="N"/>
    <s v="N"/>
    <s v="N"/>
    <s v="N"/>
    <s v="N"/>
    <n v="112.97"/>
    <n v="78.260000000000005"/>
    <n v="85.59"/>
    <n v="96.62"/>
    <x v="0"/>
    <n v="65"/>
    <x v="325"/>
    <n v="42.28"/>
  </r>
  <r>
    <x v="107"/>
    <n v="719"/>
    <n v="37"/>
    <n v="341"/>
    <n v="43"/>
    <n v="3"/>
    <n v="31"/>
    <n v="1"/>
    <n v="218"/>
    <n v="44"/>
    <n v="1"/>
    <n v="3"/>
    <x v="109"/>
    <n v="9"/>
    <n v="20"/>
    <n v="298"/>
    <n v="44"/>
    <n v="2"/>
    <n v="21"/>
    <n v="2"/>
    <n v="81"/>
    <n v="27"/>
    <n v="0"/>
    <n v="0"/>
    <s v="W"/>
    <n v="7"/>
    <n v="118.8"/>
    <n v="122.18"/>
    <n v="97.9"/>
    <n v="130.4"/>
    <n v="0.62"/>
    <n v="0.38"/>
    <s v="N"/>
    <s v="N"/>
    <s v="N"/>
    <s v="N"/>
    <s v="N"/>
    <n v="95.82"/>
    <n v="91.99"/>
    <n v="85.41"/>
    <n v="106.13"/>
    <x v="0"/>
    <n v="57"/>
    <x v="442"/>
    <n v="24.54"/>
  </r>
  <r>
    <x v="107"/>
    <n v="719"/>
    <n v="38"/>
    <n v="318"/>
    <n v="34"/>
    <n v="3"/>
    <n v="21"/>
    <n v="0"/>
    <n v="155"/>
    <n v="42"/>
    <n v="2"/>
    <n v="1"/>
    <x v="62"/>
    <n v="574"/>
    <n v="20"/>
    <n v="250"/>
    <n v="42"/>
    <n v="1"/>
    <n v="22"/>
    <n v="2"/>
    <n v="103"/>
    <n v="35"/>
    <n v="1"/>
    <n v="2"/>
    <s v="W"/>
    <n v="8"/>
    <n v="125.97"/>
    <n v="125.89"/>
    <n v="85.62"/>
    <n v="144.57999999999998"/>
    <n v="0.55000000000000004"/>
    <n v="0.44999999999999996"/>
    <s v="N"/>
    <s v="N"/>
    <s v="N"/>
    <s v="N"/>
    <s v="N"/>
    <n v="117.74"/>
    <n v="113.63"/>
    <n v="75.739999999999995"/>
    <n v="97.98"/>
    <x v="30"/>
    <n v="58"/>
    <x v="443"/>
    <n v="21.94"/>
  </r>
  <r>
    <x v="108"/>
    <n v="9"/>
    <n v="0"/>
    <n v="141"/>
    <n v="29"/>
    <n v="0"/>
    <n v="15"/>
    <n v="0"/>
    <n v="71"/>
    <n v="23"/>
    <n v="0"/>
    <n v="1"/>
    <x v="18"/>
    <n v="235"/>
    <n v="39"/>
    <n v="212"/>
    <n v="20"/>
    <n v="0"/>
    <n v="13"/>
    <n v="0"/>
    <n v="300"/>
    <n v="55"/>
    <n v="4"/>
    <n v="0"/>
    <s v="L"/>
    <n v="2"/>
    <n v="78.22"/>
    <n v="77.23"/>
    <n v="58.57"/>
    <n v="62.550000000000011"/>
    <n v="0.27"/>
    <n v="0.73"/>
    <s v="N"/>
    <s v="N"/>
    <s v="N"/>
    <s v="N"/>
    <s v="N"/>
    <n v="95.28"/>
    <n v="70.47"/>
    <n v="76.44"/>
    <n v="60.98"/>
    <x v="2"/>
    <n v="39"/>
    <x v="444"/>
    <n v="31.6"/>
  </r>
  <r>
    <x v="108"/>
    <n v="9"/>
    <n v="10"/>
    <n v="145"/>
    <n v="28"/>
    <n v="0"/>
    <n v="10"/>
    <n v="3"/>
    <n v="48"/>
    <n v="17"/>
    <n v="0"/>
    <n v="0"/>
    <x v="47"/>
    <n v="718"/>
    <n v="49"/>
    <n v="278"/>
    <n v="27"/>
    <n v="3"/>
    <n v="23"/>
    <n v="0"/>
    <n v="262"/>
    <n v="49"/>
    <n v="2"/>
    <n v="0"/>
    <s v="L"/>
    <n v="3"/>
    <n v="31.79"/>
    <n v="42.03"/>
    <n v="65.510000000000005"/>
    <n v="69.830000000000013"/>
    <n v="0.36"/>
    <n v="0.64"/>
    <s v="N"/>
    <s v="N"/>
    <s v="N"/>
    <s v="N"/>
    <s v="N"/>
    <n v="36.69"/>
    <n v="40.299999999999997"/>
    <n v="66.61"/>
    <n v="58.54"/>
    <x v="2"/>
    <n v="59"/>
    <x v="445"/>
    <n v="20.440000000000001"/>
  </r>
  <r>
    <x v="108"/>
    <n v="9"/>
    <n v="23"/>
    <n v="283"/>
    <n v="48"/>
    <n v="0"/>
    <n v="31"/>
    <n v="1"/>
    <n v="117"/>
    <n v="33"/>
    <n v="2"/>
    <n v="2"/>
    <x v="129"/>
    <n v="196"/>
    <n v="28"/>
    <n v="361"/>
    <n v="42"/>
    <n v="3"/>
    <n v="35"/>
    <n v="3"/>
    <n v="181"/>
    <n v="32"/>
    <n v="1"/>
    <n v="4"/>
    <s v="L"/>
    <n v="4"/>
    <n v="90.47"/>
    <n v="80.540000000000006"/>
    <n v="73.16"/>
    <n v="101.59"/>
    <n v="0.56999999999999995"/>
    <n v="0.43000000000000005"/>
    <s v="N"/>
    <s v="N"/>
    <s v="N"/>
    <s v="N"/>
    <s v="N"/>
    <n v="93.91"/>
    <n v="83.83"/>
    <n v="66.34"/>
    <n v="52.24"/>
    <x v="28"/>
    <n v="51"/>
    <x v="138"/>
    <n v="9.2200000000000006"/>
  </r>
  <r>
    <x v="108"/>
    <n v="9"/>
    <n v="23"/>
    <n v="196"/>
    <n v="39"/>
    <n v="0"/>
    <n v="19"/>
    <n v="1"/>
    <n v="160"/>
    <n v="39"/>
    <n v="1"/>
    <n v="0"/>
    <x v="35"/>
    <n v="716"/>
    <n v="24"/>
    <n v="349"/>
    <n v="50"/>
    <n v="0"/>
    <n v="30"/>
    <n v="1"/>
    <n v="172"/>
    <n v="37"/>
    <n v="3"/>
    <n v="2"/>
    <s v="L"/>
    <n v="5"/>
    <n v="68.42"/>
    <n v="107.96"/>
    <n v="99.03"/>
    <n v="96.21"/>
    <n v="0.56999999999999995"/>
    <n v="0.43000000000000005"/>
    <s v="N"/>
    <s v="N"/>
    <s v="N"/>
    <s v="N"/>
    <s v="N"/>
    <n v="60.62"/>
    <n v="98.41"/>
    <n v="101.64"/>
    <n v="65.489999999999995"/>
    <x v="3"/>
    <n v="47"/>
    <x v="446"/>
    <n v="3.52"/>
  </r>
  <r>
    <x v="108"/>
    <n v="9"/>
    <n v="3"/>
    <n v="195"/>
    <n v="36"/>
    <n v="0"/>
    <n v="18"/>
    <n v="1"/>
    <n v="145"/>
    <n v="35"/>
    <n v="0"/>
    <n v="1"/>
    <x v="50"/>
    <n v="430"/>
    <n v="21"/>
    <n v="212"/>
    <n v="23"/>
    <n v="3"/>
    <n v="17"/>
    <n v="0"/>
    <n v="204"/>
    <n v="43"/>
    <n v="0"/>
    <n v="0"/>
    <s v="L"/>
    <n v="6"/>
    <n v="71.19"/>
    <n v="56.289999999999992"/>
    <n v="87.54"/>
    <n v="89.93"/>
    <n v="0.35"/>
    <n v="0.65"/>
    <s v="N"/>
    <s v="N"/>
    <s v="N"/>
    <s v="N"/>
    <s v="N"/>
    <n v="79.400000000000006"/>
    <n v="50.28"/>
    <n v="98.62"/>
    <n v="87.51"/>
    <x v="30"/>
    <n v="24"/>
    <x v="300"/>
    <n v="18.940000000000001"/>
  </r>
  <r>
    <x v="108"/>
    <n v="9"/>
    <n v="20"/>
    <n v="298"/>
    <n v="44"/>
    <n v="2"/>
    <n v="21"/>
    <n v="2"/>
    <n v="81"/>
    <n v="27"/>
    <n v="0"/>
    <n v="0"/>
    <x v="67"/>
    <n v="719"/>
    <n v="37"/>
    <n v="341"/>
    <n v="43"/>
    <n v="3"/>
    <n v="31"/>
    <n v="1"/>
    <n v="218"/>
    <n v="44"/>
    <n v="1"/>
    <n v="3"/>
    <s v="L"/>
    <n v="7"/>
    <n v="77.819999999999993"/>
    <n v="81.2"/>
    <n v="69.599999999999994"/>
    <n v="102.1"/>
    <n v="0.49"/>
    <n v="0.51"/>
    <s v="N"/>
    <s v="N"/>
    <s v="N"/>
    <s v="N"/>
    <s v="N"/>
    <n v="77.209999999999994"/>
    <n v="75.67"/>
    <n v="89.67"/>
    <n v="103.93"/>
    <x v="0"/>
    <n v="57"/>
    <x v="442"/>
    <n v="24.54"/>
  </r>
  <r>
    <x v="108"/>
    <n v="9"/>
    <n v="26"/>
    <n v="327"/>
    <n v="42"/>
    <n v="2"/>
    <n v="31"/>
    <n v="2"/>
    <n v="174"/>
    <n v="36"/>
    <n v="1"/>
    <n v="0"/>
    <x v="73"/>
    <n v="128"/>
    <n v="24"/>
    <n v="235"/>
    <n v="32"/>
    <n v="0"/>
    <n v="19"/>
    <n v="2"/>
    <n v="96"/>
    <n v="24"/>
    <n v="3"/>
    <n v="0"/>
    <s v="W"/>
    <n v="8"/>
    <n v="109.1"/>
    <n v="119.35"/>
    <n v="116.3"/>
    <n v="88.45"/>
    <n v="0.56999999999999995"/>
    <n v="0.43000000000000005"/>
    <s v="N"/>
    <s v="N"/>
    <s v="N"/>
    <s v="N"/>
    <s v="N"/>
    <n v="133.80000000000001"/>
    <n v="124.59"/>
    <n v="128.52000000000001"/>
    <n v="76.39"/>
    <x v="35"/>
    <n v="50"/>
    <x v="447"/>
    <n v="6.02"/>
  </r>
  <r>
    <x v="109"/>
    <n v="108"/>
    <n v="38"/>
    <n v="320"/>
    <n v="30"/>
    <n v="3"/>
    <n v="18"/>
    <n v="0"/>
    <n v="135"/>
    <n v="42"/>
    <n v="2"/>
    <n v="1"/>
    <x v="177"/>
    <n v="706"/>
    <n v="17"/>
    <n v="257"/>
    <n v="31"/>
    <n v="2"/>
    <n v="22"/>
    <n v="0"/>
    <n v="79"/>
    <n v="22"/>
    <n v="0"/>
    <n v="2"/>
    <s v="W"/>
    <n v="7"/>
    <n v="133.13"/>
    <n v="74.17"/>
    <n v="74.569999999999993"/>
    <n v="143.96"/>
    <n v="0.57999999999999996"/>
    <n v="0.42000000000000004"/>
    <s v="N"/>
    <s v="N"/>
    <s v="N"/>
    <s v="N"/>
    <s v="N"/>
    <n v="123.31"/>
    <n v="63.16"/>
    <n v="80.819999999999993"/>
    <n v="79.28"/>
    <x v="23"/>
    <n v="55"/>
    <x v="448"/>
    <n v="81.3"/>
  </r>
  <r>
    <x v="110"/>
    <n v="128"/>
    <n v="62"/>
    <n v="244"/>
    <n v="20"/>
    <n v="0"/>
    <n v="14"/>
    <n v="0"/>
    <n v="316"/>
    <n v="48"/>
    <n v="8"/>
    <n v="1"/>
    <x v="117"/>
    <n v="48"/>
    <n v="0"/>
    <n v="70"/>
    <n v="18"/>
    <n v="0"/>
    <n v="9"/>
    <n v="1"/>
    <n v="49"/>
    <n v="33"/>
    <n v="0"/>
    <n v="1"/>
    <s v="W"/>
    <n v="1"/>
    <s v=" "/>
    <s v=" "/>
    <s v=" "/>
    <s v=" "/>
    <n v="0.35"/>
    <n v="0.65"/>
    <s v="Y"/>
    <s v="N"/>
    <s v="N"/>
    <s v="N"/>
    <s v="N"/>
    <s v=" "/>
    <s v=" "/>
    <s v=" "/>
    <s v=" "/>
    <x v="43"/>
    <n v="62"/>
    <x v="0"/>
    <s v=" "/>
  </r>
  <r>
    <x v="110"/>
    <n v="128"/>
    <n v="30"/>
    <n v="187"/>
    <n v="25"/>
    <n v="0"/>
    <n v="20"/>
    <n v="0"/>
    <n v="235"/>
    <n v="45"/>
    <n v="3"/>
    <n v="0"/>
    <x v="99"/>
    <n v="67"/>
    <n v="3"/>
    <n v="84"/>
    <n v="24"/>
    <n v="0"/>
    <n v="11"/>
    <n v="2"/>
    <n v="57"/>
    <n v="23"/>
    <n v="0"/>
    <n v="0"/>
    <s v="W"/>
    <n v="2"/>
    <n v="120.77"/>
    <n v="160.09"/>
    <n v="131.16"/>
    <n v="142.5"/>
    <n v="0.51"/>
    <n v="0.49"/>
    <s v="N"/>
    <s v="N"/>
    <s v="N"/>
    <s v="N"/>
    <s v="N"/>
    <n v="106.57"/>
    <n v="120.6"/>
    <n v="122.84"/>
    <n v="111.18"/>
    <x v="18"/>
    <n v="33"/>
    <x v="449"/>
    <n v="17.47"/>
  </r>
  <r>
    <x v="110"/>
    <n v="128"/>
    <n v="10"/>
    <n v="181"/>
    <n v="27"/>
    <n v="0"/>
    <n v="17"/>
    <n v="0"/>
    <n v="119"/>
    <n v="40"/>
    <n v="1"/>
    <n v="2"/>
    <x v="12"/>
    <n v="231"/>
    <n v="17"/>
    <n v="127"/>
    <n v="29"/>
    <n v="0"/>
    <n v="15"/>
    <n v="0"/>
    <n v="111"/>
    <n v="30"/>
    <n v="1"/>
    <n v="0"/>
    <s v="L"/>
    <n v="3"/>
    <n v="99.5"/>
    <n v="124.41"/>
    <n v="57.77"/>
    <n v="109.16"/>
    <n v="0.49"/>
    <n v="0.51"/>
    <s v="N"/>
    <s v="N"/>
    <s v="N"/>
    <s v="N"/>
    <s v="N"/>
    <n v="102.38"/>
    <n v="134.29"/>
    <n v="69.209999999999994"/>
    <n v="94.71"/>
    <x v="20"/>
    <n v="27"/>
    <x v="147"/>
    <n v="76.42"/>
  </r>
  <r>
    <x v="110"/>
    <n v="128"/>
    <n v="17"/>
    <n v="318"/>
    <n v="31"/>
    <n v="0"/>
    <n v="21"/>
    <n v="1"/>
    <n v="81"/>
    <n v="34"/>
    <n v="2"/>
    <n v="2"/>
    <x v="170"/>
    <n v="77"/>
    <n v="24"/>
    <n v="133"/>
    <n v="35"/>
    <n v="0"/>
    <n v="16"/>
    <n v="1"/>
    <n v="127"/>
    <n v="32"/>
    <n v="2"/>
    <n v="0"/>
    <s v="L"/>
    <n v="4"/>
    <n v="113.97"/>
    <n v="142.15"/>
    <n v="46.45"/>
    <n v="98.55"/>
    <n v="0.52"/>
    <n v="0.48"/>
    <s v="N"/>
    <s v="N"/>
    <s v="N"/>
    <s v="N"/>
    <s v="N"/>
    <n v="126.19"/>
    <n v="123.91"/>
    <n v="51.62"/>
    <n v="68.69"/>
    <x v="20"/>
    <n v="41"/>
    <x v="450"/>
    <n v="625"/>
  </r>
  <r>
    <x v="110"/>
    <n v="128"/>
    <n v="16"/>
    <n v="147"/>
    <n v="22"/>
    <n v="1"/>
    <n v="13"/>
    <n v="1"/>
    <n v="240"/>
    <n v="51"/>
    <n v="1"/>
    <n v="2"/>
    <x v="130"/>
    <n v="388"/>
    <n v="6"/>
    <n v="87"/>
    <n v="29"/>
    <n v="0"/>
    <n v="11"/>
    <n v="0"/>
    <n v="43"/>
    <n v="21"/>
    <n v="0"/>
    <n v="1"/>
    <s v="W"/>
    <n v="6"/>
    <n v="88.69"/>
    <n v="145.72"/>
    <n v="100.35"/>
    <n v="166.78"/>
    <n v="0.57999999999999996"/>
    <n v="0.42000000000000004"/>
    <s v="N"/>
    <s v="N"/>
    <s v="N"/>
    <s v="N"/>
    <s v="N"/>
    <n v="78.040000000000006"/>
    <n v="120.35"/>
    <n v="108.42"/>
    <n v="115.02"/>
    <x v="12"/>
    <n v="22"/>
    <x v="261"/>
    <n v="9.85"/>
  </r>
  <r>
    <x v="110"/>
    <n v="128"/>
    <n v="17"/>
    <n v="349"/>
    <n v="44"/>
    <n v="2"/>
    <n v="32"/>
    <n v="0"/>
    <n v="110"/>
    <n v="36"/>
    <n v="0"/>
    <n v="0"/>
    <x v="154"/>
    <n v="663"/>
    <n v="38"/>
    <n v="358"/>
    <n v="31"/>
    <n v="2"/>
    <n v="20"/>
    <n v="1"/>
    <n v="82"/>
    <n v="16"/>
    <n v="2"/>
    <n v="0"/>
    <s v="L"/>
    <n v="7"/>
    <n v="122.77"/>
    <n v="72.55"/>
    <n v="70.89"/>
    <n v="62.349999999999994"/>
    <n v="0.66"/>
    <n v="0.33999999999999997"/>
    <s v="N"/>
    <s v="N"/>
    <s v="N"/>
    <s v="N"/>
    <s v="N"/>
    <n v="112.67"/>
    <n v="69.87"/>
    <n v="92.13"/>
    <n v="71.680000000000007"/>
    <x v="23"/>
    <n v="55"/>
    <x v="451"/>
    <n v="29.4"/>
  </r>
  <r>
    <x v="110"/>
    <n v="128"/>
    <n v="24"/>
    <n v="235"/>
    <n v="32"/>
    <n v="0"/>
    <n v="19"/>
    <n v="2"/>
    <n v="96"/>
    <n v="24"/>
    <n v="3"/>
    <n v="0"/>
    <x v="109"/>
    <n v="9"/>
    <n v="26"/>
    <n v="327"/>
    <n v="42"/>
    <n v="2"/>
    <n v="31"/>
    <n v="2"/>
    <n v="174"/>
    <n v="36"/>
    <n v="1"/>
    <n v="0"/>
    <s v="L"/>
    <n v="8"/>
    <n v="80.650000000000006"/>
    <n v="90.9"/>
    <n v="111.55"/>
    <n v="83.7"/>
    <n v="0.54"/>
    <n v="0.45999999999999996"/>
    <s v="N"/>
    <s v="N"/>
    <s v="N"/>
    <s v="N"/>
    <s v="N"/>
    <n v="65.05"/>
    <n v="68.44"/>
    <n v="97.31"/>
    <n v="68.12"/>
    <x v="35"/>
    <n v="50"/>
    <x v="447"/>
    <n v="6.02"/>
  </r>
  <r>
    <x v="111"/>
    <n v="110"/>
    <n v="34"/>
    <n v="322"/>
    <n v="29"/>
    <n v="2"/>
    <n v="20"/>
    <n v="0"/>
    <n v="232"/>
    <n v="42"/>
    <n v="3"/>
    <n v="1"/>
    <x v="110"/>
    <n v="288"/>
    <n v="38"/>
    <n v="310"/>
    <n v="40"/>
    <n v="2"/>
    <n v="30"/>
    <n v="0"/>
    <n v="159"/>
    <n v="31"/>
    <n v="3"/>
    <n v="1"/>
    <s v="L"/>
    <n v="1"/>
    <n v="139.82"/>
    <n v="75.260000000000005"/>
    <n v="131.72"/>
    <n v="76.17"/>
    <n v="0.56000000000000005"/>
    <n v="0.43999999999999995"/>
    <s v="N"/>
    <s v="N"/>
    <s v="N"/>
    <s v="N"/>
    <s v="N"/>
    <n v="137.21"/>
    <n v="98.69"/>
    <n v="140.22"/>
    <n v="101.52"/>
    <x v="27"/>
    <n v="72"/>
    <x v="183"/>
    <n v="17.41"/>
  </r>
  <r>
    <x v="111"/>
    <n v="110"/>
    <n v="27"/>
    <n v="145"/>
    <n v="23"/>
    <n v="1"/>
    <n v="12"/>
    <n v="0"/>
    <n v="272"/>
    <n v="42"/>
    <n v="2"/>
    <n v="2"/>
    <x v="85"/>
    <n v="630"/>
    <n v="17"/>
    <n v="115"/>
    <n v="34"/>
    <n v="0"/>
    <n v="16"/>
    <n v="2"/>
    <n v="202"/>
    <n v="29"/>
    <n v="2"/>
    <n v="0"/>
    <s v="W"/>
    <n v="2"/>
    <n v="93.05"/>
    <n v="152.15"/>
    <n v="143.1"/>
    <n v="28.060000000000002"/>
    <n v="0.54"/>
    <n v="0.45999999999999996"/>
    <s v="N"/>
    <s v="N"/>
    <s v="N"/>
    <s v="N"/>
    <s v="N"/>
    <n v="98.22"/>
    <n v="129.38"/>
    <n v="121.3"/>
    <n v="22.85"/>
    <x v="12"/>
    <n v="44"/>
    <x v="380"/>
    <n v="61.12"/>
  </r>
  <r>
    <x v="111"/>
    <n v="110"/>
    <n v="20"/>
    <n v="176"/>
    <n v="26"/>
    <n v="0"/>
    <n v="11"/>
    <n v="3"/>
    <n v="141"/>
    <n v="34"/>
    <n v="2"/>
    <n v="1"/>
    <x v="84"/>
    <n v="703"/>
    <n v="49"/>
    <n v="204"/>
    <n v="20"/>
    <n v="3"/>
    <n v="16"/>
    <n v="0"/>
    <n v="284"/>
    <n v="50"/>
    <n v="4"/>
    <n v="2"/>
    <s v="L"/>
    <n v="3"/>
    <n v="44.58"/>
    <n v="41.91"/>
    <n v="96.21"/>
    <n v="68.22"/>
    <n v="0.28999999999999998"/>
    <n v="0.71"/>
    <s v="N"/>
    <s v="N"/>
    <s v="N"/>
    <s v="N"/>
    <s v="N"/>
    <n v="55.02"/>
    <n v="42.52"/>
    <n v="102.1"/>
    <n v="60.8"/>
    <x v="29"/>
    <n v="69"/>
    <x v="452"/>
    <n v="19.45"/>
  </r>
  <r>
    <x v="111"/>
    <n v="110"/>
    <n v="27"/>
    <n v="146"/>
    <n v="12"/>
    <n v="1"/>
    <n v="7"/>
    <n v="0"/>
    <n v="211"/>
    <n v="49"/>
    <n v="3"/>
    <n v="0"/>
    <x v="27"/>
    <n v="528"/>
    <n v="19"/>
    <n v="287"/>
    <n v="40"/>
    <n v="1"/>
    <n v="24"/>
    <n v="1"/>
    <n v="88"/>
    <n v="29"/>
    <n v="0"/>
    <n v="1"/>
    <s v="W"/>
    <n v="4"/>
    <s v=" "/>
    <n v="104.65"/>
    <n v="109.09"/>
    <n v="139.94"/>
    <n v="0.57999999999999996"/>
    <n v="0.42000000000000004"/>
    <s v="N"/>
    <s v="Y"/>
    <s v="N"/>
    <s v="N"/>
    <s v="N"/>
    <s v=" "/>
    <n v="106.51"/>
    <n v="119.4"/>
    <n v="92.14"/>
    <x v="11"/>
    <n v="46"/>
    <x v="0"/>
    <s v=" "/>
  </r>
  <r>
    <x v="111"/>
    <n v="110"/>
    <n v="19"/>
    <n v="202"/>
    <n v="33"/>
    <n v="2"/>
    <n v="18"/>
    <n v="0"/>
    <n v="141"/>
    <n v="29"/>
    <n v="1"/>
    <n v="2"/>
    <x v="24"/>
    <n v="674"/>
    <n v="45"/>
    <n v="240"/>
    <n v="28"/>
    <n v="3"/>
    <n v="24"/>
    <n v="0"/>
    <n v="202"/>
    <n v="41"/>
    <n v="3"/>
    <n v="0"/>
    <s v="L"/>
    <n v="5"/>
    <n v="97"/>
    <n v="51.5"/>
    <n v="97.28"/>
    <n v="74.72"/>
    <n v="0.41"/>
    <n v="0.59000000000000008"/>
    <s v="N"/>
    <s v="N"/>
    <s v="N"/>
    <s v="N"/>
    <s v="N"/>
    <n v="100.17"/>
    <n v="68.73"/>
    <n v="138.76"/>
    <n v="107.59"/>
    <x v="4"/>
    <n v="64"/>
    <x v="406"/>
    <n v="32.700000000000003"/>
  </r>
  <r>
    <x v="111"/>
    <n v="110"/>
    <n v="28"/>
    <n v="201"/>
    <n v="20"/>
    <n v="2"/>
    <n v="12"/>
    <n v="1"/>
    <n v="170"/>
    <n v="35"/>
    <n v="2"/>
    <n v="0"/>
    <x v="104"/>
    <n v="754"/>
    <n v="25"/>
    <n v="235"/>
    <n v="40"/>
    <n v="2"/>
    <n v="28"/>
    <n v="1"/>
    <n v="154"/>
    <n v="40"/>
    <n v="0"/>
    <n v="0"/>
    <s v="W"/>
    <n v="6"/>
    <n v="114.77"/>
    <n v="97.98"/>
    <n v="121.26"/>
    <n v="110.68"/>
    <n v="0.5"/>
    <n v="0.5"/>
    <s v="N"/>
    <s v="N"/>
    <s v="N"/>
    <s v="N"/>
    <s v="N"/>
    <n v="104.44"/>
    <n v="108.38"/>
    <n v="115.91"/>
    <n v="66.09"/>
    <x v="22"/>
    <n v="53"/>
    <x v="453"/>
    <n v="6.71"/>
  </r>
  <r>
    <x v="111"/>
    <n v="110"/>
    <n v="12"/>
    <n v="286"/>
    <n v="35"/>
    <n v="1"/>
    <n v="17"/>
    <n v="0"/>
    <n v="37"/>
    <n v="25"/>
    <n v="0"/>
    <n v="2"/>
    <x v="168"/>
    <n v="29"/>
    <n v="48"/>
    <n v="319"/>
    <n v="44"/>
    <n v="3"/>
    <n v="28"/>
    <n v="1"/>
    <n v="254"/>
    <n v="46"/>
    <n v="3"/>
    <n v="0"/>
    <s v="L"/>
    <n v="8"/>
    <n v="97.39"/>
    <n v="93.44"/>
    <n v="10.34"/>
    <n v="62.110000000000014"/>
    <n v="0.49"/>
    <n v="0.51"/>
    <s v="N"/>
    <s v="N"/>
    <s v="N"/>
    <s v="N"/>
    <s v="N"/>
    <n v="80.069999999999993"/>
    <n v="104.49"/>
    <n v="7.67"/>
    <n v="45.01"/>
    <x v="21"/>
    <n v="60"/>
    <x v="23"/>
    <n v="26.33"/>
  </r>
  <r>
    <x v="112"/>
    <n v="465"/>
    <n v="17"/>
    <n v="146"/>
    <n v="27"/>
    <n v="2"/>
    <n v="18"/>
    <n v="0"/>
    <n v="146"/>
    <n v="38"/>
    <n v="0"/>
    <n v="0"/>
    <x v="135"/>
    <n v="796"/>
    <n v="51"/>
    <n v="258"/>
    <n v="15"/>
    <n v="2"/>
    <n v="11"/>
    <n v="0"/>
    <n v="241"/>
    <n v="38"/>
    <n v="5"/>
    <n v="0"/>
    <s v="L"/>
    <n v="1"/>
    <n v="107.25"/>
    <n v="12.930000000000007"/>
    <n v="89.14"/>
    <n v="33.129999999999995"/>
    <n v="0.28000000000000003"/>
    <n v="0.72"/>
    <s v="N"/>
    <s v="N"/>
    <s v="N"/>
    <s v="N"/>
    <s v="N"/>
    <n v="121.14"/>
    <n v="18.27"/>
    <n v="112.46"/>
    <n v="48.36"/>
    <x v="16"/>
    <n v="68"/>
    <x v="454"/>
    <n v="21.58"/>
  </r>
  <r>
    <x v="112"/>
    <n v="465"/>
    <n v="7"/>
    <n v="60"/>
    <n v="20"/>
    <n v="0"/>
    <n v="11"/>
    <n v="0"/>
    <n v="98"/>
    <n v="34"/>
    <n v="0"/>
    <n v="1"/>
    <x v="104"/>
    <n v="754"/>
    <n v="59"/>
    <n v="471"/>
    <n v="38"/>
    <n v="7"/>
    <n v="29"/>
    <n v="0"/>
    <n v="139"/>
    <n v="39"/>
    <n v="1"/>
    <n v="1"/>
    <s v="L"/>
    <n v="2"/>
    <n v="71.349999999999994"/>
    <n v="28.5"/>
    <n v="58.05"/>
    <n v="121.16"/>
    <n v="0.49"/>
    <n v="0.51"/>
    <s v="N"/>
    <s v="N"/>
    <s v="N"/>
    <s v="N"/>
    <s v="N"/>
    <n v="64.930000000000007"/>
    <n v="31.52"/>
    <n v="55.49"/>
    <n v="72.34"/>
    <x v="48"/>
    <n v="66"/>
    <x v="455"/>
    <n v="43"/>
  </r>
  <r>
    <x v="112"/>
    <n v="465"/>
    <n v="40"/>
    <n v="179"/>
    <n v="30"/>
    <n v="2"/>
    <n v="18"/>
    <n v="1"/>
    <n v="186"/>
    <n v="42"/>
    <n v="3"/>
    <n v="0"/>
    <x v="102"/>
    <n v="277"/>
    <n v="20"/>
    <n v="284"/>
    <n v="41"/>
    <n v="2"/>
    <n v="25"/>
    <n v="0"/>
    <n v="6"/>
    <n v="16"/>
    <n v="1"/>
    <n v="4"/>
    <s v="W"/>
    <n v="3"/>
    <n v="92.52"/>
    <n v="93.96"/>
    <n v="113.46"/>
    <n v="256.93"/>
    <n v="0.72"/>
    <n v="0.28000000000000003"/>
    <s v="N"/>
    <s v="N"/>
    <s v="N"/>
    <s v="N"/>
    <s v="N"/>
    <n v="93.51"/>
    <n v="99.93"/>
    <n v="151.97999999999999"/>
    <n v="232.58"/>
    <x v="37"/>
    <n v="60"/>
    <x v="178"/>
    <n v="12.75"/>
  </r>
  <r>
    <x v="112"/>
    <n v="465"/>
    <n v="16"/>
    <n v="294"/>
    <n v="49"/>
    <n v="2"/>
    <n v="29"/>
    <n v="3"/>
    <n v="108"/>
    <n v="38"/>
    <n v="0"/>
    <n v="2"/>
    <x v="187"/>
    <n v="667"/>
    <n v="41"/>
    <n v="178"/>
    <n v="34"/>
    <n v="0"/>
    <n v="16"/>
    <n v="2"/>
    <n v="78"/>
    <n v="26"/>
    <n v="2"/>
    <n v="0"/>
    <s v="L"/>
    <n v="4"/>
    <n v="79.64"/>
    <n v="142.06"/>
    <n v="50.15"/>
    <n v="118.86"/>
    <n v="0.56999999999999995"/>
    <n v="0.43000000000000005"/>
    <s v="N"/>
    <s v="N"/>
    <s v="N"/>
    <s v="N"/>
    <s v="N"/>
    <n v="100.2"/>
    <n v="178.06"/>
    <n v="51.43"/>
    <n v="95.71"/>
    <x v="19"/>
    <n v="57"/>
    <x v="456"/>
    <n v="269.11"/>
  </r>
  <r>
    <x v="112"/>
    <n v="465"/>
    <n v="0"/>
    <n v="8"/>
    <n v="14"/>
    <n v="0"/>
    <n v="1"/>
    <n v="1"/>
    <n v="102"/>
    <n v="39"/>
    <n v="0"/>
    <n v="1"/>
    <x v="68"/>
    <n v="466"/>
    <n v="37"/>
    <n v="459"/>
    <n v="44"/>
    <n v="3"/>
    <n v="29"/>
    <n v="3"/>
    <n v="240"/>
    <n v="48"/>
    <n v="1"/>
    <n v="2"/>
    <s v="L"/>
    <n v="6"/>
    <s v=" "/>
    <n v="87.46"/>
    <n v="52.98"/>
    <n v="93.37"/>
    <n v="0.48"/>
    <n v="0.52"/>
    <s v="N"/>
    <s v="Y"/>
    <s v="N"/>
    <s v="N"/>
    <s v="N"/>
    <s v=" "/>
    <n v="86.59"/>
    <n v="45.73"/>
    <n v="109.9"/>
    <x v="50"/>
    <n v="37"/>
    <x v="0"/>
    <s v=" "/>
  </r>
  <r>
    <x v="112"/>
    <n v="465"/>
    <n v="14"/>
    <n v="104"/>
    <n v="21"/>
    <n v="0"/>
    <n v="9"/>
    <n v="1"/>
    <n v="153"/>
    <n v="48"/>
    <n v="2"/>
    <n v="1"/>
    <x v="78"/>
    <n v="811"/>
    <n v="41"/>
    <n v="124"/>
    <n v="20"/>
    <n v="3"/>
    <n v="11"/>
    <n v="0"/>
    <n v="231"/>
    <n v="45"/>
    <n v="1"/>
    <n v="1"/>
    <s v="L"/>
    <n v="7"/>
    <n v="55.56"/>
    <n v="88.71"/>
    <n v="73.95"/>
    <n v="84.24"/>
    <n v="0.31"/>
    <n v="0.69"/>
    <s v="N"/>
    <s v="N"/>
    <s v="N"/>
    <s v="N"/>
    <s v="N"/>
    <n v="57.76"/>
    <n v="81.75"/>
    <n v="82.15"/>
    <n v="99.07"/>
    <x v="18"/>
    <n v="55"/>
    <x v="457"/>
    <n v="27.68"/>
  </r>
  <r>
    <x v="113"/>
    <n v="732"/>
    <n v="27"/>
    <n v="101"/>
    <n v="23"/>
    <n v="2"/>
    <n v="15"/>
    <n v="0"/>
    <n v="191"/>
    <n v="38"/>
    <n v="1"/>
    <n v="0"/>
    <x v="188"/>
    <n v="440"/>
    <n v="10"/>
    <n v="183"/>
    <n v="29"/>
    <n v="1"/>
    <n v="16"/>
    <n v="2"/>
    <n v="75"/>
    <n v="29"/>
    <n v="0"/>
    <n v="0"/>
    <s v="W"/>
    <n v="1"/>
    <s v=" "/>
    <s v=" "/>
    <s v=" "/>
    <s v=" "/>
    <n v="0.5"/>
    <n v="0.5"/>
    <s v="Y"/>
    <s v="N"/>
    <s v="N"/>
    <s v="N"/>
    <s v="N"/>
    <s v=" "/>
    <s v=" "/>
    <s v=" "/>
    <s v=" "/>
    <x v="0"/>
    <n v="37"/>
    <x v="0"/>
    <s v=" "/>
  </r>
  <r>
    <x v="113"/>
    <n v="732"/>
    <n v="14"/>
    <n v="238"/>
    <n v="46"/>
    <n v="1"/>
    <n v="23"/>
    <n v="0"/>
    <n v="81"/>
    <n v="25"/>
    <n v="1"/>
    <n v="1"/>
    <x v="26"/>
    <n v="657"/>
    <n v="23"/>
    <n v="264"/>
    <n v="32"/>
    <n v="1"/>
    <n v="20"/>
    <n v="1"/>
    <n v="152"/>
    <n v="39"/>
    <n v="1"/>
    <n v="2"/>
    <s v="L"/>
    <n v="2"/>
    <n v="81.459999999999994"/>
    <n v="97.22"/>
    <n v="69.17"/>
    <n v="121.12"/>
    <n v="0.45"/>
    <n v="0.55000000000000004"/>
    <s v="N"/>
    <s v="N"/>
    <s v="N"/>
    <s v="N"/>
    <s v="N"/>
    <n v="82.79"/>
    <n v="112.22"/>
    <n v="86.45"/>
    <n v="111.1"/>
    <x v="44"/>
    <n v="37"/>
    <x v="396"/>
    <n v="29"/>
  </r>
  <r>
    <x v="113"/>
    <n v="732"/>
    <n v="54"/>
    <n v="239"/>
    <n v="31"/>
    <n v="2"/>
    <n v="16"/>
    <n v="1"/>
    <n v="242"/>
    <n v="38"/>
    <n v="3"/>
    <n v="1"/>
    <x v="170"/>
    <n v="77"/>
    <n v="10"/>
    <n v="343"/>
    <n v="56"/>
    <n v="1"/>
    <n v="30"/>
    <n v="1"/>
    <n v="11"/>
    <n v="22"/>
    <n v="0"/>
    <n v="6"/>
    <s v="W"/>
    <n v="3"/>
    <n v="93.63"/>
    <n v="115.73"/>
    <n v="151.69"/>
    <n v="270.22000000000003"/>
    <n v="0.72"/>
    <n v="0.28000000000000003"/>
    <s v="N"/>
    <s v="N"/>
    <s v="N"/>
    <s v="N"/>
    <s v="N"/>
    <n v="103.67"/>
    <n v="100.88"/>
    <n v="168.59"/>
    <n v="188.34"/>
    <x v="25"/>
    <n v="64"/>
    <x v="458"/>
    <n v="19.03"/>
  </r>
  <r>
    <x v="113"/>
    <n v="732"/>
    <n v="14"/>
    <n v="305"/>
    <n v="33"/>
    <n v="2"/>
    <n v="22"/>
    <n v="2"/>
    <n v="17"/>
    <n v="23"/>
    <n v="0"/>
    <n v="3"/>
    <x v="89"/>
    <n v="756"/>
    <n v="31"/>
    <n v="226"/>
    <n v="30"/>
    <n v="3"/>
    <n v="22"/>
    <n v="1"/>
    <n v="185"/>
    <n v="42"/>
    <n v="0"/>
    <n v="0"/>
    <s v="L"/>
    <n v="5"/>
    <n v="107.95"/>
    <n v="80.61"/>
    <n v="-21.98"/>
    <n v="97.81"/>
    <n v="0.42"/>
    <n v="0.58000000000000007"/>
    <s v="N"/>
    <s v="N"/>
    <s v="N"/>
    <s v="N"/>
    <s v="N"/>
    <n v="101.3"/>
    <n v="101.36"/>
    <n v="-22.87"/>
    <n v="115.58"/>
    <x v="0"/>
    <n v="45"/>
    <x v="459"/>
    <n v="12.54"/>
  </r>
  <r>
    <x v="113"/>
    <n v="732"/>
    <n v="14"/>
    <n v="199"/>
    <n v="30"/>
    <n v="1"/>
    <n v="18"/>
    <n v="3"/>
    <n v="121"/>
    <n v="30"/>
    <n v="1"/>
    <n v="2"/>
    <x v="133"/>
    <n v="28"/>
    <n v="35"/>
    <n v="325"/>
    <n v="41"/>
    <n v="3"/>
    <n v="25"/>
    <n v="0"/>
    <n v="74"/>
    <n v="38"/>
    <n v="1"/>
    <n v="0"/>
    <s v="L"/>
    <n v="6"/>
    <n v="71.150000000000006"/>
    <n v="84.85"/>
    <n v="78.569999999999993"/>
    <n v="150.87"/>
    <n v="0.52"/>
    <n v="0.48"/>
    <s v="N"/>
    <s v="N"/>
    <s v="N"/>
    <s v="N"/>
    <s v="N"/>
    <n v="74.97"/>
    <n v="94.42"/>
    <n v="80.319999999999993"/>
    <n v="136.01"/>
    <x v="23"/>
    <n v="49"/>
    <x v="28"/>
    <n v="144.22999999999999"/>
  </r>
  <r>
    <x v="113"/>
    <n v="732"/>
    <n v="26"/>
    <n v="127"/>
    <n v="23"/>
    <n v="1"/>
    <n v="14"/>
    <n v="0"/>
    <n v="124"/>
    <n v="52"/>
    <n v="0"/>
    <n v="0"/>
    <x v="82"/>
    <n v="545"/>
    <n v="14"/>
    <n v="50"/>
    <n v="30"/>
    <n v="0"/>
    <n v="9"/>
    <n v="2"/>
    <n v="70"/>
    <n v="31"/>
    <n v="0"/>
    <n v="1"/>
    <s v="W"/>
    <n v="7"/>
    <n v="97.48"/>
    <n v="180.92000000000002"/>
    <n v="55.32"/>
    <n v="157.29"/>
    <n v="0.49"/>
    <n v="0.51"/>
    <s v="N"/>
    <s v="N"/>
    <s v="N"/>
    <s v="N"/>
    <s v="N"/>
    <n v="103.07"/>
    <n v="142.16"/>
    <n v="66.400000000000006"/>
    <n v="145.07"/>
    <x v="51"/>
    <n v="40"/>
    <x v="460"/>
    <n v="13.19"/>
  </r>
  <r>
    <x v="113"/>
    <n v="732"/>
    <n v="10"/>
    <n v="165"/>
    <n v="24"/>
    <n v="0"/>
    <n v="12"/>
    <n v="3"/>
    <n v="13"/>
    <n v="26"/>
    <n v="1"/>
    <n v="1"/>
    <x v="103"/>
    <n v="107"/>
    <n v="34"/>
    <n v="255"/>
    <n v="29"/>
    <n v="1"/>
    <n v="19"/>
    <n v="0"/>
    <n v="129"/>
    <n v="42"/>
    <n v="2"/>
    <n v="0"/>
    <s v="L"/>
    <n v="8"/>
    <n v="49.97"/>
    <n v="81.39"/>
    <n v="5.83"/>
    <n v="121.6"/>
    <n v="0.41"/>
    <n v="0.59000000000000008"/>
    <s v="N"/>
    <s v="N"/>
    <s v="N"/>
    <s v="N"/>
    <s v="N"/>
    <n v="49.76"/>
    <n v="76.2"/>
    <n v="7.34"/>
    <n v="96.53"/>
    <x v="14"/>
    <n v="44"/>
    <x v="97"/>
    <n v="17"/>
  </r>
  <r>
    <x v="114"/>
    <n v="731"/>
    <n v="54"/>
    <n v="195"/>
    <n v="17"/>
    <n v="2"/>
    <n v="12"/>
    <n v="0"/>
    <n v="440"/>
    <n v="47"/>
    <n v="5"/>
    <n v="2"/>
    <x v="189"/>
    <n v="758"/>
    <n v="17"/>
    <n v="167"/>
    <n v="36"/>
    <n v="1"/>
    <n v="22"/>
    <n v="0"/>
    <n v="46"/>
    <n v="33"/>
    <n v="1"/>
    <n v="1"/>
    <s v="W"/>
    <n v="2"/>
    <s v=" "/>
    <s v=" "/>
    <s v=" "/>
    <s v=" "/>
    <n v="0.52"/>
    <n v="0.48"/>
    <s v="Y"/>
    <s v="N"/>
    <s v="N"/>
    <s v="N"/>
    <s v="N"/>
    <s v=" "/>
    <s v=" "/>
    <s v=" "/>
    <s v=" "/>
    <x v="50"/>
    <n v="71"/>
    <x v="0"/>
    <s v=" "/>
  </r>
  <r>
    <x v="114"/>
    <n v="731"/>
    <n v="38"/>
    <n v="221"/>
    <n v="31"/>
    <n v="0"/>
    <n v="22"/>
    <n v="0"/>
    <n v="227"/>
    <n v="53"/>
    <n v="5"/>
    <n v="0"/>
    <x v="38"/>
    <n v="37"/>
    <n v="42"/>
    <n v="286"/>
    <n v="24"/>
    <n v="3"/>
    <n v="18"/>
    <n v="0"/>
    <n v="78"/>
    <n v="30"/>
    <n v="2"/>
    <n v="0"/>
    <s v="L"/>
    <n v="1"/>
    <n v="109.82"/>
    <n v="41.300000000000011"/>
    <n v="113.52"/>
    <n v="129.68"/>
    <n v="0.44"/>
    <n v="0.56000000000000005"/>
    <s v="N"/>
    <s v="N"/>
    <s v="N"/>
    <s v="N"/>
    <s v="N"/>
    <n v="111.28"/>
    <n v="34.44"/>
    <n v="113.84"/>
    <n v="136.83000000000001"/>
    <x v="27"/>
    <n v="80"/>
    <x v="42"/>
    <n v="70.42"/>
  </r>
  <r>
    <x v="114"/>
    <n v="731"/>
    <n v="34"/>
    <n v="86"/>
    <n v="15"/>
    <n v="0"/>
    <n v="9"/>
    <n v="0"/>
    <n v="279"/>
    <n v="52"/>
    <n v="5"/>
    <n v="4"/>
    <x v="70"/>
    <n v="156"/>
    <n v="35"/>
    <n v="108"/>
    <n v="28"/>
    <n v="1"/>
    <n v="16"/>
    <n v="0"/>
    <n v="124"/>
    <n v="47"/>
    <n v="2"/>
    <n v="1"/>
    <s v="L"/>
    <n v="4"/>
    <n v="91.25"/>
    <n v="116.48"/>
    <n v="115.82"/>
    <n v="138.79"/>
    <n v="0.37"/>
    <n v="0.63"/>
    <s v="N"/>
    <s v="N"/>
    <s v="N"/>
    <s v="N"/>
    <s v="N"/>
    <n v="83.66"/>
    <n v="112.16"/>
    <n v="84.54"/>
    <n v="81.790000000000006"/>
    <x v="3"/>
    <n v="69"/>
    <x v="461"/>
    <n v="1.6"/>
  </r>
  <r>
    <x v="114"/>
    <n v="731"/>
    <n v="24"/>
    <n v="122"/>
    <n v="26"/>
    <n v="2"/>
    <n v="13"/>
    <n v="0"/>
    <n v="284"/>
    <n v="37"/>
    <n v="1"/>
    <n v="0"/>
    <x v="170"/>
    <n v="77"/>
    <n v="27"/>
    <n v="251"/>
    <n v="39"/>
    <n v="2"/>
    <n v="21"/>
    <n v="0"/>
    <n v="200"/>
    <n v="46"/>
    <n v="1"/>
    <n v="1"/>
    <s v="L"/>
    <n v="5"/>
    <n v="87.11"/>
    <n v="103.39"/>
    <n v="182.13"/>
    <n v="102.39"/>
    <n v="0.46"/>
    <n v="0.54"/>
    <s v="N"/>
    <s v="N"/>
    <s v="N"/>
    <s v="N"/>
    <s v="N"/>
    <n v="96.45"/>
    <n v="90.12"/>
    <n v="202.42"/>
    <n v="71.37"/>
    <x v="22"/>
    <n v="51"/>
    <x v="89"/>
    <n v="4"/>
  </r>
  <r>
    <x v="114"/>
    <n v="731"/>
    <n v="63"/>
    <n v="245"/>
    <n v="24"/>
    <n v="5"/>
    <n v="18"/>
    <n v="0"/>
    <n v="303"/>
    <n v="52"/>
    <n v="4"/>
    <n v="1"/>
    <x v="78"/>
    <n v="811"/>
    <n v="19"/>
    <n v="265"/>
    <n v="46"/>
    <n v="0"/>
    <n v="28"/>
    <n v="1"/>
    <n v="108"/>
    <n v="28"/>
    <n v="2"/>
    <n v="1"/>
    <s v="W"/>
    <n v="6"/>
    <n v="161.88999999999999"/>
    <n v="114.26"/>
    <n v="140.94999999999999"/>
    <n v="110.51"/>
    <n v="0.62"/>
    <n v="0.38"/>
    <s v="N"/>
    <s v="N"/>
    <s v="N"/>
    <s v="N"/>
    <s v="N"/>
    <n v="168.29"/>
    <n v="105.29"/>
    <n v="156.57"/>
    <n v="129.97"/>
    <x v="25"/>
    <n v="82"/>
    <x v="462"/>
    <n v="34.479999999999997"/>
  </r>
  <r>
    <x v="114"/>
    <n v="731"/>
    <n v="21"/>
    <n v="204"/>
    <n v="32"/>
    <n v="1"/>
    <n v="16"/>
    <n v="0"/>
    <n v="250"/>
    <n v="41"/>
    <n v="2"/>
    <n v="1"/>
    <x v="69"/>
    <n v="96"/>
    <n v="31"/>
    <n v="248"/>
    <n v="39"/>
    <n v="2"/>
    <n v="23"/>
    <n v="0"/>
    <n v="155"/>
    <n v="36"/>
    <n v="2"/>
    <n v="2"/>
    <s v="L"/>
    <n v="7"/>
    <n v="89.43"/>
    <n v="98.68"/>
    <n v="141.46"/>
    <n v="108.44"/>
    <n v="0.52"/>
    <n v="0.48"/>
    <s v="N"/>
    <s v="N"/>
    <s v="N"/>
    <s v="N"/>
    <s v="N"/>
    <n v="85.49"/>
    <n v="94.08"/>
    <n v="114.2"/>
    <n v="108.92"/>
    <x v="12"/>
    <n v="52"/>
    <x v="169"/>
    <n v="26.31"/>
  </r>
  <r>
    <x v="114"/>
    <n v="731"/>
    <n v="17"/>
    <n v="128"/>
    <n v="24"/>
    <n v="0"/>
    <n v="16"/>
    <n v="1"/>
    <n v="166"/>
    <n v="46"/>
    <n v="2"/>
    <n v="0"/>
    <x v="126"/>
    <n v="366"/>
    <n v="24"/>
    <n v="146"/>
    <n v="29"/>
    <n v="0"/>
    <n v="15"/>
    <n v="0"/>
    <n v="86"/>
    <n v="40"/>
    <n v="2"/>
    <n v="0"/>
    <s v="L"/>
    <n v="8"/>
    <n v="83.23"/>
    <n v="120.84"/>
    <n v="90.24"/>
    <n v="142.62"/>
    <n v="0.42"/>
    <n v="0.58000000000000007"/>
    <s v="N"/>
    <s v="N"/>
    <s v="N"/>
    <s v="N"/>
    <s v="N"/>
    <n v="96.21"/>
    <n v="105.09"/>
    <n v="112.09"/>
    <n v="95.64"/>
    <x v="20"/>
    <n v="41"/>
    <x v="463"/>
    <n v="18.95"/>
  </r>
  <r>
    <x v="115"/>
    <n v="704"/>
    <n v="31"/>
    <n v="365"/>
    <n v="38"/>
    <n v="3"/>
    <n v="24"/>
    <n v="2"/>
    <n v="36"/>
    <n v="23"/>
    <n v="1"/>
    <n v="2"/>
    <x v="81"/>
    <n v="683"/>
    <n v="24"/>
    <n v="179"/>
    <n v="29"/>
    <n v="0"/>
    <n v="16"/>
    <n v="1"/>
    <n v="231"/>
    <n v="43"/>
    <n v="2"/>
    <n v="0"/>
    <s v="W"/>
    <n v="1"/>
    <s v=" "/>
    <s v=" "/>
    <s v=" "/>
    <s v=" "/>
    <n v="0.4"/>
    <n v="0.6"/>
    <s v="Y"/>
    <s v="N"/>
    <s v="N"/>
    <s v="N"/>
    <s v="N"/>
    <s v=" "/>
    <s v=" "/>
    <s v=" "/>
    <s v=" "/>
    <x v="20"/>
    <n v="55"/>
    <x v="0"/>
    <s v=" "/>
  </r>
  <r>
    <x v="115"/>
    <n v="704"/>
    <n v="17"/>
    <n v="276"/>
    <n v="47"/>
    <n v="0"/>
    <n v="24"/>
    <n v="1"/>
    <n v="30"/>
    <n v="26"/>
    <n v="2"/>
    <n v="1"/>
    <x v="154"/>
    <n v="663"/>
    <n v="28"/>
    <n v="244"/>
    <n v="31"/>
    <n v="0"/>
    <n v="18"/>
    <n v="1"/>
    <n v="146"/>
    <n v="27"/>
    <n v="3"/>
    <n v="2"/>
    <s v="L"/>
    <n v="2"/>
    <n v="76.69"/>
    <n v="108.72"/>
    <n v="26.77"/>
    <n v="80.099999999999994"/>
    <n v="0.53"/>
    <n v="0.47"/>
    <s v="N"/>
    <s v="N"/>
    <s v="N"/>
    <s v="N"/>
    <s v="N"/>
    <n v="70.38"/>
    <n v="104.71"/>
    <n v="34.79"/>
    <n v="92.09"/>
    <x v="6"/>
    <n v="45"/>
    <x v="464"/>
    <n v="10.210000000000001"/>
  </r>
  <r>
    <x v="115"/>
    <n v="704"/>
    <n v="16"/>
    <n v="124"/>
    <n v="28"/>
    <n v="0"/>
    <n v="9"/>
    <n v="1"/>
    <n v="185"/>
    <n v="42"/>
    <n v="1"/>
    <n v="1"/>
    <x v="127"/>
    <n v="472"/>
    <n v="10"/>
    <n v="242"/>
    <n v="37"/>
    <n v="1"/>
    <n v="20"/>
    <n v="0"/>
    <n v="16"/>
    <n v="29"/>
    <n v="0"/>
    <n v="2"/>
    <s v="W"/>
    <n v="3"/>
    <n v="45.56"/>
    <n v="106.25"/>
    <n v="98.62"/>
    <n v="207.89"/>
    <n v="0.56000000000000005"/>
    <n v="0.43999999999999995"/>
    <s v="N"/>
    <s v="N"/>
    <s v="N"/>
    <s v="N"/>
    <s v="N"/>
    <n v="52.06"/>
    <n v="117.81"/>
    <n v="81.92"/>
    <n v="165.83"/>
    <x v="47"/>
    <n v="26"/>
    <x v="465"/>
    <n v="10.29"/>
  </r>
  <r>
    <x v="115"/>
    <n v="704"/>
    <n v="24"/>
    <n v="244"/>
    <n v="42"/>
    <n v="2"/>
    <n v="27"/>
    <n v="3"/>
    <n v="95"/>
    <n v="32"/>
    <n v="1"/>
    <n v="0"/>
    <x v="56"/>
    <n v="651"/>
    <n v="52"/>
    <n v="202"/>
    <n v="24"/>
    <n v="2"/>
    <n v="15"/>
    <n v="0"/>
    <n v="373"/>
    <n v="45"/>
    <n v="4"/>
    <n v="0"/>
    <s v="L"/>
    <n v="4"/>
    <n v="81.66"/>
    <n v="79.13"/>
    <n v="73.56"/>
    <n v="-5.6399999999999864"/>
    <n v="0.35"/>
    <n v="0.65"/>
    <s v="N"/>
    <s v="N"/>
    <s v="N"/>
    <s v="N"/>
    <s v="N"/>
    <n v="85.53"/>
    <n v="74.78"/>
    <n v="93.66"/>
    <n v="-5.86"/>
    <x v="15"/>
    <n v="76"/>
    <x v="393"/>
    <n v="16.350000000000001"/>
  </r>
  <r>
    <x v="115"/>
    <n v="704"/>
    <n v="42"/>
    <n v="267"/>
    <n v="29"/>
    <n v="3"/>
    <n v="19"/>
    <n v="1"/>
    <n v="271"/>
    <n v="41"/>
    <n v="3"/>
    <n v="1"/>
    <x v="110"/>
    <n v="288"/>
    <n v="49"/>
    <n v="471"/>
    <n v="46"/>
    <n v="2"/>
    <n v="30"/>
    <n v="0"/>
    <n v="239"/>
    <n v="31"/>
    <n v="3"/>
    <n v="0"/>
    <s v="L"/>
    <n v="5"/>
    <n v="120.87"/>
    <n v="72.459999999999994"/>
    <n v="157"/>
    <n v="6.6200000000000045"/>
    <n v="0.6"/>
    <n v="0.4"/>
    <s v="N"/>
    <s v="N"/>
    <s v="N"/>
    <s v="N"/>
    <s v="N"/>
    <n v="118.62"/>
    <n v="95.02"/>
    <n v="167.14"/>
    <n v="8.82"/>
    <x v="20"/>
    <n v="91"/>
    <x v="186"/>
    <n v="16.260000000000002"/>
  </r>
  <r>
    <x v="115"/>
    <n v="704"/>
    <n v="44"/>
    <n v="124"/>
    <n v="17"/>
    <n v="1"/>
    <n v="7"/>
    <n v="2"/>
    <n v="266"/>
    <n v="43"/>
    <n v="3"/>
    <n v="1"/>
    <x v="47"/>
    <n v="718"/>
    <n v="7"/>
    <n v="237"/>
    <n v="48"/>
    <n v="0"/>
    <n v="21"/>
    <n v="4"/>
    <n v="128"/>
    <n v="24"/>
    <n v="1"/>
    <n v="0"/>
    <s v="W"/>
    <n v="7"/>
    <n v="54.46"/>
    <n v="154.34"/>
    <n v="147"/>
    <n v="70.02000000000001"/>
    <n v="0.67"/>
    <n v="0.32999999999999996"/>
    <s v="N"/>
    <s v="N"/>
    <s v="N"/>
    <s v="N"/>
    <s v="N"/>
    <n v="62.85"/>
    <n v="147.99"/>
    <n v="149.46"/>
    <n v="58.7"/>
    <x v="50"/>
    <n v="51"/>
    <x v="440"/>
    <n v="143.30000000000001"/>
  </r>
  <r>
    <x v="115"/>
    <n v="704"/>
    <n v="31"/>
    <n v="116"/>
    <n v="15"/>
    <n v="1"/>
    <n v="8"/>
    <n v="1"/>
    <n v="340"/>
    <n v="36"/>
    <n v="3"/>
    <n v="1"/>
    <x v="70"/>
    <n v="156"/>
    <n v="17"/>
    <n v="162"/>
    <n v="33"/>
    <n v="0"/>
    <n v="19"/>
    <n v="1"/>
    <n v="93"/>
    <n v="43"/>
    <n v="1"/>
    <n v="1"/>
    <s v="W"/>
    <n v="8"/>
    <n v="85.48"/>
    <n v="124.76"/>
    <n v="223.28"/>
    <n v="153.31"/>
    <n v="0.43"/>
    <n v="0.57000000000000006"/>
    <s v="N"/>
    <s v="N"/>
    <s v="N"/>
    <s v="N"/>
    <s v="N"/>
    <n v="78.37"/>
    <n v="120.13"/>
    <n v="162.99"/>
    <n v="90.35"/>
    <x v="5"/>
    <n v="48"/>
    <x v="125"/>
    <n v="7.49"/>
  </r>
  <r>
    <x v="116"/>
    <n v="706"/>
    <n v="31"/>
    <n v="237"/>
    <n v="29"/>
    <n v="2"/>
    <n v="17"/>
    <n v="0"/>
    <n v="136"/>
    <n v="34"/>
    <n v="2"/>
    <n v="0"/>
    <x v="190"/>
    <n v="12810"/>
    <n v="3"/>
    <n v="271"/>
    <n v="35"/>
    <n v="0"/>
    <n v="22"/>
    <n v="0"/>
    <n v="36"/>
    <n v="29"/>
    <n v="0"/>
    <n v="2"/>
    <s v="W"/>
    <n v="1"/>
    <s v=" "/>
    <s v=" "/>
    <s v=" "/>
    <s v=" "/>
    <n v="0.55000000000000004"/>
    <n v="0.44999999999999996"/>
    <s v="Y"/>
    <s v="N"/>
    <s v="N"/>
    <s v="N"/>
    <s v="N"/>
    <s v=" "/>
    <s v=" "/>
    <s v=" "/>
    <s v=" "/>
    <x v="15"/>
    <n v="34"/>
    <x v="0"/>
    <s v=" "/>
  </r>
  <r>
    <x v="116"/>
    <n v="706"/>
    <n v="21"/>
    <n v="255"/>
    <n v="28"/>
    <n v="2"/>
    <n v="15"/>
    <n v="1"/>
    <n v="232"/>
    <n v="43"/>
    <n v="1"/>
    <n v="0"/>
    <x v="191"/>
    <n v="8530"/>
    <n v="24"/>
    <n v="372"/>
    <n v="45"/>
    <n v="1"/>
    <n v="29"/>
    <n v="1"/>
    <n v="3"/>
    <n v="20"/>
    <n v="1"/>
    <n v="1"/>
    <s v="L"/>
    <n v="2"/>
    <s v=" "/>
    <s v=" "/>
    <s v=" "/>
    <s v=" "/>
    <n v="0.69"/>
    <n v="0.31000000000000005"/>
    <s v="Y"/>
    <s v="N"/>
    <s v="N"/>
    <s v="N"/>
    <s v="N"/>
    <s v=" "/>
    <s v=" "/>
    <s v=" "/>
    <s v=" "/>
    <x v="22"/>
    <n v="45"/>
    <x v="0"/>
    <s v=" "/>
  </r>
  <r>
    <x v="116"/>
    <n v="706"/>
    <n v="54"/>
    <n v="200"/>
    <n v="25"/>
    <n v="2"/>
    <n v="13"/>
    <n v="0"/>
    <n v="216"/>
    <n v="45"/>
    <n v="3"/>
    <n v="2"/>
    <x v="192"/>
    <n v="506174"/>
    <n v="7"/>
    <n v="189"/>
    <n v="27"/>
    <n v="1"/>
    <n v="12"/>
    <n v="3"/>
    <n v="71"/>
    <n v="31"/>
    <n v="0"/>
    <n v="2"/>
    <s v="W"/>
    <n v="4"/>
    <s v=" "/>
    <s v=" "/>
    <s v=" "/>
    <s v=" "/>
    <n v="0.47"/>
    <n v="0.53"/>
    <s v="Y"/>
    <s v="N"/>
    <s v="N"/>
    <s v="N"/>
    <s v="N"/>
    <s v=" "/>
    <s v=" "/>
    <s v=" "/>
    <s v=" "/>
    <x v="58"/>
    <n v="61"/>
    <x v="0"/>
    <s v=" "/>
  </r>
  <r>
    <x v="116"/>
    <n v="706"/>
    <n v="27"/>
    <n v="263"/>
    <n v="22"/>
    <n v="2"/>
    <n v="15"/>
    <n v="0"/>
    <n v="146"/>
    <n v="46"/>
    <n v="1"/>
    <n v="1"/>
    <x v="144"/>
    <n v="646"/>
    <n v="30"/>
    <n v="176"/>
    <n v="17"/>
    <n v="0"/>
    <n v="11"/>
    <n v="1"/>
    <n v="176"/>
    <n v="38"/>
    <n v="4"/>
    <n v="1"/>
    <s v="L"/>
    <n v="6"/>
    <s v=" "/>
    <s v=" "/>
    <s v=" "/>
    <s v=" "/>
    <n v="0.31"/>
    <n v="0.69"/>
    <s v="Y"/>
    <s v="N"/>
    <s v="N"/>
    <s v="N"/>
    <s v="N"/>
    <s v=" "/>
    <s v=" "/>
    <s v=" "/>
    <s v=" "/>
    <x v="22"/>
    <n v="57"/>
    <x v="0"/>
    <s v=" "/>
  </r>
  <r>
    <x v="116"/>
    <n v="706"/>
    <n v="22"/>
    <n v="147"/>
    <n v="29"/>
    <n v="1"/>
    <n v="15"/>
    <n v="1"/>
    <n v="147"/>
    <n v="35"/>
    <n v="2"/>
    <n v="1"/>
    <x v="187"/>
    <n v="667"/>
    <n v="45"/>
    <n v="305"/>
    <n v="36"/>
    <n v="3"/>
    <n v="24"/>
    <n v="0"/>
    <n v="118"/>
    <n v="34"/>
    <n v="2"/>
    <n v="1"/>
    <s v="L"/>
    <n v="3"/>
    <n v="74.180000000000007"/>
    <n v="74.66"/>
    <n v="97.44"/>
    <n v="119.48"/>
    <n v="0.51"/>
    <n v="0.49"/>
    <s v="N"/>
    <s v="N"/>
    <s v="N"/>
    <s v="N"/>
    <s v="N"/>
    <n v="93.33"/>
    <n v="93.58"/>
    <n v="99.93"/>
    <n v="96.21"/>
    <x v="9"/>
    <n v="67"/>
    <x v="403"/>
    <n v="67.17"/>
  </r>
  <r>
    <x v="116"/>
    <n v="706"/>
    <n v="7"/>
    <n v="217"/>
    <n v="52"/>
    <n v="0"/>
    <n v="26"/>
    <n v="3"/>
    <n v="29"/>
    <n v="19"/>
    <n v="1"/>
    <n v="2"/>
    <x v="162"/>
    <n v="624"/>
    <n v="22"/>
    <n v="126"/>
    <n v="21"/>
    <n v="1"/>
    <n v="8"/>
    <n v="1"/>
    <n v="222"/>
    <n v="43"/>
    <n v="2"/>
    <n v="1"/>
    <s v="L"/>
    <n v="5"/>
    <n v="55.44"/>
    <n v="136.35"/>
    <n v="11.73"/>
    <n v="80.22"/>
    <n v="0.33"/>
    <n v="0.66999999999999993"/>
    <s v="N"/>
    <s v="N"/>
    <s v="N"/>
    <s v="N"/>
    <s v="N"/>
    <n v="80.14"/>
    <n v="86.79"/>
    <n v="22.08"/>
    <n v="96.09"/>
    <x v="24"/>
    <n v="29"/>
    <x v="466"/>
    <n v="12.9"/>
  </r>
  <r>
    <x v="116"/>
    <n v="706"/>
    <n v="17"/>
    <n v="257"/>
    <n v="31"/>
    <n v="2"/>
    <n v="22"/>
    <n v="0"/>
    <n v="79"/>
    <n v="22"/>
    <n v="0"/>
    <n v="2"/>
    <x v="29"/>
    <n v="108"/>
    <n v="38"/>
    <n v="320"/>
    <n v="30"/>
    <n v="3"/>
    <n v="18"/>
    <n v="0"/>
    <n v="135"/>
    <n v="42"/>
    <n v="2"/>
    <n v="1"/>
    <s v="L"/>
    <n v="7"/>
    <n v="125.83"/>
    <n v="66.87"/>
    <n v="56.04"/>
    <n v="125.43"/>
    <n v="0.42"/>
    <n v="0.58000000000000007"/>
    <s v="N"/>
    <s v="N"/>
    <s v="N"/>
    <s v="N"/>
    <s v="N"/>
    <n v="93.33"/>
    <n v="89.02"/>
    <n v="80.680000000000007"/>
    <n v="93.53"/>
    <x v="23"/>
    <n v="55"/>
    <x v="448"/>
    <n v="81.3"/>
  </r>
  <r>
    <x v="117"/>
    <n v="736"/>
    <n v="45"/>
    <n v="177"/>
    <n v="31"/>
    <n v="3"/>
    <n v="16"/>
    <n v="0"/>
    <n v="132"/>
    <n v="24"/>
    <n v="2"/>
    <n v="0"/>
    <x v="193"/>
    <n v="1068"/>
    <n v="14"/>
    <n v="240"/>
    <n v="31"/>
    <n v="1"/>
    <n v="18"/>
    <n v="2"/>
    <n v="83"/>
    <n v="37"/>
    <n v="1"/>
    <n v="1"/>
    <s v="W"/>
    <n v="1"/>
    <s v=" "/>
    <s v=" "/>
    <s v=" "/>
    <s v=" "/>
    <n v="0.46"/>
    <n v="0.54"/>
    <s v="Y"/>
    <s v="N"/>
    <s v="N"/>
    <s v="N"/>
    <s v="N"/>
    <s v=" "/>
    <s v=" "/>
    <s v=" "/>
    <s v=" "/>
    <x v="17"/>
    <n v="59"/>
    <x v="0"/>
    <s v=" "/>
  </r>
  <r>
    <x v="117"/>
    <n v="736"/>
    <n v="24"/>
    <n v="141"/>
    <n v="27"/>
    <n v="1"/>
    <n v="13"/>
    <n v="2"/>
    <n v="118"/>
    <n v="32"/>
    <n v="1"/>
    <n v="1"/>
    <x v="83"/>
    <n v="164"/>
    <n v="21"/>
    <n v="104"/>
    <n v="29"/>
    <n v="0"/>
    <n v="11"/>
    <n v="3"/>
    <n v="89"/>
    <n v="36"/>
    <n v="0"/>
    <n v="1"/>
    <s v="W"/>
    <n v="2"/>
    <n v="59.94"/>
    <n v="173.56"/>
    <n v="80.86"/>
    <n v="150.97999999999999"/>
    <n v="0.45"/>
    <n v="0.55000000000000004"/>
    <s v="N"/>
    <s v="N"/>
    <s v="N"/>
    <s v="N"/>
    <s v="N"/>
    <n v="66.599999999999994"/>
    <n v="145.85"/>
    <n v="109.76"/>
    <n v="83.48"/>
    <x v="22"/>
    <n v="45"/>
    <x v="467"/>
    <n v="4.59"/>
  </r>
  <r>
    <x v="117"/>
    <n v="736"/>
    <n v="30"/>
    <n v="106"/>
    <n v="22"/>
    <n v="0"/>
    <n v="14"/>
    <n v="1"/>
    <n v="281"/>
    <n v="49"/>
    <n v="3"/>
    <n v="2"/>
    <x v="20"/>
    <n v="433"/>
    <n v="7"/>
    <n v="149"/>
    <n v="30"/>
    <n v="1"/>
    <n v="15"/>
    <n v="5"/>
    <n v="85"/>
    <n v="32"/>
    <n v="0"/>
    <n v="0"/>
    <s v="W"/>
    <n v="3"/>
    <n v="76.260000000000005"/>
    <n v="167.93"/>
    <n v="129.97999999999999"/>
    <n v="138.37"/>
    <n v="0.48"/>
    <n v="0.52"/>
    <s v="N"/>
    <s v="N"/>
    <s v="N"/>
    <s v="N"/>
    <s v="N"/>
    <n v="73.930000000000007"/>
    <n v="124.76"/>
    <n v="86.22"/>
    <n v="79.69"/>
    <x v="9"/>
    <n v="37"/>
    <x v="468"/>
    <n v="20.440000000000001"/>
  </r>
  <r>
    <x v="117"/>
    <n v="736"/>
    <n v="3"/>
    <n v="73"/>
    <n v="23"/>
    <n v="0"/>
    <n v="16"/>
    <n v="1"/>
    <n v="4"/>
    <n v="25"/>
    <n v="0"/>
    <n v="2"/>
    <x v="53"/>
    <n v="648"/>
    <n v="21"/>
    <n v="236"/>
    <n v="32"/>
    <n v="1"/>
    <n v="17"/>
    <n v="4"/>
    <n v="131"/>
    <n v="40"/>
    <n v="1"/>
    <n v="0"/>
    <s v="L"/>
    <n v="4"/>
    <n v="73.819999999999993"/>
    <n v="139.49"/>
    <n v="-20.29"/>
    <n v="120.27"/>
    <n v="0.44"/>
    <n v="0.56000000000000005"/>
    <s v="N"/>
    <s v="N"/>
    <s v="N"/>
    <s v="N"/>
    <s v="N"/>
    <n v="104.84"/>
    <n v="113.32"/>
    <n v="-26.79"/>
    <n v="134.72"/>
    <x v="30"/>
    <n v="24"/>
    <x v="469"/>
    <n v="20.76"/>
  </r>
  <r>
    <x v="117"/>
    <n v="736"/>
    <n v="0"/>
    <n v="149"/>
    <n v="24"/>
    <n v="0"/>
    <n v="15"/>
    <n v="2"/>
    <n v="41"/>
    <n v="19"/>
    <n v="0"/>
    <n v="0"/>
    <x v="36"/>
    <n v="8"/>
    <n v="34"/>
    <n v="266"/>
    <n v="33"/>
    <n v="4"/>
    <n v="26"/>
    <n v="0"/>
    <n v="153"/>
    <n v="43"/>
    <n v="1"/>
    <n v="0"/>
    <s v="L"/>
    <n v="6"/>
    <n v="71.34"/>
    <n v="59.099999999999994"/>
    <n v="50.06"/>
    <n v="113.96"/>
    <n v="0.43"/>
    <n v="0.57000000000000006"/>
    <s v="N"/>
    <s v="N"/>
    <s v="N"/>
    <s v="N"/>
    <s v="N"/>
    <n v="95.91"/>
    <n v="66.48"/>
    <n v="84.23"/>
    <n v="167.99"/>
    <x v="16"/>
    <n v="34"/>
    <x v="470"/>
    <n v="32.22"/>
  </r>
  <r>
    <x v="117"/>
    <n v="736"/>
    <n v="28"/>
    <n v="149"/>
    <n v="31"/>
    <n v="1"/>
    <n v="11"/>
    <n v="3"/>
    <n v="199"/>
    <n v="36"/>
    <n v="2"/>
    <n v="1"/>
    <x v="65"/>
    <n v="257"/>
    <n v="33"/>
    <n v="326"/>
    <n v="38"/>
    <n v="3"/>
    <n v="22"/>
    <n v="1"/>
    <n v="117"/>
    <n v="34"/>
    <n v="0"/>
    <n v="0"/>
    <s v="L"/>
    <n v="7"/>
    <n v="37.49"/>
    <n v="91.4"/>
    <n v="128.24"/>
    <n v="120.16"/>
    <n v="0.53"/>
    <n v="0.47"/>
    <s v="N"/>
    <s v="N"/>
    <s v="N"/>
    <s v="N"/>
    <s v="N"/>
    <n v="47.94"/>
    <n v="95.14"/>
    <n v="167.47"/>
    <n v="109.71"/>
    <x v="28"/>
    <n v="61"/>
    <x v="175"/>
    <n v="22.02"/>
  </r>
  <r>
    <x v="117"/>
    <n v="736"/>
    <n v="44"/>
    <n v="186"/>
    <n v="27"/>
    <n v="1"/>
    <n v="10"/>
    <n v="2"/>
    <n v="344"/>
    <n v="54"/>
    <n v="5"/>
    <n v="0"/>
    <x v="58"/>
    <n v="725"/>
    <n v="21"/>
    <n v="18"/>
    <n v="6"/>
    <n v="0"/>
    <n v="1"/>
    <n v="0"/>
    <n v="270"/>
    <n v="51"/>
    <n v="2"/>
    <n v="3"/>
    <s v="W"/>
    <n v="8"/>
    <n v="57.91"/>
    <s v=" "/>
    <n v="161.68"/>
    <n v="88.94"/>
    <n v="0.11"/>
    <n v="0.89"/>
    <s v="N"/>
    <s v="N"/>
    <s v="N"/>
    <s v="Y"/>
    <s v="N"/>
    <n v="56.64"/>
    <s v=" "/>
    <n v="128.47"/>
    <n v="110.53"/>
    <x v="9"/>
    <n v="65"/>
    <x v="0"/>
    <s v=" "/>
  </r>
  <r>
    <x v="118"/>
    <n v="746"/>
    <n v="40"/>
    <n v="256"/>
    <n v="36"/>
    <n v="0"/>
    <n v="26"/>
    <n v="0"/>
    <n v="240"/>
    <n v="47"/>
    <n v="4"/>
    <n v="0"/>
    <x v="194"/>
    <n v="786"/>
    <n v="3"/>
    <n v="121"/>
    <n v="34"/>
    <n v="0"/>
    <n v="11"/>
    <n v="1"/>
    <n v="48"/>
    <n v="20"/>
    <n v="0"/>
    <n v="1"/>
    <s v="W"/>
    <n v="1"/>
    <s v=" "/>
    <s v=" "/>
    <s v=" "/>
    <s v=" "/>
    <n v="0.63"/>
    <n v="0.37"/>
    <s v="Y"/>
    <s v="N"/>
    <s v="N"/>
    <s v="N"/>
    <s v="N"/>
    <s v=" "/>
    <s v=" "/>
    <s v=" "/>
    <s v=" "/>
    <x v="50"/>
    <n v="43"/>
    <x v="0"/>
    <s v=" "/>
  </r>
  <r>
    <x v="118"/>
    <n v="746"/>
    <n v="34"/>
    <n v="198"/>
    <n v="30"/>
    <n v="0"/>
    <n v="16"/>
    <n v="2"/>
    <n v="162"/>
    <n v="40"/>
    <n v="3"/>
    <n v="2"/>
    <x v="55"/>
    <n v="306"/>
    <n v="31"/>
    <n v="171"/>
    <n v="31"/>
    <n v="1"/>
    <n v="16"/>
    <n v="1"/>
    <n v="148"/>
    <n v="41"/>
    <n v="2"/>
    <n v="2"/>
    <s v="W"/>
    <n v="2"/>
    <n v="69.3"/>
    <n v="123.16"/>
    <n v="90.21"/>
    <n v="123.57"/>
    <n v="0.43"/>
    <n v="0.57000000000000006"/>
    <s v="N"/>
    <s v="N"/>
    <s v="N"/>
    <s v="N"/>
    <s v="N"/>
    <n v="56.42"/>
    <n v="100.31"/>
    <n v="75.38"/>
    <n v="88.14"/>
    <x v="22"/>
    <n v="65"/>
    <x v="199"/>
    <n v="48.08"/>
  </r>
  <r>
    <x v="118"/>
    <n v="746"/>
    <n v="17"/>
    <n v="298"/>
    <n v="41"/>
    <n v="1"/>
    <n v="23"/>
    <n v="2"/>
    <n v="170"/>
    <n v="34"/>
    <n v="1"/>
    <n v="1"/>
    <x v="101"/>
    <n v="457"/>
    <n v="28"/>
    <n v="179"/>
    <n v="23"/>
    <n v="2"/>
    <n v="16"/>
    <n v="0"/>
    <n v="222"/>
    <n v="41"/>
    <n v="2"/>
    <n v="1"/>
    <s v="L"/>
    <n v="3"/>
    <n v="84.73"/>
    <n v="74.98"/>
    <n v="111.59"/>
    <n v="74.38"/>
    <n v="0.36"/>
    <n v="0.64"/>
    <s v="N"/>
    <s v="N"/>
    <s v="N"/>
    <s v="N"/>
    <s v="N"/>
    <n v="83.24"/>
    <n v="88.4"/>
    <n v="155.4"/>
    <n v="70.63"/>
    <x v="6"/>
    <n v="45"/>
    <x v="320"/>
    <n v="20.25"/>
  </r>
  <r>
    <x v="118"/>
    <n v="746"/>
    <n v="24"/>
    <n v="221"/>
    <n v="44"/>
    <n v="1"/>
    <n v="26"/>
    <n v="3"/>
    <n v="153"/>
    <n v="40"/>
    <n v="2"/>
    <n v="0"/>
    <x v="148"/>
    <n v="664"/>
    <n v="30"/>
    <n v="313"/>
    <n v="42"/>
    <n v="3"/>
    <n v="27"/>
    <n v="0"/>
    <n v="61"/>
    <n v="35"/>
    <n v="0"/>
    <n v="1"/>
    <s v="L"/>
    <n v="4"/>
    <n v="69.42"/>
    <n v="84.38"/>
    <n v="96.24"/>
    <n v="168.14"/>
    <n v="0.55000000000000004"/>
    <n v="0.44999999999999996"/>
    <s v="N"/>
    <s v="N"/>
    <s v="N"/>
    <s v="N"/>
    <s v="N"/>
    <n v="87.05"/>
    <n v="93.26"/>
    <n v="113.59"/>
    <n v="168.91"/>
    <x v="47"/>
    <n v="54"/>
    <x v="471"/>
    <n v="33"/>
  </r>
  <r>
    <x v="118"/>
    <n v="746"/>
    <n v="21"/>
    <n v="335"/>
    <n v="50"/>
    <n v="2"/>
    <n v="30"/>
    <n v="1"/>
    <n v="161"/>
    <n v="41"/>
    <n v="1"/>
    <n v="2"/>
    <x v="77"/>
    <n v="295"/>
    <n v="20"/>
    <n v="193"/>
    <n v="41"/>
    <n v="1"/>
    <n v="17"/>
    <n v="2"/>
    <n v="103"/>
    <n v="31"/>
    <n v="0"/>
    <n v="0"/>
    <s v="W"/>
    <n v="5"/>
    <n v="96.52"/>
    <n v="143.86000000000001"/>
    <n v="80.13"/>
    <n v="122.92"/>
    <n v="0.56999999999999995"/>
    <n v="0.43000000000000005"/>
    <s v="N"/>
    <s v="N"/>
    <s v="N"/>
    <s v="N"/>
    <s v="N"/>
    <n v="84.19"/>
    <n v="103.99"/>
    <n v="85.6"/>
    <n v="60.12"/>
    <x v="3"/>
    <n v="41"/>
    <x v="472"/>
    <n v="2.2999999999999998"/>
  </r>
  <r>
    <x v="118"/>
    <n v="746"/>
    <n v="24"/>
    <n v="135"/>
    <n v="19"/>
    <n v="1"/>
    <n v="9"/>
    <n v="1"/>
    <n v="274"/>
    <n v="47"/>
    <n v="2"/>
    <n v="0"/>
    <x v="141"/>
    <n v="255"/>
    <n v="21"/>
    <n v="24"/>
    <n v="8"/>
    <n v="0"/>
    <n v="2"/>
    <n v="2"/>
    <n v="272"/>
    <n v="53"/>
    <n v="2"/>
    <n v="0"/>
    <s v="W"/>
    <n v="7"/>
    <n v="78.2"/>
    <s v=" "/>
    <n v="141.63"/>
    <n v="75.28"/>
    <n v="0.13"/>
    <n v="0.87"/>
    <s v="N"/>
    <s v="N"/>
    <s v="N"/>
    <s v="Y"/>
    <s v="N"/>
    <n v="94.82"/>
    <s v=" "/>
    <n v="119.83"/>
    <n v="107.51"/>
    <x v="22"/>
    <n v="45"/>
    <x v="0"/>
    <s v=" "/>
  </r>
  <r>
    <x v="118"/>
    <n v="746"/>
    <n v="14"/>
    <n v="125"/>
    <n v="35"/>
    <n v="2"/>
    <n v="11"/>
    <n v="3"/>
    <n v="124"/>
    <n v="33"/>
    <n v="0"/>
    <n v="1"/>
    <x v="93"/>
    <n v="490"/>
    <n v="28"/>
    <n v="231"/>
    <n v="36"/>
    <n v="3"/>
    <n v="20"/>
    <n v="2"/>
    <n v="114"/>
    <n v="38"/>
    <n v="0"/>
    <n v="0"/>
    <s v="L"/>
    <n v="8"/>
    <n v="33.75"/>
    <n v="113.64"/>
    <n v="78.08"/>
    <n v="130.4"/>
    <n v="0.49"/>
    <n v="0.51"/>
    <s v="N"/>
    <s v="N"/>
    <s v="N"/>
    <s v="N"/>
    <s v="N"/>
    <n v="39.04"/>
    <n v="115.15"/>
    <n v="64.88"/>
    <n v="85.8"/>
    <x v="5"/>
    <n v="42"/>
    <x v="473"/>
    <n v="31.72"/>
  </r>
  <r>
    <x v="119"/>
    <n v="742"/>
    <n v="66"/>
    <n v="262"/>
    <n v="28"/>
    <n v="4"/>
    <n v="15"/>
    <n v="0"/>
    <n v="256"/>
    <n v="45"/>
    <n v="4"/>
    <n v="0"/>
    <x v="195"/>
    <n v="27"/>
    <n v="13"/>
    <n v="176"/>
    <n v="26"/>
    <n v="1"/>
    <n v="9"/>
    <n v="3"/>
    <n v="117"/>
    <n v="36"/>
    <n v="1"/>
    <n v="1"/>
    <s v="W"/>
    <n v="1"/>
    <s v=" "/>
    <s v=" "/>
    <s v=" "/>
    <s v=" "/>
    <n v="0.42"/>
    <n v="0.58000000000000007"/>
    <s v="Y"/>
    <s v="N"/>
    <s v="N"/>
    <s v="N"/>
    <s v="N"/>
    <s v=" "/>
    <s v=" "/>
    <s v=" "/>
    <s v=" "/>
    <x v="41"/>
    <n v="79"/>
    <x v="0"/>
    <s v=" "/>
  </r>
  <r>
    <x v="119"/>
    <n v="742"/>
    <n v="17"/>
    <n v="91"/>
    <n v="20"/>
    <n v="0"/>
    <n v="8"/>
    <n v="1"/>
    <n v="241"/>
    <n v="50"/>
    <n v="2"/>
    <n v="1"/>
    <x v="129"/>
    <n v="196"/>
    <n v="10"/>
    <n v="127"/>
    <n v="38"/>
    <n v="0"/>
    <n v="20"/>
    <n v="1"/>
    <n v="-15"/>
    <n v="16"/>
    <n v="1"/>
    <n v="0"/>
    <s v="W"/>
    <n v="2"/>
    <n v="49.8"/>
    <n v="137.05000000000001"/>
    <n v="111.82"/>
    <n v="212.38"/>
    <n v="0.7"/>
    <n v="0.30000000000000004"/>
    <s v="N"/>
    <s v="N"/>
    <s v="N"/>
    <s v="N"/>
    <s v="N"/>
    <n v="51.69"/>
    <n v="142.65"/>
    <n v="101.4"/>
    <n v="109.21"/>
    <x v="20"/>
    <n v="27"/>
    <x v="137"/>
    <n v="6.3"/>
  </r>
  <r>
    <x v="119"/>
    <n v="742"/>
    <n v="26"/>
    <n v="292"/>
    <n v="33"/>
    <n v="2"/>
    <n v="21"/>
    <n v="2"/>
    <n v="135"/>
    <n v="40"/>
    <n v="1"/>
    <n v="0"/>
    <x v="115"/>
    <n v="30"/>
    <n v="7"/>
    <n v="205"/>
    <n v="36"/>
    <n v="0"/>
    <n v="16"/>
    <n v="2"/>
    <n v="64"/>
    <n v="31"/>
    <n v="1"/>
    <n v="0"/>
    <s v="W"/>
    <n v="3"/>
    <n v="102.77"/>
    <n v="141.19"/>
    <n v="82.05"/>
    <n v="147.26"/>
    <n v="0.54"/>
    <n v="0.45999999999999996"/>
    <s v="N"/>
    <s v="N"/>
    <s v="N"/>
    <s v="N"/>
    <s v="N"/>
    <n v="112.74"/>
    <n v="143.96"/>
    <n v="110.09"/>
    <n v="106.01"/>
    <x v="31"/>
    <n v="33"/>
    <x v="37"/>
    <n v="25.93"/>
  </r>
  <r>
    <x v="119"/>
    <n v="742"/>
    <n v="30"/>
    <n v="229"/>
    <n v="33"/>
    <n v="0"/>
    <n v="22"/>
    <n v="1"/>
    <n v="215"/>
    <n v="41"/>
    <n v="4"/>
    <n v="1"/>
    <x v="130"/>
    <n v="388"/>
    <n v="10"/>
    <n v="245"/>
    <n v="33"/>
    <n v="1"/>
    <n v="17"/>
    <n v="1"/>
    <n v="6"/>
    <n v="24"/>
    <n v="0"/>
    <n v="1"/>
    <s v="W"/>
    <n v="4"/>
    <n v="95.4"/>
    <n v="112.57"/>
    <n v="128.97999999999999"/>
    <n v="206.7"/>
    <n v="0.57999999999999996"/>
    <n v="0.42000000000000004"/>
    <s v="N"/>
    <s v="N"/>
    <s v="N"/>
    <s v="N"/>
    <s v="N"/>
    <n v="83.94"/>
    <n v="92.97"/>
    <n v="139.36000000000001"/>
    <n v="142.56"/>
    <x v="37"/>
    <n v="40"/>
    <x v="259"/>
    <n v="13.92"/>
  </r>
  <r>
    <x v="119"/>
    <n v="742"/>
    <n v="3"/>
    <n v="125"/>
    <n v="27"/>
    <n v="0"/>
    <n v="15"/>
    <n v="1"/>
    <n v="133"/>
    <n v="40"/>
    <n v="0"/>
    <n v="1"/>
    <x v="51"/>
    <n v="147"/>
    <n v="23"/>
    <n v="204"/>
    <n v="32"/>
    <n v="1"/>
    <n v="13"/>
    <n v="1"/>
    <n v="119"/>
    <n v="35"/>
    <n v="2"/>
    <n v="0"/>
    <s v="L"/>
    <n v="5"/>
    <n v="69.680000000000007"/>
    <n v="129.32"/>
    <n v="69.64"/>
    <n v="112.55"/>
    <n v="0.48"/>
    <n v="0.52"/>
    <s v="N"/>
    <s v="N"/>
    <s v="N"/>
    <s v="N"/>
    <s v="N"/>
    <n v="78.010000000000005"/>
    <n v="147.41999999999999"/>
    <n v="74.599999999999994"/>
    <n v="111.37"/>
    <x v="37"/>
    <n v="26"/>
    <x v="111"/>
    <n v="106.33"/>
  </r>
  <r>
    <x v="119"/>
    <n v="742"/>
    <n v="38"/>
    <n v="310"/>
    <n v="25"/>
    <n v="3"/>
    <n v="23"/>
    <n v="0"/>
    <n v="172"/>
    <n v="38"/>
    <n v="2"/>
    <n v="1"/>
    <x v="124"/>
    <n v="415"/>
    <n v="35"/>
    <n v="283"/>
    <n v="22"/>
    <n v="4"/>
    <n v="14"/>
    <n v="0"/>
    <n v="236"/>
    <n v="38"/>
    <n v="1"/>
    <n v="0"/>
    <s v="W"/>
    <n v="6"/>
    <n v="177.58"/>
    <n v="38.97999999999999"/>
    <n v="105.01"/>
    <n v="51.97"/>
    <n v="0.37"/>
    <n v="0.63"/>
    <s v="N"/>
    <s v="N"/>
    <s v="N"/>
    <s v="N"/>
    <s v="N"/>
    <n v="158.76"/>
    <n v="41.04"/>
    <n v="108.83"/>
    <n v="52.68"/>
    <x v="22"/>
    <n v="73"/>
    <x v="274"/>
    <n v="11.34"/>
  </r>
  <r>
    <x v="119"/>
    <n v="742"/>
    <n v="38"/>
    <n v="280"/>
    <n v="32"/>
    <n v="2"/>
    <n v="17"/>
    <n v="0"/>
    <n v="193"/>
    <n v="40"/>
    <n v="3"/>
    <n v="0"/>
    <x v="75"/>
    <n v="749"/>
    <n v="17"/>
    <n v="261"/>
    <n v="36"/>
    <n v="2"/>
    <n v="20"/>
    <n v="1"/>
    <n v="59"/>
    <n v="31"/>
    <n v="0"/>
    <n v="0"/>
    <s v="W"/>
    <n v="7"/>
    <n v="110.19"/>
    <n v="104.93"/>
    <n v="123.19"/>
    <n v="155.85"/>
    <n v="0.54"/>
    <n v="0.45999999999999996"/>
    <s v="N"/>
    <s v="N"/>
    <s v="N"/>
    <s v="N"/>
    <s v="N"/>
    <n v="118.28"/>
    <n v="116.47"/>
    <n v="126.16"/>
    <n v="106.88"/>
    <x v="23"/>
    <n v="55"/>
    <x v="474"/>
    <n v="22.3"/>
  </r>
  <r>
    <x v="119"/>
    <n v="742"/>
    <n v="30"/>
    <n v="268"/>
    <n v="36"/>
    <n v="1"/>
    <n v="22"/>
    <n v="0"/>
    <n v="214"/>
    <n v="40"/>
    <n v="2"/>
    <n v="0"/>
    <x v="99"/>
    <n v="67"/>
    <n v="14"/>
    <n v="181"/>
    <n v="30"/>
    <n v="1"/>
    <n v="13"/>
    <n v="1"/>
    <n v="91"/>
    <n v="29"/>
    <n v="1"/>
    <n v="1"/>
    <s v="W"/>
    <n v="8"/>
    <n v="105.85"/>
    <n v="128.78"/>
    <n v="131.62"/>
    <n v="132.37"/>
    <n v="0.51"/>
    <n v="0.49"/>
    <s v="N"/>
    <s v="N"/>
    <s v="N"/>
    <s v="N"/>
    <s v="N"/>
    <n v="93.4"/>
    <n v="97.01"/>
    <n v="123.27"/>
    <n v="103.28"/>
    <x v="1"/>
    <n v="44"/>
    <x v="475"/>
    <n v="16.22"/>
  </r>
  <r>
    <x v="120"/>
    <n v="749"/>
    <n v="48"/>
    <n v="305"/>
    <n v="37"/>
    <n v="2"/>
    <n v="26"/>
    <n v="0"/>
    <n v="149"/>
    <n v="43"/>
    <n v="4"/>
    <n v="1"/>
    <x v="167"/>
    <n v="1092"/>
    <n v="5"/>
    <n v="117"/>
    <n v="28"/>
    <n v="0"/>
    <n v="14"/>
    <n v="0"/>
    <n v="22"/>
    <n v="25"/>
    <n v="0"/>
    <n v="0"/>
    <s v="W"/>
    <n v="3"/>
    <s v=" "/>
    <s v=" "/>
    <s v=" "/>
    <s v=" "/>
    <n v="0.53"/>
    <n v="0.47"/>
    <s v="Y"/>
    <s v="N"/>
    <s v="N"/>
    <s v="N"/>
    <s v="N"/>
    <s v=" "/>
    <s v=" "/>
    <s v=" "/>
    <s v=" "/>
    <x v="45"/>
    <n v="53"/>
    <x v="0"/>
    <s v=" "/>
  </r>
  <r>
    <x v="120"/>
    <n v="749"/>
    <n v="29"/>
    <n v="326"/>
    <n v="41"/>
    <n v="3"/>
    <n v="24"/>
    <n v="1"/>
    <n v="80"/>
    <n v="43"/>
    <n v="0"/>
    <n v="0"/>
    <x v="176"/>
    <n v="688"/>
    <n v="36"/>
    <n v="178"/>
    <n v="28"/>
    <n v="3"/>
    <n v="20"/>
    <n v="0"/>
    <n v="121"/>
    <n v="30"/>
    <n v="2"/>
    <n v="1"/>
    <s v="L"/>
    <n v="1"/>
    <n v="105.53"/>
    <n v="77.849999999999994"/>
    <n v="43.16"/>
    <n v="106.43"/>
    <n v="0.48"/>
    <n v="0.52"/>
    <s v="N"/>
    <s v="N"/>
    <s v="N"/>
    <s v="N"/>
    <s v="N"/>
    <n v="94.32"/>
    <n v="82.39"/>
    <n v="58.01"/>
    <n v="96.38"/>
    <x v="20"/>
    <n v="65"/>
    <x v="410"/>
    <n v="10.44"/>
  </r>
  <r>
    <x v="120"/>
    <n v="749"/>
    <n v="34"/>
    <n v="337"/>
    <n v="36"/>
    <n v="2"/>
    <n v="23"/>
    <n v="1"/>
    <n v="101"/>
    <n v="34"/>
    <n v="2"/>
    <n v="0"/>
    <x v="93"/>
    <n v="490"/>
    <n v="27"/>
    <n v="315"/>
    <n v="41"/>
    <n v="3"/>
    <n v="24"/>
    <n v="1"/>
    <n v="109"/>
    <n v="26"/>
    <n v="0"/>
    <n v="0"/>
    <s v="W"/>
    <n v="2"/>
    <n v="114.91"/>
    <n v="95.93"/>
    <n v="77.739999999999995"/>
    <n v="102.74"/>
    <n v="0.61"/>
    <n v="0.39"/>
    <s v="N"/>
    <s v="N"/>
    <s v="N"/>
    <s v="N"/>
    <s v="N"/>
    <n v="132.91"/>
    <n v="97.2"/>
    <n v="64.599999999999994"/>
    <n v="67.599999999999994"/>
    <x v="20"/>
    <n v="61"/>
    <x v="322"/>
    <n v="80.650000000000006"/>
  </r>
  <r>
    <x v="120"/>
    <n v="749"/>
    <n v="27"/>
    <n v="288"/>
    <n v="30"/>
    <n v="1"/>
    <n v="20"/>
    <n v="1"/>
    <n v="104"/>
    <n v="33"/>
    <n v="2"/>
    <n v="0"/>
    <x v="99"/>
    <n v="67"/>
    <n v="19"/>
    <n v="188"/>
    <n v="48"/>
    <n v="1"/>
    <n v="23"/>
    <n v="1"/>
    <n v="148"/>
    <n v="34"/>
    <n v="0"/>
    <n v="1"/>
    <s v="W"/>
    <n v="5"/>
    <n v="113.99"/>
    <n v="133.86000000000001"/>
    <n v="82.21"/>
    <n v="107.84"/>
    <n v="0.59"/>
    <n v="0.41000000000000003"/>
    <s v="N"/>
    <s v="N"/>
    <s v="N"/>
    <s v="N"/>
    <s v="N"/>
    <n v="100.58"/>
    <n v="100.84"/>
    <n v="76.989999999999995"/>
    <n v="84.14"/>
    <x v="11"/>
    <n v="46"/>
    <x v="476"/>
    <n v="21.11"/>
  </r>
  <r>
    <x v="120"/>
    <n v="749"/>
    <n v="35"/>
    <n v="263"/>
    <n v="36"/>
    <n v="4"/>
    <n v="22"/>
    <n v="0"/>
    <n v="128"/>
    <n v="38"/>
    <n v="0"/>
    <n v="0"/>
    <x v="98"/>
    <n v="234"/>
    <n v="30"/>
    <n v="315"/>
    <n v="46"/>
    <n v="2"/>
    <n v="25"/>
    <n v="4"/>
    <n v="110"/>
    <n v="27"/>
    <n v="2"/>
    <n v="1"/>
    <s v="W"/>
    <n v="6"/>
    <n v="117.59"/>
    <n v="127.9"/>
    <n v="78.150000000000006"/>
    <n v="105.48"/>
    <n v="0.63"/>
    <n v="0.37"/>
    <s v="N"/>
    <s v="N"/>
    <s v="N"/>
    <s v="N"/>
    <s v="N"/>
    <n v="121.13"/>
    <n v="125.77"/>
    <n v="111.69"/>
    <n v="87.03"/>
    <x v="28"/>
    <n v="65"/>
    <x v="163"/>
    <n v="17.170000000000002"/>
  </r>
  <r>
    <x v="120"/>
    <n v="749"/>
    <n v="17"/>
    <n v="261"/>
    <n v="36"/>
    <n v="2"/>
    <n v="20"/>
    <n v="1"/>
    <n v="59"/>
    <n v="31"/>
    <n v="0"/>
    <n v="0"/>
    <x v="41"/>
    <n v="742"/>
    <n v="38"/>
    <n v="280"/>
    <n v="32"/>
    <n v="2"/>
    <n v="17"/>
    <n v="0"/>
    <n v="193"/>
    <n v="40"/>
    <n v="3"/>
    <n v="0"/>
    <s v="L"/>
    <n v="7"/>
    <n v="95.07"/>
    <n v="89.81"/>
    <n v="44.15"/>
    <n v="76.81"/>
    <n v="0.44"/>
    <n v="0.56000000000000005"/>
    <s v="N"/>
    <s v="N"/>
    <s v="N"/>
    <s v="N"/>
    <s v="N"/>
    <n v="107.68"/>
    <n v="91.26"/>
    <n v="64.27"/>
    <n v="82.55"/>
    <x v="23"/>
    <n v="55"/>
    <x v="477"/>
    <n v="22.3"/>
  </r>
  <r>
    <x v="120"/>
    <n v="749"/>
    <n v="24"/>
    <n v="215"/>
    <n v="25"/>
    <n v="2"/>
    <n v="15"/>
    <n v="0"/>
    <n v="90"/>
    <n v="26"/>
    <n v="1"/>
    <n v="0"/>
    <x v="74"/>
    <n v="193"/>
    <n v="23"/>
    <n v="224"/>
    <n v="47"/>
    <n v="0"/>
    <n v="29"/>
    <n v="1"/>
    <n v="148"/>
    <n v="44"/>
    <n v="2"/>
    <n v="0"/>
    <s v="W"/>
    <n v="8"/>
    <n v="118.87"/>
    <n v="118.71"/>
    <n v="86.08"/>
    <n v="115.15"/>
    <n v="0.52"/>
    <n v="0.48"/>
    <s v="N"/>
    <s v="N"/>
    <s v="N"/>
    <s v="N"/>
    <s v="N"/>
    <n v="105.31"/>
    <n v="123.66"/>
    <n v="84.03"/>
    <n v="73.94"/>
    <x v="3"/>
    <n v="47"/>
    <x v="135"/>
    <n v="2.58"/>
  </r>
  <r>
    <x v="121"/>
    <n v="756"/>
    <n v="30"/>
    <n v="102"/>
    <n v="25"/>
    <n v="3"/>
    <n v="17"/>
    <n v="0"/>
    <n v="148"/>
    <n v="38"/>
    <n v="0"/>
    <n v="0"/>
    <x v="196"/>
    <n v="207"/>
    <n v="27"/>
    <n v="473"/>
    <n v="69"/>
    <n v="3"/>
    <n v="39"/>
    <n v="2"/>
    <n v="31"/>
    <n v="17"/>
    <n v="0"/>
    <n v="2"/>
    <s v="W"/>
    <n v="1"/>
    <s v=" "/>
    <s v=" "/>
    <s v=" "/>
    <s v=" "/>
    <n v="0.8"/>
    <n v="0.19999999999999996"/>
    <s v="Y"/>
    <s v="N"/>
    <s v="N"/>
    <s v="N"/>
    <s v="N"/>
    <s v=" "/>
    <s v=" "/>
    <s v=" "/>
    <s v=" "/>
    <x v="22"/>
    <n v="57"/>
    <x v="0"/>
    <s v=" "/>
  </r>
  <r>
    <x v="121"/>
    <n v="756"/>
    <n v="40"/>
    <n v="315"/>
    <n v="26"/>
    <n v="4"/>
    <n v="18"/>
    <n v="1"/>
    <n v="151"/>
    <n v="34"/>
    <n v="1"/>
    <n v="0"/>
    <x v="102"/>
    <n v="277"/>
    <n v="32"/>
    <n v="333"/>
    <n v="45"/>
    <n v="1"/>
    <n v="31"/>
    <n v="1"/>
    <n v="55"/>
    <n v="22"/>
    <n v="3"/>
    <n v="1"/>
    <s v="W"/>
    <n v="2"/>
    <n v="146.80000000000001"/>
    <n v="94.11"/>
    <n v="107.45"/>
    <n v="135.18"/>
    <n v="0.67"/>
    <n v="0.32999999999999996"/>
    <s v="N"/>
    <s v="N"/>
    <s v="N"/>
    <s v="N"/>
    <s v="N"/>
    <n v="148.37"/>
    <n v="100.09"/>
    <n v="143.93"/>
    <n v="122.37"/>
    <x v="11"/>
    <n v="72"/>
    <x v="177"/>
    <n v="9.58"/>
  </r>
  <r>
    <x v="121"/>
    <n v="756"/>
    <n v="38"/>
    <n v="274"/>
    <n v="37"/>
    <n v="4"/>
    <n v="21"/>
    <n v="2"/>
    <n v="146"/>
    <n v="31"/>
    <n v="1"/>
    <n v="1"/>
    <x v="119"/>
    <n v="463"/>
    <n v="51"/>
    <n v="155"/>
    <n v="21"/>
    <n v="2"/>
    <n v="10"/>
    <n v="0"/>
    <n v="309"/>
    <n v="55"/>
    <n v="4"/>
    <n v="1"/>
    <s v="L"/>
    <n v="3"/>
    <n v="97.12"/>
    <n v="97.87"/>
    <n v="104.43"/>
    <n v="64.199999999999989"/>
    <n v="0.28000000000000003"/>
    <n v="0.72"/>
    <s v="N"/>
    <s v="N"/>
    <s v="N"/>
    <s v="N"/>
    <s v="N"/>
    <n v="103.22"/>
    <n v="93.04"/>
    <n v="96.49"/>
    <n v="87.47"/>
    <x v="40"/>
    <n v="89"/>
    <x v="304"/>
    <n v="35.729999999999997"/>
  </r>
  <r>
    <x v="121"/>
    <n v="756"/>
    <n v="31"/>
    <n v="292"/>
    <n v="25"/>
    <n v="3"/>
    <n v="19"/>
    <n v="0"/>
    <n v="117"/>
    <n v="34"/>
    <n v="1"/>
    <n v="2"/>
    <x v="103"/>
    <n v="107"/>
    <n v="23"/>
    <n v="349"/>
    <n v="43"/>
    <n v="1"/>
    <n v="23"/>
    <n v="0"/>
    <n v="108"/>
    <n v="33"/>
    <n v="1"/>
    <n v="0"/>
    <s v="W"/>
    <n v="4"/>
    <n v="157.66"/>
    <n v="98.79"/>
    <n v="66.599999999999994"/>
    <n v="119.53"/>
    <n v="0.56999999999999995"/>
    <n v="0.43000000000000005"/>
    <s v="N"/>
    <s v="N"/>
    <s v="N"/>
    <s v="N"/>
    <s v="N"/>
    <n v="156.99"/>
    <n v="92.49"/>
    <n v="83.86"/>
    <n v="94.88"/>
    <x v="11"/>
    <n v="54"/>
    <x v="94"/>
    <n v="18.79"/>
  </r>
  <r>
    <x v="121"/>
    <n v="756"/>
    <n v="31"/>
    <n v="226"/>
    <n v="30"/>
    <n v="3"/>
    <n v="22"/>
    <n v="1"/>
    <n v="185"/>
    <n v="42"/>
    <n v="0"/>
    <n v="0"/>
    <x v="32"/>
    <n v="732"/>
    <n v="14"/>
    <n v="305"/>
    <n v="33"/>
    <n v="2"/>
    <n v="22"/>
    <n v="2"/>
    <n v="17"/>
    <n v="23"/>
    <n v="0"/>
    <n v="3"/>
    <s v="W"/>
    <n v="5"/>
    <n v="119.39"/>
    <n v="92.05"/>
    <n v="102.19"/>
    <n v="221.98"/>
    <n v="0.59"/>
    <n v="0.41000000000000003"/>
    <s v="N"/>
    <s v="N"/>
    <s v="N"/>
    <s v="N"/>
    <s v="N"/>
    <n v="127.49"/>
    <n v="76.959999999999994"/>
    <n v="156.51"/>
    <n v="125.27"/>
    <x v="0"/>
    <n v="45"/>
    <x v="478"/>
    <n v="12.54"/>
  </r>
  <r>
    <x v="121"/>
    <n v="756"/>
    <n v="52"/>
    <n v="267"/>
    <n v="30"/>
    <n v="4"/>
    <n v="23"/>
    <n v="0"/>
    <n v="295"/>
    <n v="40"/>
    <n v="3"/>
    <n v="1"/>
    <x v="88"/>
    <n v="157"/>
    <n v="24"/>
    <n v="207"/>
    <n v="38"/>
    <n v="1"/>
    <n v="22"/>
    <n v="0"/>
    <n v="62"/>
    <n v="27"/>
    <n v="2"/>
    <n v="0"/>
    <s v="W"/>
    <n v="7"/>
    <n v="145.16999999999999"/>
    <n v="108.47"/>
    <n v="174.85"/>
    <n v="135.61000000000001"/>
    <n v="0.57999999999999996"/>
    <n v="0.42000000000000004"/>
    <s v="N"/>
    <s v="N"/>
    <s v="N"/>
    <s v="N"/>
    <s v="N"/>
    <n v="124.88"/>
    <n v="100.94"/>
    <n v="147.29"/>
    <n v="91.78"/>
    <x v="15"/>
    <n v="76"/>
    <x v="479"/>
    <n v="17.059999999999999"/>
  </r>
  <r>
    <x v="121"/>
    <n v="756"/>
    <n v="21"/>
    <n v="258"/>
    <n v="38"/>
    <n v="1"/>
    <n v="24"/>
    <n v="2"/>
    <n v="172"/>
    <n v="26"/>
    <n v="2"/>
    <n v="1"/>
    <x v="24"/>
    <n v="674"/>
    <n v="65"/>
    <n v="169"/>
    <n v="22"/>
    <n v="2"/>
    <n v="16"/>
    <n v="0"/>
    <n v="446"/>
    <n v="44"/>
    <n v="5"/>
    <n v="0"/>
    <s v="L"/>
    <n v="8"/>
    <n v="88.32"/>
    <n v="71.77000000000001"/>
    <n v="153.47999999999999"/>
    <n v="-52.210000000000008"/>
    <n v="0.33"/>
    <n v="0.66999999999999993"/>
    <s v="N"/>
    <s v="N"/>
    <s v="N"/>
    <s v="N"/>
    <s v="N"/>
    <n v="91.21"/>
    <n v="95.78"/>
    <n v="218.92"/>
    <n v="-75.180000000000007"/>
    <x v="25"/>
    <n v="86"/>
    <x v="408"/>
    <n v="31.74"/>
  </r>
  <r>
    <x v="122"/>
    <n v="754"/>
    <n v="64"/>
    <n v="301"/>
    <n v="35"/>
    <n v="3"/>
    <n v="21"/>
    <n v="0"/>
    <n v="289"/>
    <n v="36"/>
    <n v="4"/>
    <n v="0"/>
    <x v="86"/>
    <n v="294"/>
    <n v="21"/>
    <n v="430"/>
    <n v="54"/>
    <n v="1"/>
    <n v="38"/>
    <n v="1"/>
    <n v="23"/>
    <n v="25"/>
    <n v="2"/>
    <n v="1"/>
    <s v="W"/>
    <n v="1"/>
    <s v=" "/>
    <s v=" "/>
    <s v=" "/>
    <s v=" "/>
    <n v="0.68"/>
    <n v="0.31999999999999995"/>
    <s v="Y"/>
    <s v="N"/>
    <s v="N"/>
    <s v="N"/>
    <s v="N"/>
    <s v=" "/>
    <s v=" "/>
    <s v=" "/>
    <s v=" "/>
    <x v="45"/>
    <n v="85"/>
    <x v="0"/>
    <s v=" "/>
  </r>
  <r>
    <x v="122"/>
    <n v="754"/>
    <n v="59"/>
    <n v="471"/>
    <n v="38"/>
    <n v="7"/>
    <n v="29"/>
    <n v="0"/>
    <n v="139"/>
    <n v="39"/>
    <n v="1"/>
    <n v="1"/>
    <x v="125"/>
    <n v="465"/>
    <n v="7"/>
    <n v="60"/>
    <n v="20"/>
    <n v="0"/>
    <n v="11"/>
    <n v="0"/>
    <n v="98"/>
    <n v="34"/>
    <n v="0"/>
    <n v="1"/>
    <s v="W"/>
    <n v="2"/>
    <n v="171.5"/>
    <n v="128.65"/>
    <n v="78.84"/>
    <n v="141.94999999999999"/>
    <n v="0.37"/>
    <n v="0.63"/>
    <s v="N"/>
    <s v="N"/>
    <s v="N"/>
    <s v="N"/>
    <s v="N"/>
    <n v="129.66"/>
    <n v="104.55"/>
    <n v="92.99"/>
    <n v="103.56"/>
    <x v="48"/>
    <n v="66"/>
    <x v="455"/>
    <n v="43"/>
  </r>
  <r>
    <x v="122"/>
    <n v="754"/>
    <n v="24"/>
    <n v="368"/>
    <n v="42"/>
    <n v="3"/>
    <n v="20"/>
    <n v="2"/>
    <n v="51"/>
    <n v="28"/>
    <n v="0"/>
    <n v="2"/>
    <x v="5"/>
    <n v="626"/>
    <n v="42"/>
    <n v="273"/>
    <n v="37"/>
    <n v="2"/>
    <n v="21"/>
    <n v="1"/>
    <n v="227"/>
    <n v="44"/>
    <n v="4"/>
    <n v="1"/>
    <s v="L"/>
    <n v="3"/>
    <n v="91.8"/>
    <n v="103.03"/>
    <n v="20.83"/>
    <n v="73.489999999999995"/>
    <n v="0.46"/>
    <n v="0.54"/>
    <s v="N"/>
    <s v="N"/>
    <s v="N"/>
    <s v="N"/>
    <s v="N"/>
    <n v="110.1"/>
    <n v="95.66"/>
    <n v="21.24"/>
    <n v="78.52"/>
    <x v="30"/>
    <n v="66"/>
    <x v="376"/>
    <n v="16.239999999999998"/>
  </r>
  <r>
    <x v="122"/>
    <n v="754"/>
    <n v="31"/>
    <n v="376"/>
    <n v="49"/>
    <n v="3"/>
    <n v="32"/>
    <n v="1"/>
    <n v="79"/>
    <n v="27"/>
    <n v="1"/>
    <n v="0"/>
    <x v="88"/>
    <n v="157"/>
    <n v="27"/>
    <n v="175"/>
    <n v="24"/>
    <n v="2"/>
    <n v="15"/>
    <n v="1"/>
    <n v="161"/>
    <n v="38"/>
    <n v="1"/>
    <n v="1"/>
    <s v="W"/>
    <n v="5"/>
    <n v="110.19"/>
    <n v="97.76"/>
    <n v="73.44"/>
    <n v="105.65"/>
    <n v="0.39"/>
    <n v="0.61"/>
    <s v="N"/>
    <s v="N"/>
    <s v="N"/>
    <s v="N"/>
    <s v="N"/>
    <n v="94.79"/>
    <n v="90.98"/>
    <n v="61.86"/>
    <n v="71.510000000000005"/>
    <x v="27"/>
    <n v="58"/>
    <x v="117"/>
    <n v="30.86"/>
  </r>
  <r>
    <x v="122"/>
    <n v="754"/>
    <n v="25"/>
    <n v="235"/>
    <n v="40"/>
    <n v="2"/>
    <n v="28"/>
    <n v="1"/>
    <n v="154"/>
    <n v="40"/>
    <n v="0"/>
    <n v="0"/>
    <x v="28"/>
    <n v="110"/>
    <n v="28"/>
    <n v="201"/>
    <n v="20"/>
    <n v="2"/>
    <n v="12"/>
    <n v="1"/>
    <n v="170"/>
    <n v="35"/>
    <n v="2"/>
    <n v="0"/>
    <s v="L"/>
    <n v="6"/>
    <n v="102.02"/>
    <n v="85.23"/>
    <n v="89.32"/>
    <n v="78.739999999999995"/>
    <n v="0.36"/>
    <n v="0.64"/>
    <s v="N"/>
    <s v="N"/>
    <s v="N"/>
    <s v="N"/>
    <s v="N"/>
    <n v="89.91"/>
    <n v="83.33"/>
    <n v="71.44"/>
    <n v="79.75"/>
    <x v="22"/>
    <n v="53"/>
    <x v="453"/>
    <n v="6.71"/>
  </r>
  <r>
    <x v="122"/>
    <n v="754"/>
    <n v="14"/>
    <n v="209"/>
    <n v="39"/>
    <n v="0"/>
    <n v="24"/>
    <n v="0"/>
    <n v="48"/>
    <n v="28"/>
    <n v="2"/>
    <n v="1"/>
    <x v="24"/>
    <n v="674"/>
    <n v="44"/>
    <n v="336"/>
    <n v="36"/>
    <n v="4"/>
    <n v="23"/>
    <n v="1"/>
    <n v="139"/>
    <n v="30"/>
    <n v="1"/>
    <n v="1"/>
    <s v="L"/>
    <n v="7"/>
    <n v="90.74"/>
    <n v="76.91"/>
    <n v="39.770000000000003"/>
    <n v="97.51"/>
    <n v="0.55000000000000004"/>
    <n v="0.44999999999999996"/>
    <s v="N"/>
    <s v="N"/>
    <s v="N"/>
    <s v="N"/>
    <s v="N"/>
    <n v="93.71"/>
    <n v="102.64"/>
    <n v="56.73"/>
    <n v="140.41"/>
    <x v="33"/>
    <n v="58"/>
    <x v="407"/>
    <n v="31.56"/>
  </r>
  <r>
    <x v="122"/>
    <n v="754"/>
    <n v="21"/>
    <n v="232"/>
    <n v="33"/>
    <n v="1"/>
    <n v="21"/>
    <n v="1"/>
    <n v="83"/>
    <n v="29"/>
    <n v="2"/>
    <n v="2"/>
    <x v="27"/>
    <n v="528"/>
    <n v="44"/>
    <n v="376"/>
    <n v="34"/>
    <n v="4"/>
    <n v="26"/>
    <n v="1"/>
    <n v="175"/>
    <n v="34"/>
    <n v="1"/>
    <n v="0"/>
    <s v="L"/>
    <n v="8"/>
    <n v="97.41"/>
    <n v="54.44"/>
    <n v="56.06"/>
    <n v="76.180000000000007"/>
    <n v="0.5"/>
    <n v="0.5"/>
    <s v="N"/>
    <s v="N"/>
    <s v="N"/>
    <s v="N"/>
    <s v="N"/>
    <n v="90.04"/>
    <n v="55.41"/>
    <n v="61.36"/>
    <n v="50.16"/>
    <x v="9"/>
    <n v="65"/>
    <x v="358"/>
    <n v="19.84"/>
  </r>
  <r>
    <x v="123"/>
    <n v="768"/>
    <n v="55"/>
    <n v="431"/>
    <n v="40"/>
    <n v="5"/>
    <n v="25"/>
    <n v="0"/>
    <n v="102"/>
    <n v="33"/>
    <n v="2"/>
    <n v="0"/>
    <x v="197"/>
    <n v="485"/>
    <n v="12"/>
    <n v="197"/>
    <n v="31"/>
    <n v="0"/>
    <n v="18"/>
    <n v="0"/>
    <n v="88"/>
    <n v="32"/>
    <n v="0"/>
    <n v="0"/>
    <s v="W"/>
    <n v="2"/>
    <s v=" "/>
    <s v=" "/>
    <s v=" "/>
    <s v=" "/>
    <n v="0.49"/>
    <n v="0.51"/>
    <s v="Y"/>
    <s v="N"/>
    <s v="N"/>
    <s v="N"/>
    <s v="N"/>
    <s v=" "/>
    <s v=" "/>
    <s v=" "/>
    <s v=" "/>
    <x v="45"/>
    <n v="67"/>
    <x v="0"/>
    <s v=" "/>
  </r>
  <r>
    <x v="123"/>
    <n v="768"/>
    <n v="34"/>
    <n v="249"/>
    <n v="35"/>
    <n v="2"/>
    <n v="26"/>
    <n v="0"/>
    <n v="42"/>
    <n v="26"/>
    <n v="1"/>
    <n v="0"/>
    <x v="130"/>
    <n v="388"/>
    <n v="13"/>
    <n v="115"/>
    <n v="21"/>
    <n v="0"/>
    <n v="15"/>
    <n v="0"/>
    <n v="72"/>
    <n v="23"/>
    <n v="0"/>
    <n v="0"/>
    <s v="W"/>
    <n v="2"/>
    <n v="121.63"/>
    <n v="98.73"/>
    <n v="43.25"/>
    <n v="127.37"/>
    <n v="0.48"/>
    <n v="0.52"/>
    <s v="N"/>
    <s v="N"/>
    <s v="N"/>
    <s v="N"/>
    <s v="N"/>
    <n v="107.02"/>
    <n v="81.540000000000006"/>
    <n v="46.73"/>
    <n v="87.84"/>
    <x v="23"/>
    <n v="47"/>
    <x v="256"/>
    <n v="232.82"/>
  </r>
  <r>
    <x v="123"/>
    <n v="768"/>
    <n v="37"/>
    <n v="388"/>
    <n v="49"/>
    <n v="1"/>
    <n v="36"/>
    <n v="1"/>
    <n v="92"/>
    <n v="31"/>
    <n v="2"/>
    <n v="2"/>
    <x v="100"/>
    <n v="392"/>
    <n v="31"/>
    <n v="289"/>
    <n v="52"/>
    <n v="1"/>
    <n v="34"/>
    <n v="3"/>
    <n v="188"/>
    <n v="35"/>
    <n v="3"/>
    <n v="0"/>
    <s v="W"/>
    <n v="3"/>
    <n v="113.56"/>
    <n v="118.75"/>
    <n v="59.17"/>
    <n v="62.53"/>
    <n v="0.6"/>
    <n v="0.4"/>
    <s v="N"/>
    <s v="N"/>
    <s v="N"/>
    <s v="N"/>
    <s v="N"/>
    <n v="119.09"/>
    <n v="92.74"/>
    <n v="51.34"/>
    <n v="64.650000000000006"/>
    <x v="47"/>
    <n v="68"/>
    <x v="264"/>
    <n v="13.05"/>
  </r>
  <r>
    <x v="123"/>
    <n v="768"/>
    <n v="21"/>
    <n v="463"/>
    <n v="65"/>
    <n v="2"/>
    <n v="38"/>
    <n v="2"/>
    <n v="70"/>
    <n v="22"/>
    <n v="1"/>
    <n v="2"/>
    <x v="54"/>
    <n v="365"/>
    <n v="47"/>
    <n v="180"/>
    <n v="28"/>
    <n v="3"/>
    <n v="16"/>
    <n v="0"/>
    <n v="186"/>
    <n v="41"/>
    <n v="3"/>
    <n v="0"/>
    <s v="L"/>
    <n v="4"/>
    <n v="92.67"/>
    <n v="91.75"/>
    <n v="53.36"/>
    <n v="83.78"/>
    <n v="0.41"/>
    <n v="0.59000000000000008"/>
    <s v="N"/>
    <s v="N"/>
    <s v="N"/>
    <s v="N"/>
    <s v="N"/>
    <n v="123.63"/>
    <n v="101.3"/>
    <n v="74.53"/>
    <n v="90.37"/>
    <x v="4"/>
    <n v="68"/>
    <x v="480"/>
    <n v="33.15"/>
  </r>
  <r>
    <x v="123"/>
    <n v="768"/>
    <n v="55"/>
    <n v="283"/>
    <n v="33"/>
    <n v="3"/>
    <n v="19"/>
    <n v="0"/>
    <n v="360"/>
    <n v="46"/>
    <n v="4"/>
    <n v="0"/>
    <x v="131"/>
    <n v="71"/>
    <n v="10"/>
    <n v="114"/>
    <n v="26"/>
    <n v="1"/>
    <n v="13"/>
    <n v="3"/>
    <n v="103"/>
    <n v="36"/>
    <n v="0"/>
    <n v="2"/>
    <s v="W"/>
    <n v="5"/>
    <n v="117.95"/>
    <n v="154.94999999999999"/>
    <n v="194.61"/>
    <n v="150.29"/>
    <n v="0.42"/>
    <n v="0.58000000000000007"/>
    <s v="N"/>
    <s v="N"/>
    <s v="N"/>
    <s v="N"/>
    <s v="N"/>
    <n v="115.79"/>
    <n v="147.61000000000001"/>
    <n v="172.96"/>
    <n v="113.21"/>
    <x v="10"/>
    <n v="65"/>
    <x v="77"/>
    <n v="20.66"/>
  </r>
  <r>
    <x v="123"/>
    <n v="768"/>
    <n v="43"/>
    <n v="469"/>
    <n v="48"/>
    <n v="4"/>
    <n v="28"/>
    <n v="1"/>
    <n v="72"/>
    <n v="29"/>
    <n v="1"/>
    <n v="1"/>
    <x v="83"/>
    <n v="164"/>
    <n v="16"/>
    <n v="193"/>
    <n v="37"/>
    <n v="0"/>
    <n v="21"/>
    <n v="0"/>
    <n v="82"/>
    <n v="35"/>
    <n v="0"/>
    <n v="1"/>
    <s v="W"/>
    <n v="6"/>
    <n v="117.83"/>
    <n v="114.81"/>
    <n v="52.43"/>
    <n v="154.22"/>
    <n v="0.51"/>
    <n v="0.49"/>
    <s v="N"/>
    <s v="N"/>
    <s v="N"/>
    <s v="N"/>
    <s v="N"/>
    <n v="130.91"/>
    <n v="96.48"/>
    <n v="71.17"/>
    <n v="85.27"/>
    <x v="18"/>
    <n v="59"/>
    <x v="481"/>
    <n v="68.72"/>
  </r>
  <r>
    <x v="123"/>
    <n v="768"/>
    <n v="23"/>
    <n v="338"/>
    <n v="41"/>
    <n v="2"/>
    <n v="24"/>
    <n v="2"/>
    <n v="70"/>
    <n v="24"/>
    <n v="1"/>
    <n v="0"/>
    <x v="176"/>
    <n v="688"/>
    <n v="49"/>
    <n v="249"/>
    <n v="33"/>
    <n v="4"/>
    <n v="25"/>
    <n v="0"/>
    <n v="194"/>
    <n v="41"/>
    <n v="2"/>
    <n v="0"/>
    <s v="L"/>
    <n v="8"/>
    <n v="96.15"/>
    <n v="64.94"/>
    <n v="73.92"/>
    <n v="82.91"/>
    <n v="0.45"/>
    <n v="0.55000000000000004"/>
    <s v="N"/>
    <s v="N"/>
    <s v="N"/>
    <s v="N"/>
    <s v="N"/>
    <n v="85.94"/>
    <n v="68.73"/>
    <n v="99.35"/>
    <n v="75.08"/>
    <x v="4"/>
    <n v="72"/>
    <x v="414"/>
    <n v="31.68"/>
  </r>
  <r>
    <x v="124"/>
    <n v="772"/>
    <n v="16"/>
    <n v="241"/>
    <n v="31"/>
    <n v="2"/>
    <n v="23"/>
    <n v="1"/>
    <n v="128"/>
    <n v="36"/>
    <n v="0"/>
    <n v="3"/>
    <x v="172"/>
    <n v="305"/>
    <n v="44"/>
    <n v="227"/>
    <n v="24"/>
    <n v="3"/>
    <n v="14"/>
    <n v="1"/>
    <n v="209"/>
    <n v="33"/>
    <n v="2"/>
    <n v="0"/>
    <s v="L"/>
    <n v="3"/>
    <s v=" "/>
    <s v=" "/>
    <s v=" "/>
    <s v=" "/>
    <n v="0.42"/>
    <n v="0.58000000000000007"/>
    <s v="Y"/>
    <s v="N"/>
    <s v="N"/>
    <s v="N"/>
    <s v="N"/>
    <s v=" "/>
    <s v=" "/>
    <s v=" "/>
    <s v=" "/>
    <x v="15"/>
    <n v="60"/>
    <x v="0"/>
    <s v=" "/>
  </r>
  <r>
    <x v="124"/>
    <n v="772"/>
    <n v="3"/>
    <n v="93"/>
    <n v="27"/>
    <n v="0"/>
    <n v="9"/>
    <n v="4"/>
    <n v="141"/>
    <n v="42"/>
    <n v="0"/>
    <n v="0"/>
    <x v="91"/>
    <n v="334"/>
    <n v="14"/>
    <n v="97"/>
    <n v="18"/>
    <n v="1"/>
    <n v="7"/>
    <n v="3"/>
    <n v="93"/>
    <n v="33"/>
    <n v="1"/>
    <n v="0"/>
    <s v="L"/>
    <n v="1"/>
    <n v="7.66"/>
    <n v="173.41"/>
    <n v="77.89"/>
    <n v="130.07"/>
    <n v="0.35"/>
    <n v="0.65"/>
    <s v="N"/>
    <s v="N"/>
    <s v="N"/>
    <s v="N"/>
    <s v="N"/>
    <n v="9.07"/>
    <n v="83.43"/>
    <n v="66.180000000000007"/>
    <n v="84.71"/>
    <x v="6"/>
    <n v="17"/>
    <x v="482"/>
    <n v="100.27"/>
  </r>
  <r>
    <x v="124"/>
    <n v="772"/>
    <n v="14"/>
    <n v="153"/>
    <n v="33"/>
    <n v="0"/>
    <n v="19"/>
    <n v="2"/>
    <n v="124"/>
    <n v="32"/>
    <n v="2"/>
    <n v="3"/>
    <x v="3"/>
    <n v="726"/>
    <n v="40"/>
    <n v="100"/>
    <n v="7"/>
    <n v="2"/>
    <n v="3"/>
    <n v="0"/>
    <n v="410"/>
    <n v="57"/>
    <n v="3"/>
    <n v="3"/>
    <s v="L"/>
    <n v="2"/>
    <n v="64.66"/>
    <s v=" "/>
    <n v="71.150000000000006"/>
    <n v="41.02000000000001"/>
    <n v="0.11"/>
    <n v="0.89"/>
    <s v="N"/>
    <s v="N"/>
    <s v="N"/>
    <s v="Y"/>
    <s v="N"/>
    <n v="51.79"/>
    <s v=" "/>
    <n v="64.069999999999993"/>
    <n v="53.87"/>
    <x v="4"/>
    <n v="54"/>
    <x v="0"/>
    <s v=" "/>
  </r>
  <r>
    <x v="124"/>
    <n v="772"/>
    <n v="22"/>
    <n v="159"/>
    <n v="24"/>
    <n v="2"/>
    <n v="14"/>
    <n v="2"/>
    <n v="152"/>
    <n v="37"/>
    <n v="1"/>
    <n v="0"/>
    <x v="115"/>
    <n v="30"/>
    <n v="26"/>
    <n v="419"/>
    <n v="50"/>
    <n v="2"/>
    <n v="38"/>
    <n v="0"/>
    <n v="25"/>
    <n v="28"/>
    <n v="1"/>
    <n v="0"/>
    <s v="L"/>
    <n v="5"/>
    <n v="81.94"/>
    <n v="72.33"/>
    <n v="99.36"/>
    <n v="173.93"/>
    <n v="0.64"/>
    <n v="0.36"/>
    <s v="N"/>
    <s v="N"/>
    <s v="N"/>
    <s v="N"/>
    <s v="N"/>
    <n v="89.89"/>
    <n v="73.75"/>
    <n v="133.32"/>
    <n v="125.21"/>
    <x v="27"/>
    <n v="48"/>
    <x v="38"/>
    <n v="14.51"/>
  </r>
  <r>
    <x v="124"/>
    <n v="772"/>
    <n v="36"/>
    <n v="222"/>
    <n v="35"/>
    <n v="1"/>
    <n v="17"/>
    <n v="0"/>
    <n v="168"/>
    <n v="51"/>
    <n v="3"/>
    <n v="1"/>
    <x v="116"/>
    <n v="419"/>
    <n v="33"/>
    <n v="276"/>
    <n v="50"/>
    <n v="2"/>
    <n v="25"/>
    <n v="2"/>
    <n v="206"/>
    <n v="39"/>
    <n v="2"/>
    <n v="1"/>
    <s v="W"/>
    <n v="6"/>
    <n v="87.43"/>
    <n v="125.92"/>
    <n v="79.36"/>
    <n v="77.459999999999994"/>
    <n v="0.56000000000000005"/>
    <n v="0.43999999999999995"/>
    <s v="N"/>
    <s v="N"/>
    <s v="N"/>
    <s v="N"/>
    <s v="N"/>
    <n v="91.05"/>
    <n v="123.03"/>
    <n v="87.09"/>
    <n v="84.21"/>
    <x v="22"/>
    <n v="69"/>
    <x v="292"/>
    <n v="10.06"/>
  </r>
  <r>
    <x v="124"/>
    <n v="772"/>
    <n v="20"/>
    <n v="85"/>
    <n v="15"/>
    <n v="0"/>
    <n v="8"/>
    <n v="0"/>
    <n v="204"/>
    <n v="50"/>
    <n v="3"/>
    <n v="0"/>
    <x v="52"/>
    <n v="229"/>
    <n v="0"/>
    <n v="96"/>
    <n v="24"/>
    <n v="0"/>
    <n v="12"/>
    <n v="0"/>
    <n v="25"/>
    <n v="25"/>
    <n v="0"/>
    <n v="0"/>
    <s v="W"/>
    <n v="7"/>
    <n v="84.22"/>
    <n v="128.19999999999999"/>
    <n v="103.66"/>
    <n v="176.8"/>
    <n v="0.49"/>
    <n v="0.51"/>
    <s v="N"/>
    <s v="N"/>
    <s v="N"/>
    <s v="N"/>
    <s v="N"/>
    <n v="84.39"/>
    <n v="90.3"/>
    <n v="108.6"/>
    <n v="98.26"/>
    <x v="37"/>
    <n v="20"/>
    <x v="153"/>
    <n v="21.53"/>
  </r>
  <r>
    <x v="124"/>
    <n v="772"/>
    <n v="42"/>
    <n v="273"/>
    <n v="19"/>
    <n v="1"/>
    <n v="16"/>
    <n v="1"/>
    <n v="234"/>
    <n v="44"/>
    <n v="5"/>
    <n v="0"/>
    <x v="114"/>
    <n v="671"/>
    <n v="23"/>
    <n v="419"/>
    <n v="52"/>
    <n v="2"/>
    <n v="32"/>
    <n v="1"/>
    <n v="121"/>
    <n v="21"/>
    <n v="1"/>
    <n v="1"/>
    <s v="W"/>
    <n v="8"/>
    <n v="154.62"/>
    <n v="94.55"/>
    <n v="140.43"/>
    <n v="73.47"/>
    <n v="0.71"/>
    <n v="0.29000000000000004"/>
    <s v="N"/>
    <s v="N"/>
    <s v="N"/>
    <s v="N"/>
    <s v="N"/>
    <n v="157.97"/>
    <n v="101.97"/>
    <n v="161.01"/>
    <n v="57.17"/>
    <x v="31"/>
    <n v="65"/>
    <x v="235"/>
    <n v="30.13"/>
  </r>
  <r>
    <x v="125"/>
    <n v="774"/>
    <n v="38"/>
    <n v="186"/>
    <n v="25"/>
    <n v="2"/>
    <n v="17"/>
    <n v="2"/>
    <n v="213"/>
    <n v="39"/>
    <n v="3"/>
    <n v="2"/>
    <x v="146"/>
    <n v="483"/>
    <n v="7"/>
    <n v="60"/>
    <n v="20"/>
    <n v="0"/>
    <n v="10"/>
    <n v="2"/>
    <n v="125"/>
    <n v="36"/>
    <n v="0"/>
    <n v="1"/>
    <s v="W"/>
    <n v="2"/>
    <s v=" "/>
    <s v=" "/>
    <s v=" "/>
    <s v=" "/>
    <n v="0.36"/>
    <n v="0.64"/>
    <s v="Y"/>
    <s v="N"/>
    <s v="N"/>
    <s v="N"/>
    <s v="N"/>
    <s v=" "/>
    <s v=" "/>
    <s v=" "/>
    <s v=" "/>
    <x v="17"/>
    <n v="45"/>
    <x v="0"/>
    <s v=" "/>
  </r>
  <r>
    <x v="125"/>
    <n v="774"/>
    <n v="44"/>
    <n v="355"/>
    <n v="38"/>
    <n v="3"/>
    <n v="28"/>
    <n v="1"/>
    <n v="87"/>
    <n v="33"/>
    <n v="2"/>
    <n v="1"/>
    <x v="60"/>
    <n v="129"/>
    <n v="14"/>
    <n v="215"/>
    <n v="36"/>
    <n v="0"/>
    <n v="20"/>
    <n v="0"/>
    <n v="147"/>
    <n v="29"/>
    <n v="1"/>
    <n v="2"/>
    <s v="W"/>
    <n v="3"/>
    <n v="128.55000000000001"/>
    <n v="111.9"/>
    <n v="61.16"/>
    <n v="97.92"/>
    <n v="0.55000000000000004"/>
    <n v="0.44999999999999996"/>
    <s v="N"/>
    <s v="N"/>
    <s v="N"/>
    <s v="N"/>
    <s v="N"/>
    <n v="119.9"/>
    <n v="103.47"/>
    <n v="53.02"/>
    <n v="90.87"/>
    <x v="33"/>
    <n v="58"/>
    <x v="99"/>
    <n v="6382.98"/>
  </r>
  <r>
    <x v="125"/>
    <n v="774"/>
    <n v="20"/>
    <n v="306"/>
    <n v="48"/>
    <n v="2"/>
    <n v="30"/>
    <n v="1"/>
    <n v="35"/>
    <n v="21"/>
    <n v="0"/>
    <n v="0"/>
    <x v="31"/>
    <n v="301"/>
    <n v="23"/>
    <n v="167"/>
    <n v="26"/>
    <n v="1"/>
    <n v="17"/>
    <n v="1"/>
    <n v="296"/>
    <n v="52"/>
    <n v="1"/>
    <n v="1"/>
    <s v="L"/>
    <n v="4"/>
    <n v="97.24"/>
    <n v="105.38"/>
    <n v="38.67"/>
    <n v="70.819999999999993"/>
    <n v="0.33"/>
    <n v="0.66999999999999993"/>
    <s v="N"/>
    <s v="N"/>
    <s v="N"/>
    <s v="N"/>
    <s v="N"/>
    <n v="92.35"/>
    <n v="116.12"/>
    <n v="54.29"/>
    <n v="60.31"/>
    <x v="22"/>
    <n v="43"/>
    <x v="483"/>
    <n v="3.41"/>
  </r>
  <r>
    <x v="125"/>
    <n v="774"/>
    <n v="38"/>
    <n v="479"/>
    <n v="51"/>
    <n v="5"/>
    <n v="37"/>
    <n v="0"/>
    <n v="11"/>
    <n v="22"/>
    <n v="0"/>
    <n v="2"/>
    <x v="83"/>
    <n v="164"/>
    <n v="31"/>
    <n v="300"/>
    <n v="39"/>
    <n v="4"/>
    <n v="22"/>
    <n v="0"/>
    <n v="151"/>
    <n v="33"/>
    <n v="0"/>
    <n v="1"/>
    <s v="W"/>
    <n v="5"/>
    <n v="138.44"/>
    <n v="86.28"/>
    <n v="-15.67"/>
    <n v="102.93"/>
    <n v="0.54"/>
    <n v="0.45999999999999996"/>
    <s v="N"/>
    <s v="N"/>
    <s v="N"/>
    <s v="N"/>
    <s v="N"/>
    <n v="153.81"/>
    <n v="72.5"/>
    <n v="-21.27"/>
    <n v="56.91"/>
    <x v="20"/>
    <n v="69"/>
    <x v="484"/>
    <n v="7.95"/>
  </r>
  <r>
    <x v="125"/>
    <n v="774"/>
    <n v="45"/>
    <n v="227"/>
    <n v="29"/>
    <n v="3"/>
    <n v="21"/>
    <n v="1"/>
    <n v="351"/>
    <n v="47"/>
    <n v="3"/>
    <n v="0"/>
    <x v="131"/>
    <n v="71"/>
    <n v="21"/>
    <n v="263"/>
    <n v="35"/>
    <n v="1"/>
    <n v="21"/>
    <n v="1"/>
    <n v="118"/>
    <n v="26"/>
    <n v="2"/>
    <n v="0"/>
    <s v="W"/>
    <n v="6"/>
    <n v="120.25"/>
    <n v="103.33"/>
    <n v="182.83"/>
    <n v="83.17"/>
    <n v="0.56999999999999995"/>
    <n v="0.43000000000000005"/>
    <s v="N"/>
    <s v="N"/>
    <s v="N"/>
    <s v="N"/>
    <s v="N"/>
    <n v="118.05"/>
    <n v="98.44"/>
    <n v="162.49"/>
    <n v="62.65"/>
    <x v="14"/>
    <n v="66"/>
    <x v="78"/>
    <n v="26.79"/>
  </r>
  <r>
    <x v="125"/>
    <n v="774"/>
    <n v="22"/>
    <n v="233"/>
    <n v="48"/>
    <n v="2"/>
    <n v="29"/>
    <n v="2"/>
    <n v="91"/>
    <n v="31"/>
    <n v="0"/>
    <n v="0"/>
    <x v="44"/>
    <n v="503"/>
    <n v="51"/>
    <n v="203"/>
    <n v="28"/>
    <n v="0"/>
    <n v="14"/>
    <n v="1"/>
    <n v="494"/>
    <n v="54"/>
    <n v="6"/>
    <n v="1"/>
    <s v="L"/>
    <n v="7"/>
    <n v="80.62"/>
    <n v="121.2"/>
    <n v="68.099999999999994"/>
    <n v="-23.349999999999994"/>
    <n v="0.34"/>
    <n v="0.65999999999999992"/>
    <s v="N"/>
    <s v="N"/>
    <s v="N"/>
    <s v="N"/>
    <s v="N"/>
    <n v="79.91"/>
    <n v="127.56"/>
    <n v="75.27"/>
    <n v="-29.59"/>
    <x v="29"/>
    <n v="73"/>
    <x v="329"/>
    <n v="18.899999999999999"/>
  </r>
  <r>
    <x v="125"/>
    <n v="774"/>
    <n v="10"/>
    <n v="198"/>
    <n v="35"/>
    <n v="0"/>
    <n v="25"/>
    <n v="0"/>
    <n v="131"/>
    <n v="30"/>
    <n v="1"/>
    <n v="0"/>
    <x v="11"/>
    <n v="204"/>
    <n v="14"/>
    <n v="144"/>
    <n v="9"/>
    <n v="1"/>
    <n v="6"/>
    <n v="0"/>
    <n v="205"/>
    <n v="50"/>
    <n v="1"/>
    <n v="1"/>
    <s v="L"/>
    <n v="8"/>
    <n v="102.26"/>
    <s v=" "/>
    <n v="106.31"/>
    <n v="107.88"/>
    <n v="0.15"/>
    <n v="0.85"/>
    <s v="N"/>
    <s v="N"/>
    <s v="N"/>
    <s v="Y"/>
    <s v="N"/>
    <n v="91.97"/>
    <s v=" "/>
    <n v="97.4"/>
    <n v="98.85"/>
    <x v="27"/>
    <n v="24"/>
    <x v="0"/>
    <s v=" "/>
  </r>
  <r>
    <x v="126"/>
    <n v="796"/>
    <n v="59"/>
    <n v="345"/>
    <n v="27"/>
    <n v="3"/>
    <n v="19"/>
    <n v="1"/>
    <n v="267"/>
    <n v="43"/>
    <n v="5"/>
    <n v="0"/>
    <x v="0"/>
    <n v="650"/>
    <n v="10"/>
    <n v="49"/>
    <n v="17"/>
    <n v="1"/>
    <n v="10"/>
    <n v="2"/>
    <n v="124"/>
    <n v="37"/>
    <n v="0"/>
    <n v="0"/>
    <s v="W"/>
    <n v="4"/>
    <s v=" "/>
    <s v=" "/>
    <s v=" "/>
    <s v=" "/>
    <n v="0.31"/>
    <n v="0.69"/>
    <s v="Y"/>
    <s v="N"/>
    <s v="N"/>
    <s v="N"/>
    <s v="N"/>
    <s v=" "/>
    <s v=" "/>
    <s v=" "/>
    <s v=" "/>
    <x v="26"/>
    <n v="69"/>
    <x v="0"/>
    <s v=" "/>
  </r>
  <r>
    <x v="126"/>
    <n v="796"/>
    <n v="51"/>
    <n v="258"/>
    <n v="15"/>
    <n v="2"/>
    <n v="11"/>
    <n v="0"/>
    <n v="241"/>
    <n v="38"/>
    <n v="5"/>
    <n v="0"/>
    <x v="125"/>
    <n v="465"/>
    <n v="17"/>
    <n v="146"/>
    <n v="27"/>
    <n v="2"/>
    <n v="18"/>
    <n v="0"/>
    <n v="146"/>
    <n v="38"/>
    <n v="0"/>
    <n v="0"/>
    <s v="W"/>
    <n v="1"/>
    <n v="187.07"/>
    <n v="92.75"/>
    <n v="166.87"/>
    <n v="110.86"/>
    <n v="0.42"/>
    <n v="0.58000000000000007"/>
    <s v="N"/>
    <s v="N"/>
    <s v="N"/>
    <s v="N"/>
    <s v="N"/>
    <n v="141.43"/>
    <n v="75.37"/>
    <n v="196.82"/>
    <n v="80.88"/>
    <x v="16"/>
    <n v="68"/>
    <x v="454"/>
    <n v="21.58"/>
  </r>
  <r>
    <x v="126"/>
    <n v="796"/>
    <n v="35"/>
    <n v="189"/>
    <n v="22"/>
    <n v="3"/>
    <n v="17"/>
    <n v="0"/>
    <n v="208"/>
    <n v="43"/>
    <n v="2"/>
    <n v="0"/>
    <x v="27"/>
    <n v="528"/>
    <n v="0"/>
    <n v="261"/>
    <n v="41"/>
    <n v="0"/>
    <n v="27"/>
    <n v="0"/>
    <n v="23"/>
    <n v="24"/>
    <n v="0"/>
    <n v="1"/>
    <s v="W"/>
    <n v="2"/>
    <n v="144.55000000000001"/>
    <n v="99.45"/>
    <n v="119.2"/>
    <n v="190.27"/>
    <n v="0.63"/>
    <n v="0.37"/>
    <s v="N"/>
    <s v="N"/>
    <s v="N"/>
    <s v="N"/>
    <s v="N"/>
    <n v="133.61000000000001"/>
    <n v="101.22"/>
    <n v="130.47"/>
    <n v="125.28"/>
    <x v="32"/>
    <n v="35"/>
    <x v="485"/>
    <n v="22.81"/>
  </r>
  <r>
    <x v="126"/>
    <n v="796"/>
    <n v="49"/>
    <n v="355"/>
    <n v="34"/>
    <n v="3"/>
    <n v="24"/>
    <n v="1"/>
    <n v="266"/>
    <n v="47"/>
    <n v="4"/>
    <n v="0"/>
    <x v="44"/>
    <n v="503"/>
    <n v="7"/>
    <n v="173"/>
    <n v="27"/>
    <n v="0"/>
    <n v="17"/>
    <n v="0"/>
    <n v="64"/>
    <n v="25"/>
    <n v="1"/>
    <n v="0"/>
    <s v="W"/>
    <n v="3"/>
    <n v="131.9"/>
    <n v="102.12"/>
    <n v="144.07"/>
    <n v="134.61000000000001"/>
    <n v="0.52"/>
    <n v="0.48"/>
    <s v="N"/>
    <s v="N"/>
    <s v="N"/>
    <s v="N"/>
    <s v="N"/>
    <n v="130.74"/>
    <n v="107.48"/>
    <n v="159.22999999999999"/>
    <n v="170.6"/>
    <x v="7"/>
    <n v="56"/>
    <x v="328"/>
    <n v="37.270000000000003"/>
  </r>
  <r>
    <x v="126"/>
    <n v="796"/>
    <n v="48"/>
    <n v="255"/>
    <n v="20"/>
    <n v="2"/>
    <n v="14"/>
    <n v="0"/>
    <n v="231"/>
    <n v="50"/>
    <n v="5"/>
    <n v="1"/>
    <x v="119"/>
    <n v="463"/>
    <n v="17"/>
    <n v="176"/>
    <n v="22"/>
    <n v="0"/>
    <n v="11"/>
    <n v="3"/>
    <n v="159"/>
    <n v="43"/>
    <n v="2"/>
    <n v="0"/>
    <s v="W"/>
    <n v="5"/>
    <n v="154.49"/>
    <n v="147.31"/>
    <n v="116.18"/>
    <n v="107.24"/>
    <n v="0.34"/>
    <n v="0.65999999999999992"/>
    <s v="N"/>
    <s v="N"/>
    <s v="N"/>
    <s v="N"/>
    <s v="N"/>
    <n v="164.19"/>
    <n v="140.03"/>
    <n v="107.35"/>
    <n v="146.11000000000001"/>
    <x v="17"/>
    <n v="65"/>
    <x v="306"/>
    <n v="24.76"/>
  </r>
  <r>
    <x v="126"/>
    <n v="796"/>
    <n v="59"/>
    <n v="192"/>
    <n v="23"/>
    <n v="2"/>
    <n v="14"/>
    <n v="0"/>
    <n v="332"/>
    <n v="42"/>
    <n v="4"/>
    <n v="0"/>
    <x v="55"/>
    <n v="306"/>
    <n v="7"/>
    <n v="64"/>
    <n v="20"/>
    <n v="0"/>
    <n v="8"/>
    <n v="2"/>
    <n v="223"/>
    <n v="45"/>
    <n v="1"/>
    <n v="1"/>
    <s v="W"/>
    <n v="7"/>
    <n v="119.41"/>
    <n v="172.56"/>
    <n v="197.68"/>
    <n v="88.36"/>
    <n v="0.31"/>
    <n v="0.69"/>
    <s v="N"/>
    <s v="N"/>
    <s v="N"/>
    <s v="N"/>
    <s v="N"/>
    <n v="97.21"/>
    <n v="140.54"/>
    <n v="165.18"/>
    <n v="63.02"/>
    <x v="48"/>
    <n v="66"/>
    <x v="486"/>
    <n v="29.21"/>
  </r>
  <r>
    <x v="126"/>
    <n v="796"/>
    <n v="31"/>
    <n v="223"/>
    <n v="21"/>
    <n v="2"/>
    <n v="14"/>
    <n v="2"/>
    <n v="220"/>
    <n v="41"/>
    <n v="2"/>
    <n v="0"/>
    <x v="92"/>
    <n v="416"/>
    <n v="37"/>
    <n v="290"/>
    <n v="31"/>
    <n v="3"/>
    <n v="22"/>
    <n v="0"/>
    <n v="109"/>
    <n v="32"/>
    <n v="1"/>
    <n v="1"/>
    <s v="L"/>
    <n v="8"/>
    <n v="110.25"/>
    <n v="63.53"/>
    <n v="131.80000000000001"/>
    <n v="125.66"/>
    <n v="0.49"/>
    <n v="0.51"/>
    <s v="N"/>
    <s v="N"/>
    <s v="N"/>
    <s v="N"/>
    <s v="N"/>
    <n v="140.32"/>
    <n v="69.150000000000006"/>
    <n v="193.2"/>
    <n v="93.7"/>
    <x v="47"/>
    <n v="68"/>
    <x v="289"/>
    <n v="19.21"/>
  </r>
  <r>
    <x v="127"/>
    <n v="811"/>
    <n v="35"/>
    <n v="294"/>
    <n v="42"/>
    <n v="3"/>
    <n v="27"/>
    <n v="1"/>
    <n v="169"/>
    <n v="38"/>
    <n v="2"/>
    <n v="0"/>
    <x v="189"/>
    <n v="758"/>
    <n v="32"/>
    <n v="314"/>
    <n v="28"/>
    <n v="2"/>
    <n v="19"/>
    <n v="0"/>
    <n v="227"/>
    <n v="52"/>
    <n v="2"/>
    <n v="1"/>
    <s v="W"/>
    <n v="1"/>
    <s v=" "/>
    <s v=" "/>
    <s v=" "/>
    <s v=" "/>
    <n v="0.35"/>
    <n v="0.65"/>
    <s v="Y"/>
    <s v="N"/>
    <s v="N"/>
    <s v="N"/>
    <s v="N"/>
    <s v=" "/>
    <s v=" "/>
    <s v=" "/>
    <s v=" "/>
    <x v="22"/>
    <n v="67"/>
    <x v="0"/>
    <s v=" "/>
  </r>
  <r>
    <x v="127"/>
    <n v="811"/>
    <n v="45"/>
    <n v="236"/>
    <n v="31"/>
    <n v="1"/>
    <n v="16"/>
    <n v="2"/>
    <n v="382"/>
    <n v="50"/>
    <n v="5"/>
    <n v="0"/>
    <x v="153"/>
    <n v="670"/>
    <n v="10"/>
    <n v="112"/>
    <n v="23"/>
    <n v="0"/>
    <n v="12"/>
    <n v="2"/>
    <n v="77"/>
    <n v="34"/>
    <n v="1"/>
    <n v="1"/>
    <s v="W"/>
    <n v="2"/>
    <n v="78.59"/>
    <n v="147.37"/>
    <n v="192.25"/>
    <n v="151.87"/>
    <n v="0.4"/>
    <n v="0.6"/>
    <s v="N"/>
    <s v="N"/>
    <s v="N"/>
    <s v="N"/>
    <s v="N"/>
    <n v="85.79"/>
    <n v="140.87"/>
    <n v="127.98"/>
    <n v="148.99"/>
    <x v="32"/>
    <n v="55"/>
    <x v="429"/>
    <n v="20.58"/>
  </r>
  <r>
    <x v="127"/>
    <n v="811"/>
    <n v="28"/>
    <n v="267"/>
    <n v="39"/>
    <n v="1"/>
    <n v="25"/>
    <n v="0"/>
    <n v="129"/>
    <n v="34"/>
    <n v="2"/>
    <n v="1"/>
    <x v="131"/>
    <n v="71"/>
    <n v="27"/>
    <n v="437"/>
    <n v="55"/>
    <n v="4"/>
    <n v="34"/>
    <n v="2"/>
    <n v="77"/>
    <n v="33"/>
    <n v="0"/>
    <n v="4"/>
    <s v="W"/>
    <n v="3"/>
    <n v="105.26"/>
    <n v="94.88"/>
    <n v="88.02"/>
    <n v="182.23"/>
    <n v="0.63"/>
    <n v="0.37"/>
    <s v="N"/>
    <s v="N"/>
    <s v="N"/>
    <s v="N"/>
    <s v="N"/>
    <n v="103.33"/>
    <n v="90.39"/>
    <n v="78.23"/>
    <n v="137.27000000000001"/>
    <x v="3"/>
    <n v="55"/>
    <x v="487"/>
    <n v="1.42"/>
  </r>
  <r>
    <x v="127"/>
    <n v="811"/>
    <n v="14"/>
    <n v="168"/>
    <n v="34"/>
    <n v="2"/>
    <n v="18"/>
    <n v="1"/>
    <n v="137"/>
    <n v="31"/>
    <n v="0"/>
    <n v="0"/>
    <x v="119"/>
    <n v="463"/>
    <n v="38"/>
    <n v="157"/>
    <n v="21"/>
    <n v="1"/>
    <n v="12"/>
    <n v="0"/>
    <n v="333"/>
    <n v="49"/>
    <n v="4"/>
    <n v="1"/>
    <s v="L"/>
    <n v="4"/>
    <n v="79.87"/>
    <n v="94.97"/>
    <n v="102.53"/>
    <n v="36.210000000000008"/>
    <n v="0.3"/>
    <n v="0.7"/>
    <s v="N"/>
    <s v="N"/>
    <s v="N"/>
    <s v="N"/>
    <s v="N"/>
    <n v="84.89"/>
    <n v="90.28"/>
    <n v="94.74"/>
    <n v="49.33"/>
    <x v="14"/>
    <n v="52"/>
    <x v="305"/>
    <n v="27.77"/>
  </r>
  <r>
    <x v="127"/>
    <n v="811"/>
    <n v="19"/>
    <n v="265"/>
    <n v="46"/>
    <n v="0"/>
    <n v="28"/>
    <n v="1"/>
    <n v="108"/>
    <n v="28"/>
    <n v="2"/>
    <n v="1"/>
    <x v="49"/>
    <n v="731"/>
    <n v="63"/>
    <n v="245"/>
    <n v="24"/>
    <n v="5"/>
    <n v="18"/>
    <n v="0"/>
    <n v="303"/>
    <n v="52"/>
    <n v="4"/>
    <n v="1"/>
    <s v="L"/>
    <n v="6"/>
    <n v="85.74"/>
    <n v="38.110000000000014"/>
    <n v="89.49"/>
    <n v="59.050000000000011"/>
    <n v="0.32"/>
    <n v="0.67999999999999994"/>
    <s v="N"/>
    <s v="N"/>
    <s v="N"/>
    <s v="N"/>
    <s v="N"/>
    <n v="85.02"/>
    <n v="39.549999999999997"/>
    <n v="109.24"/>
    <n v="77.17"/>
    <x v="25"/>
    <n v="82"/>
    <x v="462"/>
    <n v="34.479999999999997"/>
  </r>
  <r>
    <x v="127"/>
    <n v="811"/>
    <n v="41"/>
    <n v="124"/>
    <n v="20"/>
    <n v="3"/>
    <n v="11"/>
    <n v="0"/>
    <n v="231"/>
    <n v="45"/>
    <n v="1"/>
    <n v="1"/>
    <x v="125"/>
    <n v="465"/>
    <n v="14"/>
    <n v="104"/>
    <n v="21"/>
    <n v="0"/>
    <n v="9"/>
    <n v="1"/>
    <n v="153"/>
    <n v="48"/>
    <n v="2"/>
    <n v="1"/>
    <s v="W"/>
    <n v="7"/>
    <n v="111.29"/>
    <n v="144.44"/>
    <n v="115.76"/>
    <n v="126.05"/>
    <n v="0.3"/>
    <n v="0.7"/>
    <s v="N"/>
    <s v="N"/>
    <s v="N"/>
    <s v="N"/>
    <s v="N"/>
    <n v="84.14"/>
    <n v="117.38"/>
    <n v="136.54"/>
    <n v="91.96"/>
    <x v="18"/>
    <n v="55"/>
    <x v="457"/>
    <n v="27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K132" firstHeaderRow="0" firstDataRow="1" firstDataCol="1"/>
  <pivotFields count="45">
    <pivotField axis="axisRow" compact="0" outline="0" showAl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Passing Efficiency" fld="26" subtotal="average" baseField="0" baseItem="0"/>
    <dataField name="Average of Passing Defense Efficiency" fld="27" subtotal="average" baseField="0" baseItem="0"/>
    <dataField name="Average of Rushing Efficiency" fld="28" subtotal="average" baseField="0" baseItem="0"/>
    <dataField name="Average of Rushing Defense Efficiency" fld="29" subtotal="average" baseField="0" baseItem="0"/>
    <dataField name="Average of Weighted Passing Efficiency" fld="37" subtotal="average" baseField="40" baseItem="115"/>
    <dataField name="Average of Weighted Passing Defense Efficiency" fld="38" subtotal="average" baseField="40" baseItem="115"/>
    <dataField name="Average of Weighted Rushing Efficiency" fld="39" subtotal="average" baseField="40" baseItem="115"/>
    <dataField name="Average of Weighted Rushing Defense Efficiency" fld="40" subtotal="average" baseField="0" baseItem="97"/>
    <dataField name="Average of Passing Weight" fld="30" subtotal="average" baseField="0" baseItem="51"/>
    <dataField name="Average of Rushing Weight" fld="31" subtotal="average" baseField="0" baseItem="51"/>
  </dataFields>
  <formats count="2">
    <format dxfId="37">
      <pivotArea outline="0" collapsedLevelsAreSubtotals="1" fieldPosition="0"/>
    </format>
    <format dxfId="36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S881" totalsRowShown="0" headerRowDxfId="35">
  <autoFilter ref="A1:AS881"/>
  <sortState ref="A2:AG881">
    <sortCondition ref="A1:A881"/>
  </sortState>
  <tableColumns count="45">
    <tableColumn id="1" name="Team Name"/>
    <tableColumn id="2" name="Team Id"/>
    <tableColumn id="3" name="Team Score"/>
    <tableColumn id="4" name="Passing Yards"/>
    <tableColumn id="5" name="Passing Attempts"/>
    <tableColumn id="6" name="Passing TDs"/>
    <tableColumn id="7" name="Passing Completions"/>
    <tableColumn id="8" name="INTs"/>
    <tableColumn id="9" name="Rushing Yards"/>
    <tableColumn id="10" name="Rushing Attempts"/>
    <tableColumn id="11" name="Rushing TDs"/>
    <tableColumn id="12" name="Fumbles"/>
    <tableColumn id="13" name="Opp Team Name"/>
    <tableColumn id="14" name="Opp Team Id"/>
    <tableColumn id="15" name="Opp Team Score"/>
    <tableColumn id="16" name="Opp Passing Yards"/>
    <tableColumn id="17" name="Opp Passing Attempts"/>
    <tableColumn id="18" name="Opp Passing TDs"/>
    <tableColumn id="19" name="Opp Passing Completions"/>
    <tableColumn id="20" name="Opp INTs"/>
    <tableColumn id="21" name="Opp Rushing Yards"/>
    <tableColumn id="22" name="Opp Rushing Attempts"/>
    <tableColumn id="23" name="Opp Rushing TDs"/>
    <tableColumn id="24" name="Opp Fumbles"/>
    <tableColumn id="25" name="Win"/>
    <tableColumn id="26" name="Week Number"/>
    <tableColumn id="27" name="Passing Efficiency" dataDxfId="34">
      <calculatedColumnFormula>IF(AND(Table1[[#This Row],[Throw Out Pass Eff]]="N", Table1[[#This Row],[Against FCS Team]]="N"), ROUND(((5.45 * D2) + (150 * F2) + (100 * G2) - (300 * H2)) / E2, 2), " ")</calculatedColumnFormula>
    </tableColumn>
    <tableColumn id="28" name="Passing Defense Efficiency" dataDxfId="33">
      <calculatedColumnFormula>IF(AND(Table1[[#This Row],[Throw Out Pass Def Eff]]="N", Table1[[#This Row],[Against FCS Team]]="N"),200 - ROUND(((5.45 * P2) + (150 * R2) + (100 * S2) - (300 * T2)) / Q2, 2), " ")</calculatedColumnFormula>
    </tableColumn>
    <tableColumn id="29" name="Rushing Efficiency" dataDxfId="32">
      <calculatedColumnFormula>IF(AND(Table1[[#This Row],[Throw Out Rush Eff]]="N", Table1[[#This Row],[Against FCS Team]]="N"), ROUND(((23.2 * I2) + (150 * K2) - (300 * L2)) / J2, 2), " ")</calculatedColumnFormula>
    </tableColumn>
    <tableColumn id="30" name="Rushing Defense Efficiency" dataDxfId="31">
      <calculatedColumnFormula>IF(AND(Table1[[#This Row],[Throw Out Rush Def Eff]]="N", Table1[[#This Row],[Against FCS Team]]="N"), 200 - ROUND(((23.2 * U2) + (150 * W2) - (300 * X2)) / V2, 2), " ")</calculatedColumnFormula>
    </tableColumn>
    <tableColumn id="31" name="Passing Weight" dataDxfId="30">
      <calculatedColumnFormula>ROUND(Table1[[#This Row],[Opp Passing Attempts]]/(Table1[[#This Row],[Opp Passing Attempts]]+Table1[[#This Row],[Opp Rushing Attempts]]), 2)</calculatedColumnFormula>
    </tableColumn>
    <tableColumn id="32" name="Rushing Weight" dataDxfId="29">
      <calculatedColumnFormula>1-Table1[[#This Row],[Passing Weight]]</calculatedColumnFormula>
    </tableColumn>
    <tableColumn id="33" name="Against FCS Team" dataDxfId="28">
      <calculatedColumnFormula>IF(COUNTIF(A:A,Table1[[#This Row],[Opp Team Name]]) &gt; 0, "N", "Y")</calculatedColumnFormula>
    </tableColumn>
    <tableColumn id="34" name="Throw Out Pass Eff" dataDxfId="27">
      <calculatedColumnFormula>IF(Table1[[#This Row],[Passing Attempts]] &lt;15, "Y", "N")</calculatedColumnFormula>
    </tableColumn>
    <tableColumn id="35" name="Throw Out Rush Eff" dataDxfId="26">
      <calculatedColumnFormula>IF(Table1[[#This Row],[Rushing Attempts]] &lt; 15, "Y", "N")</calculatedColumnFormula>
    </tableColumn>
    <tableColumn id="36" name="Throw Out Pass Def Eff" dataDxfId="25">
      <calculatedColumnFormula>IF(Table1[[#This Row],[Opp Passing Attempts]]&lt;15, "Y", "N")</calculatedColumnFormula>
    </tableColumn>
    <tableColumn id="37" name="Throw Out Rush Def Eff" dataDxfId="24">
      <calculatedColumnFormula>IF(Table1[[#This Row],[Opp Rushing Attempts]]&lt;15, "Y", "N")</calculatedColumnFormula>
    </tableColumn>
    <tableColumn id="38" name="Weighted Passing Efficiency" dataDxfId="23">
      <calculatedColumnFormula>IF(AND(Table1[[#This Row],[Throw Out Pass Eff]]="N", Table1[[#This Row],[Against FCS Team]]="N"), ROUND(Table1[[#This Row],[Passing Efficiency]]*(GETPIVOTDATA("Passing Defense Efficiency",'Team Stats'!$A$3,"Team Name",Table1[[#This Row],[Opp Team Name]]) / 100), 2), " ")</calculatedColumnFormula>
    </tableColumn>
    <tableColumn id="39" name="Weighted Passing Defense Efficiency" dataDxfId="22">
      <calculatedColumnFormula>IF(AND(Table1[[#This Row],[Throw Out Pass Def Eff]]="N", Table1[[#This Row],[Against FCS Team]]="N"), ROUND(Table1[[#This Row],[Passing Defense Efficiency]]*(GETPIVOTDATA("Passing Efficiency",'Team Stats'!$A$3,"Team Name",Table1[[#This Row],[Opp Team Name]]) / 100), 2), " ")</calculatedColumnFormula>
    </tableColumn>
    <tableColumn id="40" name="Weighted Rushing Efficiency" dataDxfId="21">
      <calculatedColumnFormula>IF(AND(Table1[[#This Row],[Throw Out Rush Eff]]="N", Table1[[#This Row],[Against FCS Team]]="N"), ROUND(Table1[[#This Row],[Rushing Efficiency]]*(GETPIVOTDATA("Rushing Defense Efficiency",'Team Stats'!$A$3,"Team Name",Table1[[#This Row],[Opp Team Name]]) / 100), 2), " ")</calculatedColumnFormula>
    </tableColumn>
    <tableColumn id="41" name="Weighted Rushing Defense Efficiency" dataDxfId="20">
      <calculatedColumnFormula>IF(AND(Table1[[#This Row],[Throw Out Rush Def Eff]]="N", Table1[[#This Row],[Against FCS Team]]="N"), ROUND(Table1[[#This Row],[Rushing Defense Efficiency]]*(GETPIVOTDATA("Rushing Efficiency",'Team Stats'!$A$3,"Team Name",Table1[[#This Row],[Opp Team Name]]) / 100), 2), " ")</calculatedColumnFormula>
    </tableColumn>
    <tableColumn id="42" name="Winning Margin" dataDxfId="19">
      <calculatedColumnFormula>ABS(Table1[[#This Row],[Team Score]]-Table1[[#This Row],[Opp Team Score]])</calculatedColumnFormula>
    </tableColumn>
    <tableColumn id="43" name="Total Score" dataDxfId="18">
      <calculatedColumnFormula>SUM(Table1[[#This Row],[Team Score]], Table1[[#This Row],[Opp Team Score]])</calculatedColumnFormula>
    </tableColumn>
    <tableColumn id="44" name="Efficiency Difference" dataDxfId="17">
      <calculatedColumnFormula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calculatedColumnFormula>
    </tableColumn>
    <tableColumn id="45" name="Efficiency Coefficient" dataDxfId="16">
      <calculatedColumnFormula>IF(Table1[[#This Row],[Efficiency Difference]] = " ", " ", ROUND((Table1[[#This Row],[Winning Margin]]*100)/Table1[[#This Row],[Efficiency Difference]], 2))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X1:AG723" totalsRowShown="0">
  <autoFilter ref="X1:AG723"/>
  <tableColumns count="10">
    <tableColumn id="1" name="Efficiency Difference" dataDxfId="9"/>
    <tableColumn id="2" name="Scoring Margin" dataDxfId="8"/>
    <tableColumn id="3" name="Below y=0.2146x" dataDxfId="7">
      <calculatedColumnFormula>IF(Table3[[#This Row],[Efficiency Difference]]*0.2146 &gt; Table3[[#This Row],[Scoring Margin]], 1, 0)</calculatedColumnFormula>
    </tableColumn>
    <tableColumn id="4" name="Below y=0.2146x + 7" dataDxfId="6">
      <calculatedColumnFormula>IF(Table3[[#This Row],[Efficiency Difference]]*0.2146 + 7 &gt; Table3[[#This Row],[Scoring Margin]], 1, 0)</calculatedColumnFormula>
    </tableColumn>
    <tableColumn id="5" name="&quot;+14&quot;" dataDxfId="5">
      <calculatedColumnFormula>IF(Table3[[#This Row],[Efficiency Difference]]*0.2146 + 14 &gt; Table3[[#This Row],[Scoring Margin]], 1, 0)</calculatedColumnFormula>
    </tableColumn>
    <tableColumn id="6" name="&quot;+21&quot;" dataDxfId="4">
      <calculatedColumnFormula>IF(Table3[[#This Row],[Efficiency Difference]]*0.2146 + 21 &gt; Table3[[#This Row],[Scoring Margin]], 1, 0)</calculatedColumnFormula>
    </tableColumn>
    <tableColumn id="7" name="&quot;-7&quot;" dataDxfId="3">
      <calculatedColumnFormula>IF(Table3[[#This Row],[Efficiency Difference]]*0.2146 -7 &gt; Table3[[#This Row],[Scoring Margin]], 1, 0)</calculatedColumnFormula>
    </tableColumn>
    <tableColumn id="8" name="&quot;-3&quot;" dataDxfId="2">
      <calculatedColumnFormula>IF(Table3[[#This Row],[Efficiency Difference]]*0.2146 -3 &gt; Table3[[#This Row],[Scoring Margin]], 1, 0)</calculatedColumnFormula>
    </tableColumn>
    <tableColumn id="9" name="&quot;-5&quot;" dataDxfId="1">
      <calculatedColumnFormula>IF(Table3[[#This Row],[Efficiency Difference]]*0.2146 -5 &gt; Table3[[#This Row],[Scoring Margin]], 1, 0)</calculatedColumnFormula>
    </tableColumn>
    <tableColumn id="10" name="&quot;-10&quot;" dataDxfId="0">
      <calculatedColumnFormula>IF(Table3[[#This Row],[Efficiency Difference]]*0.2146 -10 &gt; Table3[[#This Row],[Scoring Margin]], 1, 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004"/>
  <sheetViews>
    <sheetView topLeftCell="A32" workbookViewId="0">
      <selection activeCell="J4" sqref="J4:K4"/>
    </sheetView>
  </sheetViews>
  <sheetFormatPr defaultRowHeight="15"/>
  <cols>
    <col min="1" max="1" width="18.42578125" customWidth="1"/>
    <col min="2" max="2" width="27.140625" style="5" customWidth="1"/>
    <col min="3" max="3" width="35.28515625" style="5" customWidth="1"/>
    <col min="4" max="4" width="27.5703125" style="5" customWidth="1"/>
    <col min="5" max="5" width="35.7109375" style="5" customWidth="1"/>
    <col min="6" max="6" width="36.7109375" customWidth="1"/>
    <col min="7" max="7" width="44.85546875" customWidth="1"/>
    <col min="8" max="8" width="37.140625" customWidth="1"/>
    <col min="9" max="9" width="45.28515625" customWidth="1"/>
    <col min="10" max="10" width="25" customWidth="1"/>
    <col min="11" max="11" width="25.5703125" customWidth="1"/>
    <col min="12" max="29" width="6" customWidth="1"/>
    <col min="30" max="30" width="5" customWidth="1"/>
    <col min="31" max="43" width="6" customWidth="1"/>
    <col min="44" max="44" width="5" customWidth="1"/>
    <col min="45" max="68" width="6" customWidth="1"/>
    <col min="69" max="69" width="5" customWidth="1"/>
    <col min="70" max="93" width="6" customWidth="1"/>
    <col min="94" max="95" width="5" customWidth="1"/>
    <col min="96" max="101" width="6" customWidth="1"/>
    <col min="102" max="102" width="3" customWidth="1"/>
    <col min="103" max="116" width="6" customWidth="1"/>
    <col min="117" max="117" width="5" customWidth="1"/>
    <col min="118" max="131" width="6" customWidth="1"/>
    <col min="132" max="132" width="5" customWidth="1"/>
    <col min="133" max="133" width="6" customWidth="1"/>
    <col min="134" max="134" width="5" customWidth="1"/>
    <col min="135" max="136" width="6" customWidth="1"/>
    <col min="137" max="138" width="5" customWidth="1"/>
    <col min="139" max="148" width="6" customWidth="1"/>
    <col min="149" max="149" width="5" customWidth="1"/>
    <col min="150" max="181" width="6" customWidth="1"/>
    <col min="182" max="182" width="5" customWidth="1"/>
    <col min="183" max="188" width="6" customWidth="1"/>
    <col min="189" max="189" width="5" customWidth="1"/>
    <col min="190" max="208" width="6" customWidth="1"/>
    <col min="209" max="209" width="5" customWidth="1"/>
    <col min="210" max="212" width="6" customWidth="1"/>
    <col min="213" max="213" width="5" customWidth="1"/>
    <col min="214" max="216" width="6" customWidth="1"/>
    <col min="217" max="217" width="5" customWidth="1"/>
    <col min="218" max="230" width="6" customWidth="1"/>
    <col min="231" max="231" width="5" customWidth="1"/>
    <col min="232" max="254" width="6" customWidth="1"/>
    <col min="255" max="256" width="5" customWidth="1"/>
    <col min="257" max="258" width="6" customWidth="1"/>
    <col min="259" max="259" width="5" customWidth="1"/>
    <col min="260" max="266" width="6" customWidth="1"/>
    <col min="267" max="267" width="5" customWidth="1"/>
    <col min="268" max="272" width="6" customWidth="1"/>
    <col min="273" max="273" width="5" customWidth="1"/>
    <col min="274" max="277" width="6" customWidth="1"/>
    <col min="278" max="278" width="5" customWidth="1"/>
    <col min="279" max="288" width="6" customWidth="1"/>
    <col min="289" max="289" width="5" customWidth="1"/>
    <col min="290" max="293" width="6" customWidth="1"/>
    <col min="294" max="294" width="5" customWidth="1"/>
    <col min="295" max="304" width="6" customWidth="1"/>
    <col min="305" max="305" width="3" customWidth="1"/>
    <col min="306" max="307" width="6" customWidth="1"/>
    <col min="308" max="308" width="5" customWidth="1"/>
    <col min="309" max="315" width="6" customWidth="1"/>
    <col min="316" max="316" width="5" customWidth="1"/>
    <col min="317" max="317" width="6" customWidth="1"/>
    <col min="318" max="318" width="5" customWidth="1"/>
    <col min="319" max="320" width="6" customWidth="1"/>
    <col min="321" max="321" width="5" customWidth="1"/>
    <col min="322" max="322" width="3" customWidth="1"/>
    <col min="323" max="332" width="6" customWidth="1"/>
    <col min="333" max="333" width="3" customWidth="1"/>
    <col min="334" max="339" width="6" customWidth="1"/>
    <col min="340" max="340" width="5" customWidth="1"/>
    <col min="341" max="341" width="6" customWidth="1"/>
    <col min="342" max="342" width="3" customWidth="1"/>
    <col min="343" max="346" width="6" customWidth="1"/>
    <col min="347" max="347" width="5" customWidth="1"/>
    <col min="348" max="355" width="6" customWidth="1"/>
    <col min="356" max="356" width="5" customWidth="1"/>
    <col min="357" max="363" width="6" customWidth="1"/>
    <col min="364" max="364" width="3" customWidth="1"/>
    <col min="365" max="379" width="6" customWidth="1"/>
    <col min="380" max="381" width="5" customWidth="1"/>
    <col min="382" max="383" width="6" customWidth="1"/>
    <col min="384" max="401" width="7" customWidth="1"/>
    <col min="402" max="402" width="6" customWidth="1"/>
    <col min="403" max="411" width="7" customWidth="1"/>
    <col min="412" max="412" width="6" customWidth="1"/>
    <col min="413" max="414" width="7" customWidth="1"/>
    <col min="415" max="415" width="6" customWidth="1"/>
    <col min="416" max="417" width="7" customWidth="1"/>
    <col min="418" max="418" width="6" customWidth="1"/>
    <col min="419" max="424" width="7" customWidth="1"/>
    <col min="425" max="425" width="6" customWidth="1"/>
    <col min="426" max="426" width="7" customWidth="1"/>
    <col min="427" max="427" width="6" customWidth="1"/>
    <col min="428" max="430" width="7" customWidth="1"/>
    <col min="431" max="431" width="6" customWidth="1"/>
    <col min="432" max="433" width="7" customWidth="1"/>
    <col min="434" max="434" width="6" customWidth="1"/>
    <col min="435" max="439" width="7" customWidth="1"/>
    <col min="440" max="440" width="6" customWidth="1"/>
    <col min="441" max="441" width="7" customWidth="1"/>
    <col min="442" max="442" width="6" customWidth="1"/>
    <col min="443" max="458" width="7" customWidth="1"/>
    <col min="459" max="459" width="6" customWidth="1"/>
    <col min="460" max="461" width="7" customWidth="1"/>
    <col min="462" max="462" width="6" customWidth="1"/>
    <col min="463" max="465" width="7" customWidth="1"/>
    <col min="466" max="466" width="6" customWidth="1"/>
    <col min="467" max="468" width="7" customWidth="1"/>
    <col min="469" max="469" width="6" customWidth="1"/>
    <col min="470" max="486" width="7" customWidth="1"/>
    <col min="487" max="487" width="6" customWidth="1"/>
    <col min="488" max="497" width="7" customWidth="1"/>
    <col min="498" max="498" width="6" customWidth="1"/>
    <col min="499" max="501" width="7" customWidth="1"/>
    <col min="502" max="502" width="6" customWidth="1"/>
    <col min="503" max="515" width="7" customWidth="1"/>
    <col min="516" max="516" width="6" customWidth="1"/>
    <col min="517" max="523" width="7" customWidth="1"/>
    <col min="524" max="524" width="6" customWidth="1"/>
    <col min="525" max="526" width="7" customWidth="1"/>
    <col min="527" max="527" width="6" customWidth="1"/>
    <col min="528" max="564" width="7" customWidth="1"/>
    <col min="565" max="565" width="6" customWidth="1"/>
    <col min="566" max="602" width="7" customWidth="1"/>
    <col min="603" max="603" width="6" customWidth="1"/>
    <col min="604" max="606" width="7" customWidth="1"/>
    <col min="607" max="607" width="6" customWidth="1"/>
    <col min="608" max="624" width="7" customWidth="1"/>
    <col min="625" max="625" width="6" customWidth="1"/>
    <col min="626" max="631" width="7" customWidth="1"/>
    <col min="632" max="632" width="6" customWidth="1"/>
    <col min="633" max="635" width="7" customWidth="1"/>
    <col min="636" max="636" width="6" customWidth="1"/>
    <col min="637" max="645" width="7" customWidth="1"/>
    <col min="646" max="646" width="6" customWidth="1"/>
    <col min="647" max="647" width="7" customWidth="1"/>
    <col min="648" max="648" width="6" customWidth="1"/>
    <col min="649" max="659" width="7" customWidth="1"/>
    <col min="660" max="660" width="6" customWidth="1"/>
    <col min="661" max="663" width="7" customWidth="1"/>
    <col min="664" max="664" width="6" customWidth="1"/>
    <col min="665" max="676" width="7" customWidth="1"/>
    <col min="677" max="677" width="6" customWidth="1"/>
    <col min="678" max="678" width="7" customWidth="1"/>
    <col min="679" max="679" width="6" customWidth="1"/>
    <col min="680" max="686" width="7" customWidth="1"/>
    <col min="687" max="687" width="6" customWidth="1"/>
    <col min="688" max="693" width="7" customWidth="1"/>
    <col min="694" max="694" width="6" customWidth="1"/>
    <col min="695" max="695" width="7" customWidth="1"/>
    <col min="696" max="696" width="6" customWidth="1"/>
    <col min="697" max="698" width="7" customWidth="1"/>
    <col min="699" max="699" width="6" customWidth="1"/>
    <col min="700" max="714" width="7" customWidth="1"/>
    <col min="715" max="716" width="6" customWidth="1"/>
    <col min="717" max="722" width="7" customWidth="1"/>
    <col min="723" max="723" width="4" customWidth="1"/>
    <col min="724" max="724" width="7" customWidth="1"/>
    <col min="725" max="725" width="6" customWidth="1"/>
    <col min="726" max="732" width="7" customWidth="1"/>
    <col min="733" max="733" width="1.42578125" customWidth="1"/>
    <col min="734" max="734" width="11.28515625" bestFit="1" customWidth="1"/>
  </cols>
  <sheetData>
    <row r="3" spans="1:11">
      <c r="A3" s="4" t="s">
        <v>0</v>
      </c>
      <c r="B3" t="s">
        <v>239</v>
      </c>
      <c r="C3" t="s">
        <v>240</v>
      </c>
      <c r="D3" t="s">
        <v>241</v>
      </c>
      <c r="E3" t="s">
        <v>242</v>
      </c>
      <c r="F3" t="s">
        <v>247</v>
      </c>
      <c r="G3" t="s">
        <v>248</v>
      </c>
      <c r="H3" t="s">
        <v>249</v>
      </c>
      <c r="I3" t="s">
        <v>250</v>
      </c>
      <c r="J3" t="s">
        <v>256</v>
      </c>
      <c r="K3" t="s">
        <v>257</v>
      </c>
    </row>
    <row r="4" spans="1:11">
      <c r="A4" t="s">
        <v>14</v>
      </c>
      <c r="B4" s="5">
        <v>91.004999999999981</v>
      </c>
      <c r="C4" s="5">
        <v>74.177999999999997</v>
      </c>
      <c r="D4" s="5">
        <v>117.468</v>
      </c>
      <c r="E4" s="5">
        <v>59.775999999999996</v>
      </c>
      <c r="F4" s="5">
        <v>98.132500000000007</v>
      </c>
      <c r="G4" s="5">
        <v>78.768000000000001</v>
      </c>
      <c r="H4" s="5">
        <v>128.38200000000001</v>
      </c>
      <c r="I4" s="5">
        <v>70.415999999999997</v>
      </c>
      <c r="J4" s="5">
        <v>0.39857142857142858</v>
      </c>
      <c r="K4" s="5">
        <v>0.60142857142857142</v>
      </c>
    </row>
    <row r="5" spans="1:11">
      <c r="A5" t="s">
        <v>17</v>
      </c>
      <c r="B5" s="5">
        <v>70.001666666666665</v>
      </c>
      <c r="C5" s="5">
        <v>82.732000000000014</v>
      </c>
      <c r="D5" s="5">
        <v>56.446666666666665</v>
      </c>
      <c r="E5" s="5">
        <v>92.521666666666661</v>
      </c>
      <c r="F5" s="5">
        <v>74.266666666666666</v>
      </c>
      <c r="G5" s="5">
        <v>77.442000000000007</v>
      </c>
      <c r="H5" s="5">
        <v>71.156666666666666</v>
      </c>
      <c r="I5" s="5">
        <v>90.573333333333338</v>
      </c>
      <c r="J5" s="5">
        <v>0.35428571428571437</v>
      </c>
      <c r="K5" s="5">
        <v>0.6457142857142858</v>
      </c>
    </row>
    <row r="6" spans="1:11">
      <c r="A6" t="s">
        <v>20</v>
      </c>
      <c r="B6" s="5">
        <v>112.485</v>
      </c>
      <c r="C6" s="5">
        <v>134.435</v>
      </c>
      <c r="D6" s="5">
        <v>147.41249999999999</v>
      </c>
      <c r="E6" s="5">
        <v>168.26249999999999</v>
      </c>
      <c r="F6" s="5">
        <v>122.41500000000001</v>
      </c>
      <c r="G6" s="5">
        <v>108.67749999999999</v>
      </c>
      <c r="H6" s="5">
        <v>148.94125</v>
      </c>
      <c r="I6" s="5">
        <v>121.18375</v>
      </c>
      <c r="J6" s="5">
        <v>0.52124999999999999</v>
      </c>
      <c r="K6" s="5">
        <v>0.47875000000000001</v>
      </c>
    </row>
    <row r="7" spans="1:11">
      <c r="A7" t="s">
        <v>22</v>
      </c>
      <c r="B7" s="5">
        <v>111.82666666666667</v>
      </c>
      <c r="C7" s="5">
        <v>82.215000000000003</v>
      </c>
      <c r="D7" s="5">
        <v>72.471666666666664</v>
      </c>
      <c r="E7" s="5">
        <v>74.19</v>
      </c>
      <c r="F7" s="5">
        <v>117.41833333333334</v>
      </c>
      <c r="G7" s="5">
        <v>91.401666666666657</v>
      </c>
      <c r="H7" s="5">
        <v>77.046666666666667</v>
      </c>
      <c r="I7" s="5">
        <v>69.696666666666673</v>
      </c>
      <c r="J7" s="5">
        <v>0.50714285714285712</v>
      </c>
      <c r="K7" s="5">
        <v>0.49285714285714288</v>
      </c>
    </row>
    <row r="8" spans="1:11">
      <c r="A8" t="s">
        <v>24</v>
      </c>
      <c r="B8" s="5">
        <v>111.27857142857144</v>
      </c>
      <c r="C8" s="5">
        <v>105.36571428571428</v>
      </c>
      <c r="D8" s="5">
        <v>90.151428571428596</v>
      </c>
      <c r="E8" s="5">
        <v>102.22166666666668</v>
      </c>
      <c r="F8" s="5">
        <v>108.10142857142857</v>
      </c>
      <c r="G8" s="5">
        <v>112.21714285714286</v>
      </c>
      <c r="H8" s="5">
        <v>112.82714285714285</v>
      </c>
      <c r="I8" s="5">
        <v>89.475000000000009</v>
      </c>
      <c r="J8" s="5">
        <v>0.49428571428571427</v>
      </c>
      <c r="K8" s="5">
        <v>0.50571428571428567</v>
      </c>
    </row>
    <row r="9" spans="1:11">
      <c r="A9" t="s">
        <v>26</v>
      </c>
      <c r="B9" s="5">
        <v>106.32166666666667</v>
      </c>
      <c r="C9" s="5">
        <v>108.84333333333332</v>
      </c>
      <c r="D9" s="5">
        <v>104.37166666666667</v>
      </c>
      <c r="E9" s="5">
        <v>85.961666666666659</v>
      </c>
      <c r="F9" s="5">
        <v>101.755</v>
      </c>
      <c r="G9" s="5">
        <v>98.546666666666667</v>
      </c>
      <c r="H9" s="5">
        <v>93.75</v>
      </c>
      <c r="I9" s="5">
        <v>74.726666666666659</v>
      </c>
      <c r="J9" s="5">
        <v>0.45</v>
      </c>
      <c r="K9" s="5">
        <v>0.55000000000000004</v>
      </c>
    </row>
    <row r="10" spans="1:11">
      <c r="A10" t="s">
        <v>28</v>
      </c>
      <c r="B10" s="5">
        <v>101.96500000000002</v>
      </c>
      <c r="C10" s="5">
        <v>109.69666666666666</v>
      </c>
      <c r="D10" s="5">
        <v>71.98833333333333</v>
      </c>
      <c r="E10" s="5">
        <v>134.17833333333331</v>
      </c>
      <c r="F10" s="5">
        <v>101.50833333333333</v>
      </c>
      <c r="G10" s="5">
        <v>102.30000000000001</v>
      </c>
      <c r="H10" s="5">
        <v>82.325000000000003</v>
      </c>
      <c r="I10" s="5">
        <v>106.89333333333336</v>
      </c>
      <c r="J10" s="5">
        <v>0.46571428571428575</v>
      </c>
      <c r="K10" s="5">
        <v>0.53428571428571425</v>
      </c>
    </row>
    <row r="11" spans="1:11">
      <c r="A11" t="s">
        <v>30</v>
      </c>
      <c r="B11" s="5">
        <v>70.48</v>
      </c>
      <c r="C11" s="5">
        <v>97.811428571428564</v>
      </c>
      <c r="D11" s="5">
        <v>124.27999999999997</v>
      </c>
      <c r="E11" s="5">
        <v>79.460000000000008</v>
      </c>
      <c r="F11" s="5">
        <v>69.86</v>
      </c>
      <c r="G11" s="5">
        <v>90.64</v>
      </c>
      <c r="H11" s="5">
        <v>126.79571428571428</v>
      </c>
      <c r="I11" s="5">
        <v>67.837142857142865</v>
      </c>
      <c r="J11" s="5">
        <v>0.43</v>
      </c>
      <c r="K11" s="5">
        <v>0.57000000000000006</v>
      </c>
    </row>
    <row r="12" spans="1:11">
      <c r="A12" t="s">
        <v>32</v>
      </c>
      <c r="B12" s="5">
        <v>83.392499999999998</v>
      </c>
      <c r="C12" s="5">
        <v>101.32750000000001</v>
      </c>
      <c r="D12" s="5">
        <v>105.5125</v>
      </c>
      <c r="E12" s="5">
        <v>100.27875</v>
      </c>
      <c r="F12" s="5">
        <v>93.899999999999991</v>
      </c>
      <c r="G12" s="5">
        <v>93.446250000000006</v>
      </c>
      <c r="H12" s="5">
        <v>119.08375000000001</v>
      </c>
      <c r="I12" s="5">
        <v>98.501249999999999</v>
      </c>
      <c r="J12" s="5">
        <v>0.44</v>
      </c>
      <c r="K12" s="5">
        <v>0.56000000000000005</v>
      </c>
    </row>
    <row r="13" spans="1:11">
      <c r="A13" t="s">
        <v>34</v>
      </c>
      <c r="B13" s="5">
        <v>97.342500000000001</v>
      </c>
      <c r="C13" s="5">
        <v>84.984999999999999</v>
      </c>
      <c r="D13" s="5">
        <v>86.105000000000004</v>
      </c>
      <c r="E13" s="5">
        <v>86.49</v>
      </c>
      <c r="F13" s="5">
        <v>96.647500000000008</v>
      </c>
      <c r="G13" s="5">
        <v>81.348333333333329</v>
      </c>
      <c r="H13" s="5">
        <v>87.706249999999997</v>
      </c>
      <c r="I13" s="5">
        <v>83.47999999999999</v>
      </c>
      <c r="J13" s="5">
        <v>0.41499999999999998</v>
      </c>
      <c r="K13" s="5">
        <v>0.58499999999999996</v>
      </c>
    </row>
    <row r="14" spans="1:11">
      <c r="A14" t="s">
        <v>36</v>
      </c>
      <c r="B14" s="5">
        <v>153.66499999999999</v>
      </c>
      <c r="C14" s="5">
        <v>102.36166666666666</v>
      </c>
      <c r="D14" s="5">
        <v>109.64166666666665</v>
      </c>
      <c r="E14" s="5">
        <v>90.110000000000014</v>
      </c>
      <c r="F14" s="5">
        <v>132.10666666666668</v>
      </c>
      <c r="G14" s="5">
        <v>97.923333333333332</v>
      </c>
      <c r="H14" s="5">
        <v>113.35833333333333</v>
      </c>
      <c r="I14" s="5">
        <v>90.903333333333322</v>
      </c>
      <c r="J14" s="5">
        <v>0.46666666666666662</v>
      </c>
      <c r="K14" s="5">
        <v>0.53333333333333333</v>
      </c>
    </row>
    <row r="15" spans="1:11">
      <c r="A15" t="s">
        <v>38</v>
      </c>
      <c r="B15" s="5">
        <v>131.26714285714283</v>
      </c>
      <c r="C15" s="5">
        <v>126.74857142857142</v>
      </c>
      <c r="D15" s="5">
        <v>114.70000000000002</v>
      </c>
      <c r="E15" s="5">
        <v>114.77142857142859</v>
      </c>
      <c r="F15" s="5">
        <v>129.45714285714286</v>
      </c>
      <c r="G15" s="5">
        <v>125.4357142857143</v>
      </c>
      <c r="H15" s="5">
        <v>105.45571428571429</v>
      </c>
      <c r="I15" s="5">
        <v>113.37285714285714</v>
      </c>
      <c r="J15" s="5">
        <v>0.44428571428571423</v>
      </c>
      <c r="K15" s="5">
        <v>0.55571428571428583</v>
      </c>
    </row>
    <row r="16" spans="1:11">
      <c r="A16" t="s">
        <v>40</v>
      </c>
      <c r="B16" s="5">
        <v>75.331666666666663</v>
      </c>
      <c r="C16" s="5">
        <v>88.24</v>
      </c>
      <c r="D16" s="5">
        <v>78.02</v>
      </c>
      <c r="E16" s="5">
        <v>93.655000000000015</v>
      </c>
      <c r="F16" s="5">
        <v>76.876666666666665</v>
      </c>
      <c r="G16" s="5">
        <v>96.011666666666656</v>
      </c>
      <c r="H16" s="5">
        <v>84.98</v>
      </c>
      <c r="I16" s="5">
        <v>77.61333333333333</v>
      </c>
      <c r="J16" s="5">
        <v>0.47428571428571431</v>
      </c>
      <c r="K16" s="5">
        <v>0.52571428571428569</v>
      </c>
    </row>
    <row r="17" spans="1:11">
      <c r="A17" t="s">
        <v>42</v>
      </c>
      <c r="B17" s="5">
        <v>95.26571428571431</v>
      </c>
      <c r="C17" s="5">
        <v>98.17</v>
      </c>
      <c r="D17" s="5">
        <v>75.327142857142846</v>
      </c>
      <c r="E17" s="5">
        <v>88.877142857142871</v>
      </c>
      <c r="F17" s="5">
        <v>97.304285714285712</v>
      </c>
      <c r="G17" s="5">
        <v>95.898333333333326</v>
      </c>
      <c r="H17" s="5">
        <v>81.357142857142861</v>
      </c>
      <c r="I17" s="5">
        <v>66.187142857142859</v>
      </c>
      <c r="J17" s="5">
        <v>0.44500000000000001</v>
      </c>
      <c r="K17" s="5">
        <v>0.55500000000000005</v>
      </c>
    </row>
    <row r="18" spans="1:11">
      <c r="A18" t="s">
        <v>44</v>
      </c>
      <c r="B18" s="5">
        <v>83.98</v>
      </c>
      <c r="C18" s="5">
        <v>93.92</v>
      </c>
      <c r="D18" s="5">
        <v>93.081428571428575</v>
      </c>
      <c r="E18" s="5">
        <v>82.438571428571436</v>
      </c>
      <c r="F18" s="5">
        <v>86.382857142857134</v>
      </c>
      <c r="G18" s="5">
        <v>90.956666666666663</v>
      </c>
      <c r="H18" s="5">
        <v>105.00571428571426</v>
      </c>
      <c r="I18" s="5">
        <v>67.084285714285713</v>
      </c>
      <c r="J18" s="5">
        <v>0.37124999999999997</v>
      </c>
      <c r="K18" s="5">
        <v>0.62875000000000003</v>
      </c>
    </row>
    <row r="19" spans="1:11">
      <c r="A19" t="s">
        <v>46</v>
      </c>
      <c r="B19" s="5">
        <v>87.16857142857144</v>
      </c>
      <c r="C19" s="5">
        <v>110.7242857142857</v>
      </c>
      <c r="D19" s="5">
        <v>69.7</v>
      </c>
      <c r="E19" s="5">
        <v>111.14</v>
      </c>
      <c r="F19" s="5">
        <v>91.48</v>
      </c>
      <c r="G19" s="5">
        <v>103.32857142857144</v>
      </c>
      <c r="H19" s="5">
        <v>65.489999999999995</v>
      </c>
      <c r="I19" s="5">
        <v>83.060000000000016</v>
      </c>
      <c r="J19" s="5">
        <v>0.51624999999999999</v>
      </c>
      <c r="K19" s="5">
        <v>0.48375000000000001</v>
      </c>
    </row>
    <row r="20" spans="1:11">
      <c r="A20" t="s">
        <v>48</v>
      </c>
      <c r="B20" s="5">
        <v>93.62166666666667</v>
      </c>
      <c r="C20" s="5">
        <v>99.576666666666654</v>
      </c>
      <c r="D20" s="5">
        <v>79.381666666666675</v>
      </c>
      <c r="E20" s="5">
        <v>125.91333333333331</v>
      </c>
      <c r="F20" s="5">
        <v>93.678333333333327</v>
      </c>
      <c r="G20" s="5">
        <v>99.995000000000005</v>
      </c>
      <c r="H20" s="5">
        <v>82.853333333333339</v>
      </c>
      <c r="I20" s="5">
        <v>109.98833333333333</v>
      </c>
      <c r="J20" s="5">
        <v>0.47571428571428565</v>
      </c>
      <c r="K20" s="5">
        <v>0.52428571428571435</v>
      </c>
    </row>
    <row r="21" spans="1:11">
      <c r="A21" t="s">
        <v>50</v>
      </c>
      <c r="B21" s="5">
        <v>92.462857142857146</v>
      </c>
      <c r="C21" s="5">
        <v>93.273333333333326</v>
      </c>
      <c r="D21" s="5">
        <v>92.798571428571421</v>
      </c>
      <c r="E21" s="5">
        <v>86.691428571428574</v>
      </c>
      <c r="F21" s="5">
        <v>93.268571428571434</v>
      </c>
      <c r="G21" s="5">
        <v>85.951666666666668</v>
      </c>
      <c r="H21" s="5">
        <v>84.948571428571427</v>
      </c>
      <c r="I21" s="5">
        <v>70.225714285714275</v>
      </c>
      <c r="J21" s="5">
        <v>0.41375000000000006</v>
      </c>
      <c r="K21" s="5">
        <v>0.58625000000000005</v>
      </c>
    </row>
    <row r="22" spans="1:11">
      <c r="A22" t="s">
        <v>52</v>
      </c>
      <c r="B22" s="5">
        <v>104.85000000000001</v>
      </c>
      <c r="C22" s="5">
        <v>98.62833333333333</v>
      </c>
      <c r="D22" s="5">
        <v>109.54333333333334</v>
      </c>
      <c r="E22" s="5">
        <v>170.27500000000001</v>
      </c>
      <c r="F22" s="5">
        <v>102.79333333333334</v>
      </c>
      <c r="G22" s="5">
        <v>89.011666666666656</v>
      </c>
      <c r="H22" s="5">
        <v>113.88666666666666</v>
      </c>
      <c r="I22" s="5">
        <v>110.47500000000002</v>
      </c>
      <c r="J22" s="5">
        <v>0.52</v>
      </c>
      <c r="K22" s="5">
        <v>0.48</v>
      </c>
    </row>
    <row r="23" spans="1:11">
      <c r="A23" t="s">
        <v>54</v>
      </c>
      <c r="B23" s="5">
        <v>113.99714285714286</v>
      </c>
      <c r="C23" s="5">
        <v>111.95285714285714</v>
      </c>
      <c r="D23" s="5">
        <v>98.95</v>
      </c>
      <c r="E23" s="5">
        <v>107.12428571428572</v>
      </c>
      <c r="F23" s="5">
        <v>112.84142857142857</v>
      </c>
      <c r="G23" s="5">
        <v>103.09857142857142</v>
      </c>
      <c r="H23" s="5">
        <v>106.35285714285715</v>
      </c>
      <c r="I23" s="5">
        <v>95.647142857142853</v>
      </c>
      <c r="J23" s="5">
        <v>0.44375000000000003</v>
      </c>
      <c r="K23" s="5">
        <v>0.55624999999999991</v>
      </c>
    </row>
    <row r="24" spans="1:11">
      <c r="A24" t="s">
        <v>56</v>
      </c>
      <c r="B24" s="5">
        <v>93.061250000000001</v>
      </c>
      <c r="C24" s="5">
        <v>86.026250000000005</v>
      </c>
      <c r="D24" s="5">
        <v>67.681250000000006</v>
      </c>
      <c r="E24" s="5">
        <v>84.237500000000011</v>
      </c>
      <c r="F24" s="5">
        <v>93.907499999999999</v>
      </c>
      <c r="G24" s="5">
        <v>90.262500000000017</v>
      </c>
      <c r="H24" s="5">
        <v>72.543749999999989</v>
      </c>
      <c r="I24" s="5">
        <v>72.122500000000002</v>
      </c>
      <c r="J24" s="5">
        <v>0.46375</v>
      </c>
      <c r="K24" s="5">
        <v>0.53625</v>
      </c>
    </row>
    <row r="25" spans="1:11">
      <c r="A25" t="s">
        <v>58</v>
      </c>
      <c r="B25" s="5">
        <v>96.291666666666671</v>
      </c>
      <c r="C25" s="5">
        <v>91.681666666666672</v>
      </c>
      <c r="D25" s="5">
        <v>58.933333333333337</v>
      </c>
      <c r="E25" s="5">
        <v>72.99666666666667</v>
      </c>
      <c r="F25" s="5">
        <v>92.071666666666658</v>
      </c>
      <c r="G25" s="5">
        <v>84.208333333333329</v>
      </c>
      <c r="H25" s="5">
        <v>54.776666666666664</v>
      </c>
      <c r="I25" s="5">
        <v>61.315000000000005</v>
      </c>
      <c r="J25" s="5">
        <v>0.39857142857142858</v>
      </c>
      <c r="K25" s="5">
        <v>0.60142857142857131</v>
      </c>
    </row>
    <row r="26" spans="1:11">
      <c r="A26" t="s">
        <v>60</v>
      </c>
      <c r="B26" s="5">
        <v>84.033333333333346</v>
      </c>
      <c r="C26" s="5">
        <v>111.10333333333331</v>
      </c>
      <c r="D26" s="5">
        <v>55.29</v>
      </c>
      <c r="E26" s="5">
        <v>135.745</v>
      </c>
      <c r="F26" s="5">
        <v>86.008333333333326</v>
      </c>
      <c r="G26" s="5">
        <v>97.02833333333335</v>
      </c>
      <c r="H26" s="5">
        <v>54.208333333333336</v>
      </c>
      <c r="I26" s="5">
        <v>115.62666666666667</v>
      </c>
      <c r="J26" s="5">
        <v>0.52857142857142869</v>
      </c>
      <c r="K26" s="5">
        <v>0.47142857142857142</v>
      </c>
    </row>
    <row r="27" spans="1:11">
      <c r="A27" t="s">
        <v>62</v>
      </c>
      <c r="B27" s="5">
        <v>104.17</v>
      </c>
      <c r="C27" s="5">
        <v>88.596000000000004</v>
      </c>
      <c r="D27" s="5">
        <v>64.211666666666659</v>
      </c>
      <c r="E27" s="5">
        <v>97.616666666666674</v>
      </c>
      <c r="F27" s="5">
        <v>107.39166666666667</v>
      </c>
      <c r="G27" s="5">
        <v>89.751999999999995</v>
      </c>
      <c r="H27" s="5">
        <v>70.791666666666671</v>
      </c>
      <c r="I27" s="5">
        <v>81.296666666666653</v>
      </c>
      <c r="J27" s="5">
        <v>0.49142857142857149</v>
      </c>
      <c r="K27" s="5">
        <v>0.50857142857142856</v>
      </c>
    </row>
    <row r="28" spans="1:11">
      <c r="A28" t="s">
        <v>64</v>
      </c>
      <c r="B28" s="5">
        <v>104.08428571428571</v>
      </c>
      <c r="C28" s="5">
        <v>103.79857142857142</v>
      </c>
      <c r="D28" s="5">
        <v>51.421428571428571</v>
      </c>
      <c r="E28" s="5">
        <v>90.681428571428569</v>
      </c>
      <c r="F28" s="5">
        <v>99.570000000000007</v>
      </c>
      <c r="G28" s="5">
        <v>97.408571428571435</v>
      </c>
      <c r="H28" s="5">
        <v>49.959999999999994</v>
      </c>
      <c r="I28" s="5">
        <v>82.677142857142854</v>
      </c>
      <c r="J28" s="5">
        <v>0.41428571428571431</v>
      </c>
      <c r="K28" s="5">
        <v>0.58571428571428563</v>
      </c>
    </row>
    <row r="29" spans="1:11">
      <c r="A29" t="s">
        <v>167</v>
      </c>
      <c r="B29" s="5">
        <v>75.325000000000003</v>
      </c>
      <c r="C29" s="5">
        <v>89.935000000000002</v>
      </c>
      <c r="D29" s="5">
        <v>91.63</v>
      </c>
      <c r="E29" s="5">
        <v>91.623333333333335</v>
      </c>
      <c r="F29" s="5">
        <v>86.77000000000001</v>
      </c>
      <c r="G29" s="5">
        <v>82.625</v>
      </c>
      <c r="H29" s="5">
        <v>88.274999999999991</v>
      </c>
      <c r="I29" s="5">
        <v>76.986666666666665</v>
      </c>
      <c r="J29" s="5">
        <v>0.48374999999999996</v>
      </c>
      <c r="K29" s="5">
        <v>0.5162500000000001</v>
      </c>
    </row>
    <row r="30" spans="1:11">
      <c r="A30" t="s">
        <v>66</v>
      </c>
      <c r="B30" s="5">
        <v>107.93857142857145</v>
      </c>
      <c r="C30" s="5">
        <v>102.89142857142858</v>
      </c>
      <c r="D30" s="5">
        <v>86.762857142857143</v>
      </c>
      <c r="E30" s="5">
        <v>119.80714285714286</v>
      </c>
      <c r="F30" s="5">
        <v>104.57428571428569</v>
      </c>
      <c r="G30" s="5">
        <v>97.695714285714274</v>
      </c>
      <c r="H30" s="5">
        <v>92.734285714285718</v>
      </c>
      <c r="I30" s="5">
        <v>84.834285714285713</v>
      </c>
      <c r="J30" s="5">
        <v>0.47428571428571431</v>
      </c>
      <c r="K30" s="5">
        <v>0.52571428571428569</v>
      </c>
    </row>
    <row r="31" spans="1:11">
      <c r="A31" t="s">
        <v>68</v>
      </c>
      <c r="B31" s="5">
        <v>70.44</v>
      </c>
      <c r="C31" s="5">
        <v>100.19857142857144</v>
      </c>
      <c r="D31" s="5">
        <v>55.574285714285715</v>
      </c>
      <c r="E31" s="5">
        <v>104.76428571428572</v>
      </c>
      <c r="F31" s="5">
        <v>75.851666666666674</v>
      </c>
      <c r="G31" s="5">
        <v>92.305714285714288</v>
      </c>
      <c r="H31" s="5">
        <v>59.984285714285711</v>
      </c>
      <c r="I31" s="5">
        <v>91.762857142857143</v>
      </c>
      <c r="J31" s="5">
        <v>0.41571428571428576</v>
      </c>
      <c r="K31" s="5">
        <v>0.5842857142857143</v>
      </c>
    </row>
    <row r="32" spans="1:11">
      <c r="A32" t="s">
        <v>69</v>
      </c>
      <c r="B32" s="5">
        <v>91.248571428571424</v>
      </c>
      <c r="C32" s="5">
        <v>121.80666666666667</v>
      </c>
      <c r="D32" s="5">
        <v>97.491428571428543</v>
      </c>
      <c r="E32" s="5">
        <v>130.51428571428571</v>
      </c>
      <c r="F32" s="5">
        <v>96.295714285714283</v>
      </c>
      <c r="G32" s="5">
        <v>96.933333333333323</v>
      </c>
      <c r="H32" s="5">
        <v>95.478571428571428</v>
      </c>
      <c r="I32" s="5">
        <v>99.971428571428575</v>
      </c>
      <c r="J32" s="5">
        <v>0.44857142857142868</v>
      </c>
      <c r="K32" s="5">
        <v>0.55142857142857138</v>
      </c>
    </row>
    <row r="33" spans="1:11">
      <c r="A33" t="s">
        <v>70</v>
      </c>
      <c r="B33" s="5">
        <v>98.332000000000008</v>
      </c>
      <c r="C33" s="5">
        <v>103.00833333333333</v>
      </c>
      <c r="D33" s="5">
        <v>82.51</v>
      </c>
      <c r="E33" s="5">
        <v>142.91833333333332</v>
      </c>
      <c r="F33" s="5">
        <v>105.32599999999999</v>
      </c>
      <c r="G33" s="5">
        <v>102.95499999999998</v>
      </c>
      <c r="H33" s="5">
        <v>84.656666666666666</v>
      </c>
      <c r="I33" s="5">
        <v>123.31</v>
      </c>
      <c r="J33" s="5">
        <v>0.45285714285714285</v>
      </c>
      <c r="K33" s="5">
        <v>0.54714285714285715</v>
      </c>
    </row>
    <row r="34" spans="1:11">
      <c r="A34" t="s">
        <v>49</v>
      </c>
      <c r="B34" s="5">
        <v>95.334285714285713</v>
      </c>
      <c r="C34" s="5">
        <v>95.592857142857142</v>
      </c>
      <c r="D34" s="5">
        <v>100.43857142857142</v>
      </c>
      <c r="E34" s="5">
        <v>80.727142857142852</v>
      </c>
      <c r="F34" s="5">
        <v>96.444285714285712</v>
      </c>
      <c r="G34" s="5">
        <v>90.301428571428573</v>
      </c>
      <c r="H34" s="5">
        <v>99.532857142857139</v>
      </c>
      <c r="I34" s="5">
        <v>69.027142857142863</v>
      </c>
      <c r="J34" s="5">
        <v>0.43625000000000003</v>
      </c>
      <c r="K34" s="5">
        <v>0.56374999999999997</v>
      </c>
    </row>
    <row r="35" spans="1:11">
      <c r="A35" t="s">
        <v>39</v>
      </c>
      <c r="B35" s="5">
        <v>104.08666666666666</v>
      </c>
      <c r="C35" s="5">
        <v>127.87333333333333</v>
      </c>
      <c r="D35" s="5">
        <v>91.3</v>
      </c>
      <c r="E35" s="5">
        <v>130.59333333333333</v>
      </c>
      <c r="F35" s="5">
        <v>120.77499999999999</v>
      </c>
      <c r="G35" s="5">
        <v>107.19166666666666</v>
      </c>
      <c r="H35" s="5">
        <v>97.611666666666679</v>
      </c>
      <c r="I35" s="5">
        <v>101.98333333333333</v>
      </c>
      <c r="J35" s="5">
        <v>0.49714285714285705</v>
      </c>
      <c r="K35" s="5">
        <v>0.50285714285714289</v>
      </c>
    </row>
    <row r="36" spans="1:11">
      <c r="A36" t="s">
        <v>72</v>
      </c>
      <c r="B36" s="5">
        <v>43.87</v>
      </c>
      <c r="C36" s="5">
        <v>121.24714285714286</v>
      </c>
      <c r="D36" s="5">
        <v>142.80714285714285</v>
      </c>
      <c r="E36" s="5">
        <v>84.607142857142861</v>
      </c>
      <c r="F36" s="5">
        <v>46.01</v>
      </c>
      <c r="G36" s="5">
        <v>115.34714285714287</v>
      </c>
      <c r="H36" s="5">
        <v>130.26285714285714</v>
      </c>
      <c r="I36" s="5">
        <v>80.542857142857159</v>
      </c>
      <c r="J36" s="5">
        <v>0.42750000000000005</v>
      </c>
      <c r="K36" s="5">
        <v>0.5724999999999999</v>
      </c>
    </row>
    <row r="37" spans="1:11">
      <c r="A37" t="s">
        <v>57</v>
      </c>
      <c r="B37" s="5">
        <v>106.35285714285713</v>
      </c>
      <c r="C37" s="5">
        <v>101.07142857142857</v>
      </c>
      <c r="D37" s="5">
        <v>90.522857142857134</v>
      </c>
      <c r="E37" s="5">
        <v>133.94857142857146</v>
      </c>
      <c r="F37" s="5">
        <v>100.19428571428571</v>
      </c>
      <c r="G37" s="5">
        <v>102.41714285714286</v>
      </c>
      <c r="H37" s="5">
        <v>89.441428571428574</v>
      </c>
      <c r="I37" s="5">
        <v>104.26142857142857</v>
      </c>
      <c r="J37" s="5">
        <v>0.51571428571428579</v>
      </c>
      <c r="K37" s="5">
        <v>0.48428571428571426</v>
      </c>
    </row>
    <row r="38" spans="1:11">
      <c r="A38" t="s">
        <v>74</v>
      </c>
      <c r="B38" s="5">
        <v>131.13333333333333</v>
      </c>
      <c r="C38" s="5">
        <v>98.134999999999991</v>
      </c>
      <c r="D38" s="5">
        <v>133.28</v>
      </c>
      <c r="E38" s="5">
        <v>106.45666666666666</v>
      </c>
      <c r="F38" s="5">
        <v>128.95666666666668</v>
      </c>
      <c r="G38" s="5">
        <v>88.868333333333339</v>
      </c>
      <c r="H38" s="5">
        <v>126.47166666666668</v>
      </c>
      <c r="I38" s="5">
        <v>74.743333333333339</v>
      </c>
      <c r="J38" s="5">
        <v>0.44714285714285718</v>
      </c>
      <c r="K38" s="5">
        <v>0.55285714285714282</v>
      </c>
    </row>
    <row r="39" spans="1:11">
      <c r="A39" t="s">
        <v>43</v>
      </c>
      <c r="B39" s="5">
        <v>72.283333333333331</v>
      </c>
      <c r="C39" s="5">
        <v>87.228333333333339</v>
      </c>
      <c r="D39" s="5">
        <v>48.913333333333334</v>
      </c>
      <c r="E39" s="5">
        <v>106.82166666666666</v>
      </c>
      <c r="F39" s="5">
        <v>75.123333333333335</v>
      </c>
      <c r="G39" s="5">
        <v>81.906666666666652</v>
      </c>
      <c r="H39" s="5">
        <v>52.123333333333335</v>
      </c>
      <c r="I39" s="5">
        <v>99.284999999999982</v>
      </c>
      <c r="J39" s="5">
        <v>0.49000000000000005</v>
      </c>
      <c r="K39" s="5">
        <v>0.51</v>
      </c>
    </row>
    <row r="40" spans="1:11">
      <c r="A40" t="s">
        <v>29</v>
      </c>
      <c r="B40" s="5">
        <v>110.19142857142857</v>
      </c>
      <c r="C40" s="5">
        <v>94.973333333333343</v>
      </c>
      <c r="D40" s="5">
        <v>85.165714285714301</v>
      </c>
      <c r="E40" s="5">
        <v>140.39857142857142</v>
      </c>
      <c r="F40" s="5">
        <v>110.31714285714285</v>
      </c>
      <c r="G40" s="5">
        <v>94.908333333333317</v>
      </c>
      <c r="H40" s="5">
        <v>85.48571428571428</v>
      </c>
      <c r="I40" s="5">
        <v>115.62714285714284</v>
      </c>
      <c r="J40" s="5">
        <v>0.42375000000000002</v>
      </c>
      <c r="K40" s="5">
        <v>0.57625000000000004</v>
      </c>
    </row>
    <row r="41" spans="1:11">
      <c r="A41" t="s">
        <v>35</v>
      </c>
      <c r="B41" s="5">
        <v>81.444285714285712</v>
      </c>
      <c r="C41" s="5">
        <v>81.407142857142844</v>
      </c>
      <c r="D41" s="5">
        <v>71.324285714285708</v>
      </c>
      <c r="E41" s="5">
        <v>83.558571428571426</v>
      </c>
      <c r="F41" s="5">
        <v>80.092857142857142</v>
      </c>
      <c r="G41" s="5">
        <v>78.265714285714282</v>
      </c>
      <c r="H41" s="5">
        <v>82.11</v>
      </c>
      <c r="I41" s="5">
        <v>73.037142857142854</v>
      </c>
      <c r="J41" s="5">
        <v>0.36124999999999996</v>
      </c>
      <c r="K41" s="5">
        <v>0.63875000000000004</v>
      </c>
    </row>
    <row r="42" spans="1:11">
      <c r="A42" t="s">
        <v>76</v>
      </c>
      <c r="B42" s="5">
        <v>120.01166666666666</v>
      </c>
      <c r="C42" s="5">
        <v>91.393333333333331</v>
      </c>
      <c r="D42" s="5">
        <v>97.308333333333323</v>
      </c>
      <c r="E42" s="5">
        <v>113.10666666666667</v>
      </c>
      <c r="F42" s="5">
        <v>112.89166666666667</v>
      </c>
      <c r="G42" s="5">
        <v>81.893333333333331</v>
      </c>
      <c r="H42" s="5">
        <v>103.61333333333333</v>
      </c>
      <c r="I42" s="5">
        <v>94.086666666666659</v>
      </c>
      <c r="J42" s="5">
        <v>0.44571428571428573</v>
      </c>
      <c r="K42" s="5">
        <v>0.55428571428571438</v>
      </c>
    </row>
    <row r="43" spans="1:11">
      <c r="A43" t="s">
        <v>78</v>
      </c>
      <c r="B43" s="5">
        <v>83.836666666666659</v>
      </c>
      <c r="C43" s="5">
        <v>93.881666666666661</v>
      </c>
      <c r="D43" s="5">
        <v>87.27</v>
      </c>
      <c r="E43" s="5">
        <v>99.206666666666663</v>
      </c>
      <c r="F43" s="5">
        <v>86.486666666666665</v>
      </c>
      <c r="G43" s="5">
        <v>102.675</v>
      </c>
      <c r="H43" s="5">
        <v>99.688333333333333</v>
      </c>
      <c r="I43" s="5">
        <v>92.606666666666669</v>
      </c>
      <c r="J43" s="5">
        <v>0.39857142857142858</v>
      </c>
      <c r="K43" s="5">
        <v>0.60142857142857142</v>
      </c>
    </row>
    <row r="44" spans="1:11">
      <c r="A44" t="s">
        <v>80</v>
      </c>
      <c r="B44" s="5">
        <v>108.96333333333332</v>
      </c>
      <c r="C44" s="5">
        <v>72.596666666666678</v>
      </c>
      <c r="D44" s="5">
        <v>91.414285714285725</v>
      </c>
      <c r="E44" s="5">
        <v>54.937142857142867</v>
      </c>
      <c r="F44" s="5">
        <v>119.485</v>
      </c>
      <c r="G44" s="5">
        <v>75.646666666666661</v>
      </c>
      <c r="H44" s="5">
        <v>101.46142857142858</v>
      </c>
      <c r="I44" s="5">
        <v>67.035714285714278</v>
      </c>
      <c r="J44" s="5">
        <v>0.4642857142857143</v>
      </c>
      <c r="K44" s="5">
        <v>0.53571428571428559</v>
      </c>
    </row>
    <row r="45" spans="1:11">
      <c r="A45" t="s">
        <v>82</v>
      </c>
      <c r="B45" s="5">
        <v>103.26333333333334</v>
      </c>
      <c r="C45" s="5">
        <v>102.3</v>
      </c>
      <c r="D45" s="5">
        <v>121.60000000000002</v>
      </c>
      <c r="E45" s="5">
        <v>122.92999999999999</v>
      </c>
      <c r="F45" s="5">
        <v>96.738333333333344</v>
      </c>
      <c r="G45" s="5">
        <v>97.563333333333333</v>
      </c>
      <c r="H45" s="5">
        <v>112.87666666666667</v>
      </c>
      <c r="I45" s="5">
        <v>112.05000000000001</v>
      </c>
      <c r="J45" s="5">
        <v>0.51571428571428579</v>
      </c>
      <c r="K45" s="5">
        <v>0.48428571428571426</v>
      </c>
    </row>
    <row r="46" spans="1:11">
      <c r="A46" t="s">
        <v>21</v>
      </c>
      <c r="B46" s="5">
        <v>47.391666666666673</v>
      </c>
      <c r="C46" s="5">
        <v>113.88499999999999</v>
      </c>
      <c r="D46" s="5">
        <v>29.709999999999997</v>
      </c>
      <c r="E46" s="5">
        <v>120.88166666666665</v>
      </c>
      <c r="F46" s="5">
        <v>51.945</v>
      </c>
      <c r="G46" s="5">
        <v>121.33666666666666</v>
      </c>
      <c r="H46" s="5">
        <v>34.629999999999995</v>
      </c>
      <c r="I46" s="5">
        <v>108.73333333333335</v>
      </c>
      <c r="J46" s="5">
        <v>0.42142857142857137</v>
      </c>
      <c r="K46" s="5">
        <v>0.57857142857142863</v>
      </c>
    </row>
    <row r="47" spans="1:11">
      <c r="A47" t="s">
        <v>84</v>
      </c>
      <c r="B47" s="5">
        <v>48.113333333333337</v>
      </c>
      <c r="C47" s="5">
        <v>118.39666666666665</v>
      </c>
      <c r="D47" s="5">
        <v>65.125</v>
      </c>
      <c r="E47" s="5">
        <v>84.968333333333334</v>
      </c>
      <c r="F47" s="5">
        <v>49.735000000000007</v>
      </c>
      <c r="G47" s="5">
        <v>107.81666666666668</v>
      </c>
      <c r="H47" s="5">
        <v>73.33</v>
      </c>
      <c r="I47" s="5">
        <v>80.701666666666668</v>
      </c>
      <c r="J47" s="5">
        <v>0.40142857142857141</v>
      </c>
      <c r="K47" s="5">
        <v>0.59857142857142864</v>
      </c>
    </row>
    <row r="48" spans="1:11">
      <c r="A48" t="s">
        <v>86</v>
      </c>
      <c r="B48" s="5">
        <v>107.85000000000001</v>
      </c>
      <c r="C48" s="5">
        <v>102.16714285714285</v>
      </c>
      <c r="D48" s="5">
        <v>77.810000000000016</v>
      </c>
      <c r="E48" s="5">
        <v>114.65428571428571</v>
      </c>
      <c r="F48" s="5">
        <v>111.12571428571428</v>
      </c>
      <c r="G48" s="5">
        <v>85.84714285714287</v>
      </c>
      <c r="H48" s="5">
        <v>85.974285714285728</v>
      </c>
      <c r="I48" s="5">
        <v>77.068571428571431</v>
      </c>
      <c r="J48" s="5">
        <v>0.46249999999999997</v>
      </c>
      <c r="K48" s="5">
        <v>0.53750000000000009</v>
      </c>
    </row>
    <row r="49" spans="1:11">
      <c r="A49" t="s">
        <v>71</v>
      </c>
      <c r="B49" s="5">
        <v>89.213333333333324</v>
      </c>
      <c r="C49" s="5">
        <v>97.584999999999994</v>
      </c>
      <c r="D49" s="5">
        <v>71.564999999999998</v>
      </c>
      <c r="E49" s="5">
        <v>124.10166666666667</v>
      </c>
      <c r="F49" s="5">
        <v>84.09333333333332</v>
      </c>
      <c r="G49" s="5">
        <v>99.653333333333322</v>
      </c>
      <c r="H49" s="5">
        <v>81.396666666666675</v>
      </c>
      <c r="I49" s="5">
        <v>99.933333333333337</v>
      </c>
      <c r="J49" s="5">
        <v>0.51428571428571435</v>
      </c>
      <c r="K49" s="5">
        <v>0.48571428571428577</v>
      </c>
    </row>
    <row r="50" spans="1:11">
      <c r="A50" t="s">
        <v>88</v>
      </c>
      <c r="B50" s="5">
        <v>86.964999999999989</v>
      </c>
      <c r="C50" s="5">
        <v>115.59666666666665</v>
      </c>
      <c r="D50" s="5">
        <v>67.059999999999988</v>
      </c>
      <c r="E50" s="5">
        <v>124.20833333333333</v>
      </c>
      <c r="F50" s="5">
        <v>90.125</v>
      </c>
      <c r="G50" s="5">
        <v>115.01666666666665</v>
      </c>
      <c r="H50" s="5">
        <v>76.915000000000006</v>
      </c>
      <c r="I50" s="5">
        <v>121.03166666666668</v>
      </c>
      <c r="J50" s="5">
        <v>0.53857142857142859</v>
      </c>
      <c r="K50" s="5">
        <v>0.46142857142857135</v>
      </c>
    </row>
    <row r="51" spans="1:11">
      <c r="A51" t="s">
        <v>90</v>
      </c>
      <c r="B51" s="5">
        <v>96.08</v>
      </c>
      <c r="C51" s="5">
        <v>92.311666666666667</v>
      </c>
      <c r="D51" s="5">
        <v>73.344999999999999</v>
      </c>
      <c r="E51" s="5">
        <v>137.91</v>
      </c>
      <c r="F51" s="5">
        <v>100.515</v>
      </c>
      <c r="G51" s="5">
        <v>83.433333333333323</v>
      </c>
      <c r="H51" s="5">
        <v>85.013333333333335</v>
      </c>
      <c r="I51" s="5">
        <v>105.47499999999998</v>
      </c>
      <c r="J51" s="5">
        <v>0.44857142857142857</v>
      </c>
      <c r="K51" s="5">
        <v>0.55142857142857149</v>
      </c>
    </row>
    <row r="52" spans="1:11">
      <c r="A52" t="s">
        <v>92</v>
      </c>
      <c r="B52" s="5">
        <v>110.40499999999999</v>
      </c>
      <c r="C52" s="5">
        <v>133.41285714285715</v>
      </c>
      <c r="D52" s="5">
        <v>107.86000000000001</v>
      </c>
      <c r="E52" s="5">
        <v>139.68142857142857</v>
      </c>
      <c r="F52" s="5">
        <v>117.46833333333332</v>
      </c>
      <c r="G52" s="5">
        <v>117.66285714285713</v>
      </c>
      <c r="H52" s="5">
        <v>113.27000000000001</v>
      </c>
      <c r="I52" s="5">
        <v>132.20142857142858</v>
      </c>
      <c r="J52" s="5">
        <v>0.48625000000000007</v>
      </c>
      <c r="K52" s="5">
        <v>0.51374999999999993</v>
      </c>
    </row>
    <row r="53" spans="1:11">
      <c r="A53" t="s">
        <v>176</v>
      </c>
      <c r="B53" s="5">
        <v>82.587500000000006</v>
      </c>
      <c r="C53" s="5">
        <v>87.987499999999983</v>
      </c>
      <c r="D53" s="5">
        <v>68.967500000000001</v>
      </c>
      <c r="E53" s="5">
        <v>108.04625</v>
      </c>
      <c r="F53" s="5">
        <v>88.461249999999978</v>
      </c>
      <c r="G53" s="5">
        <v>91.797499999999999</v>
      </c>
      <c r="H53" s="5">
        <v>76.876249999999999</v>
      </c>
      <c r="I53" s="5">
        <v>95.211249999999993</v>
      </c>
      <c r="J53" s="5">
        <v>0.47499999999999998</v>
      </c>
      <c r="K53" s="5">
        <v>0.52500000000000002</v>
      </c>
    </row>
    <row r="54" spans="1:11">
      <c r="A54" t="s">
        <v>178</v>
      </c>
      <c r="B54" s="5">
        <v>78.100000000000009</v>
      </c>
      <c r="C54" s="5">
        <v>104.87</v>
      </c>
      <c r="D54" s="5">
        <v>103.39499999999998</v>
      </c>
      <c r="E54" s="5">
        <v>86.773333333333312</v>
      </c>
      <c r="F54" s="5">
        <v>81.87833333333333</v>
      </c>
      <c r="G54" s="5">
        <v>92.394000000000005</v>
      </c>
      <c r="H54" s="5">
        <v>110.14999999999999</v>
      </c>
      <c r="I54" s="5">
        <v>87.883333333333326</v>
      </c>
      <c r="J54" s="5">
        <v>0.38</v>
      </c>
      <c r="K54" s="5">
        <v>0.62000000000000011</v>
      </c>
    </row>
    <row r="55" spans="1:11">
      <c r="A55" t="s">
        <v>81</v>
      </c>
      <c r="B55" s="5">
        <v>66.31</v>
      </c>
      <c r="C55" s="5" t="e">
        <v>#DIV/0!</v>
      </c>
      <c r="D55" s="5">
        <v>154.4</v>
      </c>
      <c r="E55" s="5">
        <v>129.69</v>
      </c>
      <c r="F55" s="5">
        <v>72.38</v>
      </c>
      <c r="G55" s="5" t="e">
        <v>#DIV/0!</v>
      </c>
      <c r="H55" s="5">
        <v>102.79</v>
      </c>
      <c r="I55" s="5">
        <v>127.23</v>
      </c>
      <c r="J55" s="5">
        <v>0.2</v>
      </c>
      <c r="K55" s="5">
        <v>0.8</v>
      </c>
    </row>
    <row r="56" spans="1:11">
      <c r="A56" t="s">
        <v>94</v>
      </c>
      <c r="B56" s="5">
        <v>83.55</v>
      </c>
      <c r="C56" s="5">
        <v>81.068571428571417</v>
      </c>
      <c r="D56" s="5">
        <v>46.575714285714284</v>
      </c>
      <c r="E56" s="5">
        <v>82.618571428571428</v>
      </c>
      <c r="F56" s="5">
        <v>87.448571428571427</v>
      </c>
      <c r="G56" s="5">
        <v>77.605714285714285</v>
      </c>
      <c r="H56" s="5">
        <v>48.802857142857142</v>
      </c>
      <c r="I56" s="5">
        <v>66.238571428571433</v>
      </c>
      <c r="J56" s="5">
        <v>0.51375000000000004</v>
      </c>
      <c r="K56" s="5">
        <v>0.48625000000000002</v>
      </c>
    </row>
    <row r="57" spans="1:11">
      <c r="A57" t="s">
        <v>179</v>
      </c>
      <c r="B57" s="5">
        <v>105.28499999999998</v>
      </c>
      <c r="C57" s="5">
        <v>89.4</v>
      </c>
      <c r="D57" s="5">
        <v>101.37</v>
      </c>
      <c r="E57" s="5">
        <v>103.64166666666665</v>
      </c>
      <c r="F57" s="5">
        <v>113.75</v>
      </c>
      <c r="G57" s="5">
        <v>82.34</v>
      </c>
      <c r="H57" s="5">
        <v>121.46166666666666</v>
      </c>
      <c r="I57" s="5">
        <v>115.42666666666666</v>
      </c>
      <c r="J57" s="5">
        <v>0.39142857142857146</v>
      </c>
      <c r="K57" s="5">
        <v>0.60857142857142854</v>
      </c>
    </row>
    <row r="58" spans="1:11">
      <c r="A58" t="s">
        <v>96</v>
      </c>
      <c r="B58" s="5">
        <v>96.83</v>
      </c>
      <c r="C58" s="5">
        <v>101.59666666666665</v>
      </c>
      <c r="D58" s="5">
        <v>41.438571428571429</v>
      </c>
      <c r="E58" s="5">
        <v>100.71142857142857</v>
      </c>
      <c r="F58" s="5">
        <v>95.518571428571434</v>
      </c>
      <c r="G58" s="5">
        <v>88.598333333333315</v>
      </c>
      <c r="H58" s="5">
        <v>36.229999999999997</v>
      </c>
      <c r="I58" s="5">
        <v>86.362857142857138</v>
      </c>
      <c r="J58" s="5">
        <v>0.3571428571428571</v>
      </c>
      <c r="K58" s="5">
        <v>0.6428571428571429</v>
      </c>
    </row>
    <row r="59" spans="1:11">
      <c r="A59" t="s">
        <v>180</v>
      </c>
      <c r="B59" s="5">
        <v>89.48833333333333</v>
      </c>
      <c r="C59" s="5">
        <v>107.324</v>
      </c>
      <c r="D59" s="5">
        <v>131.63833333333332</v>
      </c>
      <c r="E59" s="5">
        <v>109.01166666666667</v>
      </c>
      <c r="F59" s="5">
        <v>87.115000000000009</v>
      </c>
      <c r="G59" s="5">
        <v>106.01400000000001</v>
      </c>
      <c r="H59" s="5">
        <v>132.72166666666669</v>
      </c>
      <c r="I59" s="5">
        <v>104.22333333333334</v>
      </c>
      <c r="J59" s="5">
        <v>0.46166666666666667</v>
      </c>
      <c r="K59" s="5">
        <v>0.53833333333333333</v>
      </c>
    </row>
    <row r="60" spans="1:11">
      <c r="A60" t="s">
        <v>98</v>
      </c>
      <c r="B60" s="5">
        <v>108.84666666666668</v>
      </c>
      <c r="C60" s="5">
        <v>127.27799999999999</v>
      </c>
      <c r="D60" s="5">
        <v>74.566666666666663</v>
      </c>
      <c r="E60" s="5">
        <v>146.58333333333334</v>
      </c>
      <c r="F60" s="5">
        <v>114.46</v>
      </c>
      <c r="G60" s="5">
        <v>125.072</v>
      </c>
      <c r="H60" s="5">
        <v>80.381666666666675</v>
      </c>
      <c r="I60" s="5">
        <v>148.43166666666664</v>
      </c>
      <c r="J60" s="5">
        <v>0.45571428571428568</v>
      </c>
      <c r="K60" s="5">
        <v>0.54428571428571426</v>
      </c>
    </row>
    <row r="61" spans="1:11">
      <c r="A61" t="s">
        <v>100</v>
      </c>
      <c r="B61" s="5">
        <v>97.708333333333329</v>
      </c>
      <c r="C61" s="5">
        <v>104.13999999999999</v>
      </c>
      <c r="D61" s="5">
        <v>108.71</v>
      </c>
      <c r="E61" s="5">
        <v>109.74000000000001</v>
      </c>
      <c r="F61" s="5">
        <v>99.498333333333335</v>
      </c>
      <c r="G61" s="5">
        <v>85.28</v>
      </c>
      <c r="H61" s="5">
        <v>106.08833333333332</v>
      </c>
      <c r="I61" s="5">
        <v>85.023333333333326</v>
      </c>
      <c r="J61" s="5">
        <v>0.39833333333333337</v>
      </c>
      <c r="K61" s="5">
        <v>0.60166666666666657</v>
      </c>
    </row>
    <row r="62" spans="1:11">
      <c r="A62" t="s">
        <v>102</v>
      </c>
      <c r="B62" s="5">
        <v>79.998333333333321</v>
      </c>
      <c r="C62" s="5">
        <v>86.726666666666645</v>
      </c>
      <c r="D62" s="5">
        <v>83.725000000000009</v>
      </c>
      <c r="E62" s="5">
        <v>86.554999999999993</v>
      </c>
      <c r="F62" s="5">
        <v>85.023333333333326</v>
      </c>
      <c r="G62" s="5">
        <v>86.226666666666674</v>
      </c>
      <c r="H62" s="5">
        <v>83.881666666666675</v>
      </c>
      <c r="I62" s="5">
        <v>73.716666666666654</v>
      </c>
      <c r="J62" s="5">
        <v>0.45714285714285713</v>
      </c>
      <c r="K62" s="5">
        <v>0.54285714285714293</v>
      </c>
    </row>
    <row r="63" spans="1:11">
      <c r="A63" t="s">
        <v>95</v>
      </c>
      <c r="B63" s="5">
        <v>89.328571428571422</v>
      </c>
      <c r="C63" s="5">
        <v>111.53285714285713</v>
      </c>
      <c r="D63" s="5">
        <v>97.309999999999988</v>
      </c>
      <c r="E63" s="5">
        <v>112.65857142857143</v>
      </c>
      <c r="F63" s="5">
        <v>92.412857142857135</v>
      </c>
      <c r="G63" s="5">
        <v>99.047142857142845</v>
      </c>
      <c r="H63" s="5">
        <v>100.76</v>
      </c>
      <c r="I63" s="5">
        <v>95.775714285714301</v>
      </c>
      <c r="J63" s="5">
        <v>0.44000000000000006</v>
      </c>
      <c r="K63" s="5">
        <v>0.56000000000000016</v>
      </c>
    </row>
    <row r="64" spans="1:11">
      <c r="A64" t="s">
        <v>97</v>
      </c>
      <c r="B64" s="5">
        <v>93.995000000000005</v>
      </c>
      <c r="C64" s="5">
        <v>95.568333333333328</v>
      </c>
      <c r="D64" s="5">
        <v>115.75999999999999</v>
      </c>
      <c r="E64" s="5">
        <v>109.43833333333332</v>
      </c>
      <c r="F64" s="5">
        <v>100.00166666666668</v>
      </c>
      <c r="G64" s="5">
        <v>97.276666666666657</v>
      </c>
      <c r="H64" s="5">
        <v>128.07833333333332</v>
      </c>
      <c r="I64" s="5">
        <v>97.008333333333326</v>
      </c>
      <c r="J64" s="5">
        <v>0.47142857142857153</v>
      </c>
      <c r="K64" s="5">
        <v>0.52857142857142858</v>
      </c>
    </row>
    <row r="65" spans="1:11">
      <c r="A65" t="s">
        <v>104</v>
      </c>
      <c r="B65" s="5">
        <v>93.805000000000007</v>
      </c>
      <c r="C65" s="5">
        <v>80.096000000000004</v>
      </c>
      <c r="D65" s="5">
        <v>131.32666666666668</v>
      </c>
      <c r="E65" s="5">
        <v>90.045000000000002</v>
      </c>
      <c r="F65" s="5">
        <v>85.699999999999989</v>
      </c>
      <c r="G65" s="5">
        <v>70.515999999999991</v>
      </c>
      <c r="H65" s="5">
        <v>140.05166666666668</v>
      </c>
      <c r="I65" s="5">
        <v>73.021666666666675</v>
      </c>
      <c r="J65" s="5">
        <v>0.40142857142857152</v>
      </c>
      <c r="K65" s="5">
        <v>0.59857142857142864</v>
      </c>
    </row>
    <row r="66" spans="1:11">
      <c r="A66" t="s">
        <v>106</v>
      </c>
      <c r="B66" s="5">
        <v>95.06</v>
      </c>
      <c r="C66" s="5">
        <v>106.28000000000002</v>
      </c>
      <c r="D66" s="5">
        <v>136.24333333333331</v>
      </c>
      <c r="E66" s="5">
        <v>92.398333333333326</v>
      </c>
      <c r="F66" s="5">
        <v>95.956666666666663</v>
      </c>
      <c r="G66" s="5">
        <v>103.49666666666667</v>
      </c>
      <c r="H66" s="5">
        <v>140.86000000000001</v>
      </c>
      <c r="I66" s="5">
        <v>100.67</v>
      </c>
      <c r="J66" s="5">
        <v>0.43285714285714288</v>
      </c>
      <c r="K66" s="5">
        <v>0.56714285714285706</v>
      </c>
    </row>
    <row r="67" spans="1:11">
      <c r="A67" t="s">
        <v>181</v>
      </c>
      <c r="B67" s="5">
        <v>99.01</v>
      </c>
      <c r="C67" s="5">
        <v>106.25666666666667</v>
      </c>
      <c r="D67" s="5">
        <v>117.70571428571429</v>
      </c>
      <c r="E67" s="5">
        <v>86.317142857142855</v>
      </c>
      <c r="F67" s="5">
        <v>93.785714285714292</v>
      </c>
      <c r="G67" s="5">
        <v>108.205</v>
      </c>
      <c r="H67" s="5">
        <v>106.95142857142858</v>
      </c>
      <c r="I67" s="5">
        <v>79.978571428571428</v>
      </c>
      <c r="J67" s="5">
        <v>0.44714285714285712</v>
      </c>
      <c r="K67" s="5">
        <v>0.55285714285714282</v>
      </c>
    </row>
    <row r="68" spans="1:11">
      <c r="A68" t="s">
        <v>59</v>
      </c>
      <c r="B68" s="5">
        <v>85.396666666666661</v>
      </c>
      <c r="C68" s="5">
        <v>66.637142857142862</v>
      </c>
      <c r="D68" s="5">
        <v>72.932857142857145</v>
      </c>
      <c r="E68" s="5">
        <v>67.51428571428572</v>
      </c>
      <c r="F68" s="5">
        <v>96.578333333333333</v>
      </c>
      <c r="G68" s="5">
        <v>66.652857142857144</v>
      </c>
      <c r="H68" s="5">
        <v>74.05</v>
      </c>
      <c r="I68" s="5">
        <v>61.695714285714288</v>
      </c>
      <c r="J68" s="5">
        <v>0.40428571428571425</v>
      </c>
      <c r="K68" s="5">
        <v>0.59571428571428575</v>
      </c>
    </row>
    <row r="69" spans="1:11">
      <c r="A69" t="s">
        <v>108</v>
      </c>
      <c r="B69" s="5">
        <v>110.87857142857142</v>
      </c>
      <c r="C69" s="5">
        <v>114.26285714285714</v>
      </c>
      <c r="D69" s="5">
        <v>79.767142857142858</v>
      </c>
      <c r="E69" s="5">
        <v>83.067142857142855</v>
      </c>
      <c r="F69" s="5">
        <v>104.51571428571428</v>
      </c>
      <c r="G69" s="5">
        <v>99.602857142857147</v>
      </c>
      <c r="H69" s="5">
        <v>76.178571428571431</v>
      </c>
      <c r="I69" s="5">
        <v>69.062857142857141</v>
      </c>
      <c r="J69" s="5">
        <v>0.48571428571428577</v>
      </c>
      <c r="K69" s="5">
        <v>0.51428571428571435</v>
      </c>
    </row>
    <row r="70" spans="1:11">
      <c r="A70" t="s">
        <v>110</v>
      </c>
      <c r="B70" s="5">
        <v>117.90142857142857</v>
      </c>
      <c r="C70" s="5">
        <v>98.245000000000005</v>
      </c>
      <c r="D70" s="5">
        <v>94.96142857142857</v>
      </c>
      <c r="E70" s="5">
        <v>139.25714285714284</v>
      </c>
      <c r="F70" s="5">
        <v>124.54285714285716</v>
      </c>
      <c r="G70" s="5">
        <v>93.676666666666662</v>
      </c>
      <c r="H70" s="5">
        <v>99.007142857142867</v>
      </c>
      <c r="I70" s="5">
        <v>113.11999999999999</v>
      </c>
      <c r="J70" s="5">
        <v>0.49500000000000005</v>
      </c>
      <c r="K70" s="5">
        <v>0.505</v>
      </c>
    </row>
    <row r="71" spans="1:11">
      <c r="A71" t="s">
        <v>112</v>
      </c>
      <c r="B71" s="5">
        <v>101.32599999999999</v>
      </c>
      <c r="C71" s="5">
        <v>115.6675</v>
      </c>
      <c r="D71" s="5">
        <v>65.8</v>
      </c>
      <c r="E71" s="5">
        <v>83.100000000000009</v>
      </c>
      <c r="F71" s="5">
        <v>106.59400000000001</v>
      </c>
      <c r="G71" s="5">
        <v>104.99250000000001</v>
      </c>
      <c r="H71" s="5">
        <v>56.773999999999987</v>
      </c>
      <c r="I71" s="5">
        <v>81.688000000000002</v>
      </c>
      <c r="J71" s="5">
        <v>0.46571428571428569</v>
      </c>
      <c r="K71" s="5">
        <v>0.53428571428571436</v>
      </c>
    </row>
    <row r="72" spans="1:11">
      <c r="A72" t="s">
        <v>67</v>
      </c>
      <c r="B72" s="5">
        <v>89.335000000000008</v>
      </c>
      <c r="C72" s="5">
        <v>93.622500000000002</v>
      </c>
      <c r="D72" s="5">
        <v>67.350000000000009</v>
      </c>
      <c r="E72" s="5">
        <v>96.736249999999998</v>
      </c>
      <c r="F72" s="5">
        <v>89.160000000000011</v>
      </c>
      <c r="G72" s="5">
        <v>88.375</v>
      </c>
      <c r="H72" s="5">
        <v>77.608749999999986</v>
      </c>
      <c r="I72" s="5">
        <v>78.141249999999999</v>
      </c>
      <c r="J72" s="5">
        <v>0.51749999999999996</v>
      </c>
      <c r="K72" s="5">
        <v>0.48250000000000004</v>
      </c>
    </row>
    <row r="73" spans="1:11">
      <c r="A73" t="s">
        <v>31</v>
      </c>
      <c r="B73" s="5">
        <v>105.24857142857142</v>
      </c>
      <c r="C73" s="5">
        <v>99.122857142857129</v>
      </c>
      <c r="D73" s="5">
        <v>126.73857142857143</v>
      </c>
      <c r="E73" s="5">
        <v>110.52428571428571</v>
      </c>
      <c r="F73" s="5">
        <v>102.70571428571429</v>
      </c>
      <c r="G73" s="5">
        <v>84.71142857142857</v>
      </c>
      <c r="H73" s="5">
        <v>105.76285714285714</v>
      </c>
      <c r="I73" s="5">
        <v>87.728571428571414</v>
      </c>
      <c r="J73" s="5">
        <v>0.39499999999999996</v>
      </c>
      <c r="K73" s="5">
        <v>0.60499999999999998</v>
      </c>
    </row>
    <row r="74" spans="1:11">
      <c r="A74" t="s">
        <v>41</v>
      </c>
      <c r="B74" s="5">
        <v>116.68333333333332</v>
      </c>
      <c r="C74" s="5">
        <v>84.61</v>
      </c>
      <c r="D74" s="5">
        <v>88.98</v>
      </c>
      <c r="E74" s="5">
        <v>98.844999999999985</v>
      </c>
      <c r="F74" s="5">
        <v>117.40666666666668</v>
      </c>
      <c r="G74" s="5">
        <v>79.825999999999993</v>
      </c>
      <c r="H74" s="5">
        <v>96.395000000000024</v>
      </c>
      <c r="I74" s="5">
        <v>97.846666666666678</v>
      </c>
      <c r="J74" s="5">
        <v>0.40714285714285714</v>
      </c>
      <c r="K74" s="5">
        <v>0.59285714285714286</v>
      </c>
    </row>
    <row r="75" spans="1:11">
      <c r="A75" t="s">
        <v>114</v>
      </c>
      <c r="B75" s="5">
        <v>101.77000000000001</v>
      </c>
      <c r="C75" s="5">
        <v>102.90999999999998</v>
      </c>
      <c r="D75" s="5">
        <v>133.75666666666669</v>
      </c>
      <c r="E75" s="5">
        <v>116.54428571428572</v>
      </c>
      <c r="F75" s="5">
        <v>104.83428571428571</v>
      </c>
      <c r="G75" s="5">
        <v>97.508571428571443</v>
      </c>
      <c r="H75" s="5">
        <v>135.04</v>
      </c>
      <c r="I75" s="5">
        <v>113.15428571428571</v>
      </c>
      <c r="J75" s="5">
        <v>0.48571428571428571</v>
      </c>
      <c r="K75" s="5">
        <v>0.51428571428571435</v>
      </c>
    </row>
    <row r="76" spans="1:11">
      <c r="A76" t="s">
        <v>109</v>
      </c>
      <c r="B76" s="5">
        <v>114.07571428571428</v>
      </c>
      <c r="C76" s="5">
        <v>119.42142857142856</v>
      </c>
      <c r="D76" s="5">
        <v>99.49857142857141</v>
      </c>
      <c r="E76" s="5">
        <v>129.22857142857143</v>
      </c>
      <c r="F76" s="5">
        <v>113.13285714285713</v>
      </c>
      <c r="G76" s="5">
        <v>95.952857142857141</v>
      </c>
      <c r="H76" s="5">
        <v>93.351428571428571</v>
      </c>
      <c r="I76" s="5">
        <v>83.215714285714284</v>
      </c>
      <c r="J76" s="5">
        <v>0.47875000000000001</v>
      </c>
      <c r="K76" s="5">
        <v>0.52124999999999999</v>
      </c>
    </row>
    <row r="77" spans="1:11">
      <c r="A77" t="s">
        <v>18</v>
      </c>
      <c r="B77" s="5">
        <v>82.701666666666668</v>
      </c>
      <c r="C77" s="5">
        <v>115.50142857142858</v>
      </c>
      <c r="D77" s="5">
        <v>93.5</v>
      </c>
      <c r="E77" s="5">
        <v>128.18857142857141</v>
      </c>
      <c r="F77" s="5">
        <v>79.788333333333341</v>
      </c>
      <c r="G77" s="5">
        <v>113.76571428571427</v>
      </c>
      <c r="H77" s="5">
        <v>99.454285714285703</v>
      </c>
      <c r="I77" s="5">
        <v>108.94142857142857</v>
      </c>
      <c r="J77" s="5">
        <v>0.47857142857142854</v>
      </c>
      <c r="K77" s="5">
        <v>0.52142857142857146</v>
      </c>
    </row>
    <row r="78" spans="1:11">
      <c r="A78" t="s">
        <v>116</v>
      </c>
      <c r="B78" s="5">
        <v>112.31285714285714</v>
      </c>
      <c r="C78" s="5">
        <v>117.88000000000001</v>
      </c>
      <c r="D78" s="5">
        <v>108.57428571428571</v>
      </c>
      <c r="E78" s="5">
        <v>131.71</v>
      </c>
      <c r="F78" s="5">
        <v>108.05571428571429</v>
      </c>
      <c r="G78" s="5">
        <v>119.13142857142857</v>
      </c>
      <c r="H78" s="5">
        <v>108.21714285714287</v>
      </c>
      <c r="I78" s="5">
        <v>122.44142857142857</v>
      </c>
      <c r="J78" s="5">
        <v>0.48999999999999994</v>
      </c>
      <c r="K78" s="5">
        <v>0.51</v>
      </c>
    </row>
    <row r="79" spans="1:11">
      <c r="A79" t="s">
        <v>87</v>
      </c>
      <c r="B79" s="5">
        <v>118.12857142857142</v>
      </c>
      <c r="C79" s="5">
        <v>123.41285714285713</v>
      </c>
      <c r="D79" s="5">
        <v>121.71285714285715</v>
      </c>
      <c r="E79" s="5">
        <v>104.0257142857143</v>
      </c>
      <c r="F79" s="5">
        <v>111.30857142857143</v>
      </c>
      <c r="G79" s="5">
        <v>126.88714285714286</v>
      </c>
      <c r="H79" s="5">
        <v>120.49428571428572</v>
      </c>
      <c r="I79" s="5">
        <v>95.502857142857138</v>
      </c>
      <c r="J79" s="5">
        <v>0.4885714285714286</v>
      </c>
      <c r="K79" s="5">
        <v>0.51142857142857134</v>
      </c>
    </row>
    <row r="80" spans="1:11">
      <c r="A80" t="s">
        <v>47</v>
      </c>
      <c r="B80" s="5">
        <v>74.293333333333322</v>
      </c>
      <c r="C80" s="5">
        <v>96.949999999999989</v>
      </c>
      <c r="D80" s="5">
        <v>57.591666666666669</v>
      </c>
      <c r="E80" s="5">
        <v>66.333333333333329</v>
      </c>
      <c r="F80" s="5">
        <v>83.778333333333336</v>
      </c>
      <c r="G80" s="5">
        <v>89.218333333333348</v>
      </c>
      <c r="H80" s="5">
        <v>57.854999999999997</v>
      </c>
      <c r="I80" s="5">
        <v>54.118333333333332</v>
      </c>
      <c r="J80" s="5">
        <v>0.42714285714285716</v>
      </c>
      <c r="K80" s="5">
        <v>0.57285714285714284</v>
      </c>
    </row>
    <row r="81" spans="1:11">
      <c r="A81" t="s">
        <v>93</v>
      </c>
      <c r="B81" s="5">
        <v>111.05500000000001</v>
      </c>
      <c r="C81" s="5">
        <v>119.65000000000002</v>
      </c>
      <c r="D81" s="5">
        <v>159.41</v>
      </c>
      <c r="E81" s="5">
        <v>103.44833333333334</v>
      </c>
      <c r="F81" s="5">
        <v>112.75</v>
      </c>
      <c r="G81" s="5">
        <v>122.55666666666667</v>
      </c>
      <c r="H81" s="5">
        <v>153.23833333333332</v>
      </c>
      <c r="I81" s="5">
        <v>88.736666666666665</v>
      </c>
      <c r="J81" s="5">
        <v>0.46999999999999992</v>
      </c>
      <c r="K81" s="5">
        <v>0.53</v>
      </c>
    </row>
    <row r="82" spans="1:11">
      <c r="A82" t="s">
        <v>118</v>
      </c>
      <c r="B82" s="5">
        <v>101.78166666666668</v>
      </c>
      <c r="C82" s="5">
        <v>92.429999999999993</v>
      </c>
      <c r="D82" s="5">
        <v>65.842000000000013</v>
      </c>
      <c r="E82" s="5">
        <v>109.455</v>
      </c>
      <c r="F82" s="5">
        <v>99.041666666666671</v>
      </c>
      <c r="G82" s="5">
        <v>101.54400000000001</v>
      </c>
      <c r="H82" s="5">
        <v>59.291999999999994</v>
      </c>
      <c r="I82" s="5">
        <v>93.953333333333333</v>
      </c>
      <c r="J82" s="5">
        <v>0.45714285714285718</v>
      </c>
      <c r="K82" s="5">
        <v>0.54285714285714282</v>
      </c>
    </row>
    <row r="83" spans="1:11">
      <c r="A83" t="s">
        <v>120</v>
      </c>
      <c r="B83" s="5">
        <v>87.434285714285721</v>
      </c>
      <c r="C83" s="5">
        <v>126.0542857142857</v>
      </c>
      <c r="D83" s="5">
        <v>88.059999999999988</v>
      </c>
      <c r="E83" s="5">
        <v>131.73714285714286</v>
      </c>
      <c r="F83" s="5">
        <v>84.815714285714293</v>
      </c>
      <c r="G83" s="5">
        <v>116.91142857142857</v>
      </c>
      <c r="H83" s="5">
        <v>98.415714285714301</v>
      </c>
      <c r="I83" s="5">
        <v>128.10714285714286</v>
      </c>
      <c r="J83" s="5">
        <v>0.48375000000000001</v>
      </c>
      <c r="K83" s="5">
        <v>0.51624999999999999</v>
      </c>
    </row>
    <row r="84" spans="1:11">
      <c r="A84" t="s">
        <v>45</v>
      </c>
      <c r="B84" s="5">
        <v>78.575000000000003</v>
      </c>
      <c r="C84" s="5">
        <v>105.73833333333333</v>
      </c>
      <c r="D84" s="5">
        <v>92.231666666666683</v>
      </c>
      <c r="E84" s="5">
        <v>120.03666666666668</v>
      </c>
      <c r="F84" s="5">
        <v>78.7</v>
      </c>
      <c r="G84" s="5">
        <v>100.66166666666668</v>
      </c>
      <c r="H84" s="5">
        <v>102.69166666666666</v>
      </c>
      <c r="I84" s="5">
        <v>98.818333333333342</v>
      </c>
      <c r="J84" s="5">
        <v>0.49857142857142861</v>
      </c>
      <c r="K84" s="5">
        <v>0.50142857142857145</v>
      </c>
    </row>
    <row r="85" spans="1:11">
      <c r="A85" t="s">
        <v>101</v>
      </c>
      <c r="B85" s="5">
        <v>88.803333333333327</v>
      </c>
      <c r="C85" s="5">
        <v>110.67</v>
      </c>
      <c r="D85" s="5">
        <v>96.806666666666658</v>
      </c>
      <c r="E85" s="5">
        <v>105.83499999999999</v>
      </c>
      <c r="F85" s="5">
        <v>87.77</v>
      </c>
      <c r="G85" s="5">
        <v>103.63500000000001</v>
      </c>
      <c r="H85" s="5">
        <v>106.36500000000001</v>
      </c>
      <c r="I85" s="5">
        <v>92.144999999999996</v>
      </c>
      <c r="J85" s="5">
        <v>0.44285714285714278</v>
      </c>
      <c r="K85" s="5">
        <v>0.55714285714285705</v>
      </c>
    </row>
    <row r="86" spans="1:11">
      <c r="A86" t="s">
        <v>122</v>
      </c>
      <c r="B86" s="5">
        <v>90.261428571428581</v>
      </c>
      <c r="C86" s="5">
        <v>93.467142857142861</v>
      </c>
      <c r="D86" s="5">
        <v>67.771428571428572</v>
      </c>
      <c r="E86" s="5">
        <v>88.465714285714284</v>
      </c>
      <c r="F86" s="5">
        <v>93.141428571428577</v>
      </c>
      <c r="G86" s="5">
        <v>88.745714285714286</v>
      </c>
      <c r="H86" s="5">
        <v>68.86</v>
      </c>
      <c r="I86" s="5">
        <v>72.871428571428567</v>
      </c>
      <c r="J86" s="5">
        <v>0.43571428571428578</v>
      </c>
      <c r="K86" s="5">
        <v>0.56428571428571428</v>
      </c>
    </row>
    <row r="87" spans="1:11">
      <c r="A87" t="s">
        <v>124</v>
      </c>
      <c r="B87" s="5">
        <v>91.105000000000004</v>
      </c>
      <c r="C87" s="5">
        <v>120.11000000000001</v>
      </c>
      <c r="D87" s="5">
        <v>46.961666666666673</v>
      </c>
      <c r="E87" s="5">
        <v>111.44333333333333</v>
      </c>
      <c r="F87" s="5">
        <v>89.3</v>
      </c>
      <c r="G87" s="5">
        <v>119.328</v>
      </c>
      <c r="H87" s="5">
        <v>54.724999999999994</v>
      </c>
      <c r="I87" s="5">
        <v>110.10833333333333</v>
      </c>
      <c r="J87" s="5">
        <v>0.44857142857142868</v>
      </c>
      <c r="K87" s="5">
        <v>0.55142857142857138</v>
      </c>
    </row>
    <row r="88" spans="1:11">
      <c r="A88" t="s">
        <v>207</v>
      </c>
      <c r="B88" s="5">
        <v>63.65</v>
      </c>
      <c r="C88" s="5">
        <v>144.56</v>
      </c>
      <c r="D88" s="5">
        <v>119.78</v>
      </c>
      <c r="E88" s="5">
        <v>188.27</v>
      </c>
      <c r="F88" s="5">
        <v>58.96</v>
      </c>
      <c r="G88" s="5">
        <v>123.09</v>
      </c>
      <c r="H88" s="5">
        <v>129.81</v>
      </c>
      <c r="I88" s="5">
        <v>103.68</v>
      </c>
      <c r="J88" s="5">
        <v>0.73</v>
      </c>
      <c r="K88" s="5">
        <v>0.27</v>
      </c>
    </row>
    <row r="89" spans="1:11">
      <c r="A89" t="s">
        <v>126</v>
      </c>
      <c r="B89" s="5">
        <v>92.841999999999999</v>
      </c>
      <c r="C89" s="5">
        <v>119.9375</v>
      </c>
      <c r="D89" s="5">
        <v>106.84</v>
      </c>
      <c r="E89" s="5">
        <v>101.96000000000001</v>
      </c>
      <c r="F89" s="5">
        <v>83.550000000000011</v>
      </c>
      <c r="G89" s="5">
        <v>121.46000000000001</v>
      </c>
      <c r="H89" s="5">
        <v>92.91</v>
      </c>
      <c r="I89" s="5">
        <v>101.736</v>
      </c>
      <c r="J89" s="5">
        <v>0.32</v>
      </c>
      <c r="K89" s="5">
        <v>0.68</v>
      </c>
    </row>
    <row r="90" spans="1:11">
      <c r="A90" t="s">
        <v>128</v>
      </c>
      <c r="B90" s="5">
        <v>85.034285714285716</v>
      </c>
      <c r="C90" s="5">
        <v>105.55142857142859</v>
      </c>
      <c r="D90" s="5">
        <v>81.422857142857126</v>
      </c>
      <c r="E90" s="5">
        <v>84.762857142857143</v>
      </c>
      <c r="F90" s="5">
        <v>87.53</v>
      </c>
      <c r="G90" s="5">
        <v>108.96000000000001</v>
      </c>
      <c r="H90" s="5">
        <v>71.20714285714287</v>
      </c>
      <c r="I90" s="5">
        <v>79.59714285714287</v>
      </c>
      <c r="J90" s="5">
        <v>0.46142857142857141</v>
      </c>
      <c r="K90" s="5">
        <v>0.53857142857142848</v>
      </c>
    </row>
    <row r="91" spans="1:11">
      <c r="A91" t="s">
        <v>186</v>
      </c>
      <c r="B91" s="5">
        <v>96.311666666666682</v>
      </c>
      <c r="C91" s="5">
        <v>91.771666666666661</v>
      </c>
      <c r="D91" s="5">
        <v>114.97166666666665</v>
      </c>
      <c r="E91" s="5">
        <v>129.95500000000001</v>
      </c>
      <c r="F91" s="5">
        <v>99.358333333333334</v>
      </c>
      <c r="G91" s="5">
        <v>90.204999999999998</v>
      </c>
      <c r="H91" s="5">
        <v>124.04666666666667</v>
      </c>
      <c r="I91" s="5">
        <v>119.02500000000002</v>
      </c>
      <c r="J91" s="5">
        <v>0.51857142857142857</v>
      </c>
      <c r="K91" s="5">
        <v>0.48142857142857143</v>
      </c>
    </row>
    <row r="92" spans="1:11">
      <c r="A92" t="s">
        <v>65</v>
      </c>
      <c r="B92" s="5">
        <v>81.237142857142857</v>
      </c>
      <c r="C92" s="5">
        <v>142.02166666666668</v>
      </c>
      <c r="D92" s="5">
        <v>112.01285714285714</v>
      </c>
      <c r="E92" s="5">
        <v>132.05285714285714</v>
      </c>
      <c r="F92" s="5">
        <v>88.098571428571432</v>
      </c>
      <c r="G92" s="5">
        <v>108.44833333333334</v>
      </c>
      <c r="H92" s="5">
        <v>115.85142857142856</v>
      </c>
      <c r="I92" s="5">
        <v>110.82142857142857</v>
      </c>
      <c r="J92" s="5">
        <v>0.42142857142857143</v>
      </c>
      <c r="K92" s="5">
        <v>0.57857142857142851</v>
      </c>
    </row>
    <row r="93" spans="1:11">
      <c r="A93" t="s">
        <v>115</v>
      </c>
      <c r="B93" s="5">
        <v>94.50333333333333</v>
      </c>
      <c r="C93" s="5">
        <v>104.74000000000001</v>
      </c>
      <c r="D93" s="5">
        <v>103.86333333333334</v>
      </c>
      <c r="E93" s="5">
        <v>127.32166666666667</v>
      </c>
      <c r="F93" s="5">
        <v>95.893333333333331</v>
      </c>
      <c r="G93" s="5">
        <v>94.466666666666683</v>
      </c>
      <c r="H93" s="5">
        <v>112.45499999999998</v>
      </c>
      <c r="I93" s="5">
        <v>124.09166666666668</v>
      </c>
      <c r="J93" s="5">
        <v>0.49571428571428566</v>
      </c>
      <c r="K93" s="5">
        <v>0.50428571428571434</v>
      </c>
    </row>
    <row r="94" spans="1:11">
      <c r="A94" t="s">
        <v>141</v>
      </c>
      <c r="B94" s="5">
        <v>100.05</v>
      </c>
      <c r="C94" s="5">
        <v>91.08</v>
      </c>
      <c r="D94" s="5">
        <v>106.68</v>
      </c>
      <c r="E94" s="5">
        <v>30.110000000000014</v>
      </c>
      <c r="F94" s="5">
        <v>109.21</v>
      </c>
      <c r="G94" s="5">
        <v>87.06</v>
      </c>
      <c r="H94" s="5">
        <v>71.02</v>
      </c>
      <c r="I94" s="5">
        <v>29.54</v>
      </c>
      <c r="J94" s="5">
        <v>0.32</v>
      </c>
      <c r="K94" s="5">
        <v>0.67999999999999994</v>
      </c>
    </row>
    <row r="95" spans="1:11">
      <c r="A95" t="s">
        <v>103</v>
      </c>
      <c r="B95" s="5">
        <v>115.42571428571429</v>
      </c>
      <c r="C95" s="5">
        <v>101.63285714285713</v>
      </c>
      <c r="D95" s="5">
        <v>91.728571428571428</v>
      </c>
      <c r="E95" s="5">
        <v>124.98166666666668</v>
      </c>
      <c r="F95" s="5">
        <v>109.2757142857143</v>
      </c>
      <c r="G95" s="5">
        <v>98.071428571428569</v>
      </c>
      <c r="H95" s="5">
        <v>103.47999999999999</v>
      </c>
      <c r="I95" s="5">
        <v>97.825000000000003</v>
      </c>
      <c r="J95" s="5">
        <v>0.5971428571428572</v>
      </c>
      <c r="K95" s="5">
        <v>0.40285714285714286</v>
      </c>
    </row>
    <row r="96" spans="1:11">
      <c r="A96" t="s">
        <v>89</v>
      </c>
      <c r="B96" s="5">
        <v>110.51857142857143</v>
      </c>
      <c r="C96" s="5">
        <v>125.40166666666666</v>
      </c>
      <c r="D96" s="5">
        <v>100.45571428571429</v>
      </c>
      <c r="E96" s="5">
        <v>118.02714285714286</v>
      </c>
      <c r="F96" s="5">
        <v>103.59714285714286</v>
      </c>
      <c r="G96" s="5">
        <v>110.96</v>
      </c>
      <c r="H96" s="5">
        <v>89.28</v>
      </c>
      <c r="I96" s="5">
        <v>100.12142857142858</v>
      </c>
      <c r="J96" s="5">
        <v>0.49000000000000005</v>
      </c>
      <c r="K96" s="5">
        <v>0.51</v>
      </c>
    </row>
    <row r="97" spans="1:11">
      <c r="A97" t="s">
        <v>200</v>
      </c>
      <c r="B97" s="5">
        <v>125.34</v>
      </c>
      <c r="C97" s="5">
        <v>125.82</v>
      </c>
      <c r="D97" s="5">
        <v>80.52</v>
      </c>
      <c r="E97" s="5">
        <v>102.56</v>
      </c>
      <c r="F97" s="5">
        <v>116.1</v>
      </c>
      <c r="G97" s="5">
        <v>107.14</v>
      </c>
      <c r="H97" s="5">
        <v>87.26</v>
      </c>
      <c r="I97" s="5">
        <v>56.48</v>
      </c>
      <c r="J97" s="5">
        <v>0.45</v>
      </c>
      <c r="K97" s="5">
        <v>0.55000000000000004</v>
      </c>
    </row>
    <row r="98" spans="1:11">
      <c r="A98" t="s">
        <v>129</v>
      </c>
      <c r="B98" s="5">
        <v>133.45857142857145</v>
      </c>
      <c r="C98" s="5">
        <v>103.26857142857145</v>
      </c>
      <c r="D98" s="5">
        <v>143.99285714285716</v>
      </c>
      <c r="E98" s="5">
        <v>142.63857142857142</v>
      </c>
      <c r="F98" s="5">
        <v>120.86285714285715</v>
      </c>
      <c r="G98" s="5">
        <v>107.08</v>
      </c>
      <c r="H98" s="5">
        <v>130.45142857142858</v>
      </c>
      <c r="I98" s="5">
        <v>107.20285714285714</v>
      </c>
      <c r="J98" s="5">
        <v>0.55857142857142861</v>
      </c>
      <c r="K98" s="5">
        <v>0.44142857142857139</v>
      </c>
    </row>
    <row r="99" spans="1:11">
      <c r="A99" t="s">
        <v>193</v>
      </c>
      <c r="B99" s="5">
        <v>74.209999999999994</v>
      </c>
      <c r="C99" s="5">
        <v>46.27000000000001</v>
      </c>
      <c r="D99" s="5">
        <v>98.89</v>
      </c>
      <c r="E99" s="5">
        <v>95.59</v>
      </c>
      <c r="F99" s="5">
        <v>81.010000000000005</v>
      </c>
      <c r="G99" s="5">
        <v>44.23</v>
      </c>
      <c r="H99" s="5">
        <v>65.83</v>
      </c>
      <c r="I99" s="5">
        <v>93.78</v>
      </c>
      <c r="J99" s="5">
        <v>0.22</v>
      </c>
      <c r="K99" s="5">
        <v>0.78</v>
      </c>
    </row>
    <row r="100" spans="1:11">
      <c r="A100" t="s">
        <v>130</v>
      </c>
      <c r="B100" s="5">
        <v>105.83499999999999</v>
      </c>
      <c r="C100" s="5">
        <v>89.376666666666679</v>
      </c>
      <c r="D100" s="5">
        <v>90.555000000000007</v>
      </c>
      <c r="E100" s="5">
        <v>134.40166666666667</v>
      </c>
      <c r="F100" s="5">
        <v>113.62333333333333</v>
      </c>
      <c r="G100" s="5">
        <v>95.261666666666656</v>
      </c>
      <c r="H100" s="5">
        <v>101.96833333333332</v>
      </c>
      <c r="I100" s="5">
        <v>98.928333333333342</v>
      </c>
      <c r="J100" s="5">
        <v>0.54285714285714282</v>
      </c>
      <c r="K100" s="5">
        <v>0.45714285714285718</v>
      </c>
    </row>
    <row r="101" spans="1:11">
      <c r="A101" t="s">
        <v>37</v>
      </c>
      <c r="B101" s="5">
        <v>122.22000000000001</v>
      </c>
      <c r="C101" s="5">
        <v>89.466000000000008</v>
      </c>
      <c r="D101" s="5">
        <v>119.95833333333333</v>
      </c>
      <c r="E101" s="5">
        <v>123.05166666666666</v>
      </c>
      <c r="F101" s="5">
        <v>109.645</v>
      </c>
      <c r="G101" s="5">
        <v>84.176000000000002</v>
      </c>
      <c r="H101" s="5">
        <v>111.22666666666667</v>
      </c>
      <c r="I101" s="5">
        <v>116.01666666666667</v>
      </c>
      <c r="J101" s="5">
        <v>0.47142857142857142</v>
      </c>
      <c r="K101" s="5">
        <v>0.52857142857142858</v>
      </c>
    </row>
    <row r="102" spans="1:11">
      <c r="A102" t="s">
        <v>132</v>
      </c>
      <c r="B102" s="5">
        <v>67.283333333333346</v>
      </c>
      <c r="C102" s="5">
        <v>114.37714285714284</v>
      </c>
      <c r="D102" s="5">
        <v>111.15571428571427</v>
      </c>
      <c r="E102" s="5">
        <v>137.98142857142858</v>
      </c>
      <c r="F102" s="5">
        <v>66.896666666666661</v>
      </c>
      <c r="G102" s="5">
        <v>99.295714285714297</v>
      </c>
      <c r="H102" s="5">
        <v>104.30714285714286</v>
      </c>
      <c r="I102" s="5">
        <v>117.73571428571429</v>
      </c>
      <c r="J102" s="5">
        <v>0.49374999999999997</v>
      </c>
      <c r="K102" s="5">
        <v>0.50625000000000009</v>
      </c>
    </row>
    <row r="103" spans="1:11">
      <c r="A103" t="s">
        <v>134</v>
      </c>
      <c r="B103" s="5">
        <v>94.026666666666657</v>
      </c>
      <c r="C103" s="5">
        <v>90.823333333333338</v>
      </c>
      <c r="D103" s="5">
        <v>49.391666666666673</v>
      </c>
      <c r="E103" s="5">
        <v>90.771666666666661</v>
      </c>
      <c r="F103" s="5">
        <v>104.57166666666667</v>
      </c>
      <c r="G103" s="5">
        <v>90.408333333333317</v>
      </c>
      <c r="H103" s="5">
        <v>66.883333333333326</v>
      </c>
      <c r="I103" s="5">
        <v>97.509999999999991</v>
      </c>
      <c r="J103" s="5">
        <v>0.44</v>
      </c>
      <c r="K103" s="5">
        <v>0.56000000000000005</v>
      </c>
    </row>
    <row r="104" spans="1:11">
      <c r="A104" t="s">
        <v>123</v>
      </c>
      <c r="B104" s="5">
        <v>101.44833333333334</v>
      </c>
      <c r="C104" s="5">
        <v>123.41833333333334</v>
      </c>
      <c r="D104" s="5">
        <v>89.13</v>
      </c>
      <c r="E104" s="5">
        <v>106.12</v>
      </c>
      <c r="F104" s="5">
        <v>101.39666666666666</v>
      </c>
      <c r="G104" s="5">
        <v>119.99000000000001</v>
      </c>
      <c r="H104" s="5">
        <v>84.938333333333333</v>
      </c>
      <c r="I104" s="5">
        <v>91.416666666666671</v>
      </c>
      <c r="J104" s="5">
        <v>0.57500000000000007</v>
      </c>
      <c r="K104" s="5">
        <v>0.42500000000000004</v>
      </c>
    </row>
    <row r="105" spans="1:11">
      <c r="A105" t="s">
        <v>187</v>
      </c>
      <c r="B105" s="5">
        <v>112.76</v>
      </c>
      <c r="C105" s="5">
        <v>98.46142857142857</v>
      </c>
      <c r="D105" s="5">
        <v>129.75142857142856</v>
      </c>
      <c r="E105" s="5">
        <v>139.33571428571429</v>
      </c>
      <c r="F105" s="5">
        <v>112.45571428571429</v>
      </c>
      <c r="G105" s="5">
        <v>100.46571428571428</v>
      </c>
      <c r="H105" s="5">
        <v>130.63000000000002</v>
      </c>
      <c r="I105" s="5">
        <v>138.34428571428572</v>
      </c>
      <c r="J105" s="5">
        <v>0.57714285714285718</v>
      </c>
      <c r="K105" s="5">
        <v>0.42285714285714288</v>
      </c>
    </row>
    <row r="106" spans="1:11">
      <c r="A106" t="s">
        <v>136</v>
      </c>
      <c r="B106" s="5">
        <v>95.59</v>
      </c>
      <c r="C106" s="5">
        <v>109.16000000000001</v>
      </c>
      <c r="D106" s="5">
        <v>98.103999999999999</v>
      </c>
      <c r="E106" s="5">
        <v>66.572000000000003</v>
      </c>
      <c r="F106" s="5">
        <v>72.867500000000007</v>
      </c>
      <c r="G106" s="5">
        <v>94.317999999999984</v>
      </c>
      <c r="H106" s="5">
        <v>77.256</v>
      </c>
      <c r="I106" s="5">
        <v>73.306000000000012</v>
      </c>
      <c r="J106" s="5">
        <v>0.52374999999999994</v>
      </c>
      <c r="K106" s="5">
        <v>0.47625000000000001</v>
      </c>
    </row>
    <row r="107" spans="1:11">
      <c r="A107" t="s">
        <v>137</v>
      </c>
      <c r="B107" s="5">
        <v>119.62428571428572</v>
      </c>
      <c r="C107" s="5">
        <v>99.028571428571425</v>
      </c>
      <c r="D107" s="5">
        <v>102.81285714285715</v>
      </c>
      <c r="E107" s="5">
        <v>92.728571428571414</v>
      </c>
      <c r="F107" s="5">
        <v>113.83285714285714</v>
      </c>
      <c r="G107" s="5">
        <v>100.22714285714287</v>
      </c>
      <c r="H107" s="5">
        <v>92.844285714285704</v>
      </c>
      <c r="I107" s="5">
        <v>94.358571428571423</v>
      </c>
      <c r="J107" s="5">
        <v>0.38714285714285718</v>
      </c>
      <c r="K107" s="5">
        <v>0.61285714285714299</v>
      </c>
    </row>
    <row r="108" spans="1:11">
      <c r="A108" t="s">
        <v>138</v>
      </c>
      <c r="B108" s="5">
        <v>117.13428571428572</v>
      </c>
      <c r="C108" s="5">
        <v>101.54428571428571</v>
      </c>
      <c r="D108" s="5">
        <v>104.25857142857141</v>
      </c>
      <c r="E108" s="5">
        <v>132.70285714285714</v>
      </c>
      <c r="F108" s="5">
        <v>121.59142857142858</v>
      </c>
      <c r="G108" s="5">
        <v>90.142857142857139</v>
      </c>
      <c r="H108" s="5">
        <v>113.61428571428573</v>
      </c>
      <c r="I108" s="5">
        <v>112.91142857142856</v>
      </c>
      <c r="J108" s="5">
        <v>0.48</v>
      </c>
      <c r="K108" s="5">
        <v>0.52</v>
      </c>
    </row>
    <row r="109" spans="1:11">
      <c r="A109" t="s">
        <v>55</v>
      </c>
      <c r="B109" s="5">
        <v>91.158333333333346</v>
      </c>
      <c r="C109" s="5">
        <v>88.606666666666669</v>
      </c>
      <c r="D109" s="5">
        <v>68.066666666666663</v>
      </c>
      <c r="E109" s="5">
        <v>102.63499999999999</v>
      </c>
      <c r="F109" s="5">
        <v>92.186666666666667</v>
      </c>
      <c r="G109" s="5">
        <v>85.355000000000018</v>
      </c>
      <c r="H109" s="5">
        <v>66.441666666666677</v>
      </c>
      <c r="I109" s="5">
        <v>93.265000000000001</v>
      </c>
      <c r="J109" s="5">
        <v>0.47000000000000003</v>
      </c>
      <c r="K109" s="5">
        <v>0.52999999999999992</v>
      </c>
    </row>
    <row r="110" spans="1:11">
      <c r="A110" t="s">
        <v>140</v>
      </c>
      <c r="B110" s="5">
        <v>95.886250000000004</v>
      </c>
      <c r="C110" s="5">
        <v>115.41142857142857</v>
      </c>
      <c r="D110" s="5">
        <v>83.837499999999991</v>
      </c>
      <c r="E110" s="5">
        <v>101.6725</v>
      </c>
      <c r="F110" s="5">
        <v>85.413749999999993</v>
      </c>
      <c r="G110" s="5">
        <v>102.98142857142859</v>
      </c>
      <c r="H110" s="5">
        <v>72.353750000000005</v>
      </c>
      <c r="I110" s="5">
        <v>88.033749999999984</v>
      </c>
      <c r="J110" s="5">
        <v>0.41</v>
      </c>
      <c r="K110" s="5">
        <v>0.59000000000000008</v>
      </c>
    </row>
    <row r="111" spans="1:11">
      <c r="A111" t="s">
        <v>117</v>
      </c>
      <c r="B111" s="5">
        <v>93.190000000000012</v>
      </c>
      <c r="C111" s="5">
        <v>99.215714285714299</v>
      </c>
      <c r="D111" s="5">
        <v>101.78999999999999</v>
      </c>
      <c r="E111" s="5">
        <v>128.83142857142857</v>
      </c>
      <c r="F111" s="5">
        <v>95.368571428571414</v>
      </c>
      <c r="G111" s="5">
        <v>97.05285714285715</v>
      </c>
      <c r="H111" s="5">
        <v>105.34857142857142</v>
      </c>
      <c r="I111" s="5">
        <v>114.77428571428571</v>
      </c>
      <c r="J111" s="5">
        <v>0.49714285714285722</v>
      </c>
      <c r="K111" s="5">
        <v>0.50285714285714278</v>
      </c>
    </row>
    <row r="112" spans="1:11">
      <c r="A112" t="s">
        <v>170</v>
      </c>
      <c r="B112" s="5">
        <v>75.287142857142854</v>
      </c>
      <c r="C112" s="5">
        <v>80.657142857142844</v>
      </c>
      <c r="D112" s="5">
        <v>81.387142857142848</v>
      </c>
      <c r="E112" s="5">
        <v>87.237142857142871</v>
      </c>
      <c r="F112" s="5">
        <v>82.415714285714287</v>
      </c>
      <c r="G112" s="5">
        <v>77.649999999999991</v>
      </c>
      <c r="H112" s="5">
        <v>89.691428571428574</v>
      </c>
      <c r="I112" s="5">
        <v>72.154285714285706</v>
      </c>
      <c r="J112" s="5">
        <v>0.45428571428571429</v>
      </c>
      <c r="K112" s="5">
        <v>0.54571428571428582</v>
      </c>
    </row>
    <row r="113" spans="1:11">
      <c r="A113" t="s">
        <v>25</v>
      </c>
      <c r="B113" s="5">
        <v>133.13</v>
      </c>
      <c r="C113" s="5">
        <v>74.17</v>
      </c>
      <c r="D113" s="5">
        <v>74.569999999999993</v>
      </c>
      <c r="E113" s="5">
        <v>143.96</v>
      </c>
      <c r="F113" s="5">
        <v>123.31</v>
      </c>
      <c r="G113" s="5">
        <v>63.16</v>
      </c>
      <c r="H113" s="5">
        <v>80.819999999999993</v>
      </c>
      <c r="I113" s="5">
        <v>79.28</v>
      </c>
      <c r="J113" s="5">
        <v>0.57999999999999996</v>
      </c>
      <c r="K113" s="5">
        <v>0.42000000000000004</v>
      </c>
    </row>
    <row r="114" spans="1:11">
      <c r="A114" t="s">
        <v>142</v>
      </c>
      <c r="B114" s="5">
        <v>104.39166666666667</v>
      </c>
      <c r="C114" s="5">
        <v>122.63666666666666</v>
      </c>
      <c r="D114" s="5">
        <v>86.361666666666665</v>
      </c>
      <c r="E114" s="5">
        <v>110.50666666666667</v>
      </c>
      <c r="F114" s="5">
        <v>98.483333333333334</v>
      </c>
      <c r="G114" s="5">
        <v>106.24333333333334</v>
      </c>
      <c r="H114" s="5">
        <v>90.254999999999995</v>
      </c>
      <c r="I114" s="5">
        <v>88.233333333333334</v>
      </c>
      <c r="J114" s="5">
        <v>0.52142857142857146</v>
      </c>
      <c r="K114" s="5">
        <v>0.47857142857142854</v>
      </c>
    </row>
    <row r="115" spans="1:11">
      <c r="A115" t="s">
        <v>75</v>
      </c>
      <c r="B115" s="5">
        <v>97.768333333333331</v>
      </c>
      <c r="C115" s="5">
        <v>88.127142857142871</v>
      </c>
      <c r="D115" s="5">
        <v>101.28571428571429</v>
      </c>
      <c r="E115" s="5">
        <v>79.985714285714295</v>
      </c>
      <c r="F115" s="5">
        <v>95.855000000000004</v>
      </c>
      <c r="G115" s="5">
        <v>94.100000000000009</v>
      </c>
      <c r="H115" s="5">
        <v>106.47999999999999</v>
      </c>
      <c r="I115" s="5">
        <v>70.857142857142861</v>
      </c>
      <c r="J115" s="5">
        <v>0.48142857142857143</v>
      </c>
      <c r="K115" s="5">
        <v>0.51857142857142857</v>
      </c>
    </row>
    <row r="116" spans="1:11">
      <c r="A116" t="s">
        <v>144</v>
      </c>
      <c r="B116" s="5">
        <v>81.263999999999996</v>
      </c>
      <c r="C116" s="5">
        <v>75.603333333333325</v>
      </c>
      <c r="D116" s="5">
        <v>72.954999999999998</v>
      </c>
      <c r="E116" s="5">
        <v>117.94833333333334</v>
      </c>
      <c r="F116" s="5">
        <v>87.507999999999996</v>
      </c>
      <c r="G116" s="5">
        <v>82.686666666666667</v>
      </c>
      <c r="H116" s="5">
        <v>83.206666666666663</v>
      </c>
      <c r="I116" s="5">
        <v>109.66000000000001</v>
      </c>
      <c r="J116" s="5">
        <v>0.47500000000000003</v>
      </c>
      <c r="K116" s="5">
        <v>0.52500000000000002</v>
      </c>
    </row>
    <row r="117" spans="1:11">
      <c r="A117" t="s">
        <v>146</v>
      </c>
      <c r="B117" s="5">
        <v>83.606666666666669</v>
      </c>
      <c r="C117" s="5">
        <v>106.78666666666665</v>
      </c>
      <c r="D117" s="5">
        <v>56.433333333333337</v>
      </c>
      <c r="E117" s="5">
        <v>153.15166666666667</v>
      </c>
      <c r="F117" s="5">
        <v>85.926666666666677</v>
      </c>
      <c r="G117" s="5">
        <v>104.54</v>
      </c>
      <c r="H117" s="5">
        <v>64.371666666666655</v>
      </c>
      <c r="I117" s="5">
        <v>132.10499999999999</v>
      </c>
      <c r="J117" s="5">
        <v>0.50142857142857145</v>
      </c>
      <c r="K117" s="5">
        <v>0.49857142857142861</v>
      </c>
    </row>
    <row r="118" spans="1:11">
      <c r="A118" t="s">
        <v>33</v>
      </c>
      <c r="B118" s="5">
        <v>103.78833333333334</v>
      </c>
      <c r="C118" s="5">
        <v>99.158333333333346</v>
      </c>
      <c r="D118" s="5">
        <v>130.68666666666667</v>
      </c>
      <c r="E118" s="5">
        <v>122.07166666666666</v>
      </c>
      <c r="F118" s="5">
        <v>106.89666666666666</v>
      </c>
      <c r="G118" s="5">
        <v>90.196666666666658</v>
      </c>
      <c r="H118" s="5">
        <v>130.60999999999999</v>
      </c>
      <c r="I118" s="5">
        <v>104.08666666666666</v>
      </c>
      <c r="J118" s="5">
        <v>0.47857142857142859</v>
      </c>
      <c r="K118" s="5">
        <v>0.52142857142857146</v>
      </c>
    </row>
    <row r="119" spans="1:11">
      <c r="A119" t="s">
        <v>148</v>
      </c>
      <c r="B119" s="5">
        <v>77.453333333333333</v>
      </c>
      <c r="C119" s="5">
        <v>107.61</v>
      </c>
      <c r="D119" s="5">
        <v>121.03833333333334</v>
      </c>
      <c r="E119" s="5">
        <v>85.383333333333326</v>
      </c>
      <c r="F119" s="5">
        <v>77.968333333333348</v>
      </c>
      <c r="G119" s="5">
        <v>110.07333333333332</v>
      </c>
      <c r="H119" s="5">
        <v>114.99333333333334</v>
      </c>
      <c r="I119" s="5">
        <v>68.321666666666658</v>
      </c>
      <c r="J119" s="5">
        <v>0.50571428571428578</v>
      </c>
      <c r="K119" s="5">
        <v>0.49428571428571427</v>
      </c>
    </row>
    <row r="120" spans="1:11">
      <c r="A120" t="s">
        <v>150</v>
      </c>
      <c r="B120" s="5">
        <v>85.149999999999991</v>
      </c>
      <c r="C120" s="5">
        <v>92.626666666666665</v>
      </c>
      <c r="D120" s="5">
        <v>55.07</v>
      </c>
      <c r="E120" s="5">
        <v>108.37666666666667</v>
      </c>
      <c r="F120" s="5">
        <v>88.933333333333337</v>
      </c>
      <c r="G120" s="5">
        <v>89.796666666666667</v>
      </c>
      <c r="H120" s="5">
        <v>67.563333333333333</v>
      </c>
      <c r="I120" s="5">
        <v>95.276666666666685</v>
      </c>
      <c r="J120" s="5">
        <v>0.46857142857142858</v>
      </c>
      <c r="K120" s="5">
        <v>0.53142857142857136</v>
      </c>
    </row>
    <row r="121" spans="1:11">
      <c r="A121" t="s">
        <v>152</v>
      </c>
      <c r="B121" s="5">
        <v>62.793333333333329</v>
      </c>
      <c r="C121" s="5">
        <v>126.29600000000001</v>
      </c>
      <c r="D121" s="5">
        <v>88.421666666666667</v>
      </c>
      <c r="E121" s="5">
        <v>122.11333333333334</v>
      </c>
      <c r="F121" s="5">
        <v>74.309999999999988</v>
      </c>
      <c r="G121" s="5">
        <v>109.11000000000001</v>
      </c>
      <c r="H121" s="5">
        <v>91.56</v>
      </c>
      <c r="I121" s="5">
        <v>114.35333333333334</v>
      </c>
      <c r="J121" s="5">
        <v>0.41428571428571426</v>
      </c>
      <c r="K121" s="5">
        <v>0.58571428571428563</v>
      </c>
    </row>
    <row r="122" spans="1:11">
      <c r="A122" t="s">
        <v>154</v>
      </c>
      <c r="B122" s="5">
        <v>71.986666666666665</v>
      </c>
      <c r="C122" s="5">
        <v>108.00399999999999</v>
      </c>
      <c r="D122" s="5">
        <v>99.646666666666661</v>
      </c>
      <c r="E122" s="5">
        <v>115.78166666666665</v>
      </c>
      <c r="F122" s="5">
        <v>74.126666666666665</v>
      </c>
      <c r="G122" s="5">
        <v>100.22200000000001</v>
      </c>
      <c r="H122" s="5">
        <v>102.44666666666667</v>
      </c>
      <c r="I122" s="5">
        <v>96.851666666666645</v>
      </c>
      <c r="J122" s="5">
        <v>0.45142857142857146</v>
      </c>
      <c r="K122" s="5">
        <v>0.54857142857142871</v>
      </c>
    </row>
    <row r="123" spans="1:11">
      <c r="A123" t="s">
        <v>156</v>
      </c>
      <c r="B123" s="5">
        <v>101.61000000000001</v>
      </c>
      <c r="C123" s="5">
        <v>113.25999999999999</v>
      </c>
      <c r="D123" s="5">
        <v>107.47285714285715</v>
      </c>
      <c r="E123" s="5">
        <v>145.58285714285714</v>
      </c>
      <c r="F123" s="5">
        <v>99.545714285714283</v>
      </c>
      <c r="G123" s="5">
        <v>111.64571428571428</v>
      </c>
      <c r="H123" s="5">
        <v>111.95857142857143</v>
      </c>
      <c r="I123" s="5">
        <v>104.56999999999998</v>
      </c>
      <c r="J123" s="5">
        <v>0.51749999999999996</v>
      </c>
      <c r="K123" s="5">
        <v>0.48250000000000004</v>
      </c>
    </row>
    <row r="124" spans="1:11">
      <c r="A124" t="s">
        <v>131</v>
      </c>
      <c r="B124" s="5">
        <v>110.99333333333333</v>
      </c>
      <c r="C124" s="5">
        <v>107.34333333333332</v>
      </c>
      <c r="D124" s="5">
        <v>68.581666666666663</v>
      </c>
      <c r="E124" s="5">
        <v>102.40833333333335</v>
      </c>
      <c r="F124" s="5">
        <v>110.32166666666667</v>
      </c>
      <c r="G124" s="5">
        <v>103.52</v>
      </c>
      <c r="H124" s="5">
        <v>76.598333333333315</v>
      </c>
      <c r="I124" s="5">
        <v>81.94</v>
      </c>
      <c r="J124" s="5">
        <v>0.54285714285714282</v>
      </c>
      <c r="K124" s="5">
        <v>0.45714285714285718</v>
      </c>
    </row>
    <row r="125" spans="1:11">
      <c r="A125" t="s">
        <v>158</v>
      </c>
      <c r="B125" s="5">
        <v>125.74333333333334</v>
      </c>
      <c r="C125" s="5">
        <v>93.843333333333348</v>
      </c>
      <c r="D125" s="5">
        <v>118.16666666666667</v>
      </c>
      <c r="E125" s="5">
        <v>104.04833333333333</v>
      </c>
      <c r="F125" s="5">
        <v>125.36000000000001</v>
      </c>
      <c r="G125" s="5">
        <v>93.216666666666654</v>
      </c>
      <c r="H125" s="5">
        <v>141.16666666666666</v>
      </c>
      <c r="I125" s="5">
        <v>74.431666666666658</v>
      </c>
      <c r="J125" s="5">
        <v>0.54571428571428571</v>
      </c>
      <c r="K125" s="5">
        <v>0.45428571428571429</v>
      </c>
    </row>
    <row r="126" spans="1:11">
      <c r="A126" t="s">
        <v>160</v>
      </c>
      <c r="B126" s="5">
        <v>110.61</v>
      </c>
      <c r="C126" s="5">
        <v>91.00333333333333</v>
      </c>
      <c r="D126" s="5">
        <v>59.71</v>
      </c>
      <c r="E126" s="5">
        <v>95.586666666666659</v>
      </c>
      <c r="F126" s="5">
        <v>101.36833333333334</v>
      </c>
      <c r="G126" s="5">
        <v>88.761666666666656</v>
      </c>
      <c r="H126" s="5">
        <v>60.936666666666667</v>
      </c>
      <c r="I126" s="5">
        <v>87.318333333333328</v>
      </c>
      <c r="J126" s="5">
        <v>0.47285714285714281</v>
      </c>
      <c r="K126" s="5">
        <v>0.52714285714285725</v>
      </c>
    </row>
    <row r="127" spans="1:11">
      <c r="A127" t="s">
        <v>177</v>
      </c>
      <c r="B127" s="5">
        <v>109.96499999999999</v>
      </c>
      <c r="C127" s="5">
        <v>107.32166666666667</v>
      </c>
      <c r="D127" s="5">
        <v>79.456666666666663</v>
      </c>
      <c r="E127" s="5">
        <v>110.18333333333334</v>
      </c>
      <c r="F127" s="5">
        <v>113.73000000000002</v>
      </c>
      <c r="G127" s="5">
        <v>98.066666666666663</v>
      </c>
      <c r="H127" s="5">
        <v>86.013333333333335</v>
      </c>
      <c r="I127" s="5">
        <v>86.07</v>
      </c>
      <c r="J127" s="5">
        <v>0.48000000000000004</v>
      </c>
      <c r="K127" s="5">
        <v>0.52000000000000013</v>
      </c>
    </row>
    <row r="128" spans="1:11">
      <c r="A128" t="s">
        <v>85</v>
      </c>
      <c r="B128" s="5">
        <v>80.088333333333324</v>
      </c>
      <c r="C128" s="5">
        <v>118.88199999999999</v>
      </c>
      <c r="D128" s="5">
        <v>95.308333333333351</v>
      </c>
      <c r="E128" s="5">
        <v>112.125</v>
      </c>
      <c r="F128" s="5">
        <v>80.693333333333328</v>
      </c>
      <c r="G128" s="5">
        <v>94.496000000000009</v>
      </c>
      <c r="H128" s="5">
        <v>103.37833333333333</v>
      </c>
      <c r="I128" s="5">
        <v>83.904999999999987</v>
      </c>
      <c r="J128" s="5">
        <v>0.46857142857142858</v>
      </c>
      <c r="K128" s="5">
        <v>0.53142857142857136</v>
      </c>
    </row>
    <row r="129" spans="1:11">
      <c r="A129" t="s">
        <v>191</v>
      </c>
      <c r="B129" s="5">
        <v>111.22666666666667</v>
      </c>
      <c r="C129" s="5">
        <v>105.61800000000001</v>
      </c>
      <c r="D129" s="5">
        <v>73.566666666666677</v>
      </c>
      <c r="E129" s="5">
        <v>73.228333333333339</v>
      </c>
      <c r="F129" s="5">
        <v>109.33166666666666</v>
      </c>
      <c r="G129" s="5">
        <v>103.61800000000001</v>
      </c>
      <c r="H129" s="5">
        <v>70.2</v>
      </c>
      <c r="I129" s="5">
        <v>56.666666666666664</v>
      </c>
      <c r="J129" s="5">
        <v>0.40571428571428569</v>
      </c>
      <c r="K129" s="5">
        <v>0.59428571428571419</v>
      </c>
    </row>
    <row r="130" spans="1:11">
      <c r="A130" t="s">
        <v>145</v>
      </c>
      <c r="B130" s="5">
        <v>141.27833333333334</v>
      </c>
      <c r="C130" s="5">
        <v>112.95333333333333</v>
      </c>
      <c r="D130" s="5">
        <v>145.96666666666667</v>
      </c>
      <c r="E130" s="5">
        <v>126.16666666666667</v>
      </c>
      <c r="F130" s="5">
        <v>134.58333333333334</v>
      </c>
      <c r="G130" s="5">
        <v>105.63166666666666</v>
      </c>
      <c r="H130" s="5">
        <v>158.70833333333334</v>
      </c>
      <c r="I130" s="5">
        <v>113.265</v>
      </c>
      <c r="J130" s="5">
        <v>0.43142857142857138</v>
      </c>
      <c r="K130" s="5">
        <v>0.56857142857142862</v>
      </c>
    </row>
    <row r="131" spans="1:11">
      <c r="A131" t="s">
        <v>162</v>
      </c>
      <c r="B131" s="5">
        <v>92.15</v>
      </c>
      <c r="C131" s="5">
        <v>103.95399999999999</v>
      </c>
      <c r="D131" s="5">
        <v>117.60999999999999</v>
      </c>
      <c r="E131" s="5">
        <v>111.08200000000002</v>
      </c>
      <c r="F131" s="5">
        <v>88.633999999999986</v>
      </c>
      <c r="G131" s="5">
        <v>95.693999999999988</v>
      </c>
      <c r="H131" s="5">
        <v>109.346</v>
      </c>
      <c r="I131" s="5">
        <v>100.94399999999999</v>
      </c>
      <c r="J131" s="5">
        <v>0.3833333333333333</v>
      </c>
      <c r="K131" s="5">
        <v>0.6166666666666667</v>
      </c>
    </row>
    <row r="132" spans="1:11">
      <c r="A132" t="s">
        <v>238</v>
      </c>
      <c r="B132" s="5">
        <v>97.660184696569942</v>
      </c>
      <c r="C132" s="5">
        <v>102.72557312252954</v>
      </c>
      <c r="D132" s="5">
        <v>92.243860759493657</v>
      </c>
      <c r="E132" s="5">
        <v>108.22772151898728</v>
      </c>
      <c r="F132" s="5">
        <v>98.173113456464407</v>
      </c>
      <c r="G132" s="5">
        <v>97.455335968379401</v>
      </c>
      <c r="H132" s="5">
        <v>94.65688607594943</v>
      </c>
      <c r="I132" s="5">
        <v>93.555670886076086</v>
      </c>
      <c r="J132" s="5">
        <v>0.46197727272727296</v>
      </c>
      <c r="K132" s="5">
        <v>0.5380227272727276</v>
      </c>
    </row>
    <row r="133" spans="1:11">
      <c r="B133"/>
      <c r="C133"/>
      <c r="D133"/>
      <c r="E133"/>
    </row>
    <row r="134" spans="1:11">
      <c r="B134"/>
      <c r="C134"/>
      <c r="D134"/>
      <c r="E134"/>
    </row>
    <row r="135" spans="1:11">
      <c r="B135"/>
      <c r="C135"/>
      <c r="D135"/>
      <c r="E135"/>
    </row>
    <row r="136" spans="1:11">
      <c r="B136"/>
      <c r="C136"/>
      <c r="D136"/>
      <c r="E136"/>
    </row>
    <row r="137" spans="1:11">
      <c r="B137"/>
      <c r="C137"/>
      <c r="D137"/>
      <c r="E137"/>
    </row>
    <row r="138" spans="1:11">
      <c r="B138"/>
      <c r="C138"/>
      <c r="D138"/>
      <c r="E138"/>
    </row>
    <row r="139" spans="1:11">
      <c r="B139"/>
      <c r="C139"/>
      <c r="D139"/>
      <c r="E139"/>
    </row>
    <row r="140" spans="1:11">
      <c r="B140"/>
      <c r="C140"/>
      <c r="D140"/>
      <c r="E140"/>
    </row>
    <row r="141" spans="1:11">
      <c r="B141"/>
      <c r="C141"/>
      <c r="D141"/>
      <c r="E141"/>
    </row>
    <row r="142" spans="1:11">
      <c r="B142"/>
      <c r="C142"/>
      <c r="D142"/>
      <c r="E142"/>
    </row>
    <row r="143" spans="1:11">
      <c r="B143"/>
      <c r="C143"/>
      <c r="D143"/>
      <c r="E143"/>
    </row>
    <row r="144" spans="1:11">
      <c r="B144"/>
      <c r="C144"/>
      <c r="D144"/>
      <c r="E144"/>
    </row>
    <row r="145" spans="2:5">
      <c r="B145"/>
      <c r="C145"/>
      <c r="D145"/>
      <c r="E145"/>
    </row>
    <row r="146" spans="2:5">
      <c r="B146"/>
      <c r="C146"/>
      <c r="D146"/>
      <c r="E146"/>
    </row>
    <row r="147" spans="2:5">
      <c r="B147"/>
      <c r="C147"/>
      <c r="D147"/>
      <c r="E147"/>
    </row>
    <row r="148" spans="2:5">
      <c r="B148"/>
      <c r="C148"/>
      <c r="D148"/>
      <c r="E148"/>
    </row>
    <row r="149" spans="2:5">
      <c r="B149"/>
      <c r="C149"/>
      <c r="D149"/>
      <c r="E149"/>
    </row>
    <row r="150" spans="2:5">
      <c r="B150"/>
      <c r="C150"/>
      <c r="D150"/>
      <c r="E150"/>
    </row>
    <row r="151" spans="2:5">
      <c r="B151"/>
      <c r="C151"/>
      <c r="D151"/>
      <c r="E151"/>
    </row>
    <row r="152" spans="2:5">
      <c r="B152"/>
      <c r="C152"/>
      <c r="D152"/>
      <c r="E152"/>
    </row>
    <row r="153" spans="2:5">
      <c r="B153"/>
      <c r="C153"/>
      <c r="D153"/>
      <c r="E153"/>
    </row>
    <row r="154" spans="2:5">
      <c r="B154"/>
      <c r="C154"/>
      <c r="D154"/>
      <c r="E154"/>
    </row>
    <row r="155" spans="2:5">
      <c r="B155"/>
      <c r="C155"/>
      <c r="D155"/>
      <c r="E155"/>
    </row>
    <row r="156" spans="2:5">
      <c r="B156"/>
      <c r="C156"/>
      <c r="D156"/>
      <c r="E156"/>
    </row>
    <row r="157" spans="2:5">
      <c r="B157"/>
      <c r="C157"/>
      <c r="D157"/>
      <c r="E157"/>
    </row>
    <row r="158" spans="2:5">
      <c r="B158"/>
      <c r="C158"/>
      <c r="D158"/>
      <c r="E158"/>
    </row>
    <row r="159" spans="2:5">
      <c r="B159"/>
      <c r="C159"/>
      <c r="D159"/>
      <c r="E159"/>
    </row>
    <row r="160" spans="2:5">
      <c r="B160"/>
      <c r="C160"/>
      <c r="D160"/>
      <c r="E160"/>
    </row>
    <row r="161" spans="2:5">
      <c r="B161"/>
      <c r="C161"/>
      <c r="D161"/>
      <c r="E161"/>
    </row>
    <row r="162" spans="2:5">
      <c r="B162"/>
      <c r="C162"/>
      <c r="D162"/>
      <c r="E162"/>
    </row>
    <row r="163" spans="2:5">
      <c r="B163"/>
      <c r="C163"/>
      <c r="D163"/>
      <c r="E163"/>
    </row>
    <row r="164" spans="2:5">
      <c r="B164"/>
      <c r="C164"/>
      <c r="D164"/>
      <c r="E164"/>
    </row>
    <row r="165" spans="2:5">
      <c r="B165"/>
      <c r="C165"/>
      <c r="D165"/>
      <c r="E165"/>
    </row>
    <row r="166" spans="2:5">
      <c r="B166"/>
      <c r="C166"/>
      <c r="D166"/>
      <c r="E166"/>
    </row>
    <row r="167" spans="2:5">
      <c r="B167"/>
      <c r="C167"/>
      <c r="D167"/>
      <c r="E167"/>
    </row>
    <row r="168" spans="2:5">
      <c r="B168"/>
      <c r="C168"/>
      <c r="D168"/>
      <c r="E168"/>
    </row>
    <row r="169" spans="2:5">
      <c r="B169"/>
      <c r="C169"/>
      <c r="D169"/>
      <c r="E169"/>
    </row>
    <row r="170" spans="2:5">
      <c r="B170"/>
      <c r="C170"/>
      <c r="D170"/>
      <c r="E170"/>
    </row>
    <row r="171" spans="2:5">
      <c r="B171"/>
      <c r="C171"/>
      <c r="D171"/>
      <c r="E171"/>
    </row>
    <row r="172" spans="2:5">
      <c r="B172"/>
      <c r="C172"/>
      <c r="D172"/>
      <c r="E172"/>
    </row>
    <row r="173" spans="2:5">
      <c r="B173"/>
      <c r="C173"/>
      <c r="D173"/>
      <c r="E173"/>
    </row>
    <row r="174" spans="2:5">
      <c r="B174"/>
      <c r="C174"/>
      <c r="D174"/>
      <c r="E174"/>
    </row>
    <row r="175" spans="2:5">
      <c r="B175"/>
      <c r="C175"/>
      <c r="D175"/>
      <c r="E175"/>
    </row>
    <row r="176" spans="2:5">
      <c r="B176"/>
      <c r="C176"/>
      <c r="D176"/>
      <c r="E176"/>
    </row>
    <row r="177" spans="2:5">
      <c r="B177"/>
      <c r="C177"/>
      <c r="D177"/>
      <c r="E177"/>
    </row>
    <row r="178" spans="2:5">
      <c r="B178"/>
      <c r="C178"/>
      <c r="D178"/>
      <c r="E178"/>
    </row>
    <row r="179" spans="2:5">
      <c r="B179"/>
      <c r="C179"/>
      <c r="D179"/>
      <c r="E179"/>
    </row>
    <row r="180" spans="2:5">
      <c r="B180"/>
      <c r="C180"/>
      <c r="D180"/>
      <c r="E180"/>
    </row>
    <row r="181" spans="2:5">
      <c r="B181"/>
      <c r="C181"/>
      <c r="D181"/>
      <c r="E181"/>
    </row>
    <row r="182" spans="2:5">
      <c r="B182"/>
      <c r="C182"/>
      <c r="D182"/>
      <c r="E182"/>
    </row>
    <row r="183" spans="2:5">
      <c r="B183"/>
      <c r="C183"/>
      <c r="D183"/>
      <c r="E183"/>
    </row>
    <row r="184" spans="2:5">
      <c r="B184"/>
      <c r="C184"/>
      <c r="D184"/>
      <c r="E184"/>
    </row>
    <row r="185" spans="2:5">
      <c r="B185"/>
      <c r="C185"/>
      <c r="D185"/>
      <c r="E185"/>
    </row>
    <row r="186" spans="2:5">
      <c r="B186"/>
      <c r="C186"/>
      <c r="D186"/>
      <c r="E186"/>
    </row>
    <row r="187" spans="2:5">
      <c r="B187"/>
      <c r="C187"/>
      <c r="D187"/>
      <c r="E187"/>
    </row>
    <row r="188" spans="2:5">
      <c r="B188"/>
      <c r="C188"/>
      <c r="D188"/>
      <c r="E188"/>
    </row>
    <row r="189" spans="2:5">
      <c r="B189"/>
      <c r="C189"/>
      <c r="D189"/>
      <c r="E189"/>
    </row>
    <row r="190" spans="2:5">
      <c r="B190"/>
      <c r="C190"/>
      <c r="D190"/>
      <c r="E190"/>
    </row>
    <row r="191" spans="2:5">
      <c r="B191"/>
      <c r="C191"/>
      <c r="D191"/>
      <c r="E191"/>
    </row>
    <row r="192" spans="2:5">
      <c r="B192"/>
      <c r="C192"/>
      <c r="D192"/>
      <c r="E192"/>
    </row>
    <row r="193" spans="2:5">
      <c r="B193"/>
      <c r="C193"/>
      <c r="D193"/>
      <c r="E193"/>
    </row>
    <row r="194" spans="2:5">
      <c r="B194"/>
      <c r="C194"/>
      <c r="D194"/>
      <c r="E194"/>
    </row>
    <row r="195" spans="2:5">
      <c r="B195"/>
      <c r="C195"/>
      <c r="D195"/>
      <c r="E195"/>
    </row>
    <row r="196" spans="2:5">
      <c r="B196"/>
      <c r="C196"/>
      <c r="D196"/>
      <c r="E196"/>
    </row>
    <row r="197" spans="2:5">
      <c r="B197"/>
      <c r="C197"/>
      <c r="D197"/>
      <c r="E197"/>
    </row>
    <row r="198" spans="2:5">
      <c r="B198"/>
      <c r="C198"/>
      <c r="D198"/>
      <c r="E198"/>
    </row>
    <row r="199" spans="2:5">
      <c r="B199"/>
      <c r="C199"/>
      <c r="D199"/>
      <c r="E199"/>
    </row>
    <row r="200" spans="2:5">
      <c r="B200"/>
      <c r="C200"/>
      <c r="D200"/>
      <c r="E200"/>
    </row>
    <row r="201" spans="2:5">
      <c r="B201"/>
      <c r="C201"/>
      <c r="D201"/>
      <c r="E201"/>
    </row>
    <row r="202" spans="2:5">
      <c r="B202"/>
      <c r="C202"/>
      <c r="D202"/>
      <c r="E202"/>
    </row>
    <row r="203" spans="2:5">
      <c r="B203"/>
      <c r="C203"/>
      <c r="D203"/>
      <c r="E203"/>
    </row>
    <row r="204" spans="2:5">
      <c r="B204"/>
      <c r="C204"/>
      <c r="D204"/>
      <c r="E204"/>
    </row>
    <row r="205" spans="2:5">
      <c r="B205"/>
      <c r="C205"/>
      <c r="D205"/>
      <c r="E205"/>
    </row>
    <row r="206" spans="2:5">
      <c r="B206"/>
      <c r="C206"/>
      <c r="D206"/>
      <c r="E206"/>
    </row>
    <row r="207" spans="2:5">
      <c r="B207"/>
      <c r="C207"/>
      <c r="D207"/>
      <c r="E207"/>
    </row>
    <row r="208" spans="2:5">
      <c r="B208"/>
      <c r="C208"/>
      <c r="D208"/>
      <c r="E208"/>
    </row>
    <row r="209" spans="2:5">
      <c r="B209"/>
      <c r="C209"/>
      <c r="D209"/>
      <c r="E209"/>
    </row>
    <row r="210" spans="2:5">
      <c r="B210"/>
      <c r="C210"/>
      <c r="D210"/>
      <c r="E210"/>
    </row>
    <row r="211" spans="2:5">
      <c r="B211"/>
      <c r="C211"/>
      <c r="D211"/>
      <c r="E211"/>
    </row>
    <row r="212" spans="2:5">
      <c r="B212"/>
      <c r="C212"/>
      <c r="D212"/>
      <c r="E212"/>
    </row>
    <row r="213" spans="2:5">
      <c r="B213"/>
      <c r="C213"/>
      <c r="D213"/>
      <c r="E213"/>
    </row>
    <row r="214" spans="2:5">
      <c r="B214"/>
      <c r="C214"/>
      <c r="D214"/>
      <c r="E214"/>
    </row>
    <row r="215" spans="2:5">
      <c r="B215"/>
      <c r="C215"/>
      <c r="D215"/>
      <c r="E215"/>
    </row>
    <row r="216" spans="2:5">
      <c r="B216"/>
      <c r="C216"/>
      <c r="D216"/>
      <c r="E216"/>
    </row>
    <row r="217" spans="2:5">
      <c r="B217"/>
      <c r="C217"/>
      <c r="D217"/>
      <c r="E217"/>
    </row>
    <row r="218" spans="2:5">
      <c r="B218"/>
      <c r="C218"/>
      <c r="D218"/>
      <c r="E218"/>
    </row>
    <row r="219" spans="2:5">
      <c r="B219"/>
      <c r="C219"/>
      <c r="D219"/>
      <c r="E219"/>
    </row>
    <row r="220" spans="2:5">
      <c r="B220"/>
      <c r="C220"/>
      <c r="D220"/>
      <c r="E220"/>
    </row>
    <row r="221" spans="2:5">
      <c r="B221"/>
      <c r="C221"/>
      <c r="D221"/>
      <c r="E221"/>
    </row>
    <row r="222" spans="2:5">
      <c r="B222"/>
      <c r="C222"/>
      <c r="D222"/>
      <c r="E222"/>
    </row>
    <row r="223" spans="2:5">
      <c r="B223"/>
      <c r="C223"/>
      <c r="D223"/>
      <c r="E223"/>
    </row>
    <row r="224" spans="2:5">
      <c r="B224"/>
      <c r="C224"/>
      <c r="D224"/>
      <c r="E224"/>
    </row>
    <row r="225" spans="2:5">
      <c r="B225"/>
      <c r="C225"/>
      <c r="D225"/>
      <c r="E225"/>
    </row>
    <row r="226" spans="2:5">
      <c r="B226"/>
      <c r="C226"/>
      <c r="D226"/>
      <c r="E226"/>
    </row>
    <row r="227" spans="2:5">
      <c r="B227"/>
      <c r="C227"/>
      <c r="D227"/>
      <c r="E227"/>
    </row>
    <row r="228" spans="2:5">
      <c r="B228"/>
      <c r="C228"/>
      <c r="D228"/>
      <c r="E228"/>
    </row>
    <row r="229" spans="2:5">
      <c r="B229"/>
      <c r="C229"/>
      <c r="D229"/>
      <c r="E229"/>
    </row>
    <row r="230" spans="2:5">
      <c r="B230"/>
      <c r="C230"/>
      <c r="D230"/>
      <c r="E230"/>
    </row>
    <row r="231" spans="2:5">
      <c r="B231"/>
      <c r="C231"/>
      <c r="D231"/>
      <c r="E231"/>
    </row>
    <row r="232" spans="2:5">
      <c r="B232"/>
      <c r="C232"/>
      <c r="D232"/>
      <c r="E232"/>
    </row>
    <row r="233" spans="2:5">
      <c r="B233"/>
      <c r="C233"/>
      <c r="D233"/>
      <c r="E233"/>
    </row>
    <row r="234" spans="2:5">
      <c r="B234"/>
      <c r="C234"/>
      <c r="D234"/>
      <c r="E234"/>
    </row>
    <row r="235" spans="2:5">
      <c r="B235"/>
      <c r="C235"/>
      <c r="D235"/>
      <c r="E235"/>
    </row>
    <row r="236" spans="2:5">
      <c r="B236"/>
      <c r="C236"/>
      <c r="D236"/>
      <c r="E236"/>
    </row>
    <row r="237" spans="2:5">
      <c r="B237"/>
      <c r="C237"/>
      <c r="D237"/>
      <c r="E237"/>
    </row>
    <row r="238" spans="2:5">
      <c r="B238"/>
      <c r="C238"/>
      <c r="D238"/>
      <c r="E238"/>
    </row>
    <row r="239" spans="2:5">
      <c r="B239"/>
      <c r="C239"/>
      <c r="D239"/>
      <c r="E239"/>
    </row>
    <row r="240" spans="2:5">
      <c r="B240"/>
      <c r="C240"/>
      <c r="D240"/>
      <c r="E240"/>
    </row>
    <row r="241" spans="2:5">
      <c r="B241"/>
      <c r="C241"/>
      <c r="D241"/>
      <c r="E241"/>
    </row>
    <row r="242" spans="2:5">
      <c r="B242"/>
      <c r="C242"/>
      <c r="D242"/>
      <c r="E242"/>
    </row>
    <row r="243" spans="2:5">
      <c r="B243"/>
      <c r="C243"/>
      <c r="D243"/>
      <c r="E243"/>
    </row>
    <row r="244" spans="2:5">
      <c r="B244"/>
      <c r="C244"/>
      <c r="D244"/>
      <c r="E244"/>
    </row>
    <row r="245" spans="2:5">
      <c r="B245"/>
      <c r="C245"/>
      <c r="D245"/>
      <c r="E245"/>
    </row>
    <row r="246" spans="2:5">
      <c r="B246"/>
      <c r="C246"/>
      <c r="D246"/>
      <c r="E246"/>
    </row>
    <row r="247" spans="2:5">
      <c r="B247"/>
      <c r="C247"/>
      <c r="D247"/>
      <c r="E247"/>
    </row>
    <row r="248" spans="2:5">
      <c r="B248"/>
      <c r="C248"/>
      <c r="D248"/>
      <c r="E248"/>
    </row>
    <row r="249" spans="2:5">
      <c r="B249"/>
      <c r="C249"/>
      <c r="D249"/>
      <c r="E249"/>
    </row>
    <row r="250" spans="2:5">
      <c r="B250"/>
      <c r="C250"/>
      <c r="D250"/>
      <c r="E250"/>
    </row>
    <row r="251" spans="2:5">
      <c r="B251"/>
      <c r="C251"/>
      <c r="D251"/>
      <c r="E251"/>
    </row>
    <row r="252" spans="2:5">
      <c r="B252"/>
      <c r="C252"/>
      <c r="D252"/>
      <c r="E252"/>
    </row>
    <row r="253" spans="2:5">
      <c r="B253"/>
      <c r="C253"/>
      <c r="D253"/>
      <c r="E253"/>
    </row>
    <row r="254" spans="2:5">
      <c r="B254"/>
      <c r="C254"/>
      <c r="D254"/>
      <c r="E254"/>
    </row>
    <row r="255" spans="2:5">
      <c r="B255"/>
      <c r="C255"/>
      <c r="D255"/>
      <c r="E255"/>
    </row>
    <row r="256" spans="2:5">
      <c r="B256"/>
      <c r="C256"/>
      <c r="D256"/>
      <c r="E256"/>
    </row>
    <row r="257" spans="2:5">
      <c r="B257"/>
      <c r="C257"/>
      <c r="D257"/>
      <c r="E257"/>
    </row>
    <row r="258" spans="2:5">
      <c r="B258"/>
      <c r="C258"/>
      <c r="D258"/>
      <c r="E258"/>
    </row>
    <row r="259" spans="2:5">
      <c r="B259"/>
      <c r="C259"/>
      <c r="D259"/>
      <c r="E259"/>
    </row>
    <row r="260" spans="2:5">
      <c r="B260"/>
      <c r="C260"/>
      <c r="D260"/>
      <c r="E260"/>
    </row>
    <row r="261" spans="2:5">
      <c r="B261"/>
      <c r="C261"/>
      <c r="D261"/>
      <c r="E261"/>
    </row>
    <row r="262" spans="2:5">
      <c r="B262"/>
      <c r="C262"/>
      <c r="D262"/>
      <c r="E262"/>
    </row>
    <row r="263" spans="2:5">
      <c r="B263"/>
      <c r="C263"/>
      <c r="D263"/>
      <c r="E263"/>
    </row>
    <row r="264" spans="2:5">
      <c r="B264"/>
      <c r="C264"/>
      <c r="D264"/>
      <c r="E264"/>
    </row>
    <row r="265" spans="2:5">
      <c r="B265"/>
      <c r="C265"/>
      <c r="D265"/>
      <c r="E265"/>
    </row>
    <row r="266" spans="2:5">
      <c r="B266"/>
      <c r="C266"/>
      <c r="D266"/>
      <c r="E266"/>
    </row>
    <row r="267" spans="2:5">
      <c r="B267"/>
      <c r="C267"/>
      <c r="D267"/>
      <c r="E267"/>
    </row>
    <row r="268" spans="2:5">
      <c r="B268"/>
      <c r="C268"/>
      <c r="D268"/>
      <c r="E268"/>
    </row>
    <row r="269" spans="2:5">
      <c r="B269"/>
      <c r="C269"/>
      <c r="D269"/>
      <c r="E269"/>
    </row>
    <row r="270" spans="2:5">
      <c r="B270"/>
      <c r="C270"/>
      <c r="D270"/>
      <c r="E270"/>
    </row>
    <row r="271" spans="2:5">
      <c r="B271"/>
      <c r="C271"/>
      <c r="D271"/>
      <c r="E271"/>
    </row>
    <row r="272" spans="2:5">
      <c r="B272"/>
      <c r="C272"/>
      <c r="D272"/>
      <c r="E272"/>
    </row>
    <row r="273" spans="2:5">
      <c r="B273"/>
      <c r="C273"/>
      <c r="D273"/>
      <c r="E273"/>
    </row>
    <row r="274" spans="2:5">
      <c r="B274"/>
      <c r="C274"/>
      <c r="D274"/>
      <c r="E274"/>
    </row>
    <row r="275" spans="2:5">
      <c r="B275"/>
      <c r="C275"/>
      <c r="D275"/>
      <c r="E275"/>
    </row>
    <row r="276" spans="2:5">
      <c r="B276"/>
      <c r="C276"/>
      <c r="D276"/>
      <c r="E276"/>
    </row>
    <row r="277" spans="2:5">
      <c r="B277"/>
      <c r="C277"/>
      <c r="D277"/>
      <c r="E277"/>
    </row>
    <row r="278" spans="2:5">
      <c r="B278"/>
      <c r="C278"/>
      <c r="D278"/>
      <c r="E278"/>
    </row>
    <row r="279" spans="2:5">
      <c r="B279"/>
      <c r="C279"/>
      <c r="D279"/>
      <c r="E279"/>
    </row>
    <row r="280" spans="2:5">
      <c r="B280"/>
      <c r="C280"/>
      <c r="D280"/>
      <c r="E280"/>
    </row>
    <row r="281" spans="2:5">
      <c r="B281"/>
      <c r="C281"/>
      <c r="D281"/>
      <c r="E281"/>
    </row>
    <row r="282" spans="2:5">
      <c r="B282"/>
      <c r="C282"/>
      <c r="D282"/>
      <c r="E282"/>
    </row>
    <row r="283" spans="2:5">
      <c r="B283"/>
      <c r="C283"/>
      <c r="D283"/>
      <c r="E283"/>
    </row>
    <row r="284" spans="2:5">
      <c r="B284"/>
      <c r="C284"/>
      <c r="D284"/>
      <c r="E284"/>
    </row>
    <row r="285" spans="2:5">
      <c r="B285"/>
      <c r="C285"/>
      <c r="D285"/>
      <c r="E285"/>
    </row>
    <row r="286" spans="2:5">
      <c r="B286"/>
      <c r="C286"/>
      <c r="D286"/>
      <c r="E286"/>
    </row>
    <row r="287" spans="2:5">
      <c r="B287"/>
      <c r="C287"/>
      <c r="D287"/>
      <c r="E287"/>
    </row>
    <row r="288" spans="2:5">
      <c r="B288"/>
      <c r="C288"/>
      <c r="D288"/>
      <c r="E288"/>
    </row>
    <row r="289" spans="2:5">
      <c r="B289"/>
      <c r="C289"/>
      <c r="D289"/>
      <c r="E289"/>
    </row>
    <row r="290" spans="2:5">
      <c r="B290"/>
      <c r="C290"/>
      <c r="D290"/>
      <c r="E290"/>
    </row>
    <row r="291" spans="2:5">
      <c r="B291"/>
      <c r="C291"/>
      <c r="D291"/>
      <c r="E291"/>
    </row>
    <row r="292" spans="2:5">
      <c r="B292"/>
      <c r="C292"/>
      <c r="D292"/>
      <c r="E292"/>
    </row>
    <row r="293" spans="2:5">
      <c r="B293"/>
      <c r="C293"/>
      <c r="D293"/>
      <c r="E293"/>
    </row>
    <row r="294" spans="2:5">
      <c r="B294"/>
      <c r="C294"/>
      <c r="D294"/>
      <c r="E294"/>
    </row>
    <row r="295" spans="2:5">
      <c r="B295"/>
      <c r="C295"/>
      <c r="D295"/>
      <c r="E295"/>
    </row>
    <row r="296" spans="2:5">
      <c r="B296"/>
      <c r="C296"/>
      <c r="D296"/>
      <c r="E296"/>
    </row>
    <row r="297" spans="2:5">
      <c r="B297"/>
      <c r="C297"/>
      <c r="D297"/>
      <c r="E297"/>
    </row>
    <row r="298" spans="2:5">
      <c r="B298"/>
      <c r="C298"/>
      <c r="D298"/>
      <c r="E298"/>
    </row>
    <row r="299" spans="2:5">
      <c r="B299"/>
      <c r="C299"/>
      <c r="D299"/>
      <c r="E299"/>
    </row>
    <row r="300" spans="2:5">
      <c r="B300"/>
      <c r="C300"/>
      <c r="D300"/>
      <c r="E300"/>
    </row>
    <row r="301" spans="2:5">
      <c r="B301"/>
      <c r="C301"/>
      <c r="D301"/>
      <c r="E301"/>
    </row>
    <row r="302" spans="2:5">
      <c r="B302"/>
      <c r="C302"/>
      <c r="D302"/>
      <c r="E302"/>
    </row>
    <row r="303" spans="2:5">
      <c r="B303"/>
      <c r="C303"/>
      <c r="D303"/>
      <c r="E303"/>
    </row>
    <row r="304" spans="2:5">
      <c r="B304"/>
      <c r="C304"/>
      <c r="D304"/>
      <c r="E304"/>
    </row>
    <row r="305" spans="2:5">
      <c r="B305"/>
      <c r="C305"/>
      <c r="D305"/>
      <c r="E305"/>
    </row>
    <row r="306" spans="2:5">
      <c r="B306"/>
      <c r="C306"/>
      <c r="D306"/>
      <c r="E306"/>
    </row>
    <row r="307" spans="2:5">
      <c r="B307"/>
      <c r="C307"/>
      <c r="D307"/>
      <c r="E307"/>
    </row>
    <row r="308" spans="2:5">
      <c r="B308"/>
      <c r="C308"/>
      <c r="D308"/>
      <c r="E308"/>
    </row>
    <row r="309" spans="2:5">
      <c r="B309"/>
      <c r="C309"/>
      <c r="D309"/>
      <c r="E309"/>
    </row>
    <row r="310" spans="2:5">
      <c r="B310"/>
      <c r="C310"/>
      <c r="D310"/>
      <c r="E310"/>
    </row>
    <row r="311" spans="2:5">
      <c r="B311"/>
      <c r="C311"/>
      <c r="D311"/>
      <c r="E311"/>
    </row>
    <row r="312" spans="2:5">
      <c r="B312"/>
      <c r="C312"/>
      <c r="D312"/>
      <c r="E312"/>
    </row>
    <row r="313" spans="2:5">
      <c r="B313"/>
      <c r="C313"/>
      <c r="D313"/>
      <c r="E313"/>
    </row>
    <row r="314" spans="2:5">
      <c r="B314"/>
      <c r="C314"/>
      <c r="D314"/>
      <c r="E314"/>
    </row>
    <row r="315" spans="2:5">
      <c r="B315"/>
      <c r="C315"/>
      <c r="D315"/>
      <c r="E315"/>
    </row>
    <row r="316" spans="2:5">
      <c r="B316"/>
      <c r="C316"/>
      <c r="D316"/>
      <c r="E316"/>
    </row>
    <row r="317" spans="2:5">
      <c r="B317"/>
      <c r="C317"/>
      <c r="D317"/>
      <c r="E317"/>
    </row>
    <row r="318" spans="2:5">
      <c r="B318"/>
      <c r="C318"/>
      <c r="D318"/>
      <c r="E318"/>
    </row>
    <row r="319" spans="2:5">
      <c r="B319"/>
      <c r="C319"/>
      <c r="D319"/>
      <c r="E319"/>
    </row>
    <row r="320" spans="2:5">
      <c r="B320"/>
      <c r="C320"/>
      <c r="D320"/>
      <c r="E320"/>
    </row>
    <row r="321" spans="2:5">
      <c r="B321"/>
      <c r="C321"/>
      <c r="D321"/>
      <c r="E321"/>
    </row>
    <row r="322" spans="2:5">
      <c r="B322"/>
      <c r="C322"/>
      <c r="D322"/>
      <c r="E322"/>
    </row>
    <row r="323" spans="2:5">
      <c r="B323"/>
      <c r="C323"/>
      <c r="D323"/>
      <c r="E323"/>
    </row>
    <row r="324" spans="2:5">
      <c r="B324"/>
      <c r="C324"/>
      <c r="D324"/>
      <c r="E324"/>
    </row>
    <row r="325" spans="2:5">
      <c r="B325"/>
      <c r="C325"/>
      <c r="D325"/>
      <c r="E325"/>
    </row>
    <row r="326" spans="2:5">
      <c r="B326"/>
      <c r="C326"/>
      <c r="D326"/>
      <c r="E326"/>
    </row>
    <row r="327" spans="2:5">
      <c r="B327"/>
      <c r="C327"/>
      <c r="D327"/>
      <c r="E327"/>
    </row>
    <row r="328" spans="2:5">
      <c r="B328"/>
      <c r="C328"/>
      <c r="D328"/>
      <c r="E328"/>
    </row>
    <row r="329" spans="2:5">
      <c r="B329"/>
      <c r="C329"/>
      <c r="D329"/>
      <c r="E329"/>
    </row>
    <row r="330" spans="2:5">
      <c r="B330"/>
      <c r="C330"/>
      <c r="D330"/>
      <c r="E330"/>
    </row>
    <row r="331" spans="2:5">
      <c r="B331"/>
      <c r="C331"/>
      <c r="D331"/>
      <c r="E331"/>
    </row>
    <row r="332" spans="2:5">
      <c r="B332"/>
      <c r="C332"/>
      <c r="D332"/>
      <c r="E332"/>
    </row>
    <row r="333" spans="2:5">
      <c r="B333"/>
      <c r="C333"/>
      <c r="D333"/>
      <c r="E333"/>
    </row>
    <row r="334" spans="2:5">
      <c r="B334"/>
      <c r="C334"/>
      <c r="D334"/>
      <c r="E334"/>
    </row>
    <row r="335" spans="2:5">
      <c r="B335"/>
      <c r="C335"/>
      <c r="D335"/>
      <c r="E335"/>
    </row>
    <row r="336" spans="2:5">
      <c r="B336"/>
      <c r="C336"/>
      <c r="D336"/>
      <c r="E336"/>
    </row>
    <row r="337" spans="2:5">
      <c r="B337"/>
      <c r="C337"/>
      <c r="D337"/>
      <c r="E337"/>
    </row>
    <row r="338" spans="2:5">
      <c r="B338"/>
      <c r="C338"/>
      <c r="D338"/>
      <c r="E338"/>
    </row>
    <row r="339" spans="2:5">
      <c r="B339"/>
      <c r="C339"/>
      <c r="D339"/>
      <c r="E339"/>
    </row>
    <row r="340" spans="2:5">
      <c r="B340"/>
      <c r="C340"/>
      <c r="D340"/>
      <c r="E340"/>
    </row>
    <row r="341" spans="2:5">
      <c r="B341"/>
      <c r="C341"/>
      <c r="D341"/>
      <c r="E341"/>
    </row>
    <row r="342" spans="2:5">
      <c r="B342"/>
      <c r="C342"/>
      <c r="D342"/>
      <c r="E342"/>
    </row>
    <row r="343" spans="2:5">
      <c r="B343"/>
      <c r="C343"/>
      <c r="D343"/>
      <c r="E343"/>
    </row>
    <row r="344" spans="2:5">
      <c r="B344"/>
      <c r="C344"/>
      <c r="D344"/>
      <c r="E344"/>
    </row>
    <row r="345" spans="2:5">
      <c r="B345"/>
      <c r="C345"/>
      <c r="D345"/>
      <c r="E345"/>
    </row>
    <row r="346" spans="2:5">
      <c r="B346"/>
      <c r="C346"/>
      <c r="D346"/>
      <c r="E346"/>
    </row>
    <row r="347" spans="2:5">
      <c r="B347"/>
      <c r="C347"/>
      <c r="D347"/>
      <c r="E347"/>
    </row>
    <row r="348" spans="2:5">
      <c r="B348"/>
      <c r="C348"/>
      <c r="D348"/>
      <c r="E348"/>
    </row>
    <row r="349" spans="2:5">
      <c r="B349"/>
      <c r="C349"/>
      <c r="D349"/>
      <c r="E349"/>
    </row>
    <row r="350" spans="2:5">
      <c r="B350"/>
      <c r="C350"/>
      <c r="D350"/>
      <c r="E350"/>
    </row>
    <row r="351" spans="2:5">
      <c r="B351"/>
      <c r="C351"/>
      <c r="D351"/>
      <c r="E351"/>
    </row>
    <row r="352" spans="2:5">
      <c r="B352"/>
      <c r="C352"/>
      <c r="D352"/>
      <c r="E352"/>
    </row>
    <row r="353" spans="2:5">
      <c r="B353"/>
      <c r="C353"/>
      <c r="D353"/>
      <c r="E353"/>
    </row>
    <row r="354" spans="2:5">
      <c r="B354"/>
      <c r="C354"/>
      <c r="D354"/>
      <c r="E354"/>
    </row>
    <row r="355" spans="2:5">
      <c r="B355"/>
      <c r="C355"/>
      <c r="D355"/>
      <c r="E355"/>
    </row>
    <row r="356" spans="2:5">
      <c r="B356"/>
      <c r="C356"/>
      <c r="D356"/>
      <c r="E356"/>
    </row>
    <row r="357" spans="2:5">
      <c r="B357"/>
      <c r="C357"/>
      <c r="D357"/>
      <c r="E357"/>
    </row>
    <row r="358" spans="2:5">
      <c r="B358"/>
      <c r="C358"/>
      <c r="D358"/>
      <c r="E358"/>
    </row>
    <row r="359" spans="2:5">
      <c r="B359"/>
      <c r="C359"/>
      <c r="D359"/>
      <c r="E359"/>
    </row>
    <row r="360" spans="2:5">
      <c r="B360"/>
      <c r="C360"/>
      <c r="D360"/>
      <c r="E360"/>
    </row>
    <row r="361" spans="2:5">
      <c r="B361"/>
      <c r="C361"/>
      <c r="D361"/>
      <c r="E361"/>
    </row>
    <row r="362" spans="2:5">
      <c r="B362"/>
      <c r="C362"/>
      <c r="D362"/>
      <c r="E362"/>
    </row>
    <row r="363" spans="2:5">
      <c r="B363"/>
      <c r="C363"/>
      <c r="D363"/>
      <c r="E363"/>
    </row>
    <row r="364" spans="2:5">
      <c r="B364"/>
      <c r="C364"/>
      <c r="D364"/>
      <c r="E364"/>
    </row>
    <row r="365" spans="2:5">
      <c r="B365"/>
      <c r="C365"/>
      <c r="D365"/>
      <c r="E365"/>
    </row>
    <row r="366" spans="2:5">
      <c r="B366"/>
      <c r="C366"/>
      <c r="D366"/>
      <c r="E366"/>
    </row>
    <row r="367" spans="2:5">
      <c r="B367"/>
      <c r="C367"/>
      <c r="D367"/>
      <c r="E367"/>
    </row>
    <row r="368" spans="2:5">
      <c r="B368"/>
      <c r="C368"/>
      <c r="D368"/>
      <c r="E368"/>
    </row>
    <row r="369" spans="2:5">
      <c r="B369"/>
      <c r="C369"/>
      <c r="D369"/>
      <c r="E369"/>
    </row>
    <row r="370" spans="2:5">
      <c r="B370"/>
      <c r="C370"/>
      <c r="D370"/>
      <c r="E370"/>
    </row>
    <row r="371" spans="2:5">
      <c r="B371"/>
      <c r="C371"/>
      <c r="D371"/>
      <c r="E371"/>
    </row>
    <row r="372" spans="2:5">
      <c r="B372"/>
      <c r="C372"/>
      <c r="D372"/>
      <c r="E372"/>
    </row>
    <row r="373" spans="2:5">
      <c r="B373"/>
      <c r="C373"/>
      <c r="D373"/>
      <c r="E373"/>
    </row>
    <row r="374" spans="2:5">
      <c r="B374"/>
      <c r="C374"/>
      <c r="D374"/>
      <c r="E374"/>
    </row>
    <row r="375" spans="2:5">
      <c r="B375"/>
      <c r="C375"/>
      <c r="D375"/>
      <c r="E375"/>
    </row>
    <row r="376" spans="2:5">
      <c r="B376"/>
      <c r="C376"/>
      <c r="D376"/>
      <c r="E376"/>
    </row>
    <row r="377" spans="2:5">
      <c r="B377"/>
      <c r="C377"/>
      <c r="D377"/>
      <c r="E377"/>
    </row>
    <row r="378" spans="2:5">
      <c r="B378"/>
      <c r="C378"/>
      <c r="D378"/>
      <c r="E378"/>
    </row>
    <row r="379" spans="2:5">
      <c r="B379"/>
      <c r="C379"/>
      <c r="D379"/>
      <c r="E379"/>
    </row>
    <row r="380" spans="2:5">
      <c r="B380"/>
      <c r="C380"/>
      <c r="D380"/>
      <c r="E380"/>
    </row>
    <row r="381" spans="2:5">
      <c r="B381"/>
      <c r="C381"/>
      <c r="D381"/>
      <c r="E381"/>
    </row>
    <row r="382" spans="2:5">
      <c r="B382"/>
      <c r="C382"/>
      <c r="D382"/>
      <c r="E382"/>
    </row>
    <row r="383" spans="2:5">
      <c r="B383"/>
      <c r="C383"/>
      <c r="D383"/>
      <c r="E383"/>
    </row>
    <row r="384" spans="2:5">
      <c r="B384"/>
      <c r="C384"/>
      <c r="D384"/>
      <c r="E384"/>
    </row>
    <row r="385" spans="2:5">
      <c r="B385"/>
      <c r="C385"/>
      <c r="D385"/>
      <c r="E385"/>
    </row>
    <row r="386" spans="2:5">
      <c r="B386"/>
      <c r="C386"/>
      <c r="D386"/>
      <c r="E386"/>
    </row>
    <row r="387" spans="2:5">
      <c r="B387"/>
      <c r="C387"/>
      <c r="D387"/>
      <c r="E387"/>
    </row>
    <row r="388" spans="2:5">
      <c r="B388"/>
      <c r="C388"/>
      <c r="D388"/>
      <c r="E388"/>
    </row>
    <row r="389" spans="2:5">
      <c r="B389"/>
      <c r="C389"/>
      <c r="D389"/>
      <c r="E389"/>
    </row>
    <row r="390" spans="2:5">
      <c r="B390"/>
      <c r="C390"/>
      <c r="D390"/>
      <c r="E390"/>
    </row>
    <row r="391" spans="2:5">
      <c r="B391"/>
      <c r="C391"/>
      <c r="D391"/>
      <c r="E391"/>
    </row>
    <row r="392" spans="2:5">
      <c r="B392"/>
      <c r="C392"/>
      <c r="D392"/>
      <c r="E392"/>
    </row>
    <row r="393" spans="2:5">
      <c r="B393"/>
      <c r="C393"/>
      <c r="D393"/>
      <c r="E393"/>
    </row>
    <row r="394" spans="2:5">
      <c r="B394"/>
      <c r="C394"/>
      <c r="D394"/>
      <c r="E394"/>
    </row>
    <row r="395" spans="2:5">
      <c r="B395"/>
      <c r="C395"/>
      <c r="D395"/>
      <c r="E395"/>
    </row>
    <row r="396" spans="2:5">
      <c r="B396"/>
      <c r="C396"/>
      <c r="D396"/>
      <c r="E396"/>
    </row>
    <row r="397" spans="2:5">
      <c r="B397"/>
      <c r="C397"/>
      <c r="D397"/>
      <c r="E397"/>
    </row>
    <row r="398" spans="2:5">
      <c r="B398"/>
      <c r="C398"/>
      <c r="D398"/>
      <c r="E398"/>
    </row>
    <row r="399" spans="2:5">
      <c r="B399"/>
      <c r="C399"/>
      <c r="D399"/>
      <c r="E399"/>
    </row>
    <row r="400" spans="2:5">
      <c r="B400"/>
      <c r="C400"/>
      <c r="D400"/>
      <c r="E400"/>
    </row>
    <row r="401" spans="2:5">
      <c r="B401"/>
      <c r="C401"/>
      <c r="D401"/>
      <c r="E401"/>
    </row>
    <row r="402" spans="2:5">
      <c r="B402"/>
      <c r="C402"/>
      <c r="D402"/>
      <c r="E402"/>
    </row>
    <row r="403" spans="2:5">
      <c r="B403"/>
      <c r="C403"/>
      <c r="D403"/>
      <c r="E403"/>
    </row>
    <row r="404" spans="2:5">
      <c r="B404"/>
      <c r="C404"/>
      <c r="D404"/>
      <c r="E404"/>
    </row>
    <row r="405" spans="2:5">
      <c r="B405"/>
      <c r="C405"/>
      <c r="D405"/>
      <c r="E405"/>
    </row>
    <row r="406" spans="2:5">
      <c r="B406"/>
      <c r="C406"/>
      <c r="D406"/>
      <c r="E406"/>
    </row>
    <row r="407" spans="2:5">
      <c r="B407"/>
      <c r="C407"/>
      <c r="D407"/>
      <c r="E407"/>
    </row>
    <row r="408" spans="2:5">
      <c r="B408"/>
      <c r="C408"/>
      <c r="D408"/>
      <c r="E408"/>
    </row>
    <row r="409" spans="2:5">
      <c r="B409"/>
      <c r="C409"/>
      <c r="D409"/>
      <c r="E409"/>
    </row>
    <row r="410" spans="2:5">
      <c r="B410"/>
      <c r="C410"/>
      <c r="D410"/>
      <c r="E410"/>
    </row>
    <row r="411" spans="2:5">
      <c r="B411"/>
      <c r="C411"/>
      <c r="D411"/>
      <c r="E411"/>
    </row>
    <row r="412" spans="2:5">
      <c r="B412"/>
      <c r="C412"/>
      <c r="D412"/>
      <c r="E412"/>
    </row>
    <row r="413" spans="2:5">
      <c r="B413"/>
      <c r="C413"/>
      <c r="D413"/>
      <c r="E413"/>
    </row>
    <row r="414" spans="2:5">
      <c r="B414"/>
      <c r="C414"/>
      <c r="D414"/>
      <c r="E414"/>
    </row>
    <row r="415" spans="2:5">
      <c r="B415"/>
      <c r="C415"/>
      <c r="D415"/>
      <c r="E415"/>
    </row>
    <row r="416" spans="2:5">
      <c r="B416"/>
      <c r="C416"/>
      <c r="D416"/>
      <c r="E416"/>
    </row>
    <row r="417" spans="2:5">
      <c r="B417"/>
      <c r="C417"/>
      <c r="D417"/>
      <c r="E417"/>
    </row>
    <row r="418" spans="2:5">
      <c r="B418"/>
      <c r="C418"/>
      <c r="D418"/>
      <c r="E418"/>
    </row>
    <row r="419" spans="2:5">
      <c r="B419"/>
      <c r="C419"/>
      <c r="D419"/>
      <c r="E419"/>
    </row>
    <row r="420" spans="2:5">
      <c r="B420"/>
      <c r="C420"/>
      <c r="D420"/>
      <c r="E420"/>
    </row>
    <row r="421" spans="2:5">
      <c r="B421"/>
      <c r="C421"/>
      <c r="D421"/>
      <c r="E421"/>
    </row>
    <row r="422" spans="2:5">
      <c r="B422"/>
      <c r="C422"/>
      <c r="D422"/>
      <c r="E422"/>
    </row>
    <row r="423" spans="2:5">
      <c r="B423"/>
      <c r="C423"/>
      <c r="D423"/>
      <c r="E423"/>
    </row>
    <row r="424" spans="2:5">
      <c r="B424"/>
      <c r="C424"/>
      <c r="D424"/>
      <c r="E424"/>
    </row>
    <row r="425" spans="2:5">
      <c r="B425"/>
      <c r="C425"/>
      <c r="D425"/>
      <c r="E425"/>
    </row>
    <row r="426" spans="2:5">
      <c r="B426"/>
      <c r="C426"/>
      <c r="D426"/>
      <c r="E426"/>
    </row>
    <row r="427" spans="2:5">
      <c r="B427"/>
      <c r="C427"/>
      <c r="D427"/>
      <c r="E427"/>
    </row>
    <row r="428" spans="2:5">
      <c r="B428"/>
      <c r="C428"/>
      <c r="D428"/>
      <c r="E428"/>
    </row>
    <row r="429" spans="2:5">
      <c r="B429"/>
      <c r="C429"/>
      <c r="D429"/>
      <c r="E429"/>
    </row>
    <row r="430" spans="2:5">
      <c r="B430"/>
      <c r="C430"/>
      <c r="D430"/>
      <c r="E430"/>
    </row>
    <row r="431" spans="2:5">
      <c r="B431"/>
      <c r="C431"/>
      <c r="D431"/>
      <c r="E431"/>
    </row>
    <row r="432" spans="2:5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  <row r="468" spans="2:5">
      <c r="B468"/>
      <c r="C468"/>
      <c r="D468"/>
      <c r="E468"/>
    </row>
    <row r="469" spans="2:5">
      <c r="B469"/>
      <c r="C469"/>
      <c r="D469"/>
      <c r="E469"/>
    </row>
    <row r="470" spans="2:5">
      <c r="B470"/>
      <c r="C470"/>
      <c r="D470"/>
      <c r="E470"/>
    </row>
    <row r="471" spans="2:5">
      <c r="B471"/>
      <c r="C471"/>
      <c r="D471"/>
      <c r="E471"/>
    </row>
    <row r="472" spans="2:5">
      <c r="B472"/>
      <c r="C472"/>
      <c r="D472"/>
      <c r="E472"/>
    </row>
    <row r="473" spans="2:5">
      <c r="B473"/>
      <c r="C473"/>
      <c r="D473"/>
      <c r="E473"/>
    </row>
    <row r="474" spans="2:5">
      <c r="B474"/>
      <c r="C474"/>
      <c r="D474"/>
      <c r="E474"/>
    </row>
    <row r="475" spans="2:5">
      <c r="B475"/>
      <c r="C475"/>
      <c r="D475"/>
      <c r="E475"/>
    </row>
    <row r="476" spans="2:5">
      <c r="B476"/>
      <c r="C476"/>
      <c r="D476"/>
      <c r="E476"/>
    </row>
    <row r="477" spans="2:5">
      <c r="B477"/>
      <c r="C477"/>
      <c r="D477"/>
      <c r="E477"/>
    </row>
    <row r="478" spans="2:5">
      <c r="B478"/>
      <c r="C478"/>
      <c r="D478"/>
      <c r="E478"/>
    </row>
    <row r="479" spans="2:5">
      <c r="B479"/>
      <c r="C479"/>
      <c r="D479"/>
      <c r="E479"/>
    </row>
    <row r="480" spans="2:5">
      <c r="B480"/>
      <c r="C480"/>
      <c r="D480"/>
      <c r="E480"/>
    </row>
    <row r="481" spans="2:5">
      <c r="B481"/>
      <c r="C481"/>
      <c r="D481"/>
      <c r="E481"/>
    </row>
    <row r="482" spans="2:5">
      <c r="B482"/>
      <c r="C482"/>
      <c r="D482"/>
      <c r="E482"/>
    </row>
    <row r="483" spans="2:5">
      <c r="B483"/>
      <c r="C483"/>
      <c r="D483"/>
      <c r="E483"/>
    </row>
    <row r="484" spans="2:5">
      <c r="B484"/>
      <c r="C484"/>
      <c r="D484"/>
      <c r="E484"/>
    </row>
    <row r="485" spans="2:5">
      <c r="B485"/>
      <c r="C485"/>
      <c r="D485"/>
      <c r="E485"/>
    </row>
    <row r="486" spans="2:5">
      <c r="B486"/>
      <c r="C486"/>
      <c r="D486"/>
      <c r="E486"/>
    </row>
    <row r="487" spans="2:5">
      <c r="B487"/>
      <c r="C487"/>
      <c r="D487"/>
      <c r="E487"/>
    </row>
    <row r="488" spans="2:5">
      <c r="B488"/>
      <c r="C488"/>
      <c r="D488"/>
      <c r="E488"/>
    </row>
    <row r="489" spans="2:5">
      <c r="B489"/>
      <c r="C489"/>
      <c r="D489"/>
      <c r="E489"/>
    </row>
    <row r="490" spans="2:5">
      <c r="B490"/>
      <c r="C490"/>
      <c r="D490"/>
      <c r="E490"/>
    </row>
    <row r="491" spans="2:5">
      <c r="B491"/>
      <c r="C491"/>
      <c r="D491"/>
      <c r="E491"/>
    </row>
    <row r="492" spans="2:5">
      <c r="B492"/>
      <c r="C492"/>
      <c r="D492"/>
      <c r="E492"/>
    </row>
    <row r="493" spans="2:5">
      <c r="B493"/>
      <c r="C493"/>
      <c r="D493"/>
      <c r="E493"/>
    </row>
    <row r="494" spans="2:5">
      <c r="B494"/>
      <c r="C494"/>
      <c r="D494"/>
      <c r="E494"/>
    </row>
    <row r="495" spans="2:5">
      <c r="B495"/>
      <c r="C495"/>
      <c r="D495"/>
      <c r="E495"/>
    </row>
    <row r="496" spans="2:5">
      <c r="B496"/>
      <c r="C496"/>
      <c r="D496"/>
      <c r="E496"/>
    </row>
    <row r="497" spans="2:5">
      <c r="B497"/>
      <c r="C497"/>
      <c r="D497"/>
      <c r="E497"/>
    </row>
    <row r="498" spans="2:5">
      <c r="B498"/>
      <c r="C498"/>
      <c r="D498"/>
      <c r="E498"/>
    </row>
    <row r="499" spans="2:5">
      <c r="B499"/>
      <c r="C499"/>
      <c r="D499"/>
      <c r="E499"/>
    </row>
    <row r="500" spans="2:5">
      <c r="B500"/>
      <c r="C500"/>
      <c r="D500"/>
      <c r="E500"/>
    </row>
    <row r="501" spans="2:5">
      <c r="B501"/>
      <c r="C501"/>
      <c r="D501"/>
      <c r="E501"/>
    </row>
    <row r="502" spans="2:5">
      <c r="B502"/>
      <c r="C502"/>
      <c r="D502"/>
      <c r="E502"/>
    </row>
    <row r="503" spans="2:5">
      <c r="B503"/>
      <c r="C503"/>
      <c r="D503"/>
      <c r="E503"/>
    </row>
    <row r="504" spans="2:5">
      <c r="B504"/>
      <c r="C504"/>
      <c r="D504"/>
      <c r="E504"/>
    </row>
    <row r="505" spans="2:5">
      <c r="B505"/>
      <c r="C505"/>
      <c r="D505"/>
      <c r="E505"/>
    </row>
    <row r="506" spans="2:5">
      <c r="B506"/>
      <c r="C506"/>
      <c r="D506"/>
      <c r="E506"/>
    </row>
    <row r="507" spans="2:5">
      <c r="B507"/>
      <c r="C507"/>
      <c r="D507"/>
      <c r="E507"/>
    </row>
    <row r="508" spans="2:5">
      <c r="B508"/>
      <c r="C508"/>
      <c r="D508"/>
      <c r="E508"/>
    </row>
    <row r="509" spans="2:5">
      <c r="B509"/>
      <c r="C509"/>
      <c r="D509"/>
      <c r="E509"/>
    </row>
    <row r="510" spans="2:5">
      <c r="B510"/>
      <c r="C510"/>
      <c r="D510"/>
      <c r="E510"/>
    </row>
    <row r="511" spans="2:5">
      <c r="B511"/>
      <c r="C511"/>
      <c r="D511"/>
      <c r="E511"/>
    </row>
    <row r="512" spans="2:5">
      <c r="B512"/>
      <c r="C512"/>
      <c r="D512"/>
      <c r="E512"/>
    </row>
    <row r="513" spans="2:5">
      <c r="B513"/>
      <c r="C513"/>
      <c r="D513"/>
      <c r="E513"/>
    </row>
    <row r="514" spans="2:5">
      <c r="B514"/>
      <c r="C514"/>
      <c r="D514"/>
      <c r="E514"/>
    </row>
    <row r="515" spans="2:5">
      <c r="B515"/>
      <c r="C515"/>
      <c r="D515"/>
      <c r="E515"/>
    </row>
    <row r="516" spans="2:5">
      <c r="B516"/>
      <c r="C516"/>
      <c r="D516"/>
      <c r="E516"/>
    </row>
    <row r="517" spans="2:5">
      <c r="B517"/>
      <c r="C517"/>
      <c r="D517"/>
      <c r="E517"/>
    </row>
    <row r="518" spans="2:5">
      <c r="B518"/>
      <c r="C518"/>
      <c r="D518"/>
      <c r="E518"/>
    </row>
    <row r="519" spans="2:5">
      <c r="B519"/>
      <c r="C519"/>
      <c r="D519"/>
      <c r="E519"/>
    </row>
    <row r="520" spans="2:5">
      <c r="B520"/>
      <c r="C520"/>
      <c r="D520"/>
      <c r="E520"/>
    </row>
    <row r="521" spans="2:5">
      <c r="B521"/>
      <c r="C521"/>
      <c r="D521"/>
      <c r="E521"/>
    </row>
    <row r="522" spans="2:5">
      <c r="B522"/>
      <c r="C522"/>
      <c r="D522"/>
      <c r="E522"/>
    </row>
    <row r="523" spans="2:5">
      <c r="B523"/>
      <c r="C523"/>
      <c r="D523"/>
      <c r="E523"/>
    </row>
    <row r="524" spans="2:5">
      <c r="B524"/>
      <c r="C524"/>
      <c r="D524"/>
      <c r="E524"/>
    </row>
    <row r="525" spans="2:5">
      <c r="B525"/>
      <c r="C525"/>
      <c r="D525"/>
      <c r="E525"/>
    </row>
    <row r="526" spans="2:5">
      <c r="B526"/>
      <c r="C526"/>
      <c r="D526"/>
      <c r="E526"/>
    </row>
    <row r="527" spans="2:5">
      <c r="B527"/>
      <c r="C527"/>
      <c r="D527"/>
      <c r="E527"/>
    </row>
    <row r="528" spans="2:5">
      <c r="B528"/>
      <c r="C528"/>
      <c r="D528"/>
      <c r="E528"/>
    </row>
    <row r="529" spans="2:5">
      <c r="B529"/>
      <c r="C529"/>
      <c r="D529"/>
      <c r="E529"/>
    </row>
    <row r="530" spans="2:5">
      <c r="B530"/>
      <c r="C530"/>
      <c r="D530"/>
      <c r="E530"/>
    </row>
    <row r="531" spans="2:5">
      <c r="B531"/>
      <c r="C531"/>
      <c r="D531"/>
      <c r="E531"/>
    </row>
    <row r="532" spans="2:5">
      <c r="B532"/>
      <c r="C532"/>
      <c r="D532"/>
      <c r="E532"/>
    </row>
    <row r="533" spans="2:5">
      <c r="B533"/>
      <c r="C533"/>
      <c r="D533"/>
      <c r="E533"/>
    </row>
    <row r="534" spans="2:5">
      <c r="B534"/>
      <c r="C534"/>
      <c r="D534"/>
      <c r="E534"/>
    </row>
    <row r="535" spans="2:5">
      <c r="B535"/>
      <c r="C535"/>
      <c r="D535"/>
      <c r="E535"/>
    </row>
    <row r="536" spans="2:5">
      <c r="B536"/>
      <c r="C536"/>
      <c r="D536"/>
      <c r="E536"/>
    </row>
    <row r="537" spans="2:5">
      <c r="B537"/>
      <c r="C537"/>
      <c r="D537"/>
      <c r="E537"/>
    </row>
    <row r="538" spans="2:5">
      <c r="B538"/>
      <c r="C538"/>
      <c r="D538"/>
      <c r="E538"/>
    </row>
    <row r="539" spans="2:5">
      <c r="B539"/>
      <c r="C539"/>
      <c r="D539"/>
      <c r="E539"/>
    </row>
    <row r="540" spans="2:5">
      <c r="B540"/>
      <c r="C540"/>
      <c r="D540"/>
      <c r="E540"/>
    </row>
    <row r="541" spans="2:5">
      <c r="B541"/>
      <c r="C541"/>
      <c r="D541"/>
      <c r="E541"/>
    </row>
    <row r="542" spans="2:5">
      <c r="B542"/>
      <c r="C542"/>
      <c r="D542"/>
      <c r="E542"/>
    </row>
    <row r="543" spans="2:5">
      <c r="B543"/>
      <c r="C543"/>
      <c r="D543"/>
      <c r="E543"/>
    </row>
    <row r="544" spans="2:5">
      <c r="B544"/>
      <c r="C544"/>
      <c r="D544"/>
      <c r="E544"/>
    </row>
    <row r="545" spans="2:5">
      <c r="B545"/>
      <c r="C545"/>
      <c r="D545"/>
      <c r="E545"/>
    </row>
    <row r="546" spans="2:5">
      <c r="B546"/>
      <c r="C546"/>
      <c r="D546"/>
      <c r="E546"/>
    </row>
    <row r="547" spans="2:5">
      <c r="B547"/>
      <c r="C547"/>
      <c r="D547"/>
      <c r="E547"/>
    </row>
    <row r="548" spans="2:5">
      <c r="B548"/>
      <c r="C548"/>
      <c r="D548"/>
      <c r="E548"/>
    </row>
    <row r="549" spans="2:5">
      <c r="B549"/>
      <c r="C549"/>
      <c r="D549"/>
      <c r="E549"/>
    </row>
    <row r="550" spans="2:5">
      <c r="B550"/>
      <c r="C550"/>
      <c r="D550"/>
      <c r="E550"/>
    </row>
    <row r="551" spans="2:5">
      <c r="B551"/>
      <c r="C551"/>
      <c r="D551"/>
      <c r="E551"/>
    </row>
    <row r="552" spans="2:5">
      <c r="B552"/>
      <c r="C552"/>
      <c r="D552"/>
      <c r="E552"/>
    </row>
    <row r="553" spans="2:5">
      <c r="B553"/>
      <c r="C553"/>
      <c r="D553"/>
      <c r="E553"/>
    </row>
    <row r="554" spans="2:5">
      <c r="B554"/>
      <c r="C554"/>
      <c r="D554"/>
      <c r="E554"/>
    </row>
    <row r="555" spans="2:5">
      <c r="B555"/>
      <c r="C555"/>
      <c r="D555"/>
      <c r="E555"/>
    </row>
    <row r="556" spans="2:5">
      <c r="B556"/>
      <c r="C556"/>
      <c r="D556"/>
      <c r="E556"/>
    </row>
    <row r="557" spans="2:5">
      <c r="B557"/>
      <c r="C557"/>
      <c r="D557"/>
      <c r="E557"/>
    </row>
    <row r="558" spans="2:5">
      <c r="B558"/>
      <c r="C558"/>
      <c r="D558"/>
      <c r="E558"/>
    </row>
    <row r="559" spans="2:5">
      <c r="B559"/>
      <c r="C559"/>
      <c r="D559"/>
      <c r="E559"/>
    </row>
    <row r="560" spans="2:5">
      <c r="B560"/>
      <c r="C560"/>
      <c r="D560"/>
      <c r="E560"/>
    </row>
    <row r="561" spans="2:5">
      <c r="B561"/>
      <c r="C561"/>
      <c r="D561"/>
      <c r="E561"/>
    </row>
    <row r="562" spans="2:5">
      <c r="B562"/>
      <c r="C562"/>
      <c r="D562"/>
      <c r="E562"/>
    </row>
    <row r="563" spans="2:5">
      <c r="B563"/>
      <c r="C563"/>
      <c r="D563"/>
      <c r="E563"/>
    </row>
    <row r="564" spans="2:5">
      <c r="B564"/>
      <c r="C564"/>
      <c r="D564"/>
      <c r="E564"/>
    </row>
    <row r="565" spans="2:5">
      <c r="B565"/>
      <c r="C565"/>
      <c r="D565"/>
      <c r="E565"/>
    </row>
    <row r="566" spans="2:5">
      <c r="B566"/>
      <c r="C566"/>
      <c r="D566"/>
      <c r="E566"/>
    </row>
    <row r="567" spans="2:5">
      <c r="B567"/>
      <c r="C567"/>
      <c r="D567"/>
      <c r="E567"/>
    </row>
    <row r="568" spans="2:5">
      <c r="B568"/>
      <c r="C568"/>
      <c r="D568"/>
      <c r="E568"/>
    </row>
    <row r="569" spans="2:5">
      <c r="B569"/>
      <c r="C569"/>
      <c r="D569"/>
      <c r="E569"/>
    </row>
    <row r="570" spans="2:5">
      <c r="B570"/>
      <c r="C570"/>
      <c r="D570"/>
      <c r="E570"/>
    </row>
    <row r="571" spans="2:5">
      <c r="B571"/>
      <c r="C571"/>
      <c r="D571"/>
      <c r="E571"/>
    </row>
    <row r="572" spans="2:5">
      <c r="B572"/>
      <c r="C572"/>
      <c r="D572"/>
      <c r="E572"/>
    </row>
    <row r="573" spans="2:5">
      <c r="B573"/>
      <c r="C573"/>
      <c r="D573"/>
      <c r="E573"/>
    </row>
    <row r="574" spans="2:5">
      <c r="B574"/>
      <c r="C574"/>
      <c r="D574"/>
      <c r="E574"/>
    </row>
    <row r="575" spans="2:5">
      <c r="B575"/>
      <c r="C575"/>
      <c r="D575"/>
      <c r="E575"/>
    </row>
    <row r="576" spans="2:5">
      <c r="B576"/>
      <c r="C576"/>
      <c r="D576"/>
      <c r="E576"/>
    </row>
    <row r="577" spans="2:5">
      <c r="B577"/>
      <c r="C577"/>
      <c r="D577"/>
      <c r="E577"/>
    </row>
    <row r="578" spans="2:5">
      <c r="B578"/>
      <c r="C578"/>
      <c r="D578"/>
      <c r="E578"/>
    </row>
    <row r="579" spans="2:5">
      <c r="B579"/>
      <c r="C579"/>
      <c r="D579"/>
      <c r="E579"/>
    </row>
    <row r="580" spans="2:5">
      <c r="B580"/>
      <c r="C580"/>
      <c r="D580"/>
      <c r="E580"/>
    </row>
    <row r="581" spans="2:5">
      <c r="B581"/>
      <c r="C581"/>
      <c r="D581"/>
      <c r="E581"/>
    </row>
    <row r="582" spans="2:5">
      <c r="B582"/>
      <c r="C582"/>
      <c r="D582"/>
      <c r="E582"/>
    </row>
    <row r="583" spans="2:5">
      <c r="B583"/>
      <c r="C583"/>
      <c r="D583"/>
      <c r="E583"/>
    </row>
    <row r="584" spans="2:5">
      <c r="B584"/>
      <c r="C584"/>
      <c r="D584"/>
      <c r="E584"/>
    </row>
    <row r="585" spans="2:5">
      <c r="B585"/>
      <c r="C585"/>
      <c r="D585"/>
      <c r="E585"/>
    </row>
    <row r="586" spans="2:5">
      <c r="B586"/>
      <c r="C586"/>
      <c r="D586"/>
      <c r="E586"/>
    </row>
    <row r="587" spans="2:5">
      <c r="B587"/>
      <c r="C587"/>
      <c r="D587"/>
      <c r="E587"/>
    </row>
    <row r="588" spans="2:5">
      <c r="B588"/>
      <c r="C588"/>
      <c r="D588"/>
      <c r="E588"/>
    </row>
    <row r="589" spans="2:5">
      <c r="B589"/>
      <c r="C589"/>
      <c r="D589"/>
      <c r="E589"/>
    </row>
    <row r="590" spans="2:5">
      <c r="B590"/>
      <c r="C590"/>
      <c r="D590"/>
      <c r="E590"/>
    </row>
    <row r="591" spans="2:5">
      <c r="B591"/>
      <c r="C591"/>
      <c r="D591"/>
      <c r="E591"/>
    </row>
    <row r="592" spans="2:5">
      <c r="B592"/>
      <c r="C592"/>
      <c r="D592"/>
      <c r="E592"/>
    </row>
    <row r="593" spans="2:5">
      <c r="B593"/>
      <c r="C593"/>
      <c r="D593"/>
      <c r="E593"/>
    </row>
    <row r="594" spans="2:5">
      <c r="B594"/>
      <c r="C594"/>
      <c r="D594"/>
      <c r="E594"/>
    </row>
    <row r="595" spans="2:5">
      <c r="B595"/>
      <c r="C595"/>
      <c r="D595"/>
      <c r="E595"/>
    </row>
    <row r="596" spans="2:5">
      <c r="B596"/>
      <c r="C596"/>
      <c r="D596"/>
      <c r="E596"/>
    </row>
    <row r="597" spans="2:5">
      <c r="B597"/>
      <c r="C597"/>
      <c r="D597"/>
      <c r="E597"/>
    </row>
    <row r="598" spans="2:5">
      <c r="B598"/>
      <c r="C598"/>
      <c r="D598"/>
      <c r="E598"/>
    </row>
    <row r="599" spans="2:5">
      <c r="B599"/>
      <c r="C599"/>
      <c r="D599"/>
      <c r="E599"/>
    </row>
    <row r="600" spans="2:5">
      <c r="B600"/>
      <c r="C600"/>
      <c r="D600"/>
      <c r="E600"/>
    </row>
    <row r="601" spans="2:5">
      <c r="B601"/>
      <c r="C601"/>
      <c r="D601"/>
      <c r="E601"/>
    </row>
    <row r="602" spans="2:5">
      <c r="B602"/>
      <c r="C602"/>
      <c r="D602"/>
      <c r="E602"/>
    </row>
    <row r="603" spans="2:5">
      <c r="B603"/>
      <c r="C603"/>
      <c r="D603"/>
      <c r="E603"/>
    </row>
    <row r="604" spans="2:5">
      <c r="B604"/>
      <c r="C604"/>
      <c r="D604"/>
      <c r="E604"/>
    </row>
    <row r="605" spans="2:5">
      <c r="B605"/>
      <c r="C605"/>
      <c r="D605"/>
      <c r="E605"/>
    </row>
    <row r="606" spans="2:5">
      <c r="B606"/>
      <c r="C606"/>
      <c r="D606"/>
      <c r="E606"/>
    </row>
    <row r="607" spans="2:5">
      <c r="B607"/>
      <c r="C607"/>
      <c r="D607"/>
      <c r="E607"/>
    </row>
    <row r="608" spans="2:5">
      <c r="B608"/>
      <c r="C608"/>
      <c r="D608"/>
      <c r="E608"/>
    </row>
    <row r="609" spans="2:5">
      <c r="B609"/>
      <c r="C609"/>
      <c r="D609"/>
      <c r="E609"/>
    </row>
    <row r="610" spans="2:5">
      <c r="B610"/>
      <c r="C610"/>
      <c r="D610"/>
      <c r="E610"/>
    </row>
    <row r="611" spans="2:5">
      <c r="B611"/>
      <c r="C611"/>
      <c r="D611"/>
      <c r="E611"/>
    </row>
    <row r="612" spans="2:5">
      <c r="B612"/>
      <c r="C612"/>
      <c r="D612"/>
      <c r="E612"/>
    </row>
    <row r="613" spans="2:5">
      <c r="B613"/>
      <c r="C613"/>
      <c r="D613"/>
      <c r="E613"/>
    </row>
    <row r="614" spans="2:5">
      <c r="B614"/>
      <c r="C614"/>
      <c r="D614"/>
      <c r="E614"/>
    </row>
    <row r="615" spans="2:5">
      <c r="B615"/>
      <c r="C615"/>
      <c r="D615"/>
      <c r="E615"/>
    </row>
    <row r="616" spans="2:5">
      <c r="B616"/>
      <c r="C616"/>
      <c r="D616"/>
      <c r="E616"/>
    </row>
    <row r="617" spans="2:5">
      <c r="B617"/>
      <c r="C617"/>
      <c r="D617"/>
      <c r="E617"/>
    </row>
    <row r="618" spans="2:5">
      <c r="B618"/>
      <c r="C618"/>
      <c r="D618"/>
      <c r="E618"/>
    </row>
    <row r="619" spans="2:5">
      <c r="B619"/>
      <c r="C619"/>
      <c r="D619"/>
      <c r="E619"/>
    </row>
    <row r="620" spans="2:5">
      <c r="B620"/>
      <c r="C620"/>
      <c r="D620"/>
      <c r="E620"/>
    </row>
    <row r="621" spans="2:5">
      <c r="B621"/>
      <c r="C621"/>
      <c r="D621"/>
      <c r="E621"/>
    </row>
    <row r="622" spans="2:5">
      <c r="B622"/>
      <c r="C622"/>
      <c r="D622"/>
      <c r="E622"/>
    </row>
    <row r="623" spans="2:5">
      <c r="B623"/>
      <c r="C623"/>
      <c r="D623"/>
      <c r="E623"/>
    </row>
    <row r="624" spans="2:5">
      <c r="B624"/>
      <c r="C624"/>
      <c r="D624"/>
      <c r="E624"/>
    </row>
    <row r="625" spans="2:5">
      <c r="B625"/>
      <c r="C625"/>
      <c r="D625"/>
      <c r="E625"/>
    </row>
    <row r="626" spans="2:5">
      <c r="B626"/>
      <c r="C626"/>
      <c r="D626"/>
      <c r="E626"/>
    </row>
    <row r="627" spans="2:5">
      <c r="B627"/>
      <c r="C627"/>
      <c r="D627"/>
      <c r="E627"/>
    </row>
    <row r="628" spans="2:5">
      <c r="B628"/>
      <c r="C628"/>
      <c r="D628"/>
      <c r="E628"/>
    </row>
    <row r="629" spans="2:5">
      <c r="B629"/>
      <c r="C629"/>
      <c r="D629"/>
      <c r="E629"/>
    </row>
    <row r="630" spans="2:5">
      <c r="B630"/>
      <c r="C630"/>
      <c r="D630"/>
      <c r="E630"/>
    </row>
    <row r="631" spans="2:5">
      <c r="B631"/>
      <c r="C631"/>
      <c r="D631"/>
      <c r="E631"/>
    </row>
    <row r="632" spans="2:5">
      <c r="B632"/>
      <c r="C632"/>
      <c r="D632"/>
      <c r="E632"/>
    </row>
    <row r="633" spans="2:5">
      <c r="B633"/>
      <c r="C633"/>
      <c r="D633"/>
      <c r="E633"/>
    </row>
    <row r="634" spans="2:5">
      <c r="B634"/>
      <c r="C634"/>
      <c r="D634"/>
      <c r="E634"/>
    </row>
    <row r="635" spans="2:5">
      <c r="B635"/>
      <c r="C635"/>
      <c r="D635"/>
      <c r="E635"/>
    </row>
    <row r="636" spans="2:5">
      <c r="B636"/>
      <c r="C636"/>
      <c r="D636"/>
      <c r="E636"/>
    </row>
    <row r="637" spans="2:5">
      <c r="B637"/>
      <c r="C637"/>
      <c r="D637"/>
      <c r="E637"/>
    </row>
    <row r="638" spans="2:5">
      <c r="B638"/>
      <c r="C638"/>
      <c r="D638"/>
      <c r="E638"/>
    </row>
    <row r="639" spans="2:5">
      <c r="B639"/>
      <c r="C639"/>
      <c r="D639"/>
      <c r="E639"/>
    </row>
    <row r="640" spans="2:5">
      <c r="B640"/>
      <c r="C640"/>
      <c r="D640"/>
      <c r="E640"/>
    </row>
    <row r="641" spans="2:5">
      <c r="B641"/>
      <c r="C641"/>
      <c r="D641"/>
      <c r="E641"/>
    </row>
    <row r="642" spans="2:5">
      <c r="B642"/>
      <c r="C642"/>
      <c r="D642"/>
      <c r="E642"/>
    </row>
    <row r="643" spans="2:5">
      <c r="B643"/>
      <c r="C643"/>
      <c r="D643"/>
      <c r="E643"/>
    </row>
    <row r="644" spans="2:5">
      <c r="B644"/>
      <c r="C644"/>
      <c r="D644"/>
      <c r="E644"/>
    </row>
    <row r="645" spans="2:5">
      <c r="B645"/>
      <c r="C645"/>
      <c r="D645"/>
      <c r="E645"/>
    </row>
    <row r="646" spans="2:5">
      <c r="B646"/>
      <c r="C646"/>
      <c r="D646"/>
      <c r="E646"/>
    </row>
    <row r="647" spans="2:5">
      <c r="B647"/>
      <c r="C647"/>
      <c r="D647"/>
      <c r="E647"/>
    </row>
    <row r="648" spans="2:5">
      <c r="B648"/>
      <c r="C648"/>
      <c r="D648"/>
      <c r="E648"/>
    </row>
    <row r="649" spans="2:5">
      <c r="B649"/>
      <c r="C649"/>
      <c r="D649"/>
      <c r="E649"/>
    </row>
    <row r="650" spans="2:5">
      <c r="B650"/>
      <c r="C650"/>
      <c r="D650"/>
      <c r="E650"/>
    </row>
    <row r="651" spans="2:5">
      <c r="B651"/>
      <c r="C651"/>
      <c r="D651"/>
      <c r="E651"/>
    </row>
    <row r="652" spans="2:5">
      <c r="B652"/>
      <c r="C652"/>
      <c r="D652"/>
      <c r="E652"/>
    </row>
    <row r="653" spans="2:5">
      <c r="B653"/>
      <c r="C653"/>
      <c r="D653"/>
      <c r="E653"/>
    </row>
    <row r="654" spans="2:5">
      <c r="B654"/>
      <c r="C654"/>
      <c r="D654"/>
      <c r="E654"/>
    </row>
    <row r="655" spans="2:5">
      <c r="B655"/>
      <c r="C655"/>
      <c r="D655"/>
      <c r="E655"/>
    </row>
    <row r="656" spans="2:5">
      <c r="B656"/>
      <c r="C656"/>
      <c r="D656"/>
      <c r="E656"/>
    </row>
    <row r="657" spans="2:5">
      <c r="B657"/>
      <c r="C657"/>
      <c r="D657"/>
      <c r="E657"/>
    </row>
    <row r="658" spans="2:5">
      <c r="B658"/>
      <c r="C658"/>
      <c r="D658"/>
      <c r="E658"/>
    </row>
    <row r="659" spans="2:5">
      <c r="B659"/>
      <c r="C659"/>
      <c r="D659"/>
      <c r="E659"/>
    </row>
    <row r="660" spans="2:5">
      <c r="B660"/>
      <c r="C660"/>
      <c r="D660"/>
      <c r="E660"/>
    </row>
    <row r="661" spans="2:5">
      <c r="B661"/>
      <c r="C661"/>
      <c r="D661"/>
      <c r="E661"/>
    </row>
    <row r="662" spans="2:5">
      <c r="B662"/>
      <c r="C662"/>
      <c r="D662"/>
      <c r="E662"/>
    </row>
    <row r="663" spans="2:5">
      <c r="B663"/>
      <c r="C663"/>
      <c r="D663"/>
      <c r="E663"/>
    </row>
    <row r="664" spans="2:5">
      <c r="B664"/>
      <c r="C664"/>
      <c r="D664"/>
      <c r="E664"/>
    </row>
    <row r="665" spans="2:5">
      <c r="B665"/>
      <c r="C665"/>
      <c r="D665"/>
      <c r="E665"/>
    </row>
    <row r="666" spans="2:5">
      <c r="B666"/>
      <c r="C666"/>
      <c r="D666"/>
      <c r="E666"/>
    </row>
    <row r="667" spans="2:5">
      <c r="B667"/>
      <c r="C667"/>
      <c r="D667"/>
      <c r="E667"/>
    </row>
    <row r="668" spans="2:5">
      <c r="B668"/>
      <c r="C668"/>
      <c r="D668"/>
      <c r="E668"/>
    </row>
    <row r="669" spans="2:5">
      <c r="B669"/>
      <c r="C669"/>
      <c r="D669"/>
      <c r="E669"/>
    </row>
    <row r="670" spans="2:5">
      <c r="B670"/>
      <c r="C670"/>
      <c r="D670"/>
      <c r="E670"/>
    </row>
    <row r="671" spans="2:5">
      <c r="B671"/>
      <c r="C671"/>
      <c r="D671"/>
      <c r="E671"/>
    </row>
    <row r="672" spans="2:5">
      <c r="B672"/>
      <c r="C672"/>
      <c r="D672"/>
      <c r="E672"/>
    </row>
    <row r="673" spans="2:5">
      <c r="B673"/>
      <c r="C673"/>
      <c r="D673"/>
      <c r="E673"/>
    </row>
    <row r="674" spans="2:5">
      <c r="B674"/>
      <c r="C674"/>
      <c r="D674"/>
      <c r="E674"/>
    </row>
    <row r="675" spans="2:5">
      <c r="B675"/>
      <c r="C675"/>
      <c r="D675"/>
      <c r="E675"/>
    </row>
    <row r="676" spans="2:5">
      <c r="B676"/>
      <c r="C676"/>
      <c r="D676"/>
      <c r="E676"/>
    </row>
    <row r="677" spans="2:5">
      <c r="B677"/>
      <c r="C677"/>
      <c r="D677"/>
      <c r="E677"/>
    </row>
    <row r="678" spans="2:5">
      <c r="B678"/>
      <c r="C678"/>
      <c r="D678"/>
      <c r="E678"/>
    </row>
    <row r="679" spans="2:5">
      <c r="B679"/>
      <c r="C679"/>
      <c r="D679"/>
      <c r="E679"/>
    </row>
    <row r="680" spans="2:5">
      <c r="B680"/>
      <c r="C680"/>
      <c r="D680"/>
      <c r="E680"/>
    </row>
    <row r="681" spans="2:5">
      <c r="B681"/>
      <c r="C681"/>
      <c r="D681"/>
      <c r="E681"/>
    </row>
    <row r="682" spans="2:5">
      <c r="B682"/>
      <c r="C682"/>
      <c r="D682"/>
      <c r="E682"/>
    </row>
    <row r="683" spans="2:5">
      <c r="B683"/>
      <c r="C683"/>
      <c r="D683"/>
      <c r="E683"/>
    </row>
    <row r="684" spans="2:5">
      <c r="B684"/>
      <c r="C684"/>
      <c r="D684"/>
      <c r="E684"/>
    </row>
    <row r="685" spans="2:5">
      <c r="B685"/>
      <c r="C685"/>
      <c r="D685"/>
      <c r="E685"/>
    </row>
    <row r="686" spans="2:5">
      <c r="B686"/>
      <c r="C686"/>
      <c r="D686"/>
      <c r="E686"/>
    </row>
    <row r="687" spans="2:5">
      <c r="B687"/>
      <c r="C687"/>
      <c r="D687"/>
      <c r="E687"/>
    </row>
    <row r="688" spans="2:5">
      <c r="B688"/>
      <c r="C688"/>
      <c r="D688"/>
      <c r="E688"/>
    </row>
    <row r="689" spans="2:5">
      <c r="B689"/>
      <c r="C689"/>
      <c r="D689"/>
      <c r="E689"/>
    </row>
    <row r="690" spans="2:5">
      <c r="B690"/>
      <c r="C690"/>
      <c r="D690"/>
      <c r="E690"/>
    </row>
    <row r="691" spans="2:5">
      <c r="B691"/>
      <c r="C691"/>
      <c r="D691"/>
      <c r="E691"/>
    </row>
    <row r="692" spans="2:5">
      <c r="B692"/>
      <c r="C692"/>
      <c r="D692"/>
      <c r="E692"/>
    </row>
    <row r="693" spans="2:5">
      <c r="B693"/>
      <c r="C693"/>
      <c r="D693"/>
      <c r="E693"/>
    </row>
    <row r="694" spans="2:5">
      <c r="B694"/>
      <c r="C694"/>
      <c r="D694"/>
      <c r="E694"/>
    </row>
    <row r="695" spans="2:5">
      <c r="B695"/>
      <c r="C695"/>
      <c r="D695"/>
      <c r="E695"/>
    </row>
    <row r="696" spans="2:5">
      <c r="B696"/>
      <c r="C696"/>
      <c r="D696"/>
      <c r="E696"/>
    </row>
    <row r="697" spans="2:5">
      <c r="B697"/>
      <c r="C697"/>
      <c r="D697"/>
      <c r="E697"/>
    </row>
    <row r="698" spans="2:5">
      <c r="B698"/>
      <c r="C698"/>
      <c r="D698"/>
      <c r="E698"/>
    </row>
    <row r="699" spans="2:5">
      <c r="B699"/>
      <c r="C699"/>
      <c r="D699"/>
      <c r="E699"/>
    </row>
    <row r="700" spans="2:5">
      <c r="B700"/>
      <c r="C700"/>
      <c r="D700"/>
      <c r="E700"/>
    </row>
    <row r="701" spans="2:5">
      <c r="B701"/>
      <c r="C701"/>
      <c r="D701"/>
      <c r="E701"/>
    </row>
    <row r="702" spans="2:5">
      <c r="B702"/>
      <c r="C702"/>
      <c r="D702"/>
      <c r="E702"/>
    </row>
    <row r="703" spans="2:5">
      <c r="B703"/>
      <c r="C703"/>
      <c r="D703"/>
      <c r="E703"/>
    </row>
    <row r="704" spans="2:5">
      <c r="B704"/>
      <c r="C704"/>
      <c r="D704"/>
      <c r="E704"/>
    </row>
    <row r="705" spans="2:5">
      <c r="B705"/>
      <c r="C705"/>
      <c r="D705"/>
      <c r="E705"/>
    </row>
    <row r="706" spans="2:5">
      <c r="B706"/>
      <c r="C706"/>
      <c r="D706"/>
      <c r="E706"/>
    </row>
    <row r="707" spans="2:5">
      <c r="B707"/>
      <c r="C707"/>
      <c r="D707"/>
      <c r="E707"/>
    </row>
    <row r="708" spans="2:5">
      <c r="B708"/>
      <c r="C708"/>
      <c r="D708"/>
      <c r="E708"/>
    </row>
    <row r="709" spans="2:5">
      <c r="B709"/>
      <c r="C709"/>
      <c r="D709"/>
      <c r="E709"/>
    </row>
    <row r="710" spans="2:5">
      <c r="B710"/>
      <c r="C710"/>
      <c r="D710"/>
      <c r="E710"/>
    </row>
    <row r="711" spans="2:5">
      <c r="B711"/>
      <c r="C711"/>
      <c r="D711"/>
      <c r="E711"/>
    </row>
    <row r="712" spans="2:5">
      <c r="B712"/>
      <c r="C712"/>
      <c r="D712"/>
      <c r="E712"/>
    </row>
    <row r="713" spans="2:5">
      <c r="B713"/>
      <c r="C713"/>
      <c r="D713"/>
      <c r="E713"/>
    </row>
    <row r="714" spans="2:5">
      <c r="B714"/>
      <c r="C714"/>
      <c r="D714"/>
      <c r="E714"/>
    </row>
    <row r="715" spans="2:5">
      <c r="B715"/>
      <c r="C715"/>
      <c r="D715"/>
      <c r="E715"/>
    </row>
    <row r="716" spans="2:5">
      <c r="B716"/>
      <c r="C716"/>
      <c r="D716"/>
      <c r="E716"/>
    </row>
    <row r="717" spans="2:5">
      <c r="B717"/>
      <c r="C717"/>
      <c r="D717"/>
      <c r="E717"/>
    </row>
    <row r="718" spans="2:5">
      <c r="B718"/>
      <c r="C718"/>
      <c r="D718"/>
      <c r="E718"/>
    </row>
    <row r="719" spans="2:5">
      <c r="B719"/>
      <c r="C719"/>
      <c r="D719"/>
      <c r="E719"/>
    </row>
    <row r="720" spans="2:5">
      <c r="B720"/>
      <c r="C720"/>
      <c r="D720"/>
      <c r="E720"/>
    </row>
    <row r="721" spans="2:5">
      <c r="B721"/>
      <c r="C721"/>
      <c r="D721"/>
      <c r="E721"/>
    </row>
    <row r="722" spans="2:5">
      <c r="B722"/>
      <c r="C722"/>
      <c r="D722"/>
      <c r="E722"/>
    </row>
    <row r="723" spans="2:5">
      <c r="B723"/>
      <c r="C723"/>
      <c r="D723"/>
      <c r="E723"/>
    </row>
    <row r="724" spans="2:5">
      <c r="B724"/>
      <c r="C724"/>
      <c r="D724"/>
      <c r="E724"/>
    </row>
    <row r="725" spans="2:5">
      <c r="B725"/>
      <c r="C725"/>
      <c r="D725"/>
      <c r="E725"/>
    </row>
    <row r="726" spans="2:5">
      <c r="B726"/>
      <c r="C726"/>
      <c r="D726"/>
      <c r="E726"/>
    </row>
    <row r="727" spans="2:5">
      <c r="B727"/>
      <c r="C727"/>
      <c r="D727"/>
      <c r="E727"/>
    </row>
    <row r="728" spans="2:5">
      <c r="B728"/>
      <c r="C728"/>
      <c r="D728"/>
      <c r="E728"/>
    </row>
    <row r="729" spans="2:5">
      <c r="B729"/>
      <c r="C729"/>
      <c r="D729"/>
      <c r="E729"/>
    </row>
    <row r="730" spans="2:5">
      <c r="B730"/>
      <c r="C730"/>
      <c r="D730"/>
      <c r="E730"/>
    </row>
    <row r="731" spans="2:5">
      <c r="B731"/>
      <c r="C731"/>
      <c r="D731"/>
      <c r="E731"/>
    </row>
    <row r="732" spans="2:5">
      <c r="B732"/>
      <c r="C732"/>
      <c r="D732"/>
      <c r="E732"/>
    </row>
    <row r="733" spans="2:5">
      <c r="B733"/>
      <c r="C733"/>
      <c r="D733"/>
      <c r="E733"/>
    </row>
    <row r="734" spans="2:5">
      <c r="B734"/>
      <c r="C734"/>
      <c r="D734"/>
      <c r="E734"/>
    </row>
    <row r="735" spans="2:5">
      <c r="B735"/>
      <c r="C735"/>
      <c r="D735"/>
      <c r="E735"/>
    </row>
    <row r="736" spans="2:5">
      <c r="B736"/>
      <c r="C736"/>
      <c r="D736"/>
      <c r="E736"/>
    </row>
    <row r="737" spans="2:5">
      <c r="B737"/>
      <c r="C737"/>
      <c r="D737"/>
      <c r="E737"/>
    </row>
    <row r="738" spans="2:5">
      <c r="B738"/>
      <c r="C738"/>
      <c r="D738"/>
      <c r="E738"/>
    </row>
    <row r="739" spans="2:5">
      <c r="B739"/>
      <c r="C739"/>
      <c r="D739"/>
      <c r="E739"/>
    </row>
    <row r="740" spans="2:5">
      <c r="B740"/>
      <c r="C740"/>
      <c r="D740"/>
      <c r="E740"/>
    </row>
    <row r="741" spans="2:5">
      <c r="B741"/>
      <c r="C741"/>
      <c r="D741"/>
      <c r="E741"/>
    </row>
    <row r="742" spans="2:5">
      <c r="B742"/>
      <c r="C742"/>
      <c r="D742"/>
      <c r="E742"/>
    </row>
    <row r="743" spans="2:5">
      <c r="B743"/>
      <c r="C743"/>
      <c r="D743"/>
      <c r="E743"/>
    </row>
    <row r="744" spans="2:5">
      <c r="B744"/>
      <c r="C744"/>
      <c r="D744"/>
      <c r="E744"/>
    </row>
    <row r="745" spans="2:5">
      <c r="B745"/>
      <c r="C745"/>
      <c r="D745"/>
      <c r="E745"/>
    </row>
    <row r="746" spans="2:5">
      <c r="B746"/>
      <c r="C746"/>
      <c r="D746"/>
      <c r="E746"/>
    </row>
    <row r="747" spans="2:5">
      <c r="B747"/>
      <c r="C747"/>
      <c r="D747"/>
      <c r="E747"/>
    </row>
    <row r="748" spans="2:5">
      <c r="B748"/>
      <c r="C748"/>
      <c r="D748"/>
      <c r="E748"/>
    </row>
    <row r="749" spans="2:5">
      <c r="B749"/>
      <c r="C749"/>
      <c r="D749"/>
      <c r="E749"/>
    </row>
    <row r="750" spans="2:5">
      <c r="B750"/>
      <c r="C750"/>
      <c r="D750"/>
      <c r="E750"/>
    </row>
    <row r="751" spans="2:5">
      <c r="B751"/>
      <c r="C751"/>
      <c r="D751"/>
      <c r="E751"/>
    </row>
    <row r="752" spans="2:5">
      <c r="B752"/>
      <c r="C752"/>
      <c r="D752"/>
      <c r="E752"/>
    </row>
    <row r="753" spans="2:5">
      <c r="B753"/>
      <c r="C753"/>
      <c r="D753"/>
      <c r="E753"/>
    </row>
    <row r="754" spans="2:5">
      <c r="B754"/>
      <c r="C754"/>
      <c r="D754"/>
      <c r="E754"/>
    </row>
    <row r="755" spans="2:5">
      <c r="B755"/>
      <c r="C755"/>
      <c r="D755"/>
      <c r="E755"/>
    </row>
    <row r="756" spans="2:5">
      <c r="B756"/>
      <c r="C756"/>
      <c r="D756"/>
      <c r="E756"/>
    </row>
    <row r="757" spans="2:5">
      <c r="B757"/>
      <c r="C757"/>
      <c r="D757"/>
      <c r="E757"/>
    </row>
    <row r="758" spans="2:5">
      <c r="B758"/>
      <c r="C758"/>
      <c r="D758"/>
      <c r="E758"/>
    </row>
    <row r="759" spans="2:5">
      <c r="B759"/>
      <c r="C759"/>
      <c r="D759"/>
      <c r="E759"/>
    </row>
    <row r="760" spans="2:5">
      <c r="B760"/>
      <c r="C760"/>
      <c r="D760"/>
      <c r="E760"/>
    </row>
    <row r="761" spans="2:5">
      <c r="B761"/>
      <c r="C761"/>
      <c r="D761"/>
      <c r="E761"/>
    </row>
    <row r="762" spans="2:5">
      <c r="B762"/>
      <c r="C762"/>
      <c r="D762"/>
      <c r="E762"/>
    </row>
    <row r="763" spans="2:5">
      <c r="B763"/>
      <c r="C763"/>
      <c r="D763"/>
      <c r="E763"/>
    </row>
    <row r="764" spans="2:5">
      <c r="B764"/>
      <c r="C764"/>
      <c r="D764"/>
      <c r="E764"/>
    </row>
    <row r="765" spans="2:5">
      <c r="B765"/>
      <c r="C765"/>
      <c r="D765"/>
      <c r="E765"/>
    </row>
    <row r="766" spans="2:5">
      <c r="B766"/>
      <c r="C766"/>
      <c r="D766"/>
      <c r="E766"/>
    </row>
    <row r="767" spans="2:5">
      <c r="B767"/>
      <c r="C767"/>
      <c r="D767"/>
      <c r="E767"/>
    </row>
    <row r="768" spans="2:5">
      <c r="B768"/>
      <c r="C768"/>
      <c r="D768"/>
      <c r="E768"/>
    </row>
    <row r="769" spans="2:5">
      <c r="B769"/>
      <c r="C769"/>
      <c r="D769"/>
      <c r="E769"/>
    </row>
    <row r="770" spans="2:5">
      <c r="B770"/>
      <c r="C770"/>
      <c r="D770"/>
      <c r="E770"/>
    </row>
    <row r="771" spans="2:5">
      <c r="B771"/>
      <c r="C771"/>
      <c r="D771"/>
      <c r="E771"/>
    </row>
    <row r="772" spans="2:5">
      <c r="B772"/>
      <c r="C772"/>
      <c r="D772"/>
      <c r="E772"/>
    </row>
    <row r="773" spans="2:5">
      <c r="B773"/>
      <c r="C773"/>
      <c r="D773"/>
      <c r="E773"/>
    </row>
    <row r="774" spans="2:5">
      <c r="B774"/>
      <c r="C774"/>
      <c r="D774"/>
      <c r="E774"/>
    </row>
    <row r="775" spans="2:5">
      <c r="B775"/>
      <c r="C775"/>
      <c r="D775"/>
      <c r="E775"/>
    </row>
    <row r="776" spans="2:5">
      <c r="B776"/>
      <c r="C776"/>
      <c r="D776"/>
      <c r="E776"/>
    </row>
    <row r="777" spans="2:5">
      <c r="B777"/>
      <c r="C777"/>
      <c r="D777"/>
      <c r="E777"/>
    </row>
    <row r="778" spans="2:5">
      <c r="B778"/>
      <c r="C778"/>
      <c r="D778"/>
      <c r="E778"/>
    </row>
    <row r="779" spans="2:5">
      <c r="B779"/>
      <c r="C779"/>
      <c r="D779"/>
      <c r="E779"/>
    </row>
    <row r="780" spans="2:5">
      <c r="B780"/>
      <c r="C780"/>
      <c r="D780"/>
      <c r="E780"/>
    </row>
    <row r="781" spans="2:5">
      <c r="B781"/>
      <c r="C781"/>
      <c r="D781"/>
      <c r="E781"/>
    </row>
    <row r="782" spans="2:5">
      <c r="B782"/>
      <c r="C782"/>
      <c r="D782"/>
      <c r="E782"/>
    </row>
    <row r="783" spans="2:5">
      <c r="B783"/>
      <c r="C783"/>
      <c r="D783"/>
      <c r="E783"/>
    </row>
    <row r="784" spans="2:5">
      <c r="B784"/>
      <c r="C784"/>
      <c r="D784"/>
      <c r="E784"/>
    </row>
    <row r="785" spans="2:5">
      <c r="B785"/>
      <c r="C785"/>
      <c r="D785"/>
      <c r="E785"/>
    </row>
    <row r="786" spans="2:5">
      <c r="B786"/>
      <c r="C786"/>
      <c r="D786"/>
      <c r="E786"/>
    </row>
    <row r="787" spans="2:5">
      <c r="B787"/>
      <c r="C787"/>
      <c r="D787"/>
      <c r="E787"/>
    </row>
    <row r="788" spans="2:5">
      <c r="B788"/>
      <c r="C788"/>
      <c r="D788"/>
      <c r="E788"/>
    </row>
    <row r="789" spans="2:5">
      <c r="B789"/>
      <c r="C789"/>
      <c r="D789"/>
      <c r="E789"/>
    </row>
    <row r="790" spans="2:5">
      <c r="B790"/>
      <c r="C790"/>
      <c r="D790"/>
      <c r="E790"/>
    </row>
    <row r="791" spans="2:5">
      <c r="B791"/>
      <c r="C791"/>
      <c r="D791"/>
      <c r="E791"/>
    </row>
    <row r="792" spans="2:5">
      <c r="B792"/>
      <c r="C792"/>
      <c r="D792"/>
      <c r="E792"/>
    </row>
    <row r="793" spans="2:5">
      <c r="B793"/>
      <c r="C793"/>
      <c r="D793"/>
      <c r="E793"/>
    </row>
    <row r="794" spans="2:5">
      <c r="B794"/>
      <c r="C794"/>
      <c r="D794"/>
      <c r="E794"/>
    </row>
    <row r="795" spans="2:5">
      <c r="B795"/>
      <c r="C795"/>
      <c r="D795"/>
      <c r="E795"/>
    </row>
    <row r="796" spans="2:5">
      <c r="B796"/>
      <c r="C796"/>
      <c r="D796"/>
      <c r="E796"/>
    </row>
    <row r="797" spans="2:5">
      <c r="B797"/>
      <c r="C797"/>
      <c r="D797"/>
      <c r="E797"/>
    </row>
    <row r="798" spans="2:5">
      <c r="B798"/>
      <c r="C798"/>
      <c r="D798"/>
      <c r="E798"/>
    </row>
    <row r="799" spans="2:5">
      <c r="B799"/>
      <c r="C799"/>
      <c r="D799"/>
      <c r="E799"/>
    </row>
    <row r="800" spans="2:5">
      <c r="B800"/>
      <c r="C800"/>
      <c r="D800"/>
      <c r="E800"/>
    </row>
    <row r="801" spans="2:5">
      <c r="B801"/>
      <c r="C801"/>
      <c r="D801"/>
      <c r="E801"/>
    </row>
    <row r="802" spans="2:5">
      <c r="B802"/>
      <c r="C802"/>
      <c r="D802"/>
      <c r="E802"/>
    </row>
    <row r="803" spans="2:5">
      <c r="B803"/>
      <c r="C803"/>
      <c r="D803"/>
      <c r="E803"/>
    </row>
    <row r="804" spans="2:5">
      <c r="B804"/>
      <c r="C804"/>
      <c r="D804"/>
      <c r="E804"/>
    </row>
    <row r="805" spans="2:5">
      <c r="B805"/>
      <c r="C805"/>
      <c r="D805"/>
      <c r="E805"/>
    </row>
    <row r="806" spans="2:5">
      <c r="B806"/>
      <c r="C806"/>
      <c r="D806"/>
      <c r="E806"/>
    </row>
    <row r="807" spans="2:5">
      <c r="B807"/>
      <c r="C807"/>
      <c r="D807"/>
      <c r="E807"/>
    </row>
    <row r="808" spans="2:5">
      <c r="B808"/>
      <c r="C808"/>
      <c r="D808"/>
      <c r="E808"/>
    </row>
    <row r="809" spans="2:5">
      <c r="B809"/>
      <c r="C809"/>
      <c r="D809"/>
      <c r="E809"/>
    </row>
    <row r="810" spans="2:5">
      <c r="B810"/>
      <c r="C810"/>
      <c r="D810"/>
      <c r="E810"/>
    </row>
    <row r="811" spans="2:5">
      <c r="B811"/>
      <c r="C811"/>
      <c r="D811"/>
      <c r="E811"/>
    </row>
    <row r="812" spans="2:5">
      <c r="B812"/>
      <c r="C812"/>
      <c r="D812"/>
      <c r="E812"/>
    </row>
    <row r="813" spans="2:5">
      <c r="B813"/>
      <c r="C813"/>
      <c r="D813"/>
      <c r="E813"/>
    </row>
    <row r="814" spans="2:5">
      <c r="B814"/>
      <c r="C814"/>
      <c r="D814"/>
      <c r="E814"/>
    </row>
    <row r="815" spans="2:5">
      <c r="B815"/>
      <c r="C815"/>
      <c r="D815"/>
      <c r="E815"/>
    </row>
    <row r="816" spans="2:5">
      <c r="B816"/>
      <c r="C816"/>
      <c r="D816"/>
      <c r="E816"/>
    </row>
    <row r="817" spans="2:5">
      <c r="B817"/>
      <c r="C817"/>
      <c r="D817"/>
      <c r="E817"/>
    </row>
    <row r="818" spans="2:5">
      <c r="B818"/>
      <c r="C818"/>
      <c r="D818"/>
      <c r="E818"/>
    </row>
    <row r="819" spans="2:5">
      <c r="B819"/>
      <c r="C819"/>
      <c r="D819"/>
      <c r="E819"/>
    </row>
    <row r="820" spans="2:5">
      <c r="B820"/>
      <c r="C820"/>
      <c r="D820"/>
      <c r="E820"/>
    </row>
    <row r="821" spans="2:5">
      <c r="B821"/>
      <c r="C821"/>
      <c r="D821"/>
      <c r="E821"/>
    </row>
    <row r="822" spans="2:5">
      <c r="B822"/>
      <c r="C822"/>
      <c r="D822"/>
      <c r="E822"/>
    </row>
    <row r="823" spans="2:5">
      <c r="B823"/>
      <c r="C823"/>
      <c r="D823"/>
      <c r="E823"/>
    </row>
    <row r="824" spans="2:5">
      <c r="B824"/>
      <c r="C824"/>
      <c r="D824"/>
      <c r="E824"/>
    </row>
    <row r="825" spans="2:5">
      <c r="B825"/>
      <c r="C825"/>
      <c r="D825"/>
      <c r="E825"/>
    </row>
    <row r="826" spans="2:5">
      <c r="B826"/>
      <c r="C826"/>
      <c r="D826"/>
      <c r="E826"/>
    </row>
    <row r="827" spans="2:5">
      <c r="B827"/>
      <c r="C827"/>
      <c r="D827"/>
      <c r="E827"/>
    </row>
    <row r="828" spans="2:5">
      <c r="B828"/>
      <c r="C828"/>
      <c r="D828"/>
      <c r="E828"/>
    </row>
    <row r="829" spans="2:5">
      <c r="B829"/>
      <c r="C829"/>
      <c r="D829"/>
      <c r="E829"/>
    </row>
    <row r="830" spans="2:5">
      <c r="B830"/>
      <c r="C830"/>
      <c r="D830"/>
      <c r="E830"/>
    </row>
    <row r="831" spans="2:5">
      <c r="B831"/>
      <c r="C831"/>
      <c r="D831"/>
      <c r="E831"/>
    </row>
    <row r="832" spans="2:5">
      <c r="B832"/>
      <c r="C832"/>
      <c r="D832"/>
      <c r="E832"/>
    </row>
    <row r="833" spans="2:5">
      <c r="B833"/>
      <c r="C833"/>
      <c r="D833"/>
      <c r="E833"/>
    </row>
    <row r="834" spans="2:5">
      <c r="B834"/>
      <c r="C834"/>
      <c r="D834"/>
      <c r="E834"/>
    </row>
    <row r="835" spans="2:5">
      <c r="B835"/>
      <c r="C835"/>
      <c r="D835"/>
      <c r="E835"/>
    </row>
    <row r="836" spans="2:5">
      <c r="B836"/>
      <c r="C836"/>
      <c r="D836"/>
      <c r="E836"/>
    </row>
    <row r="837" spans="2:5">
      <c r="B837"/>
      <c r="C837"/>
      <c r="D837"/>
      <c r="E837"/>
    </row>
    <row r="838" spans="2:5">
      <c r="B838"/>
      <c r="C838"/>
      <c r="D838"/>
      <c r="E838"/>
    </row>
    <row r="839" spans="2:5">
      <c r="B839"/>
      <c r="C839"/>
      <c r="D839"/>
      <c r="E839"/>
    </row>
    <row r="840" spans="2:5">
      <c r="B840"/>
      <c r="C840"/>
      <c r="D840"/>
      <c r="E840"/>
    </row>
    <row r="841" spans="2:5">
      <c r="B841"/>
      <c r="C841"/>
      <c r="D841"/>
      <c r="E841"/>
    </row>
    <row r="842" spans="2:5">
      <c r="B842"/>
      <c r="C842"/>
      <c r="D842"/>
      <c r="E842"/>
    </row>
    <row r="843" spans="2:5">
      <c r="B843"/>
      <c r="C843"/>
      <c r="D843"/>
      <c r="E843"/>
    </row>
    <row r="844" spans="2:5">
      <c r="B844"/>
      <c r="C844"/>
      <c r="D844"/>
      <c r="E844"/>
    </row>
    <row r="845" spans="2:5">
      <c r="B845"/>
      <c r="C845"/>
      <c r="D845"/>
      <c r="E845"/>
    </row>
    <row r="846" spans="2:5">
      <c r="B846"/>
      <c r="C846"/>
      <c r="D846"/>
      <c r="E846"/>
    </row>
    <row r="847" spans="2:5">
      <c r="B847"/>
      <c r="C847"/>
      <c r="D847"/>
      <c r="E847"/>
    </row>
    <row r="848" spans="2:5">
      <c r="B848"/>
      <c r="C848"/>
      <c r="D848"/>
      <c r="E848"/>
    </row>
    <row r="849" spans="2:5">
      <c r="B849"/>
      <c r="C849"/>
      <c r="D849"/>
      <c r="E849"/>
    </row>
    <row r="850" spans="2:5">
      <c r="B850"/>
      <c r="C850"/>
      <c r="D850"/>
      <c r="E850"/>
    </row>
    <row r="851" spans="2:5">
      <c r="B851"/>
      <c r="C851"/>
      <c r="D851"/>
      <c r="E851"/>
    </row>
    <row r="852" spans="2:5">
      <c r="B852"/>
      <c r="C852"/>
      <c r="D852"/>
      <c r="E852"/>
    </row>
    <row r="853" spans="2:5">
      <c r="B853"/>
      <c r="C853"/>
      <c r="D853"/>
      <c r="E853"/>
    </row>
    <row r="854" spans="2:5">
      <c r="B854"/>
      <c r="C854"/>
      <c r="D854"/>
      <c r="E854"/>
    </row>
    <row r="855" spans="2:5">
      <c r="B855"/>
      <c r="C855"/>
      <c r="D855"/>
      <c r="E855"/>
    </row>
    <row r="856" spans="2:5">
      <c r="B856"/>
      <c r="C856"/>
      <c r="D856"/>
      <c r="E856"/>
    </row>
    <row r="857" spans="2:5">
      <c r="B857"/>
      <c r="C857"/>
      <c r="D857"/>
      <c r="E857"/>
    </row>
    <row r="858" spans="2:5">
      <c r="B858"/>
      <c r="C858"/>
      <c r="D858"/>
      <c r="E858"/>
    </row>
    <row r="859" spans="2:5">
      <c r="B859"/>
      <c r="C859"/>
      <c r="D859"/>
      <c r="E859"/>
    </row>
    <row r="860" spans="2:5">
      <c r="B860"/>
      <c r="C860"/>
      <c r="D860"/>
      <c r="E860"/>
    </row>
    <row r="861" spans="2:5">
      <c r="B861"/>
      <c r="C861"/>
      <c r="D861"/>
      <c r="E861"/>
    </row>
    <row r="862" spans="2:5">
      <c r="B862"/>
      <c r="C862"/>
      <c r="D862"/>
      <c r="E862"/>
    </row>
    <row r="863" spans="2:5">
      <c r="B863"/>
      <c r="C863"/>
      <c r="D863"/>
      <c r="E863"/>
    </row>
    <row r="864" spans="2:5">
      <c r="B864"/>
      <c r="C864"/>
      <c r="D864"/>
      <c r="E864"/>
    </row>
    <row r="865" spans="2:5">
      <c r="B865"/>
      <c r="C865"/>
      <c r="D865"/>
      <c r="E865"/>
    </row>
    <row r="866" spans="2:5">
      <c r="B866"/>
      <c r="C866"/>
      <c r="D866"/>
      <c r="E866"/>
    </row>
    <row r="867" spans="2:5">
      <c r="B867"/>
      <c r="C867"/>
      <c r="D867"/>
      <c r="E867"/>
    </row>
    <row r="868" spans="2:5">
      <c r="B868"/>
      <c r="C868"/>
      <c r="D868"/>
      <c r="E868"/>
    </row>
    <row r="869" spans="2:5">
      <c r="B869"/>
      <c r="C869"/>
      <c r="D869"/>
      <c r="E869"/>
    </row>
    <row r="870" spans="2:5">
      <c r="B870"/>
      <c r="C870"/>
      <c r="D870"/>
      <c r="E870"/>
    </row>
    <row r="871" spans="2:5">
      <c r="B871"/>
      <c r="C871"/>
      <c r="D871"/>
      <c r="E871"/>
    </row>
    <row r="872" spans="2:5">
      <c r="B872"/>
      <c r="C872"/>
      <c r="D872"/>
      <c r="E872"/>
    </row>
    <row r="873" spans="2:5">
      <c r="B873"/>
      <c r="C873"/>
      <c r="D873"/>
      <c r="E873"/>
    </row>
    <row r="874" spans="2:5">
      <c r="B874"/>
      <c r="C874"/>
      <c r="D874"/>
      <c r="E874"/>
    </row>
    <row r="875" spans="2:5">
      <c r="B875"/>
      <c r="C875"/>
      <c r="D875"/>
      <c r="E875"/>
    </row>
    <row r="876" spans="2:5">
      <c r="B876"/>
      <c r="C876"/>
      <c r="D876"/>
      <c r="E876"/>
    </row>
    <row r="877" spans="2:5">
      <c r="B877"/>
      <c r="C877"/>
      <c r="D877"/>
      <c r="E877"/>
    </row>
    <row r="878" spans="2:5">
      <c r="B878"/>
      <c r="C878"/>
      <c r="D878"/>
      <c r="E878"/>
    </row>
    <row r="879" spans="2:5">
      <c r="B879"/>
      <c r="C879"/>
      <c r="D879"/>
      <c r="E879"/>
    </row>
    <row r="880" spans="2:5">
      <c r="B880"/>
      <c r="C880"/>
      <c r="D880"/>
      <c r="E880"/>
    </row>
    <row r="881" spans="2:5">
      <c r="B881"/>
      <c r="C881"/>
      <c r="D881"/>
      <c r="E881"/>
    </row>
    <row r="882" spans="2:5">
      <c r="B882"/>
      <c r="C882"/>
      <c r="D882"/>
      <c r="E882"/>
    </row>
    <row r="883" spans="2:5">
      <c r="B883"/>
      <c r="C883"/>
      <c r="D883"/>
      <c r="E883"/>
    </row>
    <row r="884" spans="2:5">
      <c r="B884"/>
      <c r="C884"/>
      <c r="D884"/>
      <c r="E884"/>
    </row>
    <row r="885" spans="2:5">
      <c r="B885"/>
      <c r="C885"/>
      <c r="D885"/>
      <c r="E885"/>
    </row>
    <row r="886" spans="2:5">
      <c r="B886"/>
      <c r="C886"/>
      <c r="D886"/>
      <c r="E886"/>
    </row>
    <row r="887" spans="2:5">
      <c r="B887"/>
      <c r="C887"/>
      <c r="D887"/>
      <c r="E887"/>
    </row>
    <row r="888" spans="2:5">
      <c r="B888"/>
      <c r="C888"/>
      <c r="D888"/>
      <c r="E888"/>
    </row>
    <row r="889" spans="2:5">
      <c r="B889"/>
      <c r="C889"/>
      <c r="D889"/>
      <c r="E889"/>
    </row>
    <row r="890" spans="2:5">
      <c r="B890"/>
      <c r="C890"/>
      <c r="D890"/>
      <c r="E890"/>
    </row>
    <row r="891" spans="2:5">
      <c r="B891"/>
      <c r="C891"/>
      <c r="D891"/>
      <c r="E891"/>
    </row>
    <row r="892" spans="2:5">
      <c r="B892"/>
      <c r="C892"/>
      <c r="D892"/>
      <c r="E892"/>
    </row>
    <row r="893" spans="2:5">
      <c r="B893"/>
      <c r="C893"/>
      <c r="D893"/>
      <c r="E893"/>
    </row>
    <row r="894" spans="2:5">
      <c r="B894"/>
      <c r="C894"/>
      <c r="D894"/>
      <c r="E894"/>
    </row>
    <row r="895" spans="2:5">
      <c r="B895"/>
      <c r="C895"/>
      <c r="D895"/>
      <c r="E895"/>
    </row>
    <row r="896" spans="2:5">
      <c r="B896"/>
      <c r="C896"/>
      <c r="D896"/>
      <c r="E896"/>
    </row>
    <row r="897" spans="2:5">
      <c r="B897"/>
      <c r="C897"/>
      <c r="D897"/>
      <c r="E897"/>
    </row>
    <row r="898" spans="2:5">
      <c r="B898"/>
      <c r="C898"/>
      <c r="D898"/>
      <c r="E898"/>
    </row>
    <row r="899" spans="2:5">
      <c r="B899"/>
      <c r="C899"/>
      <c r="D899"/>
      <c r="E899"/>
    </row>
    <row r="900" spans="2:5">
      <c r="B900"/>
      <c r="C900"/>
      <c r="D900"/>
      <c r="E900"/>
    </row>
    <row r="901" spans="2:5">
      <c r="B901"/>
      <c r="C901"/>
      <c r="D901"/>
      <c r="E901"/>
    </row>
    <row r="902" spans="2:5">
      <c r="B902"/>
      <c r="C902"/>
      <c r="D902"/>
      <c r="E902"/>
    </row>
    <row r="903" spans="2:5">
      <c r="B903"/>
      <c r="C903"/>
      <c r="D903"/>
      <c r="E903"/>
    </row>
    <row r="904" spans="2:5">
      <c r="B904"/>
      <c r="C904"/>
      <c r="D904"/>
      <c r="E904"/>
    </row>
    <row r="905" spans="2:5">
      <c r="B905"/>
      <c r="C905"/>
      <c r="D905"/>
      <c r="E905"/>
    </row>
    <row r="906" spans="2:5">
      <c r="B906"/>
      <c r="C906"/>
      <c r="D906"/>
      <c r="E906"/>
    </row>
    <row r="907" spans="2:5">
      <c r="B907"/>
      <c r="C907"/>
      <c r="D907"/>
      <c r="E907"/>
    </row>
    <row r="908" spans="2:5">
      <c r="B908"/>
      <c r="C908"/>
      <c r="D908"/>
      <c r="E908"/>
    </row>
    <row r="909" spans="2:5">
      <c r="B909"/>
      <c r="C909"/>
      <c r="D909"/>
      <c r="E909"/>
    </row>
    <row r="910" spans="2:5">
      <c r="B910"/>
      <c r="C910"/>
      <c r="D910"/>
      <c r="E910"/>
    </row>
    <row r="911" spans="2:5">
      <c r="B911"/>
      <c r="C911"/>
      <c r="D911"/>
      <c r="E911"/>
    </row>
    <row r="912" spans="2:5">
      <c r="B912"/>
      <c r="C912"/>
      <c r="D912"/>
      <c r="E912"/>
    </row>
    <row r="913" spans="2:5">
      <c r="B913"/>
      <c r="C913"/>
      <c r="D913"/>
      <c r="E913"/>
    </row>
    <row r="914" spans="2:5">
      <c r="B914"/>
      <c r="C914"/>
      <c r="D914"/>
      <c r="E914"/>
    </row>
    <row r="915" spans="2:5">
      <c r="B915"/>
      <c r="C915"/>
      <c r="D915"/>
      <c r="E915"/>
    </row>
    <row r="916" spans="2:5">
      <c r="B916"/>
      <c r="C916"/>
      <c r="D916"/>
      <c r="E916"/>
    </row>
    <row r="917" spans="2:5">
      <c r="B917"/>
      <c r="C917"/>
      <c r="D917"/>
      <c r="E917"/>
    </row>
    <row r="918" spans="2:5">
      <c r="B918"/>
      <c r="C918"/>
      <c r="D918"/>
      <c r="E918"/>
    </row>
    <row r="919" spans="2:5">
      <c r="B919"/>
      <c r="C919"/>
      <c r="D919"/>
      <c r="E919"/>
    </row>
    <row r="920" spans="2:5">
      <c r="B920"/>
      <c r="C920"/>
      <c r="D920"/>
      <c r="E920"/>
    </row>
    <row r="921" spans="2:5">
      <c r="B921"/>
      <c r="C921"/>
      <c r="D921"/>
      <c r="E921"/>
    </row>
    <row r="922" spans="2:5">
      <c r="B922"/>
      <c r="C922"/>
      <c r="D922"/>
      <c r="E922"/>
    </row>
    <row r="923" spans="2:5">
      <c r="B923"/>
      <c r="C923"/>
      <c r="D923"/>
      <c r="E923"/>
    </row>
    <row r="924" spans="2:5">
      <c r="B924"/>
      <c r="C924"/>
      <c r="D924"/>
      <c r="E924"/>
    </row>
    <row r="925" spans="2:5">
      <c r="B925"/>
      <c r="C925"/>
      <c r="D925"/>
      <c r="E925"/>
    </row>
    <row r="926" spans="2:5">
      <c r="B926"/>
      <c r="C926"/>
      <c r="D926"/>
      <c r="E926"/>
    </row>
    <row r="927" spans="2:5">
      <c r="B927"/>
      <c r="C927"/>
      <c r="D927"/>
      <c r="E927"/>
    </row>
    <row r="928" spans="2:5">
      <c r="B928"/>
      <c r="C928"/>
      <c r="D928"/>
      <c r="E928"/>
    </row>
    <row r="929" spans="2:5">
      <c r="B929"/>
      <c r="C929"/>
      <c r="D929"/>
      <c r="E929"/>
    </row>
    <row r="930" spans="2:5">
      <c r="B930"/>
      <c r="C930"/>
      <c r="D930"/>
      <c r="E930"/>
    </row>
    <row r="931" spans="2:5">
      <c r="B931"/>
      <c r="C931"/>
      <c r="D931"/>
      <c r="E931"/>
    </row>
    <row r="932" spans="2:5">
      <c r="B932"/>
      <c r="C932"/>
      <c r="D932"/>
      <c r="E932"/>
    </row>
    <row r="933" spans="2:5">
      <c r="B933"/>
      <c r="C933"/>
      <c r="D933"/>
      <c r="E933"/>
    </row>
    <row r="934" spans="2:5">
      <c r="B934"/>
      <c r="C934"/>
      <c r="D934"/>
      <c r="E934"/>
    </row>
    <row r="935" spans="2:5">
      <c r="B935"/>
      <c r="C935"/>
      <c r="D935"/>
      <c r="E935"/>
    </row>
    <row r="936" spans="2:5">
      <c r="B936"/>
      <c r="C936"/>
      <c r="D936"/>
      <c r="E936"/>
    </row>
    <row r="937" spans="2:5">
      <c r="B937"/>
      <c r="C937"/>
      <c r="D937"/>
      <c r="E937"/>
    </row>
    <row r="938" spans="2:5">
      <c r="B938"/>
      <c r="C938"/>
      <c r="D938"/>
      <c r="E938"/>
    </row>
    <row r="939" spans="2:5">
      <c r="B939"/>
      <c r="C939"/>
      <c r="D939"/>
      <c r="E939"/>
    </row>
    <row r="940" spans="2:5">
      <c r="B940"/>
      <c r="C940"/>
      <c r="D940"/>
      <c r="E940"/>
    </row>
    <row r="941" spans="2:5">
      <c r="B941"/>
      <c r="C941"/>
      <c r="D941"/>
      <c r="E941"/>
    </row>
    <row r="942" spans="2:5">
      <c r="B942"/>
      <c r="C942"/>
      <c r="D942"/>
      <c r="E942"/>
    </row>
    <row r="943" spans="2:5">
      <c r="B943"/>
      <c r="C943"/>
      <c r="D943"/>
      <c r="E943"/>
    </row>
    <row r="944" spans="2:5">
      <c r="B944"/>
      <c r="C944"/>
      <c r="D944"/>
      <c r="E944"/>
    </row>
    <row r="945" spans="2:5">
      <c r="B945"/>
      <c r="C945"/>
      <c r="D945"/>
      <c r="E945"/>
    </row>
    <row r="946" spans="2:5">
      <c r="B946"/>
      <c r="C946"/>
      <c r="D946"/>
      <c r="E946"/>
    </row>
    <row r="947" spans="2:5">
      <c r="B947"/>
      <c r="C947"/>
      <c r="D947"/>
      <c r="E947"/>
    </row>
    <row r="948" spans="2:5">
      <c r="B948"/>
      <c r="C948"/>
      <c r="D948"/>
      <c r="E948"/>
    </row>
    <row r="949" spans="2:5">
      <c r="B949"/>
      <c r="C949"/>
      <c r="D949"/>
      <c r="E949"/>
    </row>
    <row r="950" spans="2:5">
      <c r="B950"/>
      <c r="C950"/>
      <c r="D950"/>
      <c r="E950"/>
    </row>
    <row r="951" spans="2:5">
      <c r="B951"/>
      <c r="C951"/>
      <c r="D951"/>
      <c r="E951"/>
    </row>
    <row r="952" spans="2:5">
      <c r="B952"/>
      <c r="C952"/>
      <c r="D952"/>
      <c r="E952"/>
    </row>
    <row r="953" spans="2:5">
      <c r="B953"/>
      <c r="C953"/>
      <c r="D953"/>
      <c r="E953"/>
    </row>
    <row r="954" spans="2:5">
      <c r="B954"/>
      <c r="C954"/>
      <c r="D954"/>
      <c r="E954"/>
    </row>
    <row r="955" spans="2:5">
      <c r="B955"/>
      <c r="C955"/>
      <c r="D955"/>
      <c r="E955"/>
    </row>
    <row r="956" spans="2:5">
      <c r="B956"/>
      <c r="C956"/>
      <c r="D956"/>
      <c r="E956"/>
    </row>
    <row r="957" spans="2:5">
      <c r="B957"/>
      <c r="C957"/>
      <c r="D957"/>
      <c r="E957"/>
    </row>
    <row r="958" spans="2:5">
      <c r="B958"/>
      <c r="C958"/>
      <c r="D958"/>
      <c r="E958"/>
    </row>
    <row r="959" spans="2:5">
      <c r="B959"/>
      <c r="C959"/>
      <c r="D959"/>
      <c r="E959"/>
    </row>
    <row r="960" spans="2:5">
      <c r="B960"/>
      <c r="C960"/>
      <c r="D960"/>
      <c r="E960"/>
    </row>
    <row r="961" spans="2:5">
      <c r="B961"/>
      <c r="C961"/>
      <c r="D961"/>
      <c r="E961"/>
    </row>
    <row r="962" spans="2:5">
      <c r="B962"/>
      <c r="C962"/>
      <c r="D962"/>
      <c r="E962"/>
    </row>
    <row r="963" spans="2:5">
      <c r="B963"/>
      <c r="C963"/>
      <c r="D963"/>
      <c r="E963"/>
    </row>
    <row r="964" spans="2:5">
      <c r="B964"/>
      <c r="C964"/>
      <c r="D964"/>
      <c r="E964"/>
    </row>
    <row r="965" spans="2:5">
      <c r="B965"/>
      <c r="C965"/>
      <c r="D965"/>
      <c r="E965"/>
    </row>
    <row r="966" spans="2:5">
      <c r="B966"/>
      <c r="C966"/>
      <c r="D966"/>
      <c r="E966"/>
    </row>
    <row r="967" spans="2:5">
      <c r="B967"/>
      <c r="C967"/>
      <c r="D967"/>
      <c r="E967"/>
    </row>
    <row r="968" spans="2:5">
      <c r="B968"/>
      <c r="C968"/>
      <c r="D968"/>
      <c r="E968"/>
    </row>
    <row r="969" spans="2:5">
      <c r="B969"/>
      <c r="C969"/>
      <c r="D969"/>
      <c r="E969"/>
    </row>
    <row r="970" spans="2:5">
      <c r="B970"/>
      <c r="C970"/>
      <c r="D970"/>
      <c r="E970"/>
    </row>
    <row r="971" spans="2:5">
      <c r="B971"/>
      <c r="C971"/>
      <c r="D971"/>
      <c r="E971"/>
    </row>
    <row r="972" spans="2:5">
      <c r="B972"/>
      <c r="C972"/>
      <c r="D972"/>
      <c r="E972"/>
    </row>
    <row r="973" spans="2:5">
      <c r="B973"/>
      <c r="C973"/>
      <c r="D973"/>
      <c r="E973"/>
    </row>
    <row r="974" spans="2:5">
      <c r="B974"/>
      <c r="C974"/>
      <c r="D974"/>
      <c r="E974"/>
    </row>
    <row r="975" spans="2:5">
      <c r="B975"/>
      <c r="C975"/>
      <c r="D975"/>
      <c r="E975"/>
    </row>
    <row r="976" spans="2:5">
      <c r="B976"/>
      <c r="C976"/>
      <c r="D976"/>
      <c r="E976"/>
    </row>
    <row r="977" spans="2:5">
      <c r="B977"/>
      <c r="C977"/>
      <c r="D977"/>
      <c r="E977"/>
    </row>
    <row r="978" spans="2:5">
      <c r="B978"/>
      <c r="C978"/>
      <c r="D978"/>
      <c r="E978"/>
    </row>
    <row r="979" spans="2:5">
      <c r="B979"/>
      <c r="C979"/>
      <c r="D979"/>
      <c r="E979"/>
    </row>
    <row r="980" spans="2:5">
      <c r="B980"/>
      <c r="C980"/>
      <c r="D980"/>
      <c r="E980"/>
    </row>
    <row r="981" spans="2:5">
      <c r="B981"/>
      <c r="C981"/>
      <c r="D981"/>
      <c r="E981"/>
    </row>
    <row r="982" spans="2:5">
      <c r="B982"/>
      <c r="C982"/>
      <c r="D982"/>
      <c r="E982"/>
    </row>
    <row r="983" spans="2:5">
      <c r="B983"/>
      <c r="C983"/>
      <c r="D983"/>
      <c r="E983"/>
    </row>
    <row r="984" spans="2:5">
      <c r="B984"/>
      <c r="C984"/>
      <c r="D984"/>
      <c r="E984"/>
    </row>
    <row r="985" spans="2:5">
      <c r="B985"/>
      <c r="C985"/>
      <c r="D985"/>
      <c r="E985"/>
    </row>
    <row r="986" spans="2:5">
      <c r="B986"/>
      <c r="C986"/>
      <c r="D986"/>
      <c r="E986"/>
    </row>
    <row r="987" spans="2:5">
      <c r="B987"/>
      <c r="C987"/>
      <c r="D987"/>
      <c r="E987"/>
    </row>
    <row r="988" spans="2:5">
      <c r="B988"/>
      <c r="C988"/>
      <c r="D988"/>
      <c r="E988"/>
    </row>
    <row r="989" spans="2:5">
      <c r="B989"/>
      <c r="C989"/>
      <c r="D989"/>
      <c r="E989"/>
    </row>
    <row r="990" spans="2:5">
      <c r="B990"/>
      <c r="C990"/>
      <c r="D990"/>
      <c r="E990"/>
    </row>
    <row r="991" spans="2:5">
      <c r="B991"/>
      <c r="C991"/>
      <c r="D991"/>
      <c r="E991"/>
    </row>
    <row r="992" spans="2:5">
      <c r="B992"/>
      <c r="C992"/>
      <c r="D992"/>
      <c r="E992"/>
    </row>
    <row r="993" spans="2:5">
      <c r="B993"/>
      <c r="C993"/>
      <c r="D993"/>
      <c r="E993"/>
    </row>
    <row r="994" spans="2:5">
      <c r="B994"/>
      <c r="C994"/>
      <c r="D994"/>
      <c r="E994"/>
    </row>
    <row r="995" spans="2:5">
      <c r="B995"/>
      <c r="C995"/>
      <c r="D995"/>
      <c r="E995"/>
    </row>
    <row r="996" spans="2:5">
      <c r="B996"/>
      <c r="C996"/>
      <c r="D996"/>
      <c r="E996"/>
    </row>
    <row r="997" spans="2:5">
      <c r="B997"/>
      <c r="C997"/>
      <c r="D997"/>
      <c r="E997"/>
    </row>
    <row r="998" spans="2:5">
      <c r="B998"/>
      <c r="C998"/>
      <c r="D998"/>
      <c r="E998"/>
    </row>
    <row r="999" spans="2:5">
      <c r="B999"/>
      <c r="C999"/>
      <c r="D999"/>
      <c r="E999"/>
    </row>
    <row r="1000" spans="2:5">
      <c r="B1000"/>
      <c r="C1000"/>
      <c r="D1000"/>
      <c r="E1000"/>
    </row>
    <row r="1001" spans="2:5">
      <c r="B1001"/>
      <c r="C1001"/>
      <c r="D1001"/>
      <c r="E1001"/>
    </row>
    <row r="1002" spans="2:5">
      <c r="B1002"/>
      <c r="C1002"/>
      <c r="D1002"/>
      <c r="E1002"/>
    </row>
    <row r="1003" spans="2:5">
      <c r="B1003"/>
      <c r="C1003"/>
      <c r="D1003"/>
      <c r="E1003"/>
    </row>
    <row r="1004" spans="2:5">
      <c r="B1004"/>
      <c r="C1004"/>
      <c r="D1004"/>
      <c r="E10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887"/>
  <sheetViews>
    <sheetView topLeftCell="AG1" workbookViewId="0">
      <pane ySplit="1" topLeftCell="A2" activePane="bottomLeft" state="frozen"/>
      <selection pane="bottomLeft" activeCell="L661" sqref="L661"/>
    </sheetView>
  </sheetViews>
  <sheetFormatPr defaultRowHeight="15"/>
  <cols>
    <col min="1" max="1" width="18.42578125" bestFit="1" customWidth="1"/>
    <col min="2" max="2" width="10.28515625" bestFit="1" customWidth="1"/>
    <col min="3" max="3" width="13.42578125" bestFit="1" customWidth="1"/>
    <col min="4" max="4" width="15.140625" bestFit="1" customWidth="1"/>
    <col min="5" max="5" width="18.7109375" bestFit="1" customWidth="1"/>
    <col min="6" max="6" width="13.42578125" bestFit="1" customWidth="1"/>
    <col min="7" max="7" width="21.85546875" bestFit="1" customWidth="1"/>
    <col min="8" max="8" width="12" bestFit="1" customWidth="1"/>
    <col min="9" max="9" width="15.7109375" bestFit="1" customWidth="1"/>
    <col min="10" max="10" width="19.140625" bestFit="1" customWidth="1"/>
    <col min="11" max="11" width="13.85546875" bestFit="1" customWidth="1"/>
    <col min="12" max="12" width="12" bestFit="1" customWidth="1"/>
    <col min="13" max="13" width="18.42578125" bestFit="1" customWidth="1"/>
    <col min="14" max="14" width="14.42578125" bestFit="1" customWidth="1"/>
    <col min="15" max="15" width="17.7109375" bestFit="1" customWidth="1"/>
    <col min="16" max="16" width="19.5703125" bestFit="1" customWidth="1"/>
    <col min="17" max="17" width="23" bestFit="1" customWidth="1"/>
    <col min="18" max="18" width="17.7109375" bestFit="1" customWidth="1"/>
    <col min="19" max="19" width="26.140625" bestFit="1" customWidth="1"/>
    <col min="20" max="20" width="11.28515625" bestFit="1" customWidth="1"/>
    <col min="21" max="21" width="20" bestFit="1" customWidth="1"/>
    <col min="22" max="22" width="23.42578125" bestFit="1" customWidth="1"/>
    <col min="23" max="23" width="18.140625" bestFit="1" customWidth="1"/>
    <col min="24" max="24" width="15" bestFit="1" customWidth="1"/>
    <col min="25" max="25" width="7" bestFit="1" customWidth="1"/>
    <col min="26" max="26" width="16.140625" customWidth="1"/>
    <col min="27" max="27" width="18.7109375" customWidth="1"/>
    <col min="28" max="28" width="27.140625" bestFit="1" customWidth="1"/>
    <col min="29" max="29" width="19.5703125" bestFit="1" customWidth="1"/>
    <col min="30" max="30" width="27.5703125" bestFit="1" customWidth="1"/>
    <col min="31" max="31" width="17" bestFit="1" customWidth="1"/>
    <col min="32" max="32" width="17.42578125" bestFit="1" customWidth="1"/>
    <col min="33" max="33" width="18.85546875" bestFit="1" customWidth="1"/>
    <col min="34" max="34" width="20" bestFit="1" customWidth="1"/>
    <col min="35" max="35" width="20.42578125" bestFit="1" customWidth="1"/>
    <col min="36" max="36" width="23.7109375" bestFit="1" customWidth="1"/>
    <col min="37" max="37" width="24.140625" bestFit="1" customWidth="1"/>
    <col min="38" max="38" width="28.7109375" bestFit="1" customWidth="1"/>
    <col min="39" max="39" width="36.85546875" bestFit="1" customWidth="1"/>
    <col min="40" max="40" width="29.140625" bestFit="1" customWidth="1"/>
    <col min="41" max="41" width="37.28515625" bestFit="1" customWidth="1"/>
    <col min="42" max="42" width="17.7109375" bestFit="1" customWidth="1"/>
    <col min="43" max="43" width="13" bestFit="1" customWidth="1"/>
    <col min="44" max="44" width="22" bestFit="1" customWidth="1"/>
    <col min="45" max="45" width="22.42578125" bestFit="1" customWidth="1"/>
  </cols>
  <sheetData>
    <row r="1" spans="1:4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216</v>
      </c>
      <c r="N1" s="2" t="s">
        <v>217</v>
      </c>
      <c r="O1" s="2" t="s">
        <v>218</v>
      </c>
      <c r="P1" s="2" t="s">
        <v>219</v>
      </c>
      <c r="Q1" s="2" t="s">
        <v>220</v>
      </c>
      <c r="R1" s="2" t="s">
        <v>221</v>
      </c>
      <c r="S1" s="2" t="s">
        <v>222</v>
      </c>
      <c r="T1" s="2" t="s">
        <v>223</v>
      </c>
      <c r="U1" s="2" t="s">
        <v>224</v>
      </c>
      <c r="V1" s="2" t="s">
        <v>225</v>
      </c>
      <c r="W1" s="2" t="s">
        <v>226</v>
      </c>
      <c r="X1" s="2" t="s">
        <v>227</v>
      </c>
      <c r="Y1" s="2" t="s">
        <v>12</v>
      </c>
      <c r="Z1" s="2" t="s">
        <v>13</v>
      </c>
      <c r="AA1" s="2" t="s">
        <v>213</v>
      </c>
      <c r="AB1" s="2" t="s">
        <v>214</v>
      </c>
      <c r="AC1" s="2" t="s">
        <v>228</v>
      </c>
      <c r="AD1" s="2" t="s">
        <v>229</v>
      </c>
      <c r="AE1" s="2" t="s">
        <v>230</v>
      </c>
      <c r="AF1" s="2" t="s">
        <v>231</v>
      </c>
      <c r="AG1" s="2" t="s">
        <v>232</v>
      </c>
      <c r="AH1" s="2" t="s">
        <v>234</v>
      </c>
      <c r="AI1" s="2" t="s">
        <v>235</v>
      </c>
      <c r="AJ1" s="2" t="s">
        <v>236</v>
      </c>
      <c r="AK1" s="2" t="s">
        <v>237</v>
      </c>
      <c r="AL1" s="6" t="s">
        <v>243</v>
      </c>
      <c r="AM1" s="6" t="s">
        <v>244</v>
      </c>
      <c r="AN1" s="6" t="s">
        <v>245</v>
      </c>
      <c r="AO1" s="6" t="s">
        <v>246</v>
      </c>
      <c r="AP1" s="6" t="s">
        <v>259</v>
      </c>
      <c r="AQ1" s="6" t="s">
        <v>260</v>
      </c>
      <c r="AR1" s="6" t="s">
        <v>261</v>
      </c>
      <c r="AS1" s="6" t="s">
        <v>258</v>
      </c>
    </row>
    <row r="2" spans="1:45">
      <c r="A2" t="s">
        <v>14</v>
      </c>
      <c r="B2">
        <v>721</v>
      </c>
      <c r="C2">
        <v>37</v>
      </c>
      <c r="D2">
        <v>96</v>
      </c>
      <c r="E2">
        <v>9</v>
      </c>
      <c r="F2">
        <v>1</v>
      </c>
      <c r="G2">
        <v>4</v>
      </c>
      <c r="H2">
        <v>2</v>
      </c>
      <c r="I2">
        <v>391</v>
      </c>
      <c r="J2">
        <v>61</v>
      </c>
      <c r="K2">
        <v>4</v>
      </c>
      <c r="L2">
        <v>1</v>
      </c>
      <c r="M2" t="s">
        <v>15</v>
      </c>
      <c r="N2">
        <v>650</v>
      </c>
      <c r="O2">
        <v>20</v>
      </c>
      <c r="P2">
        <v>184</v>
      </c>
      <c r="Q2">
        <v>26</v>
      </c>
      <c r="R2">
        <v>2</v>
      </c>
      <c r="S2">
        <v>15</v>
      </c>
      <c r="T2">
        <v>3</v>
      </c>
      <c r="U2">
        <v>184</v>
      </c>
      <c r="V2">
        <v>44</v>
      </c>
      <c r="W2">
        <v>1</v>
      </c>
      <c r="X2">
        <v>0</v>
      </c>
      <c r="Y2" t="s">
        <v>16</v>
      </c>
      <c r="Z2">
        <v>1</v>
      </c>
      <c r="AA2" t="str">
        <f>IF(AND(Table1[[#This Row],[Throw Out Pass Eff]]="N", Table1[[#This Row],[Against FCS Team]]="N"), ROUND(((5.45 * D2) + (150 * F2) + (100 * G2) - (300 * H2)) / E2, 2), " ")</f>
        <v xml:space="preserve"> </v>
      </c>
      <c r="AB2" t="str">
        <f>IF(AND(Table1[[#This Row],[Throw Out Pass Def Eff]]="N", Table1[[#This Row],[Against FCS Team]]="N"),200 - ROUND(((5.45 * P2) + (150 * R2) + (100 * S2) - (300 * T2)) / Q2, 2), " ")</f>
        <v xml:space="preserve"> </v>
      </c>
      <c r="AC2" t="str">
        <f>IF(AND(Table1[[#This Row],[Throw Out Rush Eff]]="N", Table1[[#This Row],[Against FCS Team]]="N"), ROUND(((23.2 * I2) + (150 * K2) - (300 * L2)) / J2, 2), " ")</f>
        <v xml:space="preserve"> </v>
      </c>
      <c r="AD2" s="3" t="str">
        <f>IF(AND(Table1[[#This Row],[Throw Out Rush Def Eff]]="N", Table1[[#This Row],[Against FCS Team]]="N"), 200 - ROUND(((23.2 * U2) + (150 * W2) - (300 * X2)) / V2, 2), " ")</f>
        <v xml:space="preserve"> </v>
      </c>
      <c r="AE2" s="3">
        <f>ROUND(Table1[[#This Row],[Opp Passing Attempts]]/(Table1[[#This Row],[Opp Passing Attempts]]+Table1[[#This Row],[Opp Rushing Attempts]]), 2)</f>
        <v>0.37</v>
      </c>
      <c r="AF2" s="3">
        <f>1-Table1[[#This Row],[Passing Weight]]</f>
        <v>0.63</v>
      </c>
      <c r="AG2" s="3" t="str">
        <f>IF(COUNTIF(A:A,Table1[[#This Row],[Opp Team Name]]) &gt; 0, "N", "Y")</f>
        <v>Y</v>
      </c>
      <c r="AH2" s="3" t="str">
        <f>IF(Table1[[#This Row],[Passing Attempts]] &lt;15, "Y", "N")</f>
        <v>Y</v>
      </c>
      <c r="AI2" s="3" t="str">
        <f>IF(Table1[[#This Row],[Rushing Attempts]] &lt; 15, "Y", "N")</f>
        <v>N</v>
      </c>
      <c r="AJ2" s="3" t="str">
        <f>IF(Table1[[#This Row],[Opp Passing Attempts]]&lt;15, "Y", "N")</f>
        <v>N</v>
      </c>
      <c r="AK2" s="3" t="str">
        <f>IF(Table1[[#This Row],[Opp Rushing Attempts]]&lt;15, "Y", "N")</f>
        <v>N</v>
      </c>
      <c r="AL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" s="3">
        <f>ABS(Table1[[#This Row],[Team Score]]-Table1[[#This Row],[Opp Team Score]])</f>
        <v>17</v>
      </c>
      <c r="AQ2" s="3">
        <f>SUM(Table1[[#This Row],[Team Score]], Table1[[#This Row],[Opp Team Score]])</f>
        <v>57</v>
      </c>
      <c r="AR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" s="3" t="str">
        <f>IF(Table1[[#This Row],[Efficiency Difference]] = " ", " ", ROUND((Table1[[#This Row],[Winning Margin]]*100)/Table1[[#This Row],[Efficiency Difference]], 2))</f>
        <v xml:space="preserve"> </v>
      </c>
    </row>
    <row r="3" spans="1:45">
      <c r="A3" t="s">
        <v>14</v>
      </c>
      <c r="B3">
        <v>721</v>
      </c>
      <c r="C3">
        <v>19</v>
      </c>
      <c r="D3">
        <v>167</v>
      </c>
      <c r="E3">
        <v>21</v>
      </c>
      <c r="F3">
        <v>1</v>
      </c>
      <c r="G3">
        <v>12</v>
      </c>
      <c r="H3">
        <v>0</v>
      </c>
      <c r="I3">
        <v>249</v>
      </c>
      <c r="J3">
        <v>43</v>
      </c>
      <c r="K3">
        <v>1</v>
      </c>
      <c r="L3">
        <v>2</v>
      </c>
      <c r="M3" t="s">
        <v>37</v>
      </c>
      <c r="N3">
        <v>698</v>
      </c>
      <c r="O3">
        <v>35</v>
      </c>
      <c r="P3">
        <v>206</v>
      </c>
      <c r="Q3">
        <v>25</v>
      </c>
      <c r="R3">
        <v>2</v>
      </c>
      <c r="S3">
        <v>20</v>
      </c>
      <c r="T3">
        <v>0</v>
      </c>
      <c r="U3">
        <v>204</v>
      </c>
      <c r="V3">
        <v>44</v>
      </c>
      <c r="W3">
        <v>3</v>
      </c>
      <c r="X3">
        <v>1</v>
      </c>
      <c r="Y3" t="s">
        <v>19</v>
      </c>
      <c r="Z3">
        <v>2</v>
      </c>
      <c r="AA3">
        <f>IF(AND(Table1[[#This Row],[Throw Out Pass Eff]]="N", Table1[[#This Row],[Against FCS Team]]="N"), ROUND(((5.45 * D3) + (150 * F3) + (100 * G3) - (300 * H3)) / E3, 2), " ")</f>
        <v>107.63</v>
      </c>
      <c r="AB3">
        <f>IF(AND(Table1[[#This Row],[Throw Out Pass Def Eff]]="N", Table1[[#This Row],[Against FCS Team]]="N"),200 - ROUND(((5.45 * P3) + (150 * R3) + (100 * S3) - (300 * T3)) / Q3, 2), " ")</f>
        <v>63.09</v>
      </c>
      <c r="AC3">
        <f>IF(AND(Table1[[#This Row],[Throw Out Rush Eff]]="N", Table1[[#This Row],[Against FCS Team]]="N"), ROUND(((23.2 * I3) + (150 * K3) - (300 * L3)) / J3, 2), " ")</f>
        <v>123.88</v>
      </c>
      <c r="AD3" s="3">
        <f>IF(AND(Table1[[#This Row],[Throw Out Rush Def Eff]]="N", Table1[[#This Row],[Against FCS Team]]="N"), 200 - ROUND(((23.2 * U3) + (150 * W3) - (300 * X3)) / V3, 2), " ")</f>
        <v>89.03</v>
      </c>
      <c r="AE3" s="3">
        <f>ROUND(Table1[[#This Row],[Opp Passing Attempts]]/(Table1[[#This Row],[Opp Passing Attempts]]+Table1[[#This Row],[Opp Rushing Attempts]]), 2)</f>
        <v>0.36</v>
      </c>
      <c r="AF3" s="3">
        <f>1-Table1[[#This Row],[Passing Weight]]</f>
        <v>0.64</v>
      </c>
      <c r="AG3" s="3" t="str">
        <f>IF(COUNTIF(A:A,Table1[[#This Row],[Opp Team Name]]) &gt; 0, "N", "Y")</f>
        <v>N</v>
      </c>
      <c r="AH3" s="3" t="str">
        <f>IF(Table1[[#This Row],[Passing Attempts]] &lt;15, "Y", "N")</f>
        <v>N</v>
      </c>
      <c r="AI3" s="3" t="str">
        <f>IF(Table1[[#This Row],[Rushing Attempts]] &lt; 15, "Y", "N")</f>
        <v>N</v>
      </c>
      <c r="AJ3" s="3" t="str">
        <f>IF(Table1[[#This Row],[Opp Passing Attempts]]&lt;15, "Y", "N")</f>
        <v>N</v>
      </c>
      <c r="AK3" s="3" t="str">
        <f>IF(Table1[[#This Row],[Opp Rushing Attempts]]&lt;15, "Y", "N")</f>
        <v>N</v>
      </c>
      <c r="AL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96.29</v>
      </c>
      <c r="AM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77.11</v>
      </c>
      <c r="AN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152.44</v>
      </c>
      <c r="AO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106.8</v>
      </c>
      <c r="AP3" s="3">
        <f>ABS(Table1[[#This Row],[Team Score]]-Table1[[#This Row],[Opp Team Score]])</f>
        <v>16</v>
      </c>
      <c r="AQ3" s="3">
        <f>SUM(Table1[[#This Row],[Team Score]], Table1[[#This Row],[Opp Team Score]])</f>
        <v>54</v>
      </c>
      <c r="AR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16.370000000000005</v>
      </c>
      <c r="AS3" s="3">
        <f>IF(Table1[[#This Row],[Efficiency Difference]] = " ", " ", ROUND((Table1[[#This Row],[Winning Margin]]*100)/Table1[[#This Row],[Efficiency Difference]], 2))</f>
        <v>97.74</v>
      </c>
    </row>
    <row r="4" spans="1:45">
      <c r="A4" t="s">
        <v>14</v>
      </c>
      <c r="B4">
        <v>721</v>
      </c>
      <c r="C4">
        <v>63</v>
      </c>
      <c r="D4">
        <v>197</v>
      </c>
      <c r="E4">
        <v>15</v>
      </c>
      <c r="F4">
        <v>3</v>
      </c>
      <c r="G4">
        <v>13</v>
      </c>
      <c r="H4">
        <v>0</v>
      </c>
      <c r="I4">
        <v>595</v>
      </c>
      <c r="J4">
        <v>66</v>
      </c>
      <c r="K4">
        <v>6</v>
      </c>
      <c r="L4">
        <v>2</v>
      </c>
      <c r="M4" t="s">
        <v>202</v>
      </c>
      <c r="N4">
        <v>691</v>
      </c>
      <c r="O4">
        <v>24</v>
      </c>
      <c r="P4">
        <v>206</v>
      </c>
      <c r="Q4">
        <v>25</v>
      </c>
      <c r="R4">
        <v>2</v>
      </c>
      <c r="S4">
        <v>9</v>
      </c>
      <c r="T4">
        <v>1</v>
      </c>
      <c r="U4">
        <v>188</v>
      </c>
      <c r="V4">
        <v>45</v>
      </c>
      <c r="W4">
        <v>1</v>
      </c>
      <c r="X4">
        <v>0</v>
      </c>
      <c r="Y4" t="s">
        <v>16</v>
      </c>
      <c r="Z4">
        <v>4</v>
      </c>
      <c r="AA4" t="str">
        <f>IF(AND(Table1[[#This Row],[Throw Out Pass Eff]]="N", Table1[[#This Row],[Against FCS Team]]="N"), ROUND(((5.45 * D4) + (150 * F4) + (100 * G4) - (300 * H4)) / E4, 2), " ")</f>
        <v xml:space="preserve"> </v>
      </c>
      <c r="AB4" t="str">
        <f>IF(AND(Table1[[#This Row],[Throw Out Pass Def Eff]]="N", Table1[[#This Row],[Against FCS Team]]="N"),200 - ROUND(((5.45 * P4) + (150 * R4) + (100 * S4) - (300 * T4)) / Q4, 2), " ")</f>
        <v xml:space="preserve"> </v>
      </c>
      <c r="AC4" t="str">
        <f>IF(AND(Table1[[#This Row],[Throw Out Rush Eff]]="N", Table1[[#This Row],[Against FCS Team]]="N"), ROUND(((23.2 * I4) + (150 * K4) - (300 * L4)) / J4, 2), " ")</f>
        <v xml:space="preserve"> </v>
      </c>
      <c r="AD4" s="3" t="str">
        <f>IF(AND(Table1[[#This Row],[Throw Out Rush Def Eff]]="N", Table1[[#This Row],[Against FCS Team]]="N"), 200 - ROUND(((23.2 * U4) + (150 * W4) - (300 * X4)) / V4, 2), " ")</f>
        <v xml:space="preserve"> </v>
      </c>
      <c r="AE4" s="3">
        <f>ROUND(Table1[[#This Row],[Opp Passing Attempts]]/(Table1[[#This Row],[Opp Passing Attempts]]+Table1[[#This Row],[Opp Rushing Attempts]]), 2)</f>
        <v>0.36</v>
      </c>
      <c r="AF4" s="3">
        <f>1-Table1[[#This Row],[Passing Weight]]</f>
        <v>0.64</v>
      </c>
      <c r="AG4" s="3" t="str">
        <f>IF(COUNTIF(A:A,Table1[[#This Row],[Opp Team Name]]) &gt; 0, "N", "Y")</f>
        <v>Y</v>
      </c>
      <c r="AH4" s="3" t="str">
        <f>IF(Table1[[#This Row],[Passing Attempts]] &lt;15, "Y", "N")</f>
        <v>N</v>
      </c>
      <c r="AI4" s="3" t="str">
        <f>IF(Table1[[#This Row],[Rushing Attempts]] &lt; 15, "Y", "N")</f>
        <v>N</v>
      </c>
      <c r="AJ4" s="3" t="str">
        <f>IF(Table1[[#This Row],[Opp Passing Attempts]]&lt;15, "Y", "N")</f>
        <v>N</v>
      </c>
      <c r="AK4" s="3" t="str">
        <f>IF(Table1[[#This Row],[Opp Rushing Attempts]]&lt;15, "Y", "N")</f>
        <v>N</v>
      </c>
      <c r="AL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" s="3">
        <f>ABS(Table1[[#This Row],[Team Score]]-Table1[[#This Row],[Opp Team Score]])</f>
        <v>39</v>
      </c>
      <c r="AQ4" s="3">
        <f>SUM(Table1[[#This Row],[Team Score]], Table1[[#This Row],[Opp Team Score]])</f>
        <v>87</v>
      </c>
      <c r="AR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" s="3" t="str">
        <f>IF(Table1[[#This Row],[Efficiency Difference]] = " ", " ", ROUND((Table1[[#This Row],[Winning Margin]]*100)/Table1[[#This Row],[Efficiency Difference]], 2))</f>
        <v xml:space="preserve"> </v>
      </c>
    </row>
    <row r="5" spans="1:45">
      <c r="A5" t="s">
        <v>14</v>
      </c>
      <c r="B5">
        <v>721</v>
      </c>
      <c r="C5">
        <v>35</v>
      </c>
      <c r="D5">
        <v>136</v>
      </c>
      <c r="E5">
        <v>10</v>
      </c>
      <c r="F5">
        <v>1</v>
      </c>
      <c r="G5">
        <v>9</v>
      </c>
      <c r="H5">
        <v>0</v>
      </c>
      <c r="I5">
        <v>223</v>
      </c>
      <c r="J5">
        <v>41</v>
      </c>
      <c r="K5">
        <v>4</v>
      </c>
      <c r="L5">
        <v>1</v>
      </c>
      <c r="M5" t="s">
        <v>104</v>
      </c>
      <c r="N5">
        <v>726</v>
      </c>
      <c r="O5">
        <v>34</v>
      </c>
      <c r="P5">
        <v>132</v>
      </c>
      <c r="Q5">
        <v>25</v>
      </c>
      <c r="R5">
        <v>1</v>
      </c>
      <c r="S5">
        <v>14</v>
      </c>
      <c r="T5">
        <v>1</v>
      </c>
      <c r="U5">
        <v>334</v>
      </c>
      <c r="V5">
        <v>80</v>
      </c>
      <c r="W5">
        <v>3</v>
      </c>
      <c r="X5">
        <v>0</v>
      </c>
      <c r="Y5" t="s">
        <v>16</v>
      </c>
      <c r="Z5">
        <v>5</v>
      </c>
      <c r="AA5" t="str">
        <f>IF(AND(Table1[[#This Row],[Throw Out Pass Eff]]="N", Table1[[#This Row],[Against FCS Team]]="N"), ROUND(((5.45 * D5) + (150 * F5) + (100 * G5) - (300 * H5)) / E5, 2), " ")</f>
        <v xml:space="preserve"> </v>
      </c>
      <c r="AB5">
        <f>IF(AND(Table1[[#This Row],[Throw Out Pass Def Eff]]="N", Table1[[#This Row],[Against FCS Team]]="N"),200 - ROUND(((5.45 * P5) + (150 * R5) + (100 * S5) - (300 * T5)) / Q5, 2), " ")</f>
        <v>121.22</v>
      </c>
      <c r="AC5">
        <f>IF(AND(Table1[[#This Row],[Throw Out Rush Eff]]="N", Table1[[#This Row],[Against FCS Team]]="N"), ROUND(((23.2 * I5) + (150 * K5) - (300 * L5)) / J5, 2), " ")</f>
        <v>133.5</v>
      </c>
      <c r="AD5" s="3">
        <f>IF(AND(Table1[[#This Row],[Throw Out Rush Def Eff]]="N", Table1[[#This Row],[Against FCS Team]]="N"), 200 - ROUND(((23.2 * U5) + (150 * W5) - (300 * X5)) / V5, 2), " ")</f>
        <v>97.51</v>
      </c>
      <c r="AE5" s="3">
        <f>ROUND(Table1[[#This Row],[Opp Passing Attempts]]/(Table1[[#This Row],[Opp Passing Attempts]]+Table1[[#This Row],[Opp Rushing Attempts]]), 2)</f>
        <v>0.24</v>
      </c>
      <c r="AF5" s="3">
        <f>1-Table1[[#This Row],[Passing Weight]]</f>
        <v>0.76</v>
      </c>
      <c r="AG5" s="3" t="str">
        <f>IF(COUNTIF(A:A,Table1[[#This Row],[Opp Team Name]]) &gt; 0, "N", "Y")</f>
        <v>N</v>
      </c>
      <c r="AH5" s="3" t="str">
        <f>IF(Table1[[#This Row],[Passing Attempts]] &lt;15, "Y", "N")</f>
        <v>Y</v>
      </c>
      <c r="AI5" s="3" t="str">
        <f>IF(Table1[[#This Row],[Rushing Attempts]] &lt; 15, "Y", "N")</f>
        <v>N</v>
      </c>
      <c r="AJ5" s="3" t="str">
        <f>IF(Table1[[#This Row],[Opp Passing Attempts]]&lt;15, "Y", "N")</f>
        <v>N</v>
      </c>
      <c r="AK5" s="3" t="str">
        <f>IF(Table1[[#This Row],[Opp Rushing Attempts]]&lt;15, "Y", "N")</f>
        <v>N</v>
      </c>
      <c r="AL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113.71</v>
      </c>
      <c r="AN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120.21</v>
      </c>
      <c r="AO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128.06</v>
      </c>
      <c r="AP5" s="3">
        <f>ABS(Table1[[#This Row],[Team Score]]-Table1[[#This Row],[Opp Team Score]])</f>
        <v>1</v>
      </c>
      <c r="AQ5" s="3">
        <f>SUM(Table1[[#This Row],[Team Score]], Table1[[#This Row],[Opp Team Score]])</f>
        <v>69</v>
      </c>
      <c r="AR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" s="3" t="str">
        <f>IF(Table1[[#This Row],[Efficiency Difference]] = " ", " ", ROUND((Table1[[#This Row],[Winning Margin]]*100)/Table1[[#This Row],[Efficiency Difference]], 2))</f>
        <v xml:space="preserve"> </v>
      </c>
    </row>
    <row r="6" spans="1:45">
      <c r="A6" t="s">
        <v>14</v>
      </c>
      <c r="B6">
        <v>721</v>
      </c>
      <c r="C6">
        <v>33</v>
      </c>
      <c r="D6">
        <v>202</v>
      </c>
      <c r="E6">
        <v>28</v>
      </c>
      <c r="F6">
        <v>2</v>
      </c>
      <c r="G6">
        <v>16</v>
      </c>
      <c r="H6">
        <v>1</v>
      </c>
      <c r="I6">
        <v>363</v>
      </c>
      <c r="J6">
        <v>60</v>
      </c>
      <c r="K6">
        <v>2</v>
      </c>
      <c r="L6">
        <v>1</v>
      </c>
      <c r="M6" t="s">
        <v>114</v>
      </c>
      <c r="N6">
        <v>513</v>
      </c>
      <c r="O6">
        <v>59</v>
      </c>
      <c r="P6">
        <v>294</v>
      </c>
      <c r="Q6">
        <v>36</v>
      </c>
      <c r="R6">
        <v>4</v>
      </c>
      <c r="S6">
        <v>27</v>
      </c>
      <c r="T6">
        <v>0</v>
      </c>
      <c r="U6">
        <v>266</v>
      </c>
      <c r="V6">
        <v>29</v>
      </c>
      <c r="W6">
        <v>4</v>
      </c>
      <c r="X6">
        <v>0</v>
      </c>
      <c r="Y6" t="s">
        <v>19</v>
      </c>
      <c r="Z6">
        <v>6</v>
      </c>
      <c r="AA6">
        <f>IF(AND(Table1[[#This Row],[Throw Out Pass Eff]]="N", Table1[[#This Row],[Against FCS Team]]="N"), ROUND(((5.45 * D6) + (150 * F6) + (100 * G6) - (300 * H6)) / E6, 2), " ")</f>
        <v>96.46</v>
      </c>
      <c r="AB6">
        <f>IF(AND(Table1[[#This Row],[Throw Out Pass Def Eff]]="N", Table1[[#This Row],[Against FCS Team]]="N"),200 - ROUND(((5.45 * P6) + (150 * R6) + (100 * S6) - (300 * T6)) / Q6, 2), " ")</f>
        <v>63.819999999999993</v>
      </c>
      <c r="AC6">
        <f>IF(AND(Table1[[#This Row],[Throw Out Rush Eff]]="N", Table1[[#This Row],[Against FCS Team]]="N"), ROUND(((23.2 * I6) + (150 * K6) - (300 * L6)) / J6, 2), " ")</f>
        <v>140.36000000000001</v>
      </c>
      <c r="AD6" s="3">
        <f>IF(AND(Table1[[#This Row],[Throw Out Rush Def Eff]]="N", Table1[[#This Row],[Against FCS Team]]="N"), 200 - ROUND(((23.2 * U6) + (150 * W6) - (300 * X6)) / V6, 2), " ")</f>
        <v>-33.490000000000009</v>
      </c>
      <c r="AE6" s="3">
        <f>ROUND(Table1[[#This Row],[Opp Passing Attempts]]/(Table1[[#This Row],[Opp Passing Attempts]]+Table1[[#This Row],[Opp Rushing Attempts]]), 2)</f>
        <v>0.55000000000000004</v>
      </c>
      <c r="AF6" s="3">
        <f>1-Table1[[#This Row],[Passing Weight]]</f>
        <v>0.44999999999999996</v>
      </c>
      <c r="AG6" s="3" t="str">
        <f>IF(COUNTIF(A:A,Table1[[#This Row],[Opp Team Name]]) &gt; 0, "N", "Y")</f>
        <v>N</v>
      </c>
      <c r="AH6" s="3" t="str">
        <f>IF(Table1[[#This Row],[Passing Attempts]] &lt;15, "Y", "N")</f>
        <v>N</v>
      </c>
      <c r="AI6" s="3" t="str">
        <f>IF(Table1[[#This Row],[Rushing Attempts]] &lt; 15, "Y", "N")</f>
        <v>N</v>
      </c>
      <c r="AJ6" s="3" t="str">
        <f>IF(Table1[[#This Row],[Opp Passing Attempts]]&lt;15, "Y", "N")</f>
        <v>N</v>
      </c>
      <c r="AK6" s="3" t="str">
        <f>IF(Table1[[#This Row],[Opp Rushing Attempts]]&lt;15, "Y", "N")</f>
        <v>N</v>
      </c>
      <c r="AL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99.27</v>
      </c>
      <c r="AM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64.95</v>
      </c>
      <c r="AN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163.58000000000001</v>
      </c>
      <c r="AO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-44.8</v>
      </c>
      <c r="AP6" s="3">
        <f>ABS(Table1[[#This Row],[Team Score]]-Table1[[#This Row],[Opp Team Score]])</f>
        <v>26</v>
      </c>
      <c r="AQ6" s="3">
        <f>SUM(Table1[[#This Row],[Team Score]], Table1[[#This Row],[Opp Team Score]])</f>
        <v>92</v>
      </c>
      <c r="AR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132.85000000000002</v>
      </c>
      <c r="AS6" s="3">
        <f>IF(Table1[[#This Row],[Efficiency Difference]] = " ", " ", ROUND((Table1[[#This Row],[Winning Margin]]*100)/Table1[[#This Row],[Efficiency Difference]], 2))</f>
        <v>19.57</v>
      </c>
    </row>
    <row r="7" spans="1:45">
      <c r="A7" t="s">
        <v>14</v>
      </c>
      <c r="B7">
        <v>721</v>
      </c>
      <c r="C7">
        <v>27</v>
      </c>
      <c r="D7">
        <v>224</v>
      </c>
      <c r="E7">
        <v>37</v>
      </c>
      <c r="F7">
        <v>2</v>
      </c>
      <c r="G7">
        <v>22</v>
      </c>
      <c r="H7">
        <v>2</v>
      </c>
      <c r="I7">
        <v>195</v>
      </c>
      <c r="J7">
        <v>47</v>
      </c>
      <c r="K7">
        <v>1</v>
      </c>
      <c r="L7">
        <v>1</v>
      </c>
      <c r="M7" t="s">
        <v>126</v>
      </c>
      <c r="N7">
        <v>626</v>
      </c>
      <c r="O7">
        <v>41</v>
      </c>
      <c r="P7">
        <v>209</v>
      </c>
      <c r="Q7">
        <v>21</v>
      </c>
      <c r="R7">
        <v>2</v>
      </c>
      <c r="S7">
        <v>15</v>
      </c>
      <c r="T7">
        <v>0</v>
      </c>
      <c r="U7">
        <v>201</v>
      </c>
      <c r="V7">
        <v>35</v>
      </c>
      <c r="W7">
        <v>2</v>
      </c>
      <c r="X7">
        <v>1</v>
      </c>
      <c r="Y7" t="s">
        <v>19</v>
      </c>
      <c r="Z7">
        <v>7</v>
      </c>
      <c r="AA7">
        <f>IF(AND(Table1[[#This Row],[Throw Out Pass Eff]]="N", Table1[[#This Row],[Against FCS Team]]="N"), ROUND(((5.45 * D7) + (150 * F7) + (100 * G7) - (300 * H7)) / E7, 2), " ")</f>
        <v>84.35</v>
      </c>
      <c r="AB7">
        <f>IF(AND(Table1[[#This Row],[Throw Out Pass Def Eff]]="N", Table1[[#This Row],[Against FCS Team]]="N"),200 - ROUND(((5.45 * P7) + (150 * R7) + (100 * S7) - (300 * T7)) / Q7, 2), " ")</f>
        <v>60.050000000000011</v>
      </c>
      <c r="AC7">
        <f>IF(AND(Table1[[#This Row],[Throw Out Rush Eff]]="N", Table1[[#This Row],[Against FCS Team]]="N"), ROUND(((23.2 * I7) + (150 * K7) - (300 * L7)) / J7, 2), " ")</f>
        <v>93.06</v>
      </c>
      <c r="AD7" s="3">
        <f>IF(AND(Table1[[#This Row],[Throw Out Rush Def Eff]]="N", Table1[[#This Row],[Against FCS Team]]="N"), 200 - ROUND(((23.2 * U7) + (150 * W7) - (300 * X7)) / V7, 2), " ")</f>
        <v>66.77000000000001</v>
      </c>
      <c r="AE7" s="3">
        <f>ROUND(Table1[[#This Row],[Opp Passing Attempts]]/(Table1[[#This Row],[Opp Passing Attempts]]+Table1[[#This Row],[Opp Rushing Attempts]]), 2)</f>
        <v>0.38</v>
      </c>
      <c r="AF7" s="3">
        <f>1-Table1[[#This Row],[Passing Weight]]</f>
        <v>0.62</v>
      </c>
      <c r="AG7" s="3" t="str">
        <f>IF(COUNTIF(A:A,Table1[[#This Row],[Opp Team Name]]) &gt; 0, "N", "Y")</f>
        <v>N</v>
      </c>
      <c r="AH7" s="3" t="str">
        <f>IF(Table1[[#This Row],[Passing Attempts]] &lt;15, "Y", "N")</f>
        <v>N</v>
      </c>
      <c r="AI7" s="3" t="str">
        <f>IF(Table1[[#This Row],[Rushing Attempts]] &lt; 15, "Y", "N")</f>
        <v>N</v>
      </c>
      <c r="AJ7" s="3" t="str">
        <f>IF(Table1[[#This Row],[Opp Passing Attempts]]&lt;15, "Y", "N")</f>
        <v>N</v>
      </c>
      <c r="AK7" s="3" t="str">
        <f>IF(Table1[[#This Row],[Opp Rushing Attempts]]&lt;15, "Y", "N")</f>
        <v>N</v>
      </c>
      <c r="AL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101.17</v>
      </c>
      <c r="AM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55.75</v>
      </c>
      <c r="AN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94.88</v>
      </c>
      <c r="AO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71.34</v>
      </c>
      <c r="AP7" s="3">
        <f>ABS(Table1[[#This Row],[Team Score]]-Table1[[#This Row],[Opp Team Score]])</f>
        <v>14</v>
      </c>
      <c r="AQ7" s="3">
        <f>SUM(Table1[[#This Row],[Team Score]], Table1[[#This Row],[Opp Team Score]])</f>
        <v>68</v>
      </c>
      <c r="AR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95.769999999999953</v>
      </c>
      <c r="AS7" s="3">
        <f>IF(Table1[[#This Row],[Efficiency Difference]] = " ", " ", ROUND((Table1[[#This Row],[Winning Margin]]*100)/Table1[[#This Row],[Efficiency Difference]], 2))</f>
        <v>14.62</v>
      </c>
    </row>
    <row r="8" spans="1:45">
      <c r="A8" t="s">
        <v>14</v>
      </c>
      <c r="B8">
        <v>721</v>
      </c>
      <c r="C8">
        <v>26</v>
      </c>
      <c r="D8">
        <v>144</v>
      </c>
      <c r="E8">
        <v>17</v>
      </c>
      <c r="F8">
        <v>0</v>
      </c>
      <c r="G8">
        <v>8</v>
      </c>
      <c r="H8">
        <v>1</v>
      </c>
      <c r="I8">
        <v>264</v>
      </c>
      <c r="J8">
        <v>65</v>
      </c>
      <c r="K8">
        <v>3</v>
      </c>
      <c r="L8">
        <v>1</v>
      </c>
      <c r="M8" t="s">
        <v>38</v>
      </c>
      <c r="N8">
        <v>66</v>
      </c>
      <c r="O8">
        <v>37</v>
      </c>
      <c r="P8">
        <v>281</v>
      </c>
      <c r="Q8">
        <v>29</v>
      </c>
      <c r="R8">
        <v>3</v>
      </c>
      <c r="S8">
        <v>23</v>
      </c>
      <c r="T8">
        <v>1</v>
      </c>
      <c r="U8">
        <v>142</v>
      </c>
      <c r="V8">
        <v>26</v>
      </c>
      <c r="W8">
        <v>1</v>
      </c>
      <c r="X8">
        <v>1</v>
      </c>
      <c r="Y8" t="s">
        <v>19</v>
      </c>
      <c r="Z8">
        <v>8</v>
      </c>
      <c r="AA8" s="3">
        <f>IF(AND(Table1[[#This Row],[Throw Out Pass Eff]]="N", Table1[[#This Row],[Against FCS Team]]="N"), ROUND(((5.45 * D8) + (150 * F8) + (100 * G8) - (300 * H8)) / E8, 2), " ")</f>
        <v>75.58</v>
      </c>
      <c r="AB8" s="3">
        <f>IF(AND(Table1[[#This Row],[Throw Out Pass Def Eff]]="N", Table1[[#This Row],[Against FCS Team]]="N"),200 - ROUND(((5.45 * P8) + (150 * R8) + (100 * S8) - (300 * T8)) / Q8, 2), " ")</f>
        <v>62.710000000000008</v>
      </c>
      <c r="AC8" s="3">
        <f>IF(AND(Table1[[#This Row],[Throw Out Rush Eff]]="N", Table1[[#This Row],[Against FCS Team]]="N"), ROUND(((23.2 * I8) + (150 * K8) - (300 * L8)) / J8, 2), " ")</f>
        <v>96.54</v>
      </c>
      <c r="AD8" s="3">
        <f>IF(AND(Table1[[#This Row],[Throw Out Rush Def Eff]]="N", Table1[[#This Row],[Against FCS Team]]="N"), 200 - ROUND(((23.2 * U8) + (150 * W8) - (300 * X8)) / V8, 2), " ")</f>
        <v>79.06</v>
      </c>
      <c r="AE8" s="3">
        <f>ROUND(Table1[[#This Row],[Opp Passing Attempts]]/(Table1[[#This Row],[Opp Passing Attempts]]+Table1[[#This Row],[Opp Rushing Attempts]]), 2)</f>
        <v>0.53</v>
      </c>
      <c r="AF8" s="3">
        <f>1-Table1[[#This Row],[Passing Weight]]</f>
        <v>0.47</v>
      </c>
      <c r="AG8" s="3" t="str">
        <f>IF(COUNTIF(A:A,Table1[[#This Row],[Opp Team Name]]) &gt; 0, "N", "Y")</f>
        <v>N</v>
      </c>
      <c r="AH8" s="3" t="str">
        <f>IF(Table1[[#This Row],[Passing Attempts]] &lt;15, "Y", "N")</f>
        <v>N</v>
      </c>
      <c r="AI8" s="3" t="str">
        <f>IF(Table1[[#This Row],[Rushing Attempts]] &lt; 15, "Y", "N")</f>
        <v>N</v>
      </c>
      <c r="AJ8" s="3" t="str">
        <f>IF(Table1[[#This Row],[Opp Passing Attempts]]&lt;15, "Y", "N")</f>
        <v>N</v>
      </c>
      <c r="AK8" s="3" t="str">
        <f>IF(Table1[[#This Row],[Opp Rushing Attempts]]&lt;15, "Y", "N")</f>
        <v>N</v>
      </c>
      <c r="AL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95.8</v>
      </c>
      <c r="AM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82.32</v>
      </c>
      <c r="AN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110.8</v>
      </c>
      <c r="AO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90.68</v>
      </c>
      <c r="AP8" s="3">
        <f>ABS(Table1[[#This Row],[Team Score]]-Table1[[#This Row],[Opp Team Score]])</f>
        <v>11</v>
      </c>
      <c r="AQ8" s="3">
        <f>SUM(Table1[[#This Row],[Team Score]], Table1[[#This Row],[Opp Team Score]])</f>
        <v>63</v>
      </c>
      <c r="AR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86.110000000000014</v>
      </c>
      <c r="AS8" s="3">
        <f>IF(Table1[[#This Row],[Efficiency Difference]] = " ", " ", ROUND((Table1[[#This Row],[Winning Margin]]*100)/Table1[[#This Row],[Efficiency Difference]], 2))</f>
        <v>12.77</v>
      </c>
    </row>
    <row r="9" spans="1:45">
      <c r="A9" t="s">
        <v>17</v>
      </c>
      <c r="B9">
        <v>5</v>
      </c>
      <c r="C9">
        <v>0</v>
      </c>
      <c r="D9">
        <v>55</v>
      </c>
      <c r="E9">
        <v>19</v>
      </c>
      <c r="F9">
        <v>0</v>
      </c>
      <c r="G9">
        <v>7</v>
      </c>
      <c r="H9">
        <v>1</v>
      </c>
      <c r="I9">
        <v>35</v>
      </c>
      <c r="J9">
        <v>27</v>
      </c>
      <c r="K9">
        <v>0</v>
      </c>
      <c r="L9">
        <v>0</v>
      </c>
      <c r="M9" t="s">
        <v>18</v>
      </c>
      <c r="N9">
        <v>518</v>
      </c>
      <c r="O9">
        <v>42</v>
      </c>
      <c r="P9">
        <v>293</v>
      </c>
      <c r="Q9">
        <v>28</v>
      </c>
      <c r="R9">
        <v>4</v>
      </c>
      <c r="S9">
        <v>20</v>
      </c>
      <c r="T9">
        <v>0</v>
      </c>
      <c r="U9">
        <v>224</v>
      </c>
      <c r="V9">
        <v>51</v>
      </c>
      <c r="W9">
        <v>2</v>
      </c>
      <c r="X9">
        <v>1</v>
      </c>
      <c r="Y9" t="s">
        <v>19</v>
      </c>
      <c r="Z9">
        <v>1</v>
      </c>
      <c r="AA9">
        <f>IF(AND(Table1[[#This Row],[Throw Out Pass Eff]]="N", Table1[[#This Row],[Against FCS Team]]="N"), ROUND(((5.45 * D9) + (150 * F9) + (100 * G9) - (300 * H9)) / E9, 2), " ")</f>
        <v>36.83</v>
      </c>
      <c r="AB9">
        <f>IF(AND(Table1[[#This Row],[Throw Out Pass Def Eff]]="N", Table1[[#This Row],[Against FCS Team]]="N"),200 - ROUND(((5.45 * P9) + (150 * R9) + (100 * S9) - (300 * T9)) / Q9, 2), " ")</f>
        <v>50.110000000000014</v>
      </c>
      <c r="AC9">
        <f>IF(AND(Table1[[#This Row],[Throw Out Rush Eff]]="N", Table1[[#This Row],[Against FCS Team]]="N"), ROUND(((23.2 * I9) + (150 * K9) - (300 * L9)) / J9, 2), " ")</f>
        <v>30.07</v>
      </c>
      <c r="AD9" s="3">
        <f>IF(AND(Table1[[#This Row],[Throw Out Rush Def Eff]]="N", Table1[[#This Row],[Against FCS Team]]="N"), 200 - ROUND(((23.2 * U9) + (150 * W9) - (300 * X9)) / V9, 2), " ")</f>
        <v>98.1</v>
      </c>
      <c r="AE9" s="3">
        <f>ROUND(Table1[[#This Row],[Opp Passing Attempts]]/(Table1[[#This Row],[Opp Passing Attempts]]+Table1[[#This Row],[Opp Rushing Attempts]]), 2)</f>
        <v>0.35</v>
      </c>
      <c r="AF9" s="3">
        <f>1-Table1[[#This Row],[Passing Weight]]</f>
        <v>0.65</v>
      </c>
      <c r="AG9" s="3" t="str">
        <f>IF(COUNTIF(A:A,Table1[[#This Row],[Opp Team Name]]) &gt; 0, "N", "Y")</f>
        <v>N</v>
      </c>
      <c r="AH9" s="3" t="str">
        <f>IF(Table1[[#This Row],[Passing Attempts]] &lt;15, "Y", "N")</f>
        <v>N</v>
      </c>
      <c r="AI9" s="3" t="str">
        <f>IF(Table1[[#This Row],[Rushing Attempts]] &lt; 15, "Y", "N")</f>
        <v>N</v>
      </c>
      <c r="AJ9" s="3" t="str">
        <f>IF(Table1[[#This Row],[Opp Passing Attempts]]&lt;15, "Y", "N")</f>
        <v>N</v>
      </c>
      <c r="AK9" s="3" t="str">
        <f>IF(Table1[[#This Row],[Opp Rushing Attempts]]&lt;15, "Y", "N")</f>
        <v>N</v>
      </c>
      <c r="AL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42.54</v>
      </c>
      <c r="AM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41.44</v>
      </c>
      <c r="AN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38.549999999999997</v>
      </c>
      <c r="AO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91.72</v>
      </c>
      <c r="AP9" s="3">
        <f>ABS(Table1[[#This Row],[Team Score]]-Table1[[#This Row],[Opp Team Score]])</f>
        <v>42</v>
      </c>
      <c r="AQ9" s="3">
        <f>SUM(Table1[[#This Row],[Team Score]], Table1[[#This Row],[Opp Team Score]])</f>
        <v>42</v>
      </c>
      <c r="AR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184.89</v>
      </c>
      <c r="AS9" s="3">
        <f>IF(Table1[[#This Row],[Efficiency Difference]] = " ", " ", ROUND((Table1[[#This Row],[Winning Margin]]*100)/Table1[[#This Row],[Efficiency Difference]], 2))</f>
        <v>22.72</v>
      </c>
    </row>
    <row r="10" spans="1:45">
      <c r="A10" t="s">
        <v>17</v>
      </c>
      <c r="B10">
        <v>5</v>
      </c>
      <c r="C10">
        <v>3</v>
      </c>
      <c r="D10">
        <v>227</v>
      </c>
      <c r="E10">
        <v>34</v>
      </c>
      <c r="F10">
        <v>0</v>
      </c>
      <c r="G10">
        <v>16</v>
      </c>
      <c r="H10">
        <v>1</v>
      </c>
      <c r="I10">
        <v>42</v>
      </c>
      <c r="J10">
        <v>28</v>
      </c>
      <c r="K10">
        <v>0</v>
      </c>
      <c r="L10">
        <v>1</v>
      </c>
      <c r="M10" t="s">
        <v>132</v>
      </c>
      <c r="N10">
        <v>690</v>
      </c>
      <c r="O10">
        <v>41</v>
      </c>
      <c r="P10">
        <v>111</v>
      </c>
      <c r="Q10">
        <v>19</v>
      </c>
      <c r="R10">
        <v>1</v>
      </c>
      <c r="S10">
        <v>8</v>
      </c>
      <c r="T10">
        <v>0</v>
      </c>
      <c r="U10">
        <v>305</v>
      </c>
      <c r="V10">
        <v>49</v>
      </c>
      <c r="W10">
        <v>4</v>
      </c>
      <c r="X10">
        <v>1</v>
      </c>
      <c r="Y10" t="s">
        <v>19</v>
      </c>
      <c r="Z10">
        <v>2</v>
      </c>
      <c r="AA10">
        <f>IF(AND(Table1[[#This Row],[Throw Out Pass Eff]]="N", Table1[[#This Row],[Against FCS Team]]="N"), ROUND(((5.45 * D10) + (150 * F10) + (100 * G10) - (300 * H10)) / E10, 2), " ")</f>
        <v>74.62</v>
      </c>
      <c r="AB10">
        <f>IF(AND(Table1[[#This Row],[Throw Out Pass Def Eff]]="N", Table1[[#This Row],[Against FCS Team]]="N"),200 - ROUND(((5.45 * P10) + (150 * R10) + (100 * S10) - (300 * T10)) / Q10, 2), " ")</f>
        <v>118.16</v>
      </c>
      <c r="AC10">
        <f>IF(AND(Table1[[#This Row],[Throw Out Rush Eff]]="N", Table1[[#This Row],[Against FCS Team]]="N"), ROUND(((23.2 * I10) + (150 * K10) - (300 * L10)) / J10, 2), " ")</f>
        <v>24.09</v>
      </c>
      <c r="AD10" s="3">
        <f>IF(AND(Table1[[#This Row],[Throw Out Rush Def Eff]]="N", Table1[[#This Row],[Against FCS Team]]="N"), 200 - ROUND(((23.2 * U10) + (150 * W10) - (300 * X10)) / V10, 2), " ")</f>
        <v>49.47</v>
      </c>
      <c r="AE10" s="3">
        <f>ROUND(Table1[[#This Row],[Opp Passing Attempts]]/(Table1[[#This Row],[Opp Passing Attempts]]+Table1[[#This Row],[Opp Rushing Attempts]]), 2)</f>
        <v>0.28000000000000003</v>
      </c>
      <c r="AF10" s="3">
        <f>1-Table1[[#This Row],[Passing Weight]]</f>
        <v>0.72</v>
      </c>
      <c r="AG10" s="3" t="str">
        <f>IF(COUNTIF(A:A,Table1[[#This Row],[Opp Team Name]]) &gt; 0, "N", "Y")</f>
        <v>N</v>
      </c>
      <c r="AH10" s="3" t="str">
        <f>IF(Table1[[#This Row],[Passing Attempts]] &lt;15, "Y", "N")</f>
        <v>N</v>
      </c>
      <c r="AI10" s="3" t="str">
        <f>IF(Table1[[#This Row],[Rushing Attempts]] &lt; 15, "Y", "N")</f>
        <v>N</v>
      </c>
      <c r="AJ10" s="3" t="str">
        <f>IF(Table1[[#This Row],[Opp Passing Attempts]]&lt;15, "Y", "N")</f>
        <v>N</v>
      </c>
      <c r="AK10" s="3" t="str">
        <f>IF(Table1[[#This Row],[Opp Rushing Attempts]]&lt;15, "Y", "N")</f>
        <v>N</v>
      </c>
      <c r="AL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85.35</v>
      </c>
      <c r="AM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79.5</v>
      </c>
      <c r="AN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33.24</v>
      </c>
      <c r="AO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54.99</v>
      </c>
      <c r="AP10" s="3">
        <f>ABS(Table1[[#This Row],[Team Score]]-Table1[[#This Row],[Opp Team Score]])</f>
        <v>38</v>
      </c>
      <c r="AQ10" s="3">
        <f>SUM(Table1[[#This Row],[Team Score]], Table1[[#This Row],[Opp Team Score]])</f>
        <v>44</v>
      </c>
      <c r="AR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133.66</v>
      </c>
      <c r="AS10" s="3">
        <f>IF(Table1[[#This Row],[Efficiency Difference]] = " ", " ", ROUND((Table1[[#This Row],[Winning Margin]]*100)/Table1[[#This Row],[Efficiency Difference]], 2))</f>
        <v>28.43</v>
      </c>
    </row>
    <row r="11" spans="1:45">
      <c r="A11" t="s">
        <v>17</v>
      </c>
      <c r="B11">
        <v>5</v>
      </c>
      <c r="C11">
        <v>36</v>
      </c>
      <c r="D11">
        <v>240</v>
      </c>
      <c r="E11">
        <v>29</v>
      </c>
      <c r="F11">
        <v>3</v>
      </c>
      <c r="G11">
        <v>14</v>
      </c>
      <c r="H11">
        <v>0</v>
      </c>
      <c r="I11">
        <v>294</v>
      </c>
      <c r="J11">
        <v>52</v>
      </c>
      <c r="K11">
        <v>2</v>
      </c>
      <c r="L11">
        <v>0</v>
      </c>
      <c r="M11" t="s">
        <v>203</v>
      </c>
      <c r="N11">
        <v>741</v>
      </c>
      <c r="O11">
        <v>13</v>
      </c>
      <c r="P11">
        <v>139</v>
      </c>
      <c r="Q11">
        <v>31</v>
      </c>
      <c r="R11">
        <v>1</v>
      </c>
      <c r="S11">
        <v>14</v>
      </c>
      <c r="T11">
        <v>0</v>
      </c>
      <c r="U11">
        <v>100</v>
      </c>
      <c r="V11">
        <v>25</v>
      </c>
      <c r="W11">
        <v>1</v>
      </c>
      <c r="X11">
        <v>2</v>
      </c>
      <c r="Y11" t="s">
        <v>16</v>
      </c>
      <c r="Z11">
        <v>4</v>
      </c>
      <c r="AA11" t="str">
        <f>IF(AND(Table1[[#This Row],[Throw Out Pass Eff]]="N", Table1[[#This Row],[Against FCS Team]]="N"), ROUND(((5.45 * D11) + (150 * F11) + (100 * G11) - (300 * H11)) / E11, 2), " ")</f>
        <v xml:space="preserve"> </v>
      </c>
      <c r="AB11" t="str">
        <f>IF(AND(Table1[[#This Row],[Throw Out Pass Def Eff]]="N", Table1[[#This Row],[Against FCS Team]]="N"),200 - ROUND(((5.45 * P11) + (150 * R11) + (100 * S11) - (300 * T11)) / Q11, 2), " ")</f>
        <v xml:space="preserve"> </v>
      </c>
      <c r="AC11" t="str">
        <f>IF(AND(Table1[[#This Row],[Throw Out Rush Eff]]="N", Table1[[#This Row],[Against FCS Team]]="N"), ROUND(((23.2 * I11) + (150 * K11) - (300 * L11)) / J11, 2), " ")</f>
        <v xml:space="preserve"> </v>
      </c>
      <c r="AD11" s="3" t="str">
        <f>IF(AND(Table1[[#This Row],[Throw Out Rush Def Eff]]="N", Table1[[#This Row],[Against FCS Team]]="N"), 200 - ROUND(((23.2 * U11) + (150 * W11) - (300 * X11)) / V11, 2), " ")</f>
        <v xml:space="preserve"> </v>
      </c>
      <c r="AE11" s="3">
        <f>ROUND(Table1[[#This Row],[Opp Passing Attempts]]/(Table1[[#This Row],[Opp Passing Attempts]]+Table1[[#This Row],[Opp Rushing Attempts]]), 2)</f>
        <v>0.55000000000000004</v>
      </c>
      <c r="AF11" s="3">
        <f>1-Table1[[#This Row],[Passing Weight]]</f>
        <v>0.44999999999999996</v>
      </c>
      <c r="AG11" s="3" t="str">
        <f>IF(COUNTIF(A:A,Table1[[#This Row],[Opp Team Name]]) &gt; 0, "N", "Y")</f>
        <v>Y</v>
      </c>
      <c r="AH11" s="3" t="str">
        <f>IF(Table1[[#This Row],[Passing Attempts]] &lt;15, "Y", "N")</f>
        <v>N</v>
      </c>
      <c r="AI11" s="3" t="str">
        <f>IF(Table1[[#This Row],[Rushing Attempts]] &lt; 15, "Y", "N")</f>
        <v>N</v>
      </c>
      <c r="AJ11" s="3" t="str">
        <f>IF(Table1[[#This Row],[Opp Passing Attempts]]&lt;15, "Y", "N")</f>
        <v>N</v>
      </c>
      <c r="AK11" s="3" t="str">
        <f>IF(Table1[[#This Row],[Opp Rushing Attempts]]&lt;15, "Y", "N")</f>
        <v>N</v>
      </c>
      <c r="AL1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1" s="3">
        <f>ABS(Table1[[#This Row],[Team Score]]-Table1[[#This Row],[Opp Team Score]])</f>
        <v>23</v>
      </c>
      <c r="AQ11" s="3">
        <f>SUM(Table1[[#This Row],[Team Score]], Table1[[#This Row],[Opp Team Score]])</f>
        <v>49</v>
      </c>
      <c r="AR1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1" s="3" t="str">
        <f>IF(Table1[[#This Row],[Efficiency Difference]] = " ", " ", ROUND((Table1[[#This Row],[Winning Margin]]*100)/Table1[[#This Row],[Efficiency Difference]], 2))</f>
        <v xml:space="preserve"> </v>
      </c>
    </row>
    <row r="12" spans="1:45">
      <c r="A12" t="s">
        <v>17</v>
      </c>
      <c r="B12">
        <v>5</v>
      </c>
      <c r="C12">
        <v>14</v>
      </c>
      <c r="D12">
        <v>220</v>
      </c>
      <c r="E12">
        <v>36</v>
      </c>
      <c r="F12">
        <v>2</v>
      </c>
      <c r="G12">
        <v>17</v>
      </c>
      <c r="H12">
        <v>4</v>
      </c>
      <c r="I12">
        <v>129</v>
      </c>
      <c r="J12">
        <v>34</v>
      </c>
      <c r="K12">
        <v>0</v>
      </c>
      <c r="L12">
        <v>2</v>
      </c>
      <c r="M12" t="s">
        <v>52</v>
      </c>
      <c r="N12">
        <v>140</v>
      </c>
      <c r="O12">
        <v>59</v>
      </c>
      <c r="P12">
        <v>178</v>
      </c>
      <c r="Q12">
        <v>21</v>
      </c>
      <c r="R12">
        <v>1</v>
      </c>
      <c r="S12">
        <v>13</v>
      </c>
      <c r="T12">
        <v>0</v>
      </c>
      <c r="U12">
        <v>164</v>
      </c>
      <c r="V12">
        <v>45</v>
      </c>
      <c r="W12">
        <v>4</v>
      </c>
      <c r="X12">
        <v>1</v>
      </c>
      <c r="Y12" t="s">
        <v>19</v>
      </c>
      <c r="Z12">
        <v>3</v>
      </c>
      <c r="AA12">
        <f>IF(AND(Table1[[#This Row],[Throw Out Pass Eff]]="N", Table1[[#This Row],[Against FCS Team]]="N"), ROUND(((5.45 * D12) + (150 * F12) + (100 * G12) - (300 * H12)) / E12, 2), " ")</f>
        <v>55.53</v>
      </c>
      <c r="AB12">
        <f>IF(AND(Table1[[#This Row],[Throw Out Pass Def Eff]]="N", Table1[[#This Row],[Against FCS Team]]="N"),200 - ROUND(((5.45 * P12) + (150 * R12) + (100 * S12) - (300 * T12)) / Q12, 2), " ")</f>
        <v>84.76</v>
      </c>
      <c r="AC12">
        <f>IF(AND(Table1[[#This Row],[Throw Out Rush Eff]]="N", Table1[[#This Row],[Against FCS Team]]="N"), ROUND(((23.2 * I12) + (150 * K12) - (300 * L12)) / J12, 2), " ")</f>
        <v>70.38</v>
      </c>
      <c r="AD12" s="3">
        <f>IF(AND(Table1[[#This Row],[Throw Out Rush Def Eff]]="N", Table1[[#This Row],[Against FCS Team]]="N"), 200 - ROUND(((23.2 * U12) + (150 * W12) - (300 * X12)) / V12, 2), " ")</f>
        <v>108.78</v>
      </c>
      <c r="AE12" s="3">
        <f>ROUND(Table1[[#This Row],[Opp Passing Attempts]]/(Table1[[#This Row],[Opp Passing Attempts]]+Table1[[#This Row],[Opp Rushing Attempts]]), 2)</f>
        <v>0.32</v>
      </c>
      <c r="AF12" s="3">
        <f>1-Table1[[#This Row],[Passing Weight]]</f>
        <v>0.67999999999999994</v>
      </c>
      <c r="AG12" s="3" t="str">
        <f>IF(COUNTIF(A:A,Table1[[#This Row],[Opp Team Name]]) &gt; 0, "N", "Y")</f>
        <v>N</v>
      </c>
      <c r="AH12" s="3" t="str">
        <f>IF(Table1[[#This Row],[Passing Attempts]] &lt;15, "Y", "N")</f>
        <v>N</v>
      </c>
      <c r="AI12" s="3" t="str">
        <f>IF(Table1[[#This Row],[Rushing Attempts]] &lt; 15, "Y", "N")</f>
        <v>N</v>
      </c>
      <c r="AJ12" s="3" t="str">
        <f>IF(Table1[[#This Row],[Opp Passing Attempts]]&lt;15, "Y", "N")</f>
        <v>N</v>
      </c>
      <c r="AK12" s="3" t="str">
        <f>IF(Table1[[#This Row],[Opp Rushing Attempts]]&lt;15, "Y", "N")</f>
        <v>N</v>
      </c>
      <c r="AL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54.77</v>
      </c>
      <c r="AM1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88.87</v>
      </c>
      <c r="AN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119.84</v>
      </c>
      <c r="AO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119.16</v>
      </c>
      <c r="AP12" s="3">
        <f>ABS(Table1[[#This Row],[Team Score]]-Table1[[#This Row],[Opp Team Score]])</f>
        <v>45</v>
      </c>
      <c r="AQ12" s="3">
        <f>SUM(Table1[[#This Row],[Team Score]], Table1[[#This Row],[Opp Team Score]])</f>
        <v>73</v>
      </c>
      <c r="AR1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80.549999999999983</v>
      </c>
      <c r="AS12" s="3">
        <f>IF(Table1[[#This Row],[Efficiency Difference]] = " ", " ", ROUND((Table1[[#This Row],[Winning Margin]]*100)/Table1[[#This Row],[Efficiency Difference]], 2))</f>
        <v>55.87</v>
      </c>
    </row>
    <row r="13" spans="1:45">
      <c r="A13" t="s">
        <v>17</v>
      </c>
      <c r="B13">
        <v>5</v>
      </c>
      <c r="C13">
        <v>23</v>
      </c>
      <c r="D13">
        <v>163</v>
      </c>
      <c r="E13">
        <v>29</v>
      </c>
      <c r="F13">
        <v>2</v>
      </c>
      <c r="G13">
        <v>15</v>
      </c>
      <c r="H13">
        <v>0</v>
      </c>
      <c r="I13">
        <v>139</v>
      </c>
      <c r="J13">
        <v>34</v>
      </c>
      <c r="K13">
        <v>1</v>
      </c>
      <c r="L13">
        <v>1</v>
      </c>
      <c r="M13" t="s">
        <v>167</v>
      </c>
      <c r="N13">
        <v>204</v>
      </c>
      <c r="O13">
        <v>31</v>
      </c>
      <c r="P13">
        <v>94</v>
      </c>
      <c r="Q13">
        <v>9</v>
      </c>
      <c r="R13">
        <v>0</v>
      </c>
      <c r="S13">
        <v>4</v>
      </c>
      <c r="T13">
        <v>0</v>
      </c>
      <c r="U13">
        <v>228</v>
      </c>
      <c r="V13">
        <v>56</v>
      </c>
      <c r="W13">
        <v>4</v>
      </c>
      <c r="X13">
        <v>1</v>
      </c>
      <c r="Y13" t="s">
        <v>19</v>
      </c>
      <c r="Z13">
        <v>5</v>
      </c>
      <c r="AA13">
        <f>IF(AND(Table1[[#This Row],[Throw Out Pass Eff]]="N", Table1[[#This Row],[Against FCS Team]]="N"), ROUND(((5.45 * D13) + (150 * F13) + (100 * G13) - (300 * H13)) / E13, 2), " ")</f>
        <v>92.7</v>
      </c>
      <c r="AB13" t="str">
        <f>IF(AND(Table1[[#This Row],[Throw Out Pass Def Eff]]="N", Table1[[#This Row],[Against FCS Team]]="N"),200 - ROUND(((5.45 * P13) + (150 * R13) + (100 * S13) - (300 * T13)) / Q13, 2), " ")</f>
        <v xml:space="preserve"> </v>
      </c>
      <c r="AC13">
        <f>IF(AND(Table1[[#This Row],[Throw Out Rush Eff]]="N", Table1[[#This Row],[Against FCS Team]]="N"), ROUND(((23.2 * I13) + (150 * K13) - (300 * L13)) / J13, 2), " ")</f>
        <v>90.44</v>
      </c>
      <c r="AD13" s="3">
        <f>IF(AND(Table1[[#This Row],[Throw Out Rush Def Eff]]="N", Table1[[#This Row],[Against FCS Team]]="N"), 200 - ROUND(((23.2 * U13) + (150 * W13) - (300 * X13)) / V13, 2), " ")</f>
        <v>100.19</v>
      </c>
      <c r="AE13" s="3">
        <f>ROUND(Table1[[#This Row],[Opp Passing Attempts]]/(Table1[[#This Row],[Opp Passing Attempts]]+Table1[[#This Row],[Opp Rushing Attempts]]), 2)</f>
        <v>0.14000000000000001</v>
      </c>
      <c r="AF13" s="3">
        <f>1-Table1[[#This Row],[Passing Weight]]</f>
        <v>0.86</v>
      </c>
      <c r="AG13" s="3" t="str">
        <f>IF(COUNTIF(A:A,Table1[[#This Row],[Opp Team Name]]) &gt; 0, "N", "Y")</f>
        <v>N</v>
      </c>
      <c r="AH13" s="3" t="str">
        <f>IF(Table1[[#This Row],[Passing Attempts]] &lt;15, "Y", "N")</f>
        <v>N</v>
      </c>
      <c r="AI13" s="3" t="str">
        <f>IF(Table1[[#This Row],[Rushing Attempts]] &lt; 15, "Y", "N")</f>
        <v>N</v>
      </c>
      <c r="AJ13" s="3" t="str">
        <f>IF(Table1[[#This Row],[Opp Passing Attempts]]&lt;15, "Y", "N")</f>
        <v>Y</v>
      </c>
      <c r="AK13" s="3" t="str">
        <f>IF(Table1[[#This Row],[Opp Rushing Attempts]]&lt;15, "Y", "N")</f>
        <v>N</v>
      </c>
      <c r="AL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83.37</v>
      </c>
      <c r="AM13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82.86</v>
      </c>
      <c r="AO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91.8</v>
      </c>
      <c r="AP13" s="3">
        <f>ABS(Table1[[#This Row],[Team Score]]-Table1[[#This Row],[Opp Team Score]])</f>
        <v>8</v>
      </c>
      <c r="AQ13" s="3">
        <f>SUM(Table1[[#This Row],[Team Score]], Table1[[#This Row],[Opp Team Score]])</f>
        <v>54</v>
      </c>
      <c r="AR1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3" s="3" t="str">
        <f>IF(Table1[[#This Row],[Efficiency Difference]] = " ", " ", ROUND((Table1[[#This Row],[Winning Margin]]*100)/Table1[[#This Row],[Efficiency Difference]], 2))</f>
        <v xml:space="preserve"> </v>
      </c>
    </row>
    <row r="14" spans="1:45">
      <c r="A14" t="s">
        <v>17</v>
      </c>
      <c r="B14">
        <v>5</v>
      </c>
      <c r="C14">
        <v>17</v>
      </c>
      <c r="D14">
        <v>157</v>
      </c>
      <c r="E14">
        <v>23</v>
      </c>
      <c r="F14">
        <v>0</v>
      </c>
      <c r="G14">
        <v>11</v>
      </c>
      <c r="H14">
        <v>1</v>
      </c>
      <c r="I14">
        <v>105</v>
      </c>
      <c r="J14">
        <v>31</v>
      </c>
      <c r="K14">
        <v>2</v>
      </c>
      <c r="L14">
        <v>1</v>
      </c>
      <c r="M14" t="s">
        <v>66</v>
      </c>
      <c r="N14">
        <v>231</v>
      </c>
      <c r="O14">
        <v>27</v>
      </c>
      <c r="P14">
        <v>308</v>
      </c>
      <c r="Q14">
        <v>38</v>
      </c>
      <c r="R14">
        <v>0</v>
      </c>
      <c r="S14">
        <v>26</v>
      </c>
      <c r="T14">
        <v>1</v>
      </c>
      <c r="U14">
        <v>206</v>
      </c>
      <c r="V14">
        <v>46</v>
      </c>
      <c r="W14">
        <v>3</v>
      </c>
      <c r="X14">
        <v>1</v>
      </c>
      <c r="Y14" t="s">
        <v>19</v>
      </c>
      <c r="Z14">
        <v>6</v>
      </c>
      <c r="AA14">
        <f>IF(AND(Table1[[#This Row],[Throw Out Pass Eff]]="N", Table1[[#This Row],[Against FCS Team]]="N"), ROUND(((5.45 * D14) + (150 * F14) + (100 * G14) - (300 * H14)) / E14, 2), " ")</f>
        <v>71.98</v>
      </c>
      <c r="AB14">
        <f>IF(AND(Table1[[#This Row],[Throw Out Pass Def Eff]]="N", Table1[[#This Row],[Against FCS Team]]="N"),200 - ROUND(((5.45 * P14) + (150 * R14) + (100 * S14) - (300 * T14)) / Q14, 2), " ")</f>
        <v>95.3</v>
      </c>
      <c r="AC14">
        <f>IF(AND(Table1[[#This Row],[Throw Out Rush Eff]]="N", Table1[[#This Row],[Against FCS Team]]="N"), ROUND(((23.2 * I14) + (150 * K14) - (300 * L14)) / J14, 2), " ")</f>
        <v>78.58</v>
      </c>
      <c r="AD14" s="3">
        <f>IF(AND(Table1[[#This Row],[Throw Out Rush Def Eff]]="N", Table1[[#This Row],[Against FCS Team]]="N"), 200 - ROUND(((23.2 * U14) + (150 * W14) - (300 * X14)) / V14, 2), " ")</f>
        <v>92.84</v>
      </c>
      <c r="AE14" s="3">
        <f>ROUND(Table1[[#This Row],[Opp Passing Attempts]]/(Table1[[#This Row],[Opp Passing Attempts]]+Table1[[#This Row],[Opp Rushing Attempts]]), 2)</f>
        <v>0.45</v>
      </c>
      <c r="AF14" s="3">
        <f>1-Table1[[#This Row],[Passing Weight]]</f>
        <v>0.55000000000000004</v>
      </c>
      <c r="AG14" s="3" t="str">
        <f>IF(COUNTIF(A:A,Table1[[#This Row],[Opp Team Name]]) &gt; 0, "N", "Y")</f>
        <v>N</v>
      </c>
      <c r="AH14" s="3" t="str">
        <f>IF(Table1[[#This Row],[Passing Attempts]] &lt;15, "Y", "N")</f>
        <v>N</v>
      </c>
      <c r="AI14" s="3" t="str">
        <f>IF(Table1[[#This Row],[Rushing Attempts]] &lt; 15, "Y", "N")</f>
        <v>N</v>
      </c>
      <c r="AJ14" s="3" t="str">
        <f>IF(Table1[[#This Row],[Opp Passing Attempts]]&lt;15, "Y", "N")</f>
        <v>N</v>
      </c>
      <c r="AK14" s="3" t="str">
        <f>IF(Table1[[#This Row],[Opp Rushing Attempts]]&lt;15, "Y", "N")</f>
        <v>N</v>
      </c>
      <c r="AL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74.06</v>
      </c>
      <c r="AM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102.87</v>
      </c>
      <c r="AN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94.14</v>
      </c>
      <c r="AO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80.55</v>
      </c>
      <c r="AP14" s="3">
        <f>ABS(Table1[[#This Row],[Team Score]]-Table1[[#This Row],[Opp Team Score]])</f>
        <v>10</v>
      </c>
      <c r="AQ14" s="3">
        <f>SUM(Table1[[#This Row],[Team Score]], Table1[[#This Row],[Opp Team Score]])</f>
        <v>44</v>
      </c>
      <c r="AR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61.300000000000011</v>
      </c>
      <c r="AS14" s="3">
        <f>IF(Table1[[#This Row],[Efficiency Difference]] = " ", " ", ROUND((Table1[[#This Row],[Winning Margin]]*100)/Table1[[#This Row],[Efficiency Difference]], 2))</f>
        <v>16.309999999999999</v>
      </c>
    </row>
    <row r="15" spans="1:45">
      <c r="A15" t="s">
        <v>17</v>
      </c>
      <c r="B15">
        <v>5</v>
      </c>
      <c r="C15">
        <v>20</v>
      </c>
      <c r="D15">
        <v>168</v>
      </c>
      <c r="E15">
        <v>33</v>
      </c>
      <c r="F15">
        <v>2</v>
      </c>
      <c r="G15">
        <v>17</v>
      </c>
      <c r="H15">
        <v>0</v>
      </c>
      <c r="I15">
        <v>81</v>
      </c>
      <c r="J15">
        <v>35</v>
      </c>
      <c r="K15">
        <v>0</v>
      </c>
      <c r="L15">
        <v>1</v>
      </c>
      <c r="M15" t="s">
        <v>109</v>
      </c>
      <c r="N15">
        <v>519</v>
      </c>
      <c r="O15">
        <v>37</v>
      </c>
      <c r="P15">
        <v>344</v>
      </c>
      <c r="Q15">
        <v>31</v>
      </c>
      <c r="R15">
        <v>2</v>
      </c>
      <c r="S15">
        <v>23</v>
      </c>
      <c r="T15">
        <v>1</v>
      </c>
      <c r="U15">
        <v>212</v>
      </c>
      <c r="V15">
        <v>49</v>
      </c>
      <c r="W15">
        <v>2</v>
      </c>
      <c r="X15">
        <v>2</v>
      </c>
      <c r="Y15" t="s">
        <v>19</v>
      </c>
      <c r="Z15">
        <v>8</v>
      </c>
      <c r="AA15" s="3">
        <f>IF(AND(Table1[[#This Row],[Throw Out Pass Eff]]="N", Table1[[#This Row],[Against FCS Team]]="N"), ROUND(((5.45 * D15) + (150 * F15) + (100 * G15) - (300 * H15)) / E15, 2), " ")</f>
        <v>88.35</v>
      </c>
      <c r="AB15" s="3">
        <f>IF(AND(Table1[[#This Row],[Throw Out Pass Def Eff]]="N", Table1[[#This Row],[Against FCS Team]]="N"),200 - ROUND(((5.45 * P15) + (150 * R15) + (100 * S15) - (300 * T15)) / Q15, 2), " ")</f>
        <v>65.330000000000013</v>
      </c>
      <c r="AC15" s="3">
        <f>IF(AND(Table1[[#This Row],[Throw Out Rush Eff]]="N", Table1[[#This Row],[Against FCS Team]]="N"), ROUND(((23.2 * I15) + (150 * K15) - (300 * L15)) / J15, 2), " ")</f>
        <v>45.12</v>
      </c>
      <c r="AD15" s="3">
        <f>IF(AND(Table1[[#This Row],[Throw Out Rush Def Eff]]="N", Table1[[#This Row],[Against FCS Team]]="N"), 200 - ROUND(((23.2 * U15) + (150 * W15) - (300 * X15)) / V15, 2), " ")</f>
        <v>105.75</v>
      </c>
      <c r="AE15" s="3">
        <f>ROUND(Table1[[#This Row],[Opp Passing Attempts]]/(Table1[[#This Row],[Opp Passing Attempts]]+Table1[[#This Row],[Opp Rushing Attempts]]), 2)</f>
        <v>0.39</v>
      </c>
      <c r="AF15" s="3">
        <f>1-Table1[[#This Row],[Passing Weight]]</f>
        <v>0.61</v>
      </c>
      <c r="AG15" s="3" t="str">
        <f>IF(COUNTIF(A:A,Table1[[#This Row],[Opp Team Name]]) &gt; 0, "N", "Y")</f>
        <v>N</v>
      </c>
      <c r="AH15" s="3" t="str">
        <f>IF(Table1[[#This Row],[Passing Attempts]] &lt;15, "Y", "N")</f>
        <v>N</v>
      </c>
      <c r="AI15" s="3" t="str">
        <f>IF(Table1[[#This Row],[Rushing Attempts]] &lt; 15, "Y", "N")</f>
        <v>N</v>
      </c>
      <c r="AJ15" s="3" t="str">
        <f>IF(Table1[[#This Row],[Opp Passing Attempts]]&lt;15, "Y", "N")</f>
        <v>N</v>
      </c>
      <c r="AK15" s="3" t="str">
        <f>IF(Table1[[#This Row],[Opp Rushing Attempts]]&lt;15, "Y", "N")</f>
        <v>N</v>
      </c>
      <c r="AL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105.51</v>
      </c>
      <c r="AM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74.53</v>
      </c>
      <c r="AN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58.31</v>
      </c>
      <c r="AO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105.22</v>
      </c>
      <c r="AP15" s="3">
        <f>ABS(Table1[[#This Row],[Team Score]]-Table1[[#This Row],[Opp Team Score]])</f>
        <v>17</v>
      </c>
      <c r="AQ15" s="3">
        <f>SUM(Table1[[#This Row],[Team Score]], Table1[[#This Row],[Opp Team Score]])</f>
        <v>57</v>
      </c>
      <c r="AR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95.449999999999989</v>
      </c>
      <c r="AS15" s="3">
        <f>IF(Table1[[#This Row],[Efficiency Difference]] = " ", " ", ROUND((Table1[[#This Row],[Winning Margin]]*100)/Table1[[#This Row],[Efficiency Difference]], 2))</f>
        <v>17.809999999999999</v>
      </c>
    </row>
    <row r="16" spans="1:45">
      <c r="A16" t="s">
        <v>20</v>
      </c>
      <c r="B16">
        <v>8</v>
      </c>
      <c r="C16">
        <v>48</v>
      </c>
      <c r="D16">
        <v>299</v>
      </c>
      <c r="E16">
        <v>37</v>
      </c>
      <c r="F16">
        <v>1</v>
      </c>
      <c r="G16">
        <v>21</v>
      </c>
      <c r="H16">
        <v>4</v>
      </c>
      <c r="I16">
        <v>183</v>
      </c>
      <c r="J16">
        <v>35</v>
      </c>
      <c r="K16">
        <v>5</v>
      </c>
      <c r="L16">
        <v>1</v>
      </c>
      <c r="M16" t="s">
        <v>21</v>
      </c>
      <c r="N16">
        <v>331</v>
      </c>
      <c r="O16">
        <v>7</v>
      </c>
      <c r="P16">
        <v>99</v>
      </c>
      <c r="Q16">
        <v>47</v>
      </c>
      <c r="R16">
        <v>1</v>
      </c>
      <c r="S16">
        <v>20</v>
      </c>
      <c r="T16">
        <v>1</v>
      </c>
      <c r="U16">
        <v>-9</v>
      </c>
      <c r="V16">
        <v>23</v>
      </c>
      <c r="W16">
        <v>0</v>
      </c>
      <c r="X16">
        <v>0</v>
      </c>
      <c r="Y16" t="s">
        <v>16</v>
      </c>
      <c r="Z16">
        <v>1</v>
      </c>
      <c r="AA16">
        <f>IF(AND(Table1[[#This Row],[Throw Out Pass Eff]]="N", Table1[[#This Row],[Against FCS Team]]="N"), ROUND(((5.45 * D16) + (150 * F16) + (100 * G16) - (300 * H16)) / E16, 2), " ")</f>
        <v>72.42</v>
      </c>
      <c r="AB16">
        <f>IF(AND(Table1[[#This Row],[Throw Out Pass Def Eff]]="N", Table1[[#This Row],[Against FCS Team]]="N"),200 - ROUND(((5.45 * P16) + (150 * R16) + (100 * S16) - (300 * T16)) / Q16, 2), " ")</f>
        <v>149.16</v>
      </c>
      <c r="AC16">
        <f>IF(AND(Table1[[#This Row],[Throw Out Rush Eff]]="N", Table1[[#This Row],[Against FCS Team]]="N"), ROUND(((23.2 * I16) + (150 * K16) - (300 * L16)) / J16, 2), " ")</f>
        <v>134.16</v>
      </c>
      <c r="AD16" s="3">
        <f>IF(AND(Table1[[#This Row],[Throw Out Rush Def Eff]]="N", Table1[[#This Row],[Against FCS Team]]="N"), 200 - ROUND(((23.2 * U16) + (150 * W16) - (300 * X16)) / V16, 2), " ")</f>
        <v>209.08</v>
      </c>
      <c r="AE16" s="3">
        <f>ROUND(Table1[[#This Row],[Opp Passing Attempts]]/(Table1[[#This Row],[Opp Passing Attempts]]+Table1[[#This Row],[Opp Rushing Attempts]]), 2)</f>
        <v>0.67</v>
      </c>
      <c r="AF16" s="3">
        <f>1-Table1[[#This Row],[Passing Weight]]</f>
        <v>0.32999999999999996</v>
      </c>
      <c r="AG16" s="3" t="str">
        <f>IF(COUNTIF(A:A,Table1[[#This Row],[Opp Team Name]]) &gt; 0, "N", "Y")</f>
        <v>N</v>
      </c>
      <c r="AH16" s="3" t="str">
        <f>IF(Table1[[#This Row],[Passing Attempts]] &lt;15, "Y", "N")</f>
        <v>N</v>
      </c>
      <c r="AI16" s="3" t="str">
        <f>IF(Table1[[#This Row],[Rushing Attempts]] &lt; 15, "Y", "N")</f>
        <v>N</v>
      </c>
      <c r="AJ16" s="3" t="str">
        <f>IF(Table1[[#This Row],[Opp Passing Attempts]]&lt;15, "Y", "N")</f>
        <v>N</v>
      </c>
      <c r="AK16" s="3" t="str">
        <f>IF(Table1[[#This Row],[Opp Rushing Attempts]]&lt;15, "Y", "N")</f>
        <v>N</v>
      </c>
      <c r="AL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82.48</v>
      </c>
      <c r="AM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70.69</v>
      </c>
      <c r="AN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162.16999999999999</v>
      </c>
      <c r="AO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62.12</v>
      </c>
      <c r="AP16" s="3">
        <f>ABS(Table1[[#This Row],[Team Score]]-Table1[[#This Row],[Opp Team Score]])</f>
        <v>41</v>
      </c>
      <c r="AQ16" s="3">
        <f>SUM(Table1[[#This Row],[Team Score]], Table1[[#This Row],[Opp Team Score]])</f>
        <v>55</v>
      </c>
      <c r="AR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164.82</v>
      </c>
      <c r="AS16" s="3">
        <f>IF(Table1[[#This Row],[Efficiency Difference]] = " ", " ", ROUND((Table1[[#This Row],[Winning Margin]]*100)/Table1[[#This Row],[Efficiency Difference]], 2))</f>
        <v>24.88</v>
      </c>
    </row>
    <row r="17" spans="1:45">
      <c r="A17" t="s">
        <v>20</v>
      </c>
      <c r="B17">
        <v>8</v>
      </c>
      <c r="C17">
        <v>27</v>
      </c>
      <c r="D17">
        <v>163</v>
      </c>
      <c r="E17">
        <v>31</v>
      </c>
      <c r="F17">
        <v>1</v>
      </c>
      <c r="G17">
        <v>19</v>
      </c>
      <c r="H17">
        <v>0</v>
      </c>
      <c r="I17">
        <v>196</v>
      </c>
      <c r="J17">
        <v>41</v>
      </c>
      <c r="K17">
        <v>2</v>
      </c>
      <c r="L17">
        <v>0</v>
      </c>
      <c r="M17" t="s">
        <v>120</v>
      </c>
      <c r="N17">
        <v>539</v>
      </c>
      <c r="O17">
        <v>11</v>
      </c>
      <c r="P17">
        <v>144</v>
      </c>
      <c r="Q17">
        <v>39</v>
      </c>
      <c r="R17">
        <v>0</v>
      </c>
      <c r="S17">
        <v>12</v>
      </c>
      <c r="T17">
        <v>1</v>
      </c>
      <c r="U17">
        <v>107</v>
      </c>
      <c r="V17">
        <v>30</v>
      </c>
      <c r="W17">
        <v>1</v>
      </c>
      <c r="X17">
        <v>2</v>
      </c>
      <c r="Y17" t="s">
        <v>16</v>
      </c>
      <c r="Z17">
        <v>2</v>
      </c>
      <c r="AA17">
        <f>IF(AND(Table1[[#This Row],[Throw Out Pass Eff]]="N", Table1[[#This Row],[Against FCS Team]]="N"), ROUND(((5.45 * D17) + (150 * F17) + (100 * G17) - (300 * H17)) / E17, 2), " ")</f>
        <v>94.79</v>
      </c>
      <c r="AB17">
        <f>IF(AND(Table1[[#This Row],[Throw Out Pass Def Eff]]="N", Table1[[#This Row],[Against FCS Team]]="N"),200 - ROUND(((5.45 * P17) + (150 * R17) + (100 * S17) - (300 * T17)) / Q17, 2), " ")</f>
        <v>156.80000000000001</v>
      </c>
      <c r="AC17">
        <f>IF(AND(Table1[[#This Row],[Throw Out Rush Eff]]="N", Table1[[#This Row],[Against FCS Team]]="N"), ROUND(((23.2 * I17) + (150 * K17) - (300 * L17)) / J17, 2), " ")</f>
        <v>118.22</v>
      </c>
      <c r="AD17" s="3">
        <f>IF(AND(Table1[[#This Row],[Throw Out Rush Def Eff]]="N", Table1[[#This Row],[Against FCS Team]]="N"), 200 - ROUND(((23.2 * U17) + (150 * W17) - (300 * X17)) / V17, 2), " ")</f>
        <v>132.25</v>
      </c>
      <c r="AE17" s="3">
        <f>ROUND(Table1[[#This Row],[Opp Passing Attempts]]/(Table1[[#This Row],[Opp Passing Attempts]]+Table1[[#This Row],[Opp Rushing Attempts]]), 2)</f>
        <v>0.56999999999999995</v>
      </c>
      <c r="AF17" s="3">
        <f>1-Table1[[#This Row],[Passing Weight]]</f>
        <v>0.43000000000000005</v>
      </c>
      <c r="AG17" s="3" t="str">
        <f>IF(COUNTIF(A:A,Table1[[#This Row],[Opp Team Name]]) &gt; 0, "N", "Y")</f>
        <v>N</v>
      </c>
      <c r="AH17" s="3" t="str">
        <f>IF(Table1[[#This Row],[Passing Attempts]] &lt;15, "Y", "N")</f>
        <v>N</v>
      </c>
      <c r="AI17" s="3" t="str">
        <f>IF(Table1[[#This Row],[Rushing Attempts]] &lt; 15, "Y", "N")</f>
        <v>N</v>
      </c>
      <c r="AJ17" s="3" t="str">
        <f>IF(Table1[[#This Row],[Opp Passing Attempts]]&lt;15, "Y", "N")</f>
        <v>N</v>
      </c>
      <c r="AK17" s="3" t="str">
        <f>IF(Table1[[#This Row],[Opp Rushing Attempts]]&lt;15, "Y", "N")</f>
        <v>N</v>
      </c>
      <c r="AL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119.49</v>
      </c>
      <c r="AM1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137.1</v>
      </c>
      <c r="AN1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155.74</v>
      </c>
      <c r="AO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116.46</v>
      </c>
      <c r="AP17" s="3">
        <f>ABS(Table1[[#This Row],[Team Score]]-Table1[[#This Row],[Opp Team Score]])</f>
        <v>16</v>
      </c>
      <c r="AQ17" s="3">
        <f>SUM(Table1[[#This Row],[Team Score]], Table1[[#This Row],[Opp Team Score]])</f>
        <v>38</v>
      </c>
      <c r="AR1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102.06</v>
      </c>
      <c r="AS17" s="3">
        <f>IF(Table1[[#This Row],[Efficiency Difference]] = " ", " ", ROUND((Table1[[#This Row],[Winning Margin]]*100)/Table1[[#This Row],[Efficiency Difference]], 2))</f>
        <v>15.68</v>
      </c>
    </row>
    <row r="18" spans="1:45">
      <c r="A18" t="s">
        <v>20</v>
      </c>
      <c r="B18">
        <v>8</v>
      </c>
      <c r="C18">
        <v>41</v>
      </c>
      <c r="D18">
        <v>239</v>
      </c>
      <c r="E18">
        <v>29</v>
      </c>
      <c r="F18">
        <v>0</v>
      </c>
      <c r="G18">
        <v>21</v>
      </c>
      <c r="H18">
        <v>0</v>
      </c>
      <c r="I18">
        <v>347</v>
      </c>
      <c r="J18">
        <v>33</v>
      </c>
      <c r="K18">
        <v>5</v>
      </c>
      <c r="L18">
        <v>2</v>
      </c>
      <c r="M18" t="s">
        <v>67</v>
      </c>
      <c r="N18">
        <v>497</v>
      </c>
      <c r="O18">
        <v>0</v>
      </c>
      <c r="P18">
        <v>101</v>
      </c>
      <c r="Q18">
        <v>31</v>
      </c>
      <c r="R18">
        <v>0</v>
      </c>
      <c r="S18">
        <v>13</v>
      </c>
      <c r="T18">
        <v>0</v>
      </c>
      <c r="U18">
        <v>68</v>
      </c>
      <c r="V18">
        <v>32</v>
      </c>
      <c r="W18">
        <v>0</v>
      </c>
      <c r="X18">
        <v>0</v>
      </c>
      <c r="Y18" t="s">
        <v>16</v>
      </c>
      <c r="Z18">
        <v>3</v>
      </c>
      <c r="AA18">
        <f>IF(AND(Table1[[#This Row],[Throw Out Pass Eff]]="N", Table1[[#This Row],[Against FCS Team]]="N"), ROUND(((5.45 * D18) + (150 * F18) + (100 * G18) - (300 * H18)) / E18, 2), " ")</f>
        <v>117.33</v>
      </c>
      <c r="AB18">
        <f>IF(AND(Table1[[#This Row],[Throw Out Pass Def Eff]]="N", Table1[[#This Row],[Against FCS Team]]="N"),200 - ROUND(((5.45 * P18) + (150 * R18) + (100 * S18) - (300 * T18)) / Q18, 2), " ")</f>
        <v>140.31</v>
      </c>
      <c r="AC18">
        <f>IF(AND(Table1[[#This Row],[Throw Out Rush Eff]]="N", Table1[[#This Row],[Against FCS Team]]="N"), ROUND(((23.2 * I18) + (150 * K18) - (300 * L18)) / J18, 2), " ")</f>
        <v>248.5</v>
      </c>
      <c r="AD18" s="3">
        <f>IF(AND(Table1[[#This Row],[Throw Out Rush Def Eff]]="N", Table1[[#This Row],[Against FCS Team]]="N"), 200 - ROUND(((23.2 * U18) + (150 * W18) - (300 * X18)) / V18, 2), " ")</f>
        <v>150.69999999999999</v>
      </c>
      <c r="AE18" s="3">
        <f>ROUND(Table1[[#This Row],[Opp Passing Attempts]]/(Table1[[#This Row],[Opp Passing Attempts]]+Table1[[#This Row],[Opp Rushing Attempts]]), 2)</f>
        <v>0.49</v>
      </c>
      <c r="AF18" s="3">
        <f>1-Table1[[#This Row],[Passing Weight]]</f>
        <v>0.51</v>
      </c>
      <c r="AG18" s="3" t="str">
        <f>IF(COUNTIF(A:A,Table1[[#This Row],[Opp Team Name]]) &gt; 0, "N", "Y")</f>
        <v>N</v>
      </c>
      <c r="AH18" s="3" t="str">
        <f>IF(Table1[[#This Row],[Passing Attempts]] &lt;15, "Y", "N")</f>
        <v>N</v>
      </c>
      <c r="AI18" s="3" t="str">
        <f>IF(Table1[[#This Row],[Rushing Attempts]] &lt; 15, "Y", "N")</f>
        <v>N</v>
      </c>
      <c r="AJ18" s="3" t="str">
        <f>IF(Table1[[#This Row],[Opp Passing Attempts]]&lt;15, "Y", "N")</f>
        <v>N</v>
      </c>
      <c r="AK18" s="3" t="str">
        <f>IF(Table1[[#This Row],[Opp Rushing Attempts]]&lt;15, "Y", "N")</f>
        <v>N</v>
      </c>
      <c r="AL1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109.85</v>
      </c>
      <c r="AM1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125.35</v>
      </c>
      <c r="AN1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240.39</v>
      </c>
      <c r="AO1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101.5</v>
      </c>
      <c r="AP18" s="3">
        <f>ABS(Table1[[#This Row],[Team Score]]-Table1[[#This Row],[Opp Team Score]])</f>
        <v>41</v>
      </c>
      <c r="AQ18" s="3">
        <f>SUM(Table1[[#This Row],[Team Score]], Table1[[#This Row],[Opp Team Score]])</f>
        <v>41</v>
      </c>
      <c r="AR1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256.83999999999997</v>
      </c>
      <c r="AS18" s="3">
        <f>IF(Table1[[#This Row],[Efficiency Difference]] = " ", " ", ROUND((Table1[[#This Row],[Winning Margin]]*100)/Table1[[#This Row],[Efficiency Difference]], 2))</f>
        <v>15.96</v>
      </c>
    </row>
    <row r="19" spans="1:45">
      <c r="A19" t="s">
        <v>20</v>
      </c>
      <c r="B19">
        <v>8</v>
      </c>
      <c r="C19">
        <v>38</v>
      </c>
      <c r="D19">
        <v>200</v>
      </c>
      <c r="E19">
        <v>20</v>
      </c>
      <c r="F19">
        <v>2</v>
      </c>
      <c r="G19">
        <v>15</v>
      </c>
      <c r="H19">
        <v>0</v>
      </c>
      <c r="I19">
        <v>197</v>
      </c>
      <c r="J19">
        <v>39</v>
      </c>
      <c r="K19">
        <v>1</v>
      </c>
      <c r="L19">
        <v>0</v>
      </c>
      <c r="M19" t="s">
        <v>26</v>
      </c>
      <c r="N19">
        <v>31</v>
      </c>
      <c r="O19">
        <v>14</v>
      </c>
      <c r="P19">
        <v>209</v>
      </c>
      <c r="Q19">
        <v>40</v>
      </c>
      <c r="R19">
        <v>2</v>
      </c>
      <c r="S19">
        <v>24</v>
      </c>
      <c r="T19">
        <v>2</v>
      </c>
      <c r="U19">
        <v>17</v>
      </c>
      <c r="V19">
        <v>19</v>
      </c>
      <c r="W19">
        <v>0</v>
      </c>
      <c r="X19">
        <v>0</v>
      </c>
      <c r="Y19" t="s">
        <v>16</v>
      </c>
      <c r="Z19">
        <v>4</v>
      </c>
      <c r="AA19">
        <f>IF(AND(Table1[[#This Row],[Throw Out Pass Eff]]="N", Table1[[#This Row],[Against FCS Team]]="N"), ROUND(((5.45 * D19) + (150 * F19) + (100 * G19) - (300 * H19)) / E19, 2), " ")</f>
        <v>144.5</v>
      </c>
      <c r="AB19">
        <f>IF(AND(Table1[[#This Row],[Throw Out Pass Def Eff]]="N", Table1[[#This Row],[Against FCS Team]]="N"),200 - ROUND(((5.45 * P19) + (150 * R19) + (100 * S19) - (300 * T19)) / Q19, 2), " ")</f>
        <v>119.02</v>
      </c>
      <c r="AC19">
        <f>IF(AND(Table1[[#This Row],[Throw Out Rush Eff]]="N", Table1[[#This Row],[Against FCS Team]]="N"), ROUND(((23.2 * I19) + (150 * K19) - (300 * L19)) / J19, 2), " ")</f>
        <v>121.04</v>
      </c>
      <c r="AD19" s="3">
        <f>IF(AND(Table1[[#This Row],[Throw Out Rush Def Eff]]="N", Table1[[#This Row],[Against FCS Team]]="N"), 200 - ROUND(((23.2 * U19) + (150 * W19) - (300 * X19)) / V19, 2), " ")</f>
        <v>179.24</v>
      </c>
      <c r="AE19" s="3">
        <f>ROUND(Table1[[#This Row],[Opp Passing Attempts]]/(Table1[[#This Row],[Opp Passing Attempts]]+Table1[[#This Row],[Opp Rushing Attempts]]), 2)</f>
        <v>0.68</v>
      </c>
      <c r="AF19" s="3">
        <f>1-Table1[[#This Row],[Passing Weight]]</f>
        <v>0.31999999999999995</v>
      </c>
      <c r="AG19" s="3" t="str">
        <f>IF(COUNTIF(A:A,Table1[[#This Row],[Opp Team Name]]) &gt; 0, "N", "Y")</f>
        <v>N</v>
      </c>
      <c r="AH19" s="3" t="str">
        <f>IF(Table1[[#This Row],[Passing Attempts]] &lt;15, "Y", "N")</f>
        <v>N</v>
      </c>
      <c r="AI19" s="3" t="str">
        <f>IF(Table1[[#This Row],[Rushing Attempts]] &lt; 15, "Y", "N")</f>
        <v>N</v>
      </c>
      <c r="AJ19" s="3" t="str">
        <f>IF(Table1[[#This Row],[Opp Passing Attempts]]&lt;15, "Y", "N")</f>
        <v>N</v>
      </c>
      <c r="AK19" s="3" t="str">
        <f>IF(Table1[[#This Row],[Opp Rushing Attempts]]&lt;15, "Y", "N")</f>
        <v>N</v>
      </c>
      <c r="AL1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157.28</v>
      </c>
      <c r="AM1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126.54</v>
      </c>
      <c r="AN1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104.05</v>
      </c>
      <c r="AO1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187.08</v>
      </c>
      <c r="AP19" s="3">
        <f>ABS(Table1[[#This Row],[Team Score]]-Table1[[#This Row],[Opp Team Score]])</f>
        <v>24</v>
      </c>
      <c r="AQ19" s="3">
        <f>SUM(Table1[[#This Row],[Team Score]], Table1[[#This Row],[Opp Team Score]])</f>
        <v>52</v>
      </c>
      <c r="AR1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163.80000000000001</v>
      </c>
      <c r="AS19" s="3">
        <f>IF(Table1[[#This Row],[Efficiency Difference]] = " ", " ", ROUND((Table1[[#This Row],[Winning Margin]]*100)/Table1[[#This Row],[Efficiency Difference]], 2))</f>
        <v>14.65</v>
      </c>
    </row>
    <row r="20" spans="1:45">
      <c r="A20" t="s">
        <v>20</v>
      </c>
      <c r="B20">
        <v>8</v>
      </c>
      <c r="C20">
        <v>38</v>
      </c>
      <c r="D20">
        <v>140</v>
      </c>
      <c r="E20">
        <v>25</v>
      </c>
      <c r="F20">
        <v>0</v>
      </c>
      <c r="G20">
        <v>12</v>
      </c>
      <c r="H20">
        <v>0</v>
      </c>
      <c r="I20">
        <v>226</v>
      </c>
      <c r="J20">
        <v>43</v>
      </c>
      <c r="K20">
        <v>4</v>
      </c>
      <c r="L20">
        <v>0</v>
      </c>
      <c r="M20" t="s">
        <v>69</v>
      </c>
      <c r="N20">
        <v>235</v>
      </c>
      <c r="O20">
        <v>10</v>
      </c>
      <c r="P20">
        <v>207</v>
      </c>
      <c r="Q20">
        <v>23</v>
      </c>
      <c r="R20">
        <v>1</v>
      </c>
      <c r="S20">
        <v>14</v>
      </c>
      <c r="T20">
        <v>1</v>
      </c>
      <c r="U20">
        <v>15</v>
      </c>
      <c r="V20">
        <v>29</v>
      </c>
      <c r="W20">
        <v>0</v>
      </c>
      <c r="X20">
        <v>1</v>
      </c>
      <c r="Y20" t="s">
        <v>16</v>
      </c>
      <c r="Z20">
        <v>5</v>
      </c>
      <c r="AA20">
        <f>IF(AND(Table1[[#This Row],[Throw Out Pass Eff]]="N", Table1[[#This Row],[Against FCS Team]]="N"), ROUND(((5.45 * D20) + (150 * F20) + (100 * G20) - (300 * H20)) / E20, 2), " ")</f>
        <v>78.52</v>
      </c>
      <c r="AB20">
        <f>IF(AND(Table1[[#This Row],[Throw Out Pass Def Eff]]="N", Table1[[#This Row],[Against FCS Team]]="N"),200 - ROUND(((5.45 * P20) + (150 * R20) + (100 * S20) - (300 * T20)) / Q20, 2), " ")</f>
        <v>96.6</v>
      </c>
      <c r="AC20">
        <f>IF(AND(Table1[[#This Row],[Throw Out Rush Eff]]="N", Table1[[#This Row],[Against FCS Team]]="N"), ROUND(((23.2 * I20) + (150 * K20) - (300 * L20)) / J20, 2), " ")</f>
        <v>135.88999999999999</v>
      </c>
      <c r="AD20" s="3">
        <f>IF(AND(Table1[[#This Row],[Throw Out Rush Def Eff]]="N", Table1[[#This Row],[Against FCS Team]]="N"), 200 - ROUND(((23.2 * U20) + (150 * W20) - (300 * X20)) / V20, 2), " ")</f>
        <v>198.34</v>
      </c>
      <c r="AE20" s="3">
        <f>ROUND(Table1[[#This Row],[Opp Passing Attempts]]/(Table1[[#This Row],[Opp Passing Attempts]]+Table1[[#This Row],[Opp Rushing Attempts]]), 2)</f>
        <v>0.44</v>
      </c>
      <c r="AF20" s="3">
        <f>1-Table1[[#This Row],[Passing Weight]]</f>
        <v>0.56000000000000005</v>
      </c>
      <c r="AG20" s="3" t="str">
        <f>IF(COUNTIF(A:A,Table1[[#This Row],[Opp Team Name]]) &gt; 0, "N", "Y")</f>
        <v>N</v>
      </c>
      <c r="AH20" s="3" t="str">
        <f>IF(Table1[[#This Row],[Passing Attempts]] &lt;15, "Y", "N")</f>
        <v>N</v>
      </c>
      <c r="AI20" s="3" t="str">
        <f>IF(Table1[[#This Row],[Rushing Attempts]] &lt; 15, "Y", "N")</f>
        <v>N</v>
      </c>
      <c r="AJ20" s="3" t="str">
        <f>IF(Table1[[#This Row],[Opp Passing Attempts]]&lt;15, "Y", "N")</f>
        <v>N</v>
      </c>
      <c r="AK20" s="3" t="str">
        <f>IF(Table1[[#This Row],[Opp Rushing Attempts]]&lt;15, "Y", "N")</f>
        <v>N</v>
      </c>
      <c r="AL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95.64</v>
      </c>
      <c r="AM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88.15</v>
      </c>
      <c r="AN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177.36</v>
      </c>
      <c r="AO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193.36</v>
      </c>
      <c r="AP20" s="3">
        <f>ABS(Table1[[#This Row],[Team Score]]-Table1[[#This Row],[Opp Team Score]])</f>
        <v>28</v>
      </c>
      <c r="AQ20" s="3">
        <f>SUM(Table1[[#This Row],[Team Score]], Table1[[#This Row],[Opp Team Score]])</f>
        <v>48</v>
      </c>
      <c r="AR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109.34999999999997</v>
      </c>
      <c r="AS20" s="3">
        <f>IF(Table1[[#This Row],[Efficiency Difference]] = " ", " ", ROUND((Table1[[#This Row],[Winning Margin]]*100)/Table1[[#This Row],[Efficiency Difference]], 2))</f>
        <v>25.61</v>
      </c>
    </row>
    <row r="21" spans="1:45">
      <c r="A21" t="s">
        <v>20</v>
      </c>
      <c r="B21">
        <v>8</v>
      </c>
      <c r="C21">
        <v>34</v>
      </c>
      <c r="D21">
        <v>266</v>
      </c>
      <c r="E21">
        <v>33</v>
      </c>
      <c r="F21">
        <v>4</v>
      </c>
      <c r="G21">
        <v>26</v>
      </c>
      <c r="H21">
        <v>0</v>
      </c>
      <c r="I21">
        <v>153</v>
      </c>
      <c r="J21">
        <v>43</v>
      </c>
      <c r="K21">
        <v>1</v>
      </c>
      <c r="L21">
        <v>0</v>
      </c>
      <c r="M21" t="s">
        <v>152</v>
      </c>
      <c r="N21">
        <v>736</v>
      </c>
      <c r="O21">
        <v>0</v>
      </c>
      <c r="P21">
        <v>149</v>
      </c>
      <c r="Q21">
        <v>24</v>
      </c>
      <c r="R21">
        <v>0</v>
      </c>
      <c r="S21">
        <v>15</v>
      </c>
      <c r="T21">
        <v>2</v>
      </c>
      <c r="U21">
        <v>41</v>
      </c>
      <c r="V21">
        <v>19</v>
      </c>
      <c r="W21">
        <v>0</v>
      </c>
      <c r="X21">
        <v>0</v>
      </c>
      <c r="Y21" t="s">
        <v>16</v>
      </c>
      <c r="Z21">
        <v>6</v>
      </c>
      <c r="AA21">
        <f>IF(AND(Table1[[#This Row],[Throw Out Pass Eff]]="N", Table1[[#This Row],[Against FCS Team]]="N"), ROUND(((5.45 * D21) + (150 * F21) + (100 * G21) - (300 * H21)) / E21, 2), " ")</f>
        <v>140.9</v>
      </c>
      <c r="AB21">
        <f>IF(AND(Table1[[#This Row],[Throw Out Pass Def Eff]]="N", Table1[[#This Row],[Against FCS Team]]="N"),200 - ROUND(((5.45 * P21) + (150 * R21) + (100 * S21) - (300 * T21)) / Q21, 2), " ")</f>
        <v>128.66</v>
      </c>
      <c r="AC21">
        <f>IF(AND(Table1[[#This Row],[Throw Out Rush Eff]]="N", Table1[[#This Row],[Against FCS Team]]="N"), ROUND(((23.2 * I21) + (150 * K21) - (300 * L21)) / J21, 2), " ")</f>
        <v>86.04</v>
      </c>
      <c r="AD21" s="3">
        <f>IF(AND(Table1[[#This Row],[Throw Out Rush Def Eff]]="N", Table1[[#This Row],[Against FCS Team]]="N"), 200 - ROUND(((23.2 * U21) + (150 * W21) - (300 * X21)) / V21, 2), " ")</f>
        <v>149.94</v>
      </c>
      <c r="AE21" s="3">
        <f>ROUND(Table1[[#This Row],[Opp Passing Attempts]]/(Table1[[#This Row],[Opp Passing Attempts]]+Table1[[#This Row],[Opp Rushing Attempts]]), 2)</f>
        <v>0.56000000000000005</v>
      </c>
      <c r="AF21" s="3">
        <f>1-Table1[[#This Row],[Passing Weight]]</f>
        <v>0.43999999999999995</v>
      </c>
      <c r="AG21" s="3" t="str">
        <f>IF(COUNTIF(A:A,Table1[[#This Row],[Opp Team Name]]) &gt; 0, "N", "Y")</f>
        <v>N</v>
      </c>
      <c r="AH21" s="3" t="str">
        <f>IF(Table1[[#This Row],[Passing Attempts]] &lt;15, "Y", "N")</f>
        <v>N</v>
      </c>
      <c r="AI21" s="3" t="str">
        <f>IF(Table1[[#This Row],[Rushing Attempts]] &lt; 15, "Y", "N")</f>
        <v>N</v>
      </c>
      <c r="AJ21" s="3" t="str">
        <f>IF(Table1[[#This Row],[Opp Passing Attempts]]&lt;15, "Y", "N")</f>
        <v>N</v>
      </c>
      <c r="AK21" s="3" t="str">
        <f>IF(Table1[[#This Row],[Opp Rushing Attempts]]&lt;15, "Y", "N")</f>
        <v>N</v>
      </c>
      <c r="AL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177.95</v>
      </c>
      <c r="AM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80.790000000000006</v>
      </c>
      <c r="AN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105.07</v>
      </c>
      <c r="AO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132.58000000000001</v>
      </c>
      <c r="AP21" s="3">
        <f>ABS(Table1[[#This Row],[Team Score]]-Table1[[#This Row],[Opp Team Score]])</f>
        <v>34</v>
      </c>
      <c r="AQ21" s="3">
        <f>SUM(Table1[[#This Row],[Team Score]], Table1[[#This Row],[Opp Team Score]])</f>
        <v>34</v>
      </c>
      <c r="AR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105.54000000000002</v>
      </c>
      <c r="AS21" s="3">
        <f>IF(Table1[[#This Row],[Efficiency Difference]] = " ", " ", ROUND((Table1[[#This Row],[Winning Margin]]*100)/Table1[[#This Row],[Efficiency Difference]], 2))</f>
        <v>32.22</v>
      </c>
    </row>
    <row r="22" spans="1:45">
      <c r="A22" t="s">
        <v>20</v>
      </c>
      <c r="B22">
        <v>8</v>
      </c>
      <c r="C22">
        <v>52</v>
      </c>
      <c r="D22">
        <v>226</v>
      </c>
      <c r="E22">
        <v>25</v>
      </c>
      <c r="F22">
        <v>1</v>
      </c>
      <c r="G22">
        <v>20</v>
      </c>
      <c r="H22">
        <v>0</v>
      </c>
      <c r="I22">
        <v>389</v>
      </c>
      <c r="J22">
        <v>42</v>
      </c>
      <c r="K22">
        <v>6</v>
      </c>
      <c r="L22">
        <v>0</v>
      </c>
      <c r="M22" t="s">
        <v>47</v>
      </c>
      <c r="N22">
        <v>433</v>
      </c>
      <c r="O22">
        <v>7</v>
      </c>
      <c r="P22">
        <v>113</v>
      </c>
      <c r="Q22">
        <v>21</v>
      </c>
      <c r="R22">
        <v>0</v>
      </c>
      <c r="S22">
        <v>10</v>
      </c>
      <c r="T22">
        <v>1</v>
      </c>
      <c r="U22">
        <v>28</v>
      </c>
      <c r="V22">
        <v>31</v>
      </c>
      <c r="W22">
        <v>1</v>
      </c>
      <c r="X22">
        <v>1</v>
      </c>
      <c r="Y22" t="s">
        <v>16</v>
      </c>
      <c r="Z22">
        <v>7</v>
      </c>
      <c r="AA22">
        <f>IF(AND(Table1[[#This Row],[Throw Out Pass Eff]]="N", Table1[[#This Row],[Against FCS Team]]="N"), ROUND(((5.45 * D22) + (150 * F22) + (100 * G22) - (300 * H22)) / E22, 2), " ")</f>
        <v>135.27000000000001</v>
      </c>
      <c r="AB22">
        <f>IF(AND(Table1[[#This Row],[Throw Out Pass Def Eff]]="N", Table1[[#This Row],[Against FCS Team]]="N"),200 - ROUND(((5.45 * P22) + (150 * R22) + (100 * S22) - (300 * T22)) / Q22, 2), " ")</f>
        <v>137.34</v>
      </c>
      <c r="AC22">
        <f>IF(AND(Table1[[#This Row],[Throw Out Rush Eff]]="N", Table1[[#This Row],[Against FCS Team]]="N"), ROUND(((23.2 * I22) + (150 * K22) - (300 * L22)) / J22, 2), " ")</f>
        <v>236.3</v>
      </c>
      <c r="AD22" s="3">
        <f>IF(AND(Table1[[#This Row],[Throw Out Rush Def Eff]]="N", Table1[[#This Row],[Against FCS Team]]="N"), 200 - ROUND(((23.2 * U22) + (150 * W22) - (300 * X22)) / V22, 2), " ")</f>
        <v>183.88</v>
      </c>
      <c r="AE22" s="3">
        <f>ROUND(Table1[[#This Row],[Opp Passing Attempts]]/(Table1[[#This Row],[Opp Passing Attempts]]+Table1[[#This Row],[Opp Rushing Attempts]]), 2)</f>
        <v>0.4</v>
      </c>
      <c r="AF22" s="3">
        <f>1-Table1[[#This Row],[Passing Weight]]</f>
        <v>0.6</v>
      </c>
      <c r="AG22" s="3" t="str">
        <f>IF(COUNTIF(A:A,Table1[[#This Row],[Opp Team Name]]) &gt; 0, "N", "Y")</f>
        <v>N</v>
      </c>
      <c r="AH22" s="3" t="str">
        <f>IF(Table1[[#This Row],[Passing Attempts]] &lt;15, "Y", "N")</f>
        <v>N</v>
      </c>
      <c r="AI22" s="3" t="str">
        <f>IF(Table1[[#This Row],[Rushing Attempts]] &lt; 15, "Y", "N")</f>
        <v>N</v>
      </c>
      <c r="AJ22" s="3" t="str">
        <f>IF(Table1[[#This Row],[Opp Passing Attempts]]&lt;15, "Y", "N")</f>
        <v>N</v>
      </c>
      <c r="AK22" s="3" t="str">
        <f>IF(Table1[[#This Row],[Opp Rushing Attempts]]&lt;15, "Y", "N")</f>
        <v>N</v>
      </c>
      <c r="AL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131.13999999999999</v>
      </c>
      <c r="AM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102.03</v>
      </c>
      <c r="AN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156.75</v>
      </c>
      <c r="AO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105.9</v>
      </c>
      <c r="AP22" s="3">
        <f>ABS(Table1[[#This Row],[Team Score]]-Table1[[#This Row],[Opp Team Score]])</f>
        <v>45</v>
      </c>
      <c r="AQ22" s="3">
        <f>SUM(Table1[[#This Row],[Team Score]], Table1[[#This Row],[Opp Team Score]])</f>
        <v>59</v>
      </c>
      <c r="AR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292.79000000000008</v>
      </c>
      <c r="AS22" s="3">
        <f>IF(Table1[[#This Row],[Efficiency Difference]] = " ", " ", ROUND((Table1[[#This Row],[Winning Margin]]*100)/Table1[[#This Row],[Efficiency Difference]], 2))</f>
        <v>15.37</v>
      </c>
    </row>
    <row r="23" spans="1:45">
      <c r="A23" t="s">
        <v>20</v>
      </c>
      <c r="B23">
        <v>8</v>
      </c>
      <c r="C23">
        <v>37</v>
      </c>
      <c r="D23">
        <v>294</v>
      </c>
      <c r="E23">
        <v>28</v>
      </c>
      <c r="F23">
        <v>1</v>
      </c>
      <c r="G23">
        <v>18</v>
      </c>
      <c r="H23">
        <v>1</v>
      </c>
      <c r="I23">
        <v>143</v>
      </c>
      <c r="J23">
        <v>38</v>
      </c>
      <c r="K23">
        <v>3</v>
      </c>
      <c r="L23">
        <v>0</v>
      </c>
      <c r="M23" t="s">
        <v>134</v>
      </c>
      <c r="N23">
        <v>694</v>
      </c>
      <c r="O23">
        <v>6</v>
      </c>
      <c r="P23">
        <v>63</v>
      </c>
      <c r="Q23">
        <v>18</v>
      </c>
      <c r="R23">
        <v>0</v>
      </c>
      <c r="S23">
        <v>9</v>
      </c>
      <c r="T23">
        <v>1</v>
      </c>
      <c r="U23">
        <v>92</v>
      </c>
      <c r="V23">
        <v>32</v>
      </c>
      <c r="W23">
        <v>0</v>
      </c>
      <c r="X23">
        <v>1</v>
      </c>
      <c r="Y23" t="s">
        <v>16</v>
      </c>
      <c r="Z23">
        <v>8</v>
      </c>
      <c r="AA23" s="3">
        <f>IF(AND(Table1[[#This Row],[Throw Out Pass Eff]]="N", Table1[[#This Row],[Against FCS Team]]="N"), ROUND(((5.45 * D23) + (150 * F23) + (100 * G23) - (300 * H23)) / E23, 2), " ")</f>
        <v>116.15</v>
      </c>
      <c r="AB23" s="3">
        <f>IF(AND(Table1[[#This Row],[Throw Out Pass Def Eff]]="N", Table1[[#This Row],[Against FCS Team]]="N"),200 - ROUND(((5.45 * P23) + (150 * R23) + (100 * S23) - (300 * T23)) / Q23, 2), " ")</f>
        <v>147.59</v>
      </c>
      <c r="AC23" s="3">
        <f>IF(AND(Table1[[#This Row],[Throw Out Rush Eff]]="N", Table1[[#This Row],[Against FCS Team]]="N"), ROUND(((23.2 * I23) + (150 * K23) - (300 * L23)) / J23, 2), " ")</f>
        <v>99.15</v>
      </c>
      <c r="AD23" s="3">
        <f>IF(AND(Table1[[#This Row],[Throw Out Rush Def Eff]]="N", Table1[[#This Row],[Against FCS Team]]="N"), 200 - ROUND(((23.2 * U23) + (150 * W23) - (300 * X23)) / V23, 2), " ")</f>
        <v>142.67000000000002</v>
      </c>
      <c r="AE23" s="3">
        <f>ROUND(Table1[[#This Row],[Opp Passing Attempts]]/(Table1[[#This Row],[Opp Passing Attempts]]+Table1[[#This Row],[Opp Rushing Attempts]]), 2)</f>
        <v>0.36</v>
      </c>
      <c r="AF23" s="3">
        <f>1-Table1[[#This Row],[Passing Weight]]</f>
        <v>0.64</v>
      </c>
      <c r="AG23" s="3" t="str">
        <f>IF(COUNTIF(A:A,Table1[[#This Row],[Opp Team Name]]) &gt; 0, "N", "Y")</f>
        <v>N</v>
      </c>
      <c r="AH23" s="3" t="str">
        <f>IF(Table1[[#This Row],[Passing Attempts]] &lt;15, "Y", "N")</f>
        <v>N</v>
      </c>
      <c r="AI23" s="3" t="str">
        <f>IF(Table1[[#This Row],[Rushing Attempts]] &lt; 15, "Y", "N")</f>
        <v>N</v>
      </c>
      <c r="AJ23" s="3" t="str">
        <f>IF(Table1[[#This Row],[Opp Passing Attempts]]&lt;15, "Y", "N")</f>
        <v>N</v>
      </c>
      <c r="AK23" s="3" t="str">
        <f>IF(Table1[[#This Row],[Opp Rushing Attempts]]&lt;15, "Y", "N")</f>
        <v>N</v>
      </c>
      <c r="AL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105.49</v>
      </c>
      <c r="AM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138.77000000000001</v>
      </c>
      <c r="AN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</v>
      </c>
      <c r="AO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70.47</v>
      </c>
      <c r="AP23" s="3">
        <f>ABS(Table1[[#This Row],[Team Score]]-Table1[[#This Row],[Opp Team Score]])</f>
        <v>31</v>
      </c>
      <c r="AQ23" s="3">
        <f>SUM(Table1[[#This Row],[Team Score]], Table1[[#This Row],[Opp Team Score]])</f>
        <v>43</v>
      </c>
      <c r="AR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105.56</v>
      </c>
      <c r="AS23" s="3">
        <f>IF(Table1[[#This Row],[Efficiency Difference]] = " ", " ", ROUND((Table1[[#This Row],[Winning Margin]]*100)/Table1[[#This Row],[Efficiency Difference]], 2))</f>
        <v>29.37</v>
      </c>
    </row>
    <row r="24" spans="1:45">
      <c r="A24" t="s">
        <v>22</v>
      </c>
      <c r="B24">
        <v>29</v>
      </c>
      <c r="C24">
        <v>41</v>
      </c>
      <c r="D24">
        <v>417</v>
      </c>
      <c r="E24">
        <v>42</v>
      </c>
      <c r="F24">
        <v>5</v>
      </c>
      <c r="G24">
        <v>34</v>
      </c>
      <c r="H24">
        <v>0</v>
      </c>
      <c r="I24">
        <v>75</v>
      </c>
      <c r="J24">
        <v>20</v>
      </c>
      <c r="K24">
        <v>1</v>
      </c>
      <c r="L24">
        <v>0</v>
      </c>
      <c r="M24" t="s">
        <v>23</v>
      </c>
      <c r="N24">
        <v>501</v>
      </c>
      <c r="O24">
        <v>10</v>
      </c>
      <c r="P24">
        <v>179</v>
      </c>
      <c r="Q24">
        <v>26</v>
      </c>
      <c r="R24">
        <v>1</v>
      </c>
      <c r="S24">
        <v>20</v>
      </c>
      <c r="T24">
        <v>1</v>
      </c>
      <c r="U24">
        <v>80</v>
      </c>
      <c r="V24">
        <v>33</v>
      </c>
      <c r="W24">
        <v>0</v>
      </c>
      <c r="X24">
        <v>0</v>
      </c>
      <c r="Y24" t="s">
        <v>16</v>
      </c>
      <c r="Z24">
        <v>1</v>
      </c>
      <c r="AA24" t="str">
        <f>IF(AND(Table1[[#This Row],[Throw Out Pass Eff]]="N", Table1[[#This Row],[Against FCS Team]]="N"), ROUND(((5.45 * D24) + (150 * F24) + (100 * G24) - (300 * H24)) / E24, 2), " ")</f>
        <v xml:space="preserve"> </v>
      </c>
      <c r="AB24" t="str">
        <f>IF(AND(Table1[[#This Row],[Throw Out Pass Def Eff]]="N", Table1[[#This Row],[Against FCS Team]]="N"),200 - ROUND(((5.45 * P24) + (150 * R24) + (100 * S24) - (300 * T24)) / Q24, 2), " ")</f>
        <v xml:space="preserve"> </v>
      </c>
      <c r="AC24" t="str">
        <f>IF(AND(Table1[[#This Row],[Throw Out Rush Eff]]="N", Table1[[#This Row],[Against FCS Team]]="N"), ROUND(((23.2 * I24) + (150 * K24) - (300 * L24)) / J24, 2), " ")</f>
        <v xml:space="preserve"> </v>
      </c>
      <c r="AD24" s="3" t="str">
        <f>IF(AND(Table1[[#This Row],[Throw Out Rush Def Eff]]="N", Table1[[#This Row],[Against FCS Team]]="N"), 200 - ROUND(((23.2 * U24) + (150 * W24) - (300 * X24)) / V24, 2), " ")</f>
        <v xml:space="preserve"> </v>
      </c>
      <c r="AE24" s="3">
        <f>ROUND(Table1[[#This Row],[Opp Passing Attempts]]/(Table1[[#This Row],[Opp Passing Attempts]]+Table1[[#This Row],[Opp Rushing Attempts]]), 2)</f>
        <v>0.44</v>
      </c>
      <c r="AF24" s="3">
        <f>1-Table1[[#This Row],[Passing Weight]]</f>
        <v>0.56000000000000005</v>
      </c>
      <c r="AG24" s="3" t="str">
        <f>IF(COUNTIF(A:A,Table1[[#This Row],[Opp Team Name]]) &gt; 0, "N", "Y")</f>
        <v>Y</v>
      </c>
      <c r="AH24" s="3" t="str">
        <f>IF(Table1[[#This Row],[Passing Attempts]] &lt;15, "Y", "N")</f>
        <v>N</v>
      </c>
      <c r="AI24" s="3" t="str">
        <f>IF(Table1[[#This Row],[Rushing Attempts]] &lt; 15, "Y", "N")</f>
        <v>N</v>
      </c>
      <c r="AJ24" s="3" t="str">
        <f>IF(Table1[[#This Row],[Opp Passing Attempts]]&lt;15, "Y", "N")</f>
        <v>N</v>
      </c>
      <c r="AK24" s="3" t="str">
        <f>IF(Table1[[#This Row],[Opp Rushing Attempts]]&lt;15, "Y", "N")</f>
        <v>N</v>
      </c>
      <c r="AL2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4" s="3">
        <f>ABS(Table1[[#This Row],[Team Score]]-Table1[[#This Row],[Opp Team Score]])</f>
        <v>31</v>
      </c>
      <c r="AQ24" s="3">
        <f>SUM(Table1[[#This Row],[Team Score]], Table1[[#This Row],[Opp Team Score]])</f>
        <v>51</v>
      </c>
      <c r="AR2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4" s="3" t="str">
        <f>IF(Table1[[#This Row],[Efficiency Difference]] = " ", " ", ROUND((Table1[[#This Row],[Winning Margin]]*100)/Table1[[#This Row],[Efficiency Difference]], 2))</f>
        <v xml:space="preserve"> </v>
      </c>
    </row>
    <row r="25" spans="1:45">
      <c r="A25" t="s">
        <v>22</v>
      </c>
      <c r="B25">
        <v>29</v>
      </c>
      <c r="C25">
        <v>14</v>
      </c>
      <c r="D25">
        <v>398</v>
      </c>
      <c r="E25">
        <v>51</v>
      </c>
      <c r="F25">
        <v>1</v>
      </c>
      <c r="G25">
        <v>37</v>
      </c>
      <c r="H25">
        <v>0</v>
      </c>
      <c r="I25">
        <v>41</v>
      </c>
      <c r="J25">
        <v>21</v>
      </c>
      <c r="K25">
        <v>1</v>
      </c>
      <c r="L25">
        <v>1</v>
      </c>
      <c r="M25" t="s">
        <v>87</v>
      </c>
      <c r="N25">
        <v>521</v>
      </c>
      <c r="O25">
        <v>37</v>
      </c>
      <c r="P25">
        <v>397</v>
      </c>
      <c r="Q25">
        <v>53</v>
      </c>
      <c r="R25">
        <v>2</v>
      </c>
      <c r="S25">
        <v>42</v>
      </c>
      <c r="T25">
        <v>1</v>
      </c>
      <c r="U25">
        <v>197</v>
      </c>
      <c r="V25">
        <v>31</v>
      </c>
      <c r="W25">
        <v>3</v>
      </c>
      <c r="X25">
        <v>0</v>
      </c>
      <c r="Y25" t="s">
        <v>19</v>
      </c>
      <c r="Z25">
        <v>2</v>
      </c>
      <c r="AA25">
        <f>IF(AND(Table1[[#This Row],[Throw Out Pass Eff]]="N", Table1[[#This Row],[Against FCS Team]]="N"), ROUND(((5.45 * D25) + (150 * F25) + (100 * G25) - (300 * H25)) / E25, 2), " ")</f>
        <v>118.02</v>
      </c>
      <c r="AB25">
        <f>IF(AND(Table1[[#This Row],[Throw Out Pass Def Eff]]="N", Table1[[#This Row],[Against FCS Team]]="N"),200 - ROUND(((5.45 * P25) + (150 * R25) + (100 * S25) - (300 * T25)) / Q25, 2), " ")</f>
        <v>79.930000000000007</v>
      </c>
      <c r="AC25">
        <f>IF(AND(Table1[[#This Row],[Throw Out Rush Eff]]="N", Table1[[#This Row],[Against FCS Team]]="N"), ROUND(((23.2 * I25) + (150 * K25) - (300 * L25)) / J25, 2), " ")</f>
        <v>38.15</v>
      </c>
      <c r="AD25" s="3">
        <f>IF(AND(Table1[[#This Row],[Throw Out Rush Def Eff]]="N", Table1[[#This Row],[Against FCS Team]]="N"), 200 - ROUND(((23.2 * U25) + (150 * W25) - (300 * X25)) / V25, 2), " ")</f>
        <v>38.050000000000011</v>
      </c>
      <c r="AE25" s="3">
        <f>ROUND(Table1[[#This Row],[Opp Passing Attempts]]/(Table1[[#This Row],[Opp Passing Attempts]]+Table1[[#This Row],[Opp Rushing Attempts]]), 2)</f>
        <v>0.63</v>
      </c>
      <c r="AF25" s="3">
        <f>1-Table1[[#This Row],[Passing Weight]]</f>
        <v>0.37</v>
      </c>
      <c r="AG25" s="3" t="str">
        <f>IF(COUNTIF(A:A,Table1[[#This Row],[Opp Team Name]]) &gt; 0, "N", "Y")</f>
        <v>N</v>
      </c>
      <c r="AH25" s="3" t="str">
        <f>IF(Table1[[#This Row],[Passing Attempts]] &lt;15, "Y", "N")</f>
        <v>N</v>
      </c>
      <c r="AI25" s="3" t="str">
        <f>IF(Table1[[#This Row],[Rushing Attempts]] &lt; 15, "Y", "N")</f>
        <v>N</v>
      </c>
      <c r="AJ25" s="3" t="str">
        <f>IF(Table1[[#This Row],[Opp Passing Attempts]]&lt;15, "Y", "N")</f>
        <v>N</v>
      </c>
      <c r="AK25" s="3" t="str">
        <f>IF(Table1[[#This Row],[Opp Rushing Attempts]]&lt;15, "Y", "N")</f>
        <v>N</v>
      </c>
      <c r="AL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145.65</v>
      </c>
      <c r="AM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94.42</v>
      </c>
      <c r="AN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39.69</v>
      </c>
      <c r="AO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46.31</v>
      </c>
      <c r="AP25" s="3">
        <f>ABS(Table1[[#This Row],[Team Score]]-Table1[[#This Row],[Opp Team Score]])</f>
        <v>23</v>
      </c>
      <c r="AQ25" s="3">
        <f>SUM(Table1[[#This Row],[Team Score]], Table1[[#This Row],[Opp Team Score]])</f>
        <v>51</v>
      </c>
      <c r="AR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125.85</v>
      </c>
      <c r="AS25" s="3">
        <f>IF(Table1[[#This Row],[Efficiency Difference]] = " ", " ", ROUND((Table1[[#This Row],[Winning Margin]]*100)/Table1[[#This Row],[Efficiency Difference]], 2))</f>
        <v>18.28</v>
      </c>
    </row>
    <row r="26" spans="1:45">
      <c r="A26" t="s">
        <v>22</v>
      </c>
      <c r="B26">
        <v>29</v>
      </c>
      <c r="C26">
        <v>10</v>
      </c>
      <c r="D26">
        <v>282</v>
      </c>
      <c r="E26">
        <v>39</v>
      </c>
      <c r="F26">
        <v>1</v>
      </c>
      <c r="G26">
        <v>28</v>
      </c>
      <c r="H26">
        <v>0</v>
      </c>
      <c r="I26">
        <v>51</v>
      </c>
      <c r="J26">
        <v>23</v>
      </c>
      <c r="K26">
        <v>0</v>
      </c>
      <c r="L26">
        <v>0</v>
      </c>
      <c r="M26" t="s">
        <v>129</v>
      </c>
      <c r="N26">
        <v>674</v>
      </c>
      <c r="O26">
        <v>37</v>
      </c>
      <c r="P26">
        <v>325</v>
      </c>
      <c r="Q26">
        <v>31</v>
      </c>
      <c r="R26">
        <v>2</v>
      </c>
      <c r="S26">
        <v>20</v>
      </c>
      <c r="T26">
        <v>0</v>
      </c>
      <c r="U26">
        <v>242</v>
      </c>
      <c r="V26">
        <v>39</v>
      </c>
      <c r="W26">
        <v>2</v>
      </c>
      <c r="X26">
        <v>0</v>
      </c>
      <c r="Y26" t="s">
        <v>19</v>
      </c>
      <c r="Z26">
        <v>3</v>
      </c>
      <c r="AA26">
        <f>IF(AND(Table1[[#This Row],[Throw Out Pass Eff]]="N", Table1[[#This Row],[Against FCS Team]]="N"), ROUND(((5.45 * D26) + (150 * F26) + (100 * G26) - (300 * H26)) / E26, 2), " ")</f>
        <v>115.05</v>
      </c>
      <c r="AB26">
        <f>IF(AND(Table1[[#This Row],[Throw Out Pass Def Eff]]="N", Table1[[#This Row],[Against FCS Team]]="N"),200 - ROUND(((5.45 * P26) + (150 * R26) + (100 * S26) - (300 * T26)) / Q26, 2), " ")</f>
        <v>68.669999999999987</v>
      </c>
      <c r="AC26">
        <f>IF(AND(Table1[[#This Row],[Throw Out Rush Eff]]="N", Table1[[#This Row],[Against FCS Team]]="N"), ROUND(((23.2 * I26) + (150 * K26) - (300 * L26)) / J26, 2), " ")</f>
        <v>51.44</v>
      </c>
      <c r="AD26" s="3">
        <f>IF(AND(Table1[[#This Row],[Throw Out Rush Def Eff]]="N", Table1[[#This Row],[Against FCS Team]]="N"), 200 - ROUND(((23.2 * U26) + (150 * W26) - (300 * X26)) / V26, 2), " ")</f>
        <v>48.349999999999994</v>
      </c>
      <c r="AE26" s="3">
        <f>ROUND(Table1[[#This Row],[Opp Passing Attempts]]/(Table1[[#This Row],[Opp Passing Attempts]]+Table1[[#This Row],[Opp Rushing Attempts]]), 2)</f>
        <v>0.44</v>
      </c>
      <c r="AF26" s="3">
        <f>1-Table1[[#This Row],[Passing Weight]]</f>
        <v>0.56000000000000005</v>
      </c>
      <c r="AG26" s="3" t="str">
        <f>IF(COUNTIF(A:A,Table1[[#This Row],[Opp Team Name]]) &gt; 0, "N", "Y")</f>
        <v>N</v>
      </c>
      <c r="AH26" s="3" t="str">
        <f>IF(Table1[[#This Row],[Passing Attempts]] &lt;15, "Y", "N")</f>
        <v>N</v>
      </c>
      <c r="AI26" s="3" t="str">
        <f>IF(Table1[[#This Row],[Rushing Attempts]] &lt; 15, "Y", "N")</f>
        <v>N</v>
      </c>
      <c r="AJ26" s="3" t="str">
        <f>IF(Table1[[#This Row],[Opp Passing Attempts]]&lt;15, "Y", "N")</f>
        <v>N</v>
      </c>
      <c r="AK26" s="3" t="str">
        <f>IF(Table1[[#This Row],[Opp Rushing Attempts]]&lt;15, "Y", "N")</f>
        <v>N</v>
      </c>
      <c r="AL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118.81</v>
      </c>
      <c r="AM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91.65</v>
      </c>
      <c r="AN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73.37</v>
      </c>
      <c r="AO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69.62</v>
      </c>
      <c r="AP26" s="3">
        <f>ABS(Table1[[#This Row],[Team Score]]-Table1[[#This Row],[Opp Team Score]])</f>
        <v>27</v>
      </c>
      <c r="AQ26" s="3">
        <f>SUM(Table1[[#This Row],[Team Score]], Table1[[#This Row],[Opp Team Score]])</f>
        <v>47</v>
      </c>
      <c r="AR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116.49000000000001</v>
      </c>
      <c r="AS26" s="3">
        <f>IF(Table1[[#This Row],[Efficiency Difference]] = " ", " ", ROUND((Table1[[#This Row],[Winning Margin]]*100)/Table1[[#This Row],[Efficiency Difference]], 2))</f>
        <v>23.18</v>
      </c>
    </row>
    <row r="27" spans="1:45">
      <c r="A27" t="s">
        <v>22</v>
      </c>
      <c r="B27">
        <v>29</v>
      </c>
      <c r="C27">
        <v>31</v>
      </c>
      <c r="D27">
        <v>398</v>
      </c>
      <c r="E27">
        <v>57</v>
      </c>
      <c r="F27">
        <v>3</v>
      </c>
      <c r="G27">
        <v>34</v>
      </c>
      <c r="H27">
        <v>0</v>
      </c>
      <c r="I27">
        <v>82</v>
      </c>
      <c r="J27">
        <v>35</v>
      </c>
      <c r="K27">
        <v>1</v>
      </c>
      <c r="L27">
        <v>0</v>
      </c>
      <c r="M27" t="s">
        <v>93</v>
      </c>
      <c r="N27">
        <v>529</v>
      </c>
      <c r="O27">
        <v>56</v>
      </c>
      <c r="P27">
        <v>101</v>
      </c>
      <c r="Q27">
        <v>20</v>
      </c>
      <c r="R27">
        <v>2</v>
      </c>
      <c r="S27">
        <v>11</v>
      </c>
      <c r="T27">
        <v>0</v>
      </c>
      <c r="U27">
        <v>415</v>
      </c>
      <c r="V27">
        <v>47</v>
      </c>
      <c r="W27">
        <v>6</v>
      </c>
      <c r="X27">
        <v>0</v>
      </c>
      <c r="Y27" t="s">
        <v>19</v>
      </c>
      <c r="Z27">
        <v>4</v>
      </c>
      <c r="AA27">
        <f>IF(AND(Table1[[#This Row],[Throw Out Pass Eff]]="N", Table1[[#This Row],[Against FCS Team]]="N"), ROUND(((5.45 * D27) + (150 * F27) + (100 * G27) - (300 * H27)) / E27, 2), " ")</f>
        <v>105.6</v>
      </c>
      <c r="AB27">
        <f>IF(AND(Table1[[#This Row],[Throw Out Pass Def Eff]]="N", Table1[[#This Row],[Against FCS Team]]="N"),200 - ROUND(((5.45 * P27) + (150 * R27) + (100 * S27) - (300 * T27)) / Q27, 2), " ")</f>
        <v>102.48</v>
      </c>
      <c r="AC27">
        <f>IF(AND(Table1[[#This Row],[Throw Out Rush Eff]]="N", Table1[[#This Row],[Against FCS Team]]="N"), ROUND(((23.2 * I27) + (150 * K27) - (300 * L27)) / J27, 2), " ")</f>
        <v>58.64</v>
      </c>
      <c r="AD27" s="3">
        <f>IF(AND(Table1[[#This Row],[Throw Out Rush Def Eff]]="N", Table1[[#This Row],[Against FCS Team]]="N"), 200 - ROUND(((23.2 * U27) + (150 * W27) - (300 * X27)) / V27, 2), " ")</f>
        <v>-24</v>
      </c>
      <c r="AE27" s="3">
        <f>ROUND(Table1[[#This Row],[Opp Passing Attempts]]/(Table1[[#This Row],[Opp Passing Attempts]]+Table1[[#This Row],[Opp Rushing Attempts]]), 2)</f>
        <v>0.3</v>
      </c>
      <c r="AF27" s="3">
        <f>1-Table1[[#This Row],[Passing Weight]]</f>
        <v>0.7</v>
      </c>
      <c r="AG27" s="3" t="str">
        <f>IF(COUNTIF(A:A,Table1[[#This Row],[Opp Team Name]]) &gt; 0, "N", "Y")</f>
        <v>N</v>
      </c>
      <c r="AH27" s="3" t="str">
        <f>IF(Table1[[#This Row],[Passing Attempts]] &lt;15, "Y", "N")</f>
        <v>N</v>
      </c>
      <c r="AI27" s="3" t="str">
        <f>IF(Table1[[#This Row],[Rushing Attempts]] &lt; 15, "Y", "N")</f>
        <v>N</v>
      </c>
      <c r="AJ27" s="3" t="str">
        <f>IF(Table1[[#This Row],[Opp Passing Attempts]]&lt;15, "Y", "N")</f>
        <v>N</v>
      </c>
      <c r="AK27" s="3" t="str">
        <f>IF(Table1[[#This Row],[Opp Rushing Attempts]]&lt;15, "Y", "N")</f>
        <v>N</v>
      </c>
      <c r="AL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126.35</v>
      </c>
      <c r="AM2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113.81</v>
      </c>
      <c r="AN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60.66</v>
      </c>
      <c r="AO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-38.26</v>
      </c>
      <c r="AP27" s="3">
        <f>ABS(Table1[[#This Row],[Team Score]]-Table1[[#This Row],[Opp Team Score]])</f>
        <v>25</v>
      </c>
      <c r="AQ27" s="3">
        <f>SUM(Table1[[#This Row],[Team Score]], Table1[[#This Row],[Opp Team Score]])</f>
        <v>87</v>
      </c>
      <c r="AR2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157.27999999999997</v>
      </c>
      <c r="AS27" s="3">
        <f>IF(Table1[[#This Row],[Efficiency Difference]] = " ", " ", ROUND((Table1[[#This Row],[Winning Margin]]*100)/Table1[[#This Row],[Efficiency Difference]], 2))</f>
        <v>15.9</v>
      </c>
    </row>
    <row r="28" spans="1:45">
      <c r="A28" t="s">
        <v>22</v>
      </c>
      <c r="B28">
        <v>29</v>
      </c>
      <c r="C28">
        <v>41</v>
      </c>
      <c r="D28">
        <v>425</v>
      </c>
      <c r="E28">
        <v>53</v>
      </c>
      <c r="F28">
        <v>4</v>
      </c>
      <c r="G28">
        <v>41</v>
      </c>
      <c r="H28">
        <v>2</v>
      </c>
      <c r="I28">
        <v>129</v>
      </c>
      <c r="J28">
        <v>33</v>
      </c>
      <c r="K28">
        <v>2</v>
      </c>
      <c r="L28">
        <v>0</v>
      </c>
      <c r="M28" t="s">
        <v>103</v>
      </c>
      <c r="N28">
        <v>657</v>
      </c>
      <c r="O28">
        <v>48</v>
      </c>
      <c r="P28">
        <v>468</v>
      </c>
      <c r="Q28">
        <v>39</v>
      </c>
      <c r="R28">
        <v>4</v>
      </c>
      <c r="S28">
        <v>32</v>
      </c>
      <c r="T28">
        <v>1</v>
      </c>
      <c r="U28">
        <v>114</v>
      </c>
      <c r="V28">
        <v>25</v>
      </c>
      <c r="W28">
        <v>2</v>
      </c>
      <c r="X28">
        <v>0</v>
      </c>
      <c r="Y28" t="s">
        <v>19</v>
      </c>
      <c r="Z28">
        <v>5</v>
      </c>
      <c r="AA28">
        <f>IF(AND(Table1[[#This Row],[Throw Out Pass Eff]]="N", Table1[[#This Row],[Against FCS Team]]="N"), ROUND(((5.45 * D28) + (150 * F28) + (100 * G28) - (300 * H28)) / E28, 2), " ")</f>
        <v>121.06</v>
      </c>
      <c r="AB28">
        <f>IF(AND(Table1[[#This Row],[Throw Out Pass Def Eff]]="N", Table1[[#This Row],[Against FCS Team]]="N"),200 - ROUND(((5.45 * P28) + (150 * R28) + (100 * S28) - (300 * T28)) / Q28, 2), " ")</f>
        <v>44.860000000000014</v>
      </c>
      <c r="AC28">
        <f>IF(AND(Table1[[#This Row],[Throw Out Rush Eff]]="N", Table1[[#This Row],[Against FCS Team]]="N"), ROUND(((23.2 * I28) + (150 * K28) - (300 * L28)) / J28, 2), " ")</f>
        <v>99.78</v>
      </c>
      <c r="AD28" s="3">
        <f>IF(AND(Table1[[#This Row],[Throw Out Rush Def Eff]]="N", Table1[[#This Row],[Against FCS Team]]="N"), 200 - ROUND(((23.2 * U28) + (150 * W28) - (300 * X28)) / V28, 2), " ")</f>
        <v>82.21</v>
      </c>
      <c r="AE28" s="3">
        <f>ROUND(Table1[[#This Row],[Opp Passing Attempts]]/(Table1[[#This Row],[Opp Passing Attempts]]+Table1[[#This Row],[Opp Rushing Attempts]]), 2)</f>
        <v>0.61</v>
      </c>
      <c r="AF28" s="3">
        <f>1-Table1[[#This Row],[Passing Weight]]</f>
        <v>0.39</v>
      </c>
      <c r="AG28" s="3" t="str">
        <f>IF(COUNTIF(A:A,Table1[[#This Row],[Opp Team Name]]) &gt; 0, "N", "Y")</f>
        <v>N</v>
      </c>
      <c r="AH28" s="3" t="str">
        <f>IF(Table1[[#This Row],[Passing Attempts]] &lt;15, "Y", "N")</f>
        <v>N</v>
      </c>
      <c r="AI28" s="3" t="str">
        <f>IF(Table1[[#This Row],[Rushing Attempts]] &lt; 15, "Y", "N")</f>
        <v>N</v>
      </c>
      <c r="AJ28" s="3" t="str">
        <f>IF(Table1[[#This Row],[Opp Passing Attempts]]&lt;15, "Y", "N")</f>
        <v>N</v>
      </c>
      <c r="AK28" s="3" t="str">
        <f>IF(Table1[[#This Row],[Opp Rushing Attempts]]&lt;15, "Y", "N")</f>
        <v>N</v>
      </c>
      <c r="AL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123.04</v>
      </c>
      <c r="AM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51.78</v>
      </c>
      <c r="AN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124.71</v>
      </c>
      <c r="AO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75.41</v>
      </c>
      <c r="AP28" s="3">
        <f>ABS(Table1[[#This Row],[Team Score]]-Table1[[#This Row],[Opp Team Score]])</f>
        <v>7</v>
      </c>
      <c r="AQ28" s="3">
        <f>SUM(Table1[[#This Row],[Team Score]], Table1[[#This Row],[Opp Team Score]])</f>
        <v>89</v>
      </c>
      <c r="AR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52.09</v>
      </c>
      <c r="AS28" s="3">
        <f>IF(Table1[[#This Row],[Efficiency Difference]] = " ", " ", ROUND((Table1[[#This Row],[Winning Margin]]*100)/Table1[[#This Row],[Efficiency Difference]], 2))</f>
        <v>13.44</v>
      </c>
    </row>
    <row r="29" spans="1:45">
      <c r="A29" t="s">
        <v>22</v>
      </c>
      <c r="B29">
        <v>29</v>
      </c>
      <c r="C29">
        <v>27</v>
      </c>
      <c r="D29">
        <v>378</v>
      </c>
      <c r="E29">
        <v>45</v>
      </c>
      <c r="F29">
        <v>1</v>
      </c>
      <c r="G29">
        <v>31</v>
      </c>
      <c r="H29">
        <v>2</v>
      </c>
      <c r="I29">
        <v>53</v>
      </c>
      <c r="J29">
        <v>19</v>
      </c>
      <c r="K29">
        <v>2</v>
      </c>
      <c r="L29">
        <v>2</v>
      </c>
      <c r="M29" t="s">
        <v>118</v>
      </c>
      <c r="N29">
        <v>528</v>
      </c>
      <c r="O29">
        <v>37</v>
      </c>
      <c r="P29">
        <v>280</v>
      </c>
      <c r="Q29">
        <v>43</v>
      </c>
      <c r="R29">
        <v>2</v>
      </c>
      <c r="S29">
        <v>33</v>
      </c>
      <c r="T29">
        <v>2</v>
      </c>
      <c r="U29">
        <v>128</v>
      </c>
      <c r="V29">
        <v>35</v>
      </c>
      <c r="W29">
        <v>1</v>
      </c>
      <c r="X29">
        <v>0</v>
      </c>
      <c r="Y29" t="s">
        <v>19</v>
      </c>
      <c r="Z29">
        <v>6</v>
      </c>
      <c r="AA29">
        <f>IF(AND(Table1[[#This Row],[Throw Out Pass Eff]]="N", Table1[[#This Row],[Against FCS Team]]="N"), ROUND(((5.45 * D29) + (150 * F29) + (100 * G29) - (300 * H29)) / E29, 2), " ")</f>
        <v>104.67</v>
      </c>
      <c r="AB29">
        <f>IF(AND(Table1[[#This Row],[Throw Out Pass Def Eff]]="N", Table1[[#This Row],[Against FCS Team]]="N"),200 - ROUND(((5.45 * P29) + (150 * R29) + (100 * S29) - (300 * T29)) / Q29, 2), " ")</f>
        <v>94.74</v>
      </c>
      <c r="AC29">
        <f>IF(AND(Table1[[#This Row],[Throw Out Rush Eff]]="N", Table1[[#This Row],[Against FCS Team]]="N"), ROUND(((23.2 * I29) + (150 * K29) - (300 * L29)) / J29, 2), " ")</f>
        <v>48.93</v>
      </c>
      <c r="AD29" s="3">
        <f>IF(AND(Table1[[#This Row],[Throw Out Rush Def Eff]]="N", Table1[[#This Row],[Against FCS Team]]="N"), 200 - ROUND(((23.2 * U29) + (150 * W29) - (300 * X29)) / V29, 2), " ")</f>
        <v>110.87</v>
      </c>
      <c r="AE29" s="3">
        <f>ROUND(Table1[[#This Row],[Opp Passing Attempts]]/(Table1[[#This Row],[Opp Passing Attempts]]+Table1[[#This Row],[Opp Rushing Attempts]]), 2)</f>
        <v>0.55000000000000004</v>
      </c>
      <c r="AF29" s="3">
        <f>1-Table1[[#This Row],[Passing Weight]]</f>
        <v>0.44999999999999996</v>
      </c>
      <c r="AG29" s="3" t="str">
        <f>IF(COUNTIF(A:A,Table1[[#This Row],[Opp Team Name]]) &gt; 0, "N", "Y")</f>
        <v>N</v>
      </c>
      <c r="AH29" s="3" t="str">
        <f>IF(Table1[[#This Row],[Passing Attempts]] &lt;15, "Y", "N")</f>
        <v>N</v>
      </c>
      <c r="AI29" s="3" t="str">
        <f>IF(Table1[[#This Row],[Rushing Attempts]] &lt; 15, "Y", "N")</f>
        <v>N</v>
      </c>
      <c r="AJ29" s="3" t="str">
        <f>IF(Table1[[#This Row],[Opp Passing Attempts]]&lt;15, "Y", "N")</f>
        <v>N</v>
      </c>
      <c r="AK29" s="3" t="str">
        <f>IF(Table1[[#This Row],[Opp Rushing Attempts]]&lt;15, "Y", "N")</f>
        <v>N</v>
      </c>
      <c r="AL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96.75</v>
      </c>
      <c r="AM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96.43</v>
      </c>
      <c r="AN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53.56</v>
      </c>
      <c r="AO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</v>
      </c>
      <c r="AP29" s="3">
        <f>ABS(Table1[[#This Row],[Team Score]]-Table1[[#This Row],[Opp Team Score]])</f>
        <v>10</v>
      </c>
      <c r="AQ29" s="3">
        <f>SUM(Table1[[#This Row],[Team Score]], Table1[[#This Row],[Opp Team Score]])</f>
        <v>64</v>
      </c>
      <c r="AR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40.789999999999992</v>
      </c>
      <c r="AS29" s="3">
        <f>IF(Table1[[#This Row],[Efficiency Difference]] = " ", " ", ROUND((Table1[[#This Row],[Winning Margin]]*100)/Table1[[#This Row],[Efficiency Difference]], 2))</f>
        <v>24.52</v>
      </c>
    </row>
    <row r="30" spans="1:45">
      <c r="A30" t="s">
        <v>22</v>
      </c>
      <c r="B30">
        <v>29</v>
      </c>
      <c r="C30">
        <v>48</v>
      </c>
      <c r="D30">
        <v>319</v>
      </c>
      <c r="E30">
        <v>44</v>
      </c>
      <c r="F30">
        <v>3</v>
      </c>
      <c r="G30">
        <v>28</v>
      </c>
      <c r="H30">
        <v>1</v>
      </c>
      <c r="I30">
        <v>254</v>
      </c>
      <c r="J30">
        <v>46</v>
      </c>
      <c r="K30">
        <v>3</v>
      </c>
      <c r="L30">
        <v>0</v>
      </c>
      <c r="M30" t="s">
        <v>75</v>
      </c>
      <c r="N30">
        <v>110</v>
      </c>
      <c r="O30">
        <v>12</v>
      </c>
      <c r="P30">
        <v>286</v>
      </c>
      <c r="Q30">
        <v>35</v>
      </c>
      <c r="R30">
        <v>1</v>
      </c>
      <c r="S30">
        <v>17</v>
      </c>
      <c r="T30">
        <v>0</v>
      </c>
      <c r="U30">
        <v>37</v>
      </c>
      <c r="V30">
        <v>25</v>
      </c>
      <c r="W30">
        <v>0</v>
      </c>
      <c r="X30">
        <v>2</v>
      </c>
      <c r="Y30" t="s">
        <v>16</v>
      </c>
      <c r="Z30">
        <v>8</v>
      </c>
      <c r="AA30" s="3">
        <f>IF(AND(Table1[[#This Row],[Throw Out Pass Eff]]="N", Table1[[#This Row],[Against FCS Team]]="N"), ROUND(((5.45 * D30) + (150 * F30) + (100 * G30) - (300 * H30)) / E30, 2), " ")</f>
        <v>106.56</v>
      </c>
      <c r="AB30" s="3">
        <f>IF(AND(Table1[[#This Row],[Throw Out Pass Def Eff]]="N", Table1[[#This Row],[Against FCS Team]]="N"),200 - ROUND(((5.45 * P30) + (150 * R30) + (100 * S30) - (300 * T30)) / Q30, 2), " ")</f>
        <v>102.61</v>
      </c>
      <c r="AC30" s="3">
        <f>IF(AND(Table1[[#This Row],[Throw Out Rush Eff]]="N", Table1[[#This Row],[Against FCS Team]]="N"), ROUND(((23.2 * I30) + (150 * K30) - (300 * L30)) / J30, 2), " ")</f>
        <v>137.88999999999999</v>
      </c>
      <c r="AD30" s="3">
        <f>IF(AND(Table1[[#This Row],[Throw Out Rush Def Eff]]="N", Table1[[#This Row],[Against FCS Team]]="N"), 200 - ROUND(((23.2 * U30) + (150 * W30) - (300 * X30)) / V30, 2), " ")</f>
        <v>189.66</v>
      </c>
      <c r="AE30" s="3">
        <f>ROUND(Table1[[#This Row],[Opp Passing Attempts]]/(Table1[[#This Row],[Opp Passing Attempts]]+Table1[[#This Row],[Opp Rushing Attempts]]), 2)</f>
        <v>0.57999999999999996</v>
      </c>
      <c r="AF30" s="3">
        <f>1-Table1[[#This Row],[Passing Weight]]</f>
        <v>0.42000000000000004</v>
      </c>
      <c r="AG30" s="3" t="str">
        <f>IF(COUNTIF(A:A,Table1[[#This Row],[Opp Team Name]]) &gt; 0, "N", "Y")</f>
        <v>N</v>
      </c>
      <c r="AH30" s="3" t="str">
        <f>IF(Table1[[#This Row],[Passing Attempts]] &lt;15, "Y", "N")</f>
        <v>N</v>
      </c>
      <c r="AI30" s="3" t="str">
        <f>IF(Table1[[#This Row],[Rushing Attempts]] &lt; 15, "Y", "N")</f>
        <v>N</v>
      </c>
      <c r="AJ30" s="3" t="str">
        <f>IF(Table1[[#This Row],[Opp Passing Attempts]]&lt;15, "Y", "N")</f>
        <v>N</v>
      </c>
      <c r="AK30" s="3" t="str">
        <f>IF(Table1[[#This Row],[Opp Rushing Attempts]]&lt;15, "Y", "N")</f>
        <v>N</v>
      </c>
      <c r="AL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93.91</v>
      </c>
      <c r="AM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100.32</v>
      </c>
      <c r="AN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110.29</v>
      </c>
      <c r="AO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192.1</v>
      </c>
      <c r="AP30" s="3">
        <f>ABS(Table1[[#This Row],[Team Score]]-Table1[[#This Row],[Opp Team Score]])</f>
        <v>36</v>
      </c>
      <c r="AQ30" s="3">
        <f>SUM(Table1[[#This Row],[Team Score]], Table1[[#This Row],[Opp Team Score]])</f>
        <v>60</v>
      </c>
      <c r="AR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136.71999999999997</v>
      </c>
      <c r="AS30" s="3">
        <f>IF(Table1[[#This Row],[Efficiency Difference]] = " ", " ", ROUND((Table1[[#This Row],[Winning Margin]]*100)/Table1[[#This Row],[Efficiency Difference]], 2))</f>
        <v>26.33</v>
      </c>
    </row>
    <row r="31" spans="1:45">
      <c r="A31" t="s">
        <v>24</v>
      </c>
      <c r="B31">
        <v>28</v>
      </c>
      <c r="C31">
        <v>48</v>
      </c>
      <c r="D31">
        <v>300</v>
      </c>
      <c r="E31">
        <v>32</v>
      </c>
      <c r="F31">
        <v>2</v>
      </c>
      <c r="G31">
        <v>24</v>
      </c>
      <c r="H31">
        <v>1</v>
      </c>
      <c r="I31">
        <v>217</v>
      </c>
      <c r="J31">
        <v>40</v>
      </c>
      <c r="K31">
        <v>3</v>
      </c>
      <c r="L31">
        <v>1</v>
      </c>
      <c r="M31" t="s">
        <v>25</v>
      </c>
      <c r="N31">
        <v>108</v>
      </c>
      <c r="O31">
        <v>14</v>
      </c>
      <c r="P31">
        <v>155</v>
      </c>
      <c r="Q31">
        <v>30</v>
      </c>
      <c r="R31">
        <v>0</v>
      </c>
      <c r="S31">
        <v>18</v>
      </c>
      <c r="T31">
        <v>0</v>
      </c>
      <c r="U31">
        <v>88</v>
      </c>
      <c r="V31">
        <v>26</v>
      </c>
      <c r="W31">
        <v>2</v>
      </c>
      <c r="X31">
        <v>1</v>
      </c>
      <c r="Y31" t="s">
        <v>16</v>
      </c>
      <c r="Z31">
        <v>1</v>
      </c>
      <c r="AA31">
        <f>IF(AND(Table1[[#This Row],[Throw Out Pass Eff]]="N", Table1[[#This Row],[Against FCS Team]]="N"), ROUND(((5.45 * D31) + (150 * F31) + (100 * G31) - (300 * H31)) / E31, 2), " ")</f>
        <v>126.09</v>
      </c>
      <c r="AB31">
        <f>IF(AND(Table1[[#This Row],[Throw Out Pass Def Eff]]="N", Table1[[#This Row],[Against FCS Team]]="N"),200 - ROUND(((5.45 * P31) + (150 * R31) + (100 * S31) - (300 * T31)) / Q31, 2), " ")</f>
        <v>111.84</v>
      </c>
      <c r="AC31">
        <f>IF(AND(Table1[[#This Row],[Throw Out Rush Eff]]="N", Table1[[#This Row],[Against FCS Team]]="N"), ROUND(((23.2 * I31) + (150 * K31) - (300 * L31)) / J31, 2), " ")</f>
        <v>129.61000000000001</v>
      </c>
      <c r="AD31" s="3">
        <f>IF(AND(Table1[[#This Row],[Throw Out Rush Def Eff]]="N", Table1[[#This Row],[Against FCS Team]]="N"), 200 - ROUND(((23.2 * U31) + (150 * W31) - (300 * X31)) / V31, 2), " ")</f>
        <v>121.48</v>
      </c>
      <c r="AE31" s="3">
        <f>ROUND(Table1[[#This Row],[Opp Passing Attempts]]/(Table1[[#This Row],[Opp Passing Attempts]]+Table1[[#This Row],[Opp Rushing Attempts]]), 2)</f>
        <v>0.54</v>
      </c>
      <c r="AF31" s="3">
        <f>1-Table1[[#This Row],[Passing Weight]]</f>
        <v>0.45999999999999996</v>
      </c>
      <c r="AG31" s="3" t="str">
        <f>IF(COUNTIF(A:A,Table1[[#This Row],[Opp Team Name]]) &gt; 0, "N", "Y")</f>
        <v>N</v>
      </c>
      <c r="AH31" s="3" t="str">
        <f>IF(Table1[[#This Row],[Passing Attempts]] &lt;15, "Y", "N")</f>
        <v>N</v>
      </c>
      <c r="AI31" s="3" t="str">
        <f>IF(Table1[[#This Row],[Rushing Attempts]] &lt; 15, "Y", "N")</f>
        <v>N</v>
      </c>
      <c r="AJ31" s="3" t="str">
        <f>IF(Table1[[#This Row],[Opp Passing Attempts]]&lt;15, "Y", "N")</f>
        <v>N</v>
      </c>
      <c r="AK31" s="3" t="str">
        <f>IF(Table1[[#This Row],[Opp Rushing Attempts]]&lt;15, "Y", "N")</f>
        <v>N</v>
      </c>
      <c r="AL3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93.52</v>
      </c>
      <c r="AM3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148.88999999999999</v>
      </c>
      <c r="AN3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186.59</v>
      </c>
      <c r="AO3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90.59</v>
      </c>
      <c r="AP31" s="3">
        <f>ABS(Table1[[#This Row],[Team Score]]-Table1[[#This Row],[Opp Team Score]])</f>
        <v>34</v>
      </c>
      <c r="AQ31" s="3">
        <f>SUM(Table1[[#This Row],[Team Score]], Table1[[#This Row],[Opp Team Score]])</f>
        <v>62</v>
      </c>
      <c r="AR3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89.02000000000001</v>
      </c>
      <c r="AS31" s="3">
        <f>IF(Table1[[#This Row],[Efficiency Difference]] = " ", " ", ROUND((Table1[[#This Row],[Winning Margin]]*100)/Table1[[#This Row],[Efficiency Difference]], 2))</f>
        <v>38.19</v>
      </c>
    </row>
    <row r="32" spans="1:45">
      <c r="A32" t="s">
        <v>24</v>
      </c>
      <c r="B32">
        <v>28</v>
      </c>
      <c r="C32">
        <v>37</v>
      </c>
      <c r="D32">
        <v>388</v>
      </c>
      <c r="E32">
        <v>33</v>
      </c>
      <c r="F32">
        <v>4</v>
      </c>
      <c r="G32">
        <v>25</v>
      </c>
      <c r="H32">
        <v>0</v>
      </c>
      <c r="I32">
        <v>104</v>
      </c>
      <c r="J32">
        <v>31</v>
      </c>
      <c r="K32">
        <v>1</v>
      </c>
      <c r="L32">
        <v>1</v>
      </c>
      <c r="M32" t="s">
        <v>97</v>
      </c>
      <c r="N32">
        <v>434</v>
      </c>
      <c r="O32">
        <v>30</v>
      </c>
      <c r="P32">
        <v>319</v>
      </c>
      <c r="Q32">
        <v>42</v>
      </c>
      <c r="R32">
        <v>2</v>
      </c>
      <c r="S32">
        <v>26</v>
      </c>
      <c r="T32">
        <v>0</v>
      </c>
      <c r="U32">
        <v>182</v>
      </c>
      <c r="V32">
        <v>37</v>
      </c>
      <c r="W32">
        <v>1</v>
      </c>
      <c r="X32">
        <v>0</v>
      </c>
      <c r="Y32" t="s">
        <v>16</v>
      </c>
      <c r="Z32">
        <v>2</v>
      </c>
      <c r="AA32">
        <f>IF(AND(Table1[[#This Row],[Throw Out Pass Eff]]="N", Table1[[#This Row],[Against FCS Team]]="N"), ROUND(((5.45 * D32) + (150 * F32) + (100 * G32) - (300 * H32)) / E32, 2), " ")</f>
        <v>158.02000000000001</v>
      </c>
      <c r="AB32">
        <f>IF(AND(Table1[[#This Row],[Throw Out Pass Def Eff]]="N", Table1[[#This Row],[Against FCS Team]]="N"),200 - ROUND(((5.45 * P32) + (150 * R32) + (100 * S32) - (300 * T32)) / Q32, 2), " ")</f>
        <v>89.56</v>
      </c>
      <c r="AC32">
        <f>IF(AND(Table1[[#This Row],[Throw Out Rush Eff]]="N", Table1[[#This Row],[Against FCS Team]]="N"), ROUND(((23.2 * I32) + (150 * K32) - (300 * L32)) / J32, 2), " ")</f>
        <v>72.989999999999995</v>
      </c>
      <c r="AD32" s="3">
        <f>IF(AND(Table1[[#This Row],[Throw Out Rush Def Eff]]="N", Table1[[#This Row],[Against FCS Team]]="N"), 200 - ROUND(((23.2 * U32) + (150 * W32) - (300 * X32)) / V32, 2), " ")</f>
        <v>81.83</v>
      </c>
      <c r="AE32" s="3">
        <f>ROUND(Table1[[#This Row],[Opp Passing Attempts]]/(Table1[[#This Row],[Opp Passing Attempts]]+Table1[[#This Row],[Opp Rushing Attempts]]), 2)</f>
        <v>0.53</v>
      </c>
      <c r="AF32" s="3">
        <f>1-Table1[[#This Row],[Passing Weight]]</f>
        <v>0.47</v>
      </c>
      <c r="AG32" s="3" t="str">
        <f>IF(COUNTIF(A:A,Table1[[#This Row],[Opp Team Name]]) &gt; 0, "N", "Y")</f>
        <v>N</v>
      </c>
      <c r="AH32" s="3" t="str">
        <f>IF(Table1[[#This Row],[Passing Attempts]] &lt;15, "Y", "N")</f>
        <v>N</v>
      </c>
      <c r="AI32" s="3" t="str">
        <f>IF(Table1[[#This Row],[Rushing Attempts]] &lt; 15, "Y", "N")</f>
        <v>N</v>
      </c>
      <c r="AJ32" s="3" t="str">
        <f>IF(Table1[[#This Row],[Opp Passing Attempts]]&lt;15, "Y", "N")</f>
        <v>N</v>
      </c>
      <c r="AK32" s="3" t="str">
        <f>IF(Table1[[#This Row],[Opp Rushing Attempts]]&lt;15, "Y", "N")</f>
        <v>N</v>
      </c>
      <c r="AL3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151.02000000000001</v>
      </c>
      <c r="AM3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84.18</v>
      </c>
      <c r="AN3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79.88</v>
      </c>
      <c r="AO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94.73</v>
      </c>
      <c r="AP32" s="3">
        <f>ABS(Table1[[#This Row],[Team Score]]-Table1[[#This Row],[Opp Team Score]])</f>
        <v>7</v>
      </c>
      <c r="AQ32" s="3">
        <f>SUM(Table1[[#This Row],[Team Score]], Table1[[#This Row],[Opp Team Score]])</f>
        <v>67</v>
      </c>
      <c r="AR3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2.3999999999999773</v>
      </c>
      <c r="AS32" s="3">
        <f>IF(Table1[[#This Row],[Efficiency Difference]] = " ", " ", ROUND((Table1[[#This Row],[Winning Margin]]*100)/Table1[[#This Row],[Efficiency Difference]], 2))</f>
        <v>291.67</v>
      </c>
    </row>
    <row r="33" spans="1:45">
      <c r="A33" t="s">
        <v>24</v>
      </c>
      <c r="B33">
        <v>28</v>
      </c>
      <c r="C33">
        <v>14</v>
      </c>
      <c r="D33">
        <v>256</v>
      </c>
      <c r="E33">
        <v>45</v>
      </c>
      <c r="F33">
        <v>1</v>
      </c>
      <c r="G33">
        <v>25</v>
      </c>
      <c r="H33">
        <v>2</v>
      </c>
      <c r="I33">
        <v>106</v>
      </c>
      <c r="J33">
        <v>34</v>
      </c>
      <c r="K33">
        <v>1</v>
      </c>
      <c r="L33">
        <v>1</v>
      </c>
      <c r="M33" t="s">
        <v>29</v>
      </c>
      <c r="N33">
        <v>301</v>
      </c>
      <c r="O33">
        <v>17</v>
      </c>
      <c r="P33">
        <v>135</v>
      </c>
      <c r="Q33">
        <v>15</v>
      </c>
      <c r="R33">
        <v>1</v>
      </c>
      <c r="S33">
        <v>11</v>
      </c>
      <c r="T33">
        <v>1</v>
      </c>
      <c r="U33">
        <v>105</v>
      </c>
      <c r="V33">
        <v>45</v>
      </c>
      <c r="W33">
        <v>1</v>
      </c>
      <c r="X33">
        <v>2</v>
      </c>
      <c r="Y33" t="s">
        <v>19</v>
      </c>
      <c r="Z33">
        <v>3</v>
      </c>
      <c r="AA33">
        <f>IF(AND(Table1[[#This Row],[Throw Out Pass Eff]]="N", Table1[[#This Row],[Against FCS Team]]="N"), ROUND(((5.45 * D33) + (150 * F33) + (100 * G33) - (300 * H33)) / E33, 2), " ")</f>
        <v>76.56</v>
      </c>
      <c r="AB33">
        <f>IF(AND(Table1[[#This Row],[Throw Out Pass Def Eff]]="N", Table1[[#This Row],[Against FCS Team]]="N"),200 - ROUND(((5.45 * P33) + (150 * R33) + (100 * S33) - (300 * T33)) / Q33, 2), " ")</f>
        <v>87.62</v>
      </c>
      <c r="AC33">
        <f>IF(AND(Table1[[#This Row],[Throw Out Rush Eff]]="N", Table1[[#This Row],[Against FCS Team]]="N"), ROUND(((23.2 * I33) + (150 * K33) - (300 * L33)) / J33, 2), " ")</f>
        <v>67.92</v>
      </c>
      <c r="AD33" s="3">
        <f>IF(AND(Table1[[#This Row],[Throw Out Rush Def Eff]]="N", Table1[[#This Row],[Against FCS Team]]="N"), 200 - ROUND(((23.2 * U33) + (150 * W33) - (300 * X33)) / V33, 2), " ")</f>
        <v>155.87</v>
      </c>
      <c r="AE33" s="3">
        <f>ROUND(Table1[[#This Row],[Opp Passing Attempts]]/(Table1[[#This Row],[Opp Passing Attempts]]+Table1[[#This Row],[Opp Rushing Attempts]]), 2)</f>
        <v>0.25</v>
      </c>
      <c r="AF33" s="3">
        <f>1-Table1[[#This Row],[Passing Weight]]</f>
        <v>0.75</v>
      </c>
      <c r="AG33" s="3" t="str">
        <f>IF(COUNTIF(A:A,Table1[[#This Row],[Opp Team Name]]) &gt; 0, "N", "Y")</f>
        <v>N</v>
      </c>
      <c r="AH33" s="3" t="str">
        <f>IF(Table1[[#This Row],[Passing Attempts]] &lt;15, "Y", "N")</f>
        <v>N</v>
      </c>
      <c r="AI33" s="3" t="str">
        <f>IF(Table1[[#This Row],[Rushing Attempts]] &lt; 15, "Y", "N")</f>
        <v>N</v>
      </c>
      <c r="AJ33" s="3" t="str">
        <f>IF(Table1[[#This Row],[Opp Passing Attempts]]&lt;15, "Y", "N")</f>
        <v>N</v>
      </c>
      <c r="AK33" s="3" t="str">
        <f>IF(Table1[[#This Row],[Opp Rushing Attempts]]&lt;15, "Y", "N")</f>
        <v>N</v>
      </c>
      <c r="AL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72.709999999999994</v>
      </c>
      <c r="AM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96.55</v>
      </c>
      <c r="AN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95.36</v>
      </c>
      <c r="AO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132.75</v>
      </c>
      <c r="AP33" s="3">
        <f>ABS(Table1[[#This Row],[Team Score]]-Table1[[#This Row],[Opp Team Score]])</f>
        <v>3</v>
      </c>
      <c r="AQ33" s="3">
        <f>SUM(Table1[[#This Row],[Team Score]], Table1[[#This Row],[Opp Team Score]])</f>
        <v>31</v>
      </c>
      <c r="AR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12.029999999999973</v>
      </c>
      <c r="AS33" s="3">
        <f>IF(Table1[[#This Row],[Efficiency Difference]] = " ", " ", ROUND((Table1[[#This Row],[Winning Margin]]*100)/Table1[[#This Row],[Efficiency Difference]], 2))</f>
        <v>24.94</v>
      </c>
    </row>
    <row r="34" spans="1:45">
      <c r="A34" t="s">
        <v>24</v>
      </c>
      <c r="B34">
        <v>28</v>
      </c>
      <c r="C34">
        <v>43</v>
      </c>
      <c r="D34">
        <v>223</v>
      </c>
      <c r="E34">
        <v>32</v>
      </c>
      <c r="F34">
        <v>2</v>
      </c>
      <c r="G34">
        <v>25</v>
      </c>
      <c r="H34">
        <v>0</v>
      </c>
      <c r="I34">
        <v>169</v>
      </c>
      <c r="J34">
        <v>36</v>
      </c>
      <c r="K34">
        <v>3</v>
      </c>
      <c r="L34">
        <v>0</v>
      </c>
      <c r="M34" t="s">
        <v>103</v>
      </c>
      <c r="N34">
        <v>657</v>
      </c>
      <c r="O34">
        <v>22</v>
      </c>
      <c r="P34">
        <v>227</v>
      </c>
      <c r="Q34">
        <v>33</v>
      </c>
      <c r="R34">
        <v>1</v>
      </c>
      <c r="S34">
        <v>21</v>
      </c>
      <c r="T34">
        <v>2</v>
      </c>
      <c r="U34">
        <v>175</v>
      </c>
      <c r="V34">
        <v>33</v>
      </c>
      <c r="W34">
        <v>1</v>
      </c>
      <c r="X34">
        <v>2</v>
      </c>
      <c r="Y34" t="s">
        <v>16</v>
      </c>
      <c r="Z34">
        <v>4</v>
      </c>
      <c r="AA34">
        <f>IF(AND(Table1[[#This Row],[Throw Out Pass Eff]]="N", Table1[[#This Row],[Against FCS Team]]="N"), ROUND(((5.45 * D34) + (150 * F34) + (100 * G34) - (300 * H34)) / E34, 2), " ")</f>
        <v>125.48</v>
      </c>
      <c r="AB34">
        <f>IF(AND(Table1[[#This Row],[Throw Out Pass Def Eff]]="N", Table1[[#This Row],[Against FCS Team]]="N"),200 - ROUND(((5.45 * P34) + (150 * R34) + (100 * S34) - (300 * T34)) / Q34, 2), " ")</f>
        <v>112.51</v>
      </c>
      <c r="AC34">
        <f>IF(AND(Table1[[#This Row],[Throw Out Rush Eff]]="N", Table1[[#This Row],[Against FCS Team]]="N"), ROUND(((23.2 * I34) + (150 * K34) - (300 * L34)) / J34, 2), " ")</f>
        <v>121.41</v>
      </c>
      <c r="AD34" s="3">
        <f>IF(AND(Table1[[#This Row],[Throw Out Rush Def Eff]]="N", Table1[[#This Row],[Against FCS Team]]="N"), 200 - ROUND(((23.2 * U34) + (150 * W34) - (300 * X34)) / V34, 2), " ")</f>
        <v>90.61</v>
      </c>
      <c r="AE34" s="3">
        <f>ROUND(Table1[[#This Row],[Opp Passing Attempts]]/(Table1[[#This Row],[Opp Passing Attempts]]+Table1[[#This Row],[Opp Rushing Attempts]]), 2)</f>
        <v>0.5</v>
      </c>
      <c r="AF34" s="3">
        <f>1-Table1[[#This Row],[Passing Weight]]</f>
        <v>0.5</v>
      </c>
      <c r="AG34" s="3" t="str">
        <f>IF(COUNTIF(A:A,Table1[[#This Row],[Opp Team Name]]) &gt; 0, "N", "Y")</f>
        <v>N</v>
      </c>
      <c r="AH34" s="3" t="str">
        <f>IF(Table1[[#This Row],[Passing Attempts]] &lt;15, "Y", "N")</f>
        <v>N</v>
      </c>
      <c r="AI34" s="3" t="str">
        <f>IF(Table1[[#This Row],[Rushing Attempts]] &lt; 15, "Y", "N")</f>
        <v>N</v>
      </c>
      <c r="AJ34" s="3" t="str">
        <f>IF(Table1[[#This Row],[Opp Passing Attempts]]&lt;15, "Y", "N")</f>
        <v>N</v>
      </c>
      <c r="AK34" s="3" t="str">
        <f>IF(Table1[[#This Row],[Opp Rushing Attempts]]&lt;15, "Y", "N")</f>
        <v>N</v>
      </c>
      <c r="AL3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127.53</v>
      </c>
      <c r="AM3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129.87</v>
      </c>
      <c r="AN3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151.74</v>
      </c>
      <c r="AO3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83.12</v>
      </c>
      <c r="AP34" s="3">
        <f>ABS(Table1[[#This Row],[Team Score]]-Table1[[#This Row],[Opp Team Score]])</f>
        <v>21</v>
      </c>
      <c r="AQ34" s="3">
        <f>SUM(Table1[[#This Row],[Team Score]], Table1[[#This Row],[Opp Team Score]])</f>
        <v>65</v>
      </c>
      <c r="AR3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50.009999999999991</v>
      </c>
      <c r="AS34" s="3">
        <f>IF(Table1[[#This Row],[Efficiency Difference]] = " ", " ", ROUND((Table1[[#This Row],[Winning Margin]]*100)/Table1[[#This Row],[Efficiency Difference]], 2))</f>
        <v>41.99</v>
      </c>
    </row>
    <row r="35" spans="1:45">
      <c r="A35" t="s">
        <v>24</v>
      </c>
      <c r="B35">
        <v>28</v>
      </c>
      <c r="C35">
        <v>35</v>
      </c>
      <c r="D35">
        <v>258</v>
      </c>
      <c r="E35">
        <v>37</v>
      </c>
      <c r="F35">
        <v>2</v>
      </c>
      <c r="G35">
        <v>24</v>
      </c>
      <c r="H35">
        <v>3</v>
      </c>
      <c r="I35">
        <v>108</v>
      </c>
      <c r="J35">
        <v>34</v>
      </c>
      <c r="K35">
        <v>2</v>
      </c>
      <c r="L35">
        <v>1</v>
      </c>
      <c r="M35" t="s">
        <v>118</v>
      </c>
      <c r="N35">
        <v>528</v>
      </c>
      <c r="O35">
        <v>20</v>
      </c>
      <c r="P35">
        <v>341</v>
      </c>
      <c r="Q35">
        <v>66</v>
      </c>
      <c r="R35">
        <v>1</v>
      </c>
      <c r="S35">
        <v>40</v>
      </c>
      <c r="T35">
        <v>4</v>
      </c>
      <c r="U35">
        <v>47</v>
      </c>
      <c r="V35">
        <v>14</v>
      </c>
      <c r="W35">
        <v>1</v>
      </c>
      <c r="X35">
        <v>1</v>
      </c>
      <c r="Y35" t="s">
        <v>16</v>
      </c>
      <c r="Z35">
        <v>5</v>
      </c>
      <c r="AA35">
        <f>IF(AND(Table1[[#This Row],[Throw Out Pass Eff]]="N", Table1[[#This Row],[Against FCS Team]]="N"), ROUND(((5.45 * D35) + (150 * F35) + (100 * G35) - (300 * H35)) / E35, 2), " ")</f>
        <v>86.65</v>
      </c>
      <c r="AB35">
        <f>IF(AND(Table1[[#This Row],[Throw Out Pass Def Eff]]="N", Table1[[#This Row],[Against FCS Team]]="N"),200 - ROUND(((5.45 * P35) + (150 * R35) + (100 * S35) - (300 * T35)) / Q35, 2), " ")</f>
        <v>127.14</v>
      </c>
      <c r="AC35">
        <f>IF(AND(Table1[[#This Row],[Throw Out Rush Eff]]="N", Table1[[#This Row],[Against FCS Team]]="N"), ROUND(((23.2 * I35) + (150 * K35) - (300 * L35)) / J35, 2), " ")</f>
        <v>73.69</v>
      </c>
      <c r="AD35" s="3" t="str">
        <f>IF(AND(Table1[[#This Row],[Throw Out Rush Def Eff]]="N", Table1[[#This Row],[Against FCS Team]]="N"), 200 - ROUND(((23.2 * U35) + (150 * W35) - (300 * X35)) / V35, 2), " ")</f>
        <v xml:space="preserve"> </v>
      </c>
      <c r="AE35" s="3">
        <f>ROUND(Table1[[#This Row],[Opp Passing Attempts]]/(Table1[[#This Row],[Opp Passing Attempts]]+Table1[[#This Row],[Opp Rushing Attempts]]), 2)</f>
        <v>0.83</v>
      </c>
      <c r="AF35" s="3">
        <f>1-Table1[[#This Row],[Passing Weight]]</f>
        <v>0.17000000000000004</v>
      </c>
      <c r="AG35" s="3" t="str">
        <f>IF(COUNTIF(A:A,Table1[[#This Row],[Opp Team Name]]) &gt; 0, "N", "Y")</f>
        <v>N</v>
      </c>
      <c r="AH35" s="3" t="str">
        <f>IF(Table1[[#This Row],[Passing Attempts]] &lt;15, "Y", "N")</f>
        <v>N</v>
      </c>
      <c r="AI35" s="3" t="str">
        <f>IF(Table1[[#This Row],[Rushing Attempts]] &lt; 15, "Y", "N")</f>
        <v>N</v>
      </c>
      <c r="AJ35" s="3" t="str">
        <f>IF(Table1[[#This Row],[Opp Passing Attempts]]&lt;15, "Y", "N")</f>
        <v>N</v>
      </c>
      <c r="AK35" s="3" t="str">
        <f>IF(Table1[[#This Row],[Opp Rushing Attempts]]&lt;15, "Y", "N")</f>
        <v>Y</v>
      </c>
      <c r="AL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80.09</v>
      </c>
      <c r="AM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129.41</v>
      </c>
      <c r="AN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80.66</v>
      </c>
      <c r="AO3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5" s="3">
        <f>ABS(Table1[[#This Row],[Team Score]]-Table1[[#This Row],[Opp Team Score]])</f>
        <v>15</v>
      </c>
      <c r="AQ35" s="3">
        <f>SUM(Table1[[#This Row],[Team Score]], Table1[[#This Row],[Opp Team Score]])</f>
        <v>55</v>
      </c>
      <c r="AR3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5" s="3" t="str">
        <f>IF(Table1[[#This Row],[Efficiency Difference]] = " ", " ", ROUND((Table1[[#This Row],[Winning Margin]]*100)/Table1[[#This Row],[Efficiency Difference]], 2))</f>
        <v xml:space="preserve"> </v>
      </c>
    </row>
    <row r="36" spans="1:45">
      <c r="A36" t="s">
        <v>24</v>
      </c>
      <c r="B36">
        <v>28</v>
      </c>
      <c r="C36">
        <v>35</v>
      </c>
      <c r="D36">
        <v>325</v>
      </c>
      <c r="E36">
        <v>41</v>
      </c>
      <c r="F36">
        <v>3</v>
      </c>
      <c r="G36">
        <v>25</v>
      </c>
      <c r="H36">
        <v>0</v>
      </c>
      <c r="I36">
        <v>74</v>
      </c>
      <c r="J36">
        <v>38</v>
      </c>
      <c r="K36">
        <v>1</v>
      </c>
      <c r="L36">
        <v>0</v>
      </c>
      <c r="M36" t="s">
        <v>146</v>
      </c>
      <c r="N36">
        <v>732</v>
      </c>
      <c r="O36">
        <v>14</v>
      </c>
      <c r="P36">
        <v>199</v>
      </c>
      <c r="Q36">
        <v>30</v>
      </c>
      <c r="R36">
        <v>1</v>
      </c>
      <c r="S36">
        <v>18</v>
      </c>
      <c r="T36">
        <v>3</v>
      </c>
      <c r="U36">
        <v>121</v>
      </c>
      <c r="V36">
        <v>30</v>
      </c>
      <c r="W36">
        <v>1</v>
      </c>
      <c r="X36">
        <v>2</v>
      </c>
      <c r="Y36" t="s">
        <v>16</v>
      </c>
      <c r="Z36">
        <v>6</v>
      </c>
      <c r="AA36">
        <f>IF(AND(Table1[[#This Row],[Throw Out Pass Eff]]="N", Table1[[#This Row],[Against FCS Team]]="N"), ROUND(((5.45 * D36) + (150 * F36) + (100 * G36) - (300 * H36)) / E36, 2), " ")</f>
        <v>115.15</v>
      </c>
      <c r="AB36">
        <f>IF(AND(Table1[[#This Row],[Throw Out Pass Def Eff]]="N", Table1[[#This Row],[Against FCS Team]]="N"),200 - ROUND(((5.45 * P36) + (150 * R36) + (100 * S36) - (300 * T36)) / Q36, 2), " ")</f>
        <v>128.85</v>
      </c>
      <c r="AC36">
        <f>IF(AND(Table1[[#This Row],[Throw Out Rush Eff]]="N", Table1[[#This Row],[Against FCS Team]]="N"), ROUND(((23.2 * I36) + (150 * K36) - (300 * L36)) / J36, 2), " ")</f>
        <v>49.13</v>
      </c>
      <c r="AD36" s="3">
        <f>IF(AND(Table1[[#This Row],[Throw Out Rush Def Eff]]="N", Table1[[#This Row],[Against FCS Team]]="N"), 200 - ROUND(((23.2 * U36) + (150 * W36) - (300 * X36)) / V36, 2), " ")</f>
        <v>121.43</v>
      </c>
      <c r="AE36" s="3">
        <f>ROUND(Table1[[#This Row],[Opp Passing Attempts]]/(Table1[[#This Row],[Opp Passing Attempts]]+Table1[[#This Row],[Opp Rushing Attempts]]), 2)</f>
        <v>0.5</v>
      </c>
      <c r="AF36" s="3">
        <f>1-Table1[[#This Row],[Passing Weight]]</f>
        <v>0.5</v>
      </c>
      <c r="AG36" s="3" t="str">
        <f>IF(COUNTIF(A:A,Table1[[#This Row],[Opp Team Name]]) &gt; 0, "N", "Y")</f>
        <v>N</v>
      </c>
      <c r="AH36" s="3" t="str">
        <f>IF(Table1[[#This Row],[Passing Attempts]] &lt;15, "Y", "N")</f>
        <v>N</v>
      </c>
      <c r="AI36" s="3" t="str">
        <f>IF(Table1[[#This Row],[Rushing Attempts]] &lt; 15, "Y", "N")</f>
        <v>N</v>
      </c>
      <c r="AJ36" s="3" t="str">
        <f>IF(Table1[[#This Row],[Opp Passing Attempts]]&lt;15, "Y", "N")</f>
        <v>N</v>
      </c>
      <c r="AK36" s="3" t="str">
        <f>IF(Table1[[#This Row],[Opp Rushing Attempts]]&lt;15, "Y", "N")</f>
        <v>N</v>
      </c>
      <c r="AL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122.96</v>
      </c>
      <c r="AM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107.73</v>
      </c>
      <c r="AN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75.239999999999995</v>
      </c>
      <c r="AO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68.53</v>
      </c>
      <c r="AP36" s="3">
        <f>ABS(Table1[[#This Row],[Team Score]]-Table1[[#This Row],[Opp Team Score]])</f>
        <v>21</v>
      </c>
      <c r="AQ36" s="3">
        <f>SUM(Table1[[#This Row],[Team Score]], Table1[[#This Row],[Opp Team Score]])</f>
        <v>49</v>
      </c>
      <c r="AR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14.560000000000002</v>
      </c>
      <c r="AS36" s="3">
        <f>IF(Table1[[#This Row],[Efficiency Difference]] = " ", " ", ROUND((Table1[[#This Row],[Winning Margin]]*100)/Table1[[#This Row],[Efficiency Difference]], 2))</f>
        <v>144.22999999999999</v>
      </c>
    </row>
    <row r="37" spans="1:45">
      <c r="A37" t="s">
        <v>24</v>
      </c>
      <c r="B37">
        <v>28</v>
      </c>
      <c r="C37">
        <v>27</v>
      </c>
      <c r="D37">
        <v>291</v>
      </c>
      <c r="E37">
        <v>46</v>
      </c>
      <c r="F37">
        <v>2</v>
      </c>
      <c r="G37">
        <v>29</v>
      </c>
      <c r="H37">
        <v>2</v>
      </c>
      <c r="I37">
        <v>169</v>
      </c>
      <c r="J37">
        <v>35</v>
      </c>
      <c r="K37">
        <v>1</v>
      </c>
      <c r="L37">
        <v>0</v>
      </c>
      <c r="M37" t="s">
        <v>93</v>
      </c>
      <c r="N37">
        <v>529</v>
      </c>
      <c r="O37">
        <v>41</v>
      </c>
      <c r="P37">
        <v>209</v>
      </c>
      <c r="Q37">
        <v>22</v>
      </c>
      <c r="R37">
        <v>2</v>
      </c>
      <c r="S37">
        <v>15</v>
      </c>
      <c r="T37">
        <v>1</v>
      </c>
      <c r="U37">
        <v>327</v>
      </c>
      <c r="V37">
        <v>49</v>
      </c>
      <c r="W37">
        <v>3</v>
      </c>
      <c r="X37">
        <v>1</v>
      </c>
      <c r="Y37" t="s">
        <v>19</v>
      </c>
      <c r="Z37">
        <v>7</v>
      </c>
      <c r="AA37">
        <f>IF(AND(Table1[[#This Row],[Throw Out Pass Eff]]="N", Table1[[#This Row],[Against FCS Team]]="N"), ROUND(((5.45 * D37) + (150 * F37) + (100 * G37) - (300 * H37)) / E37, 2), " ")</f>
        <v>91</v>
      </c>
      <c r="AB37">
        <f>IF(AND(Table1[[#This Row],[Throw Out Pass Def Eff]]="N", Table1[[#This Row],[Against FCS Team]]="N"),200 - ROUND(((5.45 * P37) + (150 * R37) + (100 * S37) - (300 * T37)) / Q37, 2), " ")</f>
        <v>80.040000000000006</v>
      </c>
      <c r="AC37">
        <f>IF(AND(Table1[[#This Row],[Throw Out Rush Eff]]="N", Table1[[#This Row],[Against FCS Team]]="N"), ROUND(((23.2 * I37) + (150 * K37) - (300 * L37)) / J37, 2), " ")</f>
        <v>116.31</v>
      </c>
      <c r="AD37" s="3">
        <f>IF(AND(Table1[[#This Row],[Throw Out Rush Def Eff]]="N", Table1[[#This Row],[Against FCS Team]]="N"), 200 - ROUND(((23.2 * U37) + (150 * W37) - (300 * X37)) / V37, 2), " ")</f>
        <v>42.110000000000014</v>
      </c>
      <c r="AE37" s="3">
        <f>ROUND(Table1[[#This Row],[Opp Passing Attempts]]/(Table1[[#This Row],[Opp Passing Attempts]]+Table1[[#This Row],[Opp Rushing Attempts]]), 2)</f>
        <v>0.31</v>
      </c>
      <c r="AF37" s="3">
        <f>1-Table1[[#This Row],[Passing Weight]]</f>
        <v>0.69</v>
      </c>
      <c r="AG37" s="3" t="str">
        <f>IF(COUNTIF(A:A,Table1[[#This Row],[Opp Team Name]]) &gt; 0, "N", "Y")</f>
        <v>N</v>
      </c>
      <c r="AH37" s="3" t="str">
        <f>IF(Table1[[#This Row],[Passing Attempts]] &lt;15, "Y", "N")</f>
        <v>N</v>
      </c>
      <c r="AI37" s="3" t="str">
        <f>IF(Table1[[#This Row],[Rushing Attempts]] &lt; 15, "Y", "N")</f>
        <v>N</v>
      </c>
      <c r="AJ37" s="3" t="str">
        <f>IF(Table1[[#This Row],[Opp Passing Attempts]]&lt;15, "Y", "N")</f>
        <v>N</v>
      </c>
      <c r="AK37" s="3" t="str">
        <f>IF(Table1[[#This Row],[Opp Rushing Attempts]]&lt;15, "Y", "N")</f>
        <v>N</v>
      </c>
      <c r="AL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108.88</v>
      </c>
      <c r="AM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88.89</v>
      </c>
      <c r="AN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120.32</v>
      </c>
      <c r="AO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67.13</v>
      </c>
      <c r="AP37" s="3">
        <f>ABS(Table1[[#This Row],[Team Score]]-Table1[[#This Row],[Opp Team Score]])</f>
        <v>14</v>
      </c>
      <c r="AQ37" s="3">
        <f>SUM(Table1[[#This Row],[Team Score]], Table1[[#This Row],[Opp Team Score]])</f>
        <v>68</v>
      </c>
      <c r="AR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70.539999999999964</v>
      </c>
      <c r="AS37" s="3">
        <f>IF(Table1[[#This Row],[Efficiency Difference]] = " ", " ", ROUND((Table1[[#This Row],[Winning Margin]]*100)/Table1[[#This Row],[Efficiency Difference]], 2))</f>
        <v>19.850000000000001</v>
      </c>
    </row>
    <row r="38" spans="1:45">
      <c r="A38" t="s">
        <v>26</v>
      </c>
      <c r="B38">
        <v>31</v>
      </c>
      <c r="C38">
        <v>51</v>
      </c>
      <c r="D38">
        <v>364</v>
      </c>
      <c r="E38">
        <v>35</v>
      </c>
      <c r="F38">
        <v>3</v>
      </c>
      <c r="G38">
        <v>28</v>
      </c>
      <c r="H38">
        <v>0</v>
      </c>
      <c r="I38">
        <v>102</v>
      </c>
      <c r="J38">
        <v>33</v>
      </c>
      <c r="K38">
        <v>2</v>
      </c>
      <c r="L38">
        <v>1</v>
      </c>
      <c r="M38" t="s">
        <v>27</v>
      </c>
      <c r="N38">
        <v>669</v>
      </c>
      <c r="O38">
        <v>7</v>
      </c>
      <c r="P38">
        <v>79</v>
      </c>
      <c r="Q38">
        <v>18</v>
      </c>
      <c r="R38">
        <v>1</v>
      </c>
      <c r="S38">
        <v>9</v>
      </c>
      <c r="T38">
        <v>1</v>
      </c>
      <c r="U38">
        <v>84</v>
      </c>
      <c r="V38">
        <v>31</v>
      </c>
      <c r="W38">
        <v>0</v>
      </c>
      <c r="X38">
        <v>0</v>
      </c>
      <c r="Y38" t="s">
        <v>16</v>
      </c>
      <c r="Z38">
        <v>1</v>
      </c>
      <c r="AA38" t="str">
        <f>IF(AND(Table1[[#This Row],[Throw Out Pass Eff]]="N", Table1[[#This Row],[Against FCS Team]]="N"), ROUND(((5.45 * D38) + (150 * F38) + (100 * G38) - (300 * H38)) / E38, 2), " ")</f>
        <v xml:space="preserve"> </v>
      </c>
      <c r="AB38" t="str">
        <f>IF(AND(Table1[[#This Row],[Throw Out Pass Def Eff]]="N", Table1[[#This Row],[Against FCS Team]]="N"),200 - ROUND(((5.45 * P38) + (150 * R38) + (100 * S38) - (300 * T38)) / Q38, 2), " ")</f>
        <v xml:space="preserve"> </v>
      </c>
      <c r="AC38" t="str">
        <f>IF(AND(Table1[[#This Row],[Throw Out Rush Eff]]="N", Table1[[#This Row],[Against FCS Team]]="N"), ROUND(((23.2 * I38) + (150 * K38) - (300 * L38)) / J38, 2), " ")</f>
        <v xml:space="preserve"> </v>
      </c>
      <c r="AD38" s="3" t="str">
        <f>IF(AND(Table1[[#This Row],[Throw Out Rush Def Eff]]="N", Table1[[#This Row],[Against FCS Team]]="N"), 200 - ROUND(((23.2 * U38) + (150 * W38) - (300 * X38)) / V38, 2), " ")</f>
        <v xml:space="preserve"> </v>
      </c>
      <c r="AE38" s="3">
        <f>ROUND(Table1[[#This Row],[Opp Passing Attempts]]/(Table1[[#This Row],[Opp Passing Attempts]]+Table1[[#This Row],[Opp Rushing Attempts]]), 2)</f>
        <v>0.37</v>
      </c>
      <c r="AF38" s="3">
        <f>1-Table1[[#This Row],[Passing Weight]]</f>
        <v>0.63</v>
      </c>
      <c r="AG38" s="3" t="str">
        <f>IF(COUNTIF(A:A,Table1[[#This Row],[Opp Team Name]]) &gt; 0, "N", "Y")</f>
        <v>Y</v>
      </c>
      <c r="AH38" s="3" t="str">
        <f>IF(Table1[[#This Row],[Passing Attempts]] &lt;15, "Y", "N")</f>
        <v>N</v>
      </c>
      <c r="AI38" s="3" t="str">
        <f>IF(Table1[[#This Row],[Rushing Attempts]] &lt; 15, "Y", "N")</f>
        <v>N</v>
      </c>
      <c r="AJ38" s="3" t="str">
        <f>IF(Table1[[#This Row],[Opp Passing Attempts]]&lt;15, "Y", "N")</f>
        <v>N</v>
      </c>
      <c r="AK38" s="3" t="str">
        <f>IF(Table1[[#This Row],[Opp Rushing Attempts]]&lt;15, "Y", "N")</f>
        <v>N</v>
      </c>
      <c r="AL3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8" s="3">
        <f>ABS(Table1[[#This Row],[Team Score]]-Table1[[#This Row],[Opp Team Score]])</f>
        <v>44</v>
      </c>
      <c r="AQ38" s="3">
        <f>SUM(Table1[[#This Row],[Team Score]], Table1[[#This Row],[Opp Team Score]])</f>
        <v>58</v>
      </c>
      <c r="AR3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8" s="3" t="str">
        <f>IF(Table1[[#This Row],[Efficiency Difference]] = " ", " ", ROUND((Table1[[#This Row],[Winning Margin]]*100)/Table1[[#This Row],[Efficiency Difference]], 2))</f>
        <v xml:space="preserve"> </v>
      </c>
    </row>
    <row r="39" spans="1:45">
      <c r="A39" t="s">
        <v>26</v>
      </c>
      <c r="B39">
        <v>31</v>
      </c>
      <c r="C39">
        <v>52</v>
      </c>
      <c r="D39">
        <v>373</v>
      </c>
      <c r="E39">
        <v>39</v>
      </c>
      <c r="F39">
        <v>2</v>
      </c>
      <c r="G39">
        <v>26</v>
      </c>
      <c r="H39">
        <v>1</v>
      </c>
      <c r="I39">
        <v>259</v>
      </c>
      <c r="J39">
        <v>42</v>
      </c>
      <c r="K39">
        <v>4</v>
      </c>
      <c r="L39">
        <v>1</v>
      </c>
      <c r="M39" t="s">
        <v>59</v>
      </c>
      <c r="N39">
        <v>473</v>
      </c>
      <c r="O39">
        <v>3</v>
      </c>
      <c r="P39">
        <v>202</v>
      </c>
      <c r="Q39">
        <v>38</v>
      </c>
      <c r="R39">
        <v>0</v>
      </c>
      <c r="S39">
        <v>22</v>
      </c>
      <c r="T39">
        <v>0</v>
      </c>
      <c r="U39">
        <v>95</v>
      </c>
      <c r="V39">
        <v>28</v>
      </c>
      <c r="W39">
        <v>0</v>
      </c>
      <c r="X39">
        <v>0</v>
      </c>
      <c r="Y39" t="s">
        <v>16</v>
      </c>
      <c r="Z39">
        <v>2</v>
      </c>
      <c r="AA39">
        <f>IF(AND(Table1[[#This Row],[Throw Out Pass Eff]]="N", Table1[[#This Row],[Against FCS Team]]="N"), ROUND(((5.45 * D39) + (150 * F39) + (100 * G39) - (300 * H39)) / E39, 2), " ")</f>
        <v>118.79</v>
      </c>
      <c r="AB39">
        <f>IF(AND(Table1[[#This Row],[Throw Out Pass Def Eff]]="N", Table1[[#This Row],[Against FCS Team]]="N"),200 - ROUND(((5.45 * P39) + (150 * R39) + (100 * S39) - (300 * T39)) / Q39, 2), " ")</f>
        <v>113.13</v>
      </c>
      <c r="AC39">
        <f>IF(AND(Table1[[#This Row],[Throw Out Rush Eff]]="N", Table1[[#This Row],[Against FCS Team]]="N"), ROUND(((23.2 * I39) + (150 * K39) - (300 * L39)) / J39, 2), " ")</f>
        <v>150.21</v>
      </c>
      <c r="AD39" s="3">
        <f>IF(AND(Table1[[#This Row],[Throw Out Rush Def Eff]]="N", Table1[[#This Row],[Against FCS Team]]="N"), 200 - ROUND(((23.2 * U39) + (150 * W39) - (300 * X39)) / V39, 2), " ")</f>
        <v>121.29</v>
      </c>
      <c r="AE39" s="3">
        <f>ROUND(Table1[[#This Row],[Opp Passing Attempts]]/(Table1[[#This Row],[Opp Passing Attempts]]+Table1[[#This Row],[Opp Rushing Attempts]]), 2)</f>
        <v>0.57999999999999996</v>
      </c>
      <c r="AF39" s="3">
        <f>1-Table1[[#This Row],[Passing Weight]]</f>
        <v>0.42000000000000004</v>
      </c>
      <c r="AG39" s="3" t="str">
        <f>IF(COUNTIF(A:A,Table1[[#This Row],[Opp Team Name]]) &gt; 0, "N", "Y")</f>
        <v>N</v>
      </c>
      <c r="AH39" s="3" t="str">
        <f>IF(Table1[[#This Row],[Passing Attempts]] &lt;15, "Y", "N")</f>
        <v>N</v>
      </c>
      <c r="AI39" s="3" t="str">
        <f>IF(Table1[[#This Row],[Rushing Attempts]] &lt; 15, "Y", "N")</f>
        <v>N</v>
      </c>
      <c r="AJ39" s="3" t="str">
        <f>IF(Table1[[#This Row],[Opp Passing Attempts]]&lt;15, "Y", "N")</f>
        <v>N</v>
      </c>
      <c r="AK39" s="3" t="str">
        <f>IF(Table1[[#This Row],[Opp Rushing Attempts]]&lt;15, "Y", "N")</f>
        <v>N</v>
      </c>
      <c r="AL3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79.16</v>
      </c>
      <c r="AM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96.61</v>
      </c>
      <c r="AN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101.41</v>
      </c>
      <c r="AO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88.46</v>
      </c>
      <c r="AP39" s="3">
        <f>ABS(Table1[[#This Row],[Team Score]]-Table1[[#This Row],[Opp Team Score]])</f>
        <v>49</v>
      </c>
      <c r="AQ39" s="3">
        <f>SUM(Table1[[#This Row],[Team Score]], Table1[[#This Row],[Opp Team Score]])</f>
        <v>55</v>
      </c>
      <c r="AR3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103.42000000000002</v>
      </c>
      <c r="AS39" s="3">
        <f>IF(Table1[[#This Row],[Efficiency Difference]] = " ", " ", ROUND((Table1[[#This Row],[Winning Margin]]*100)/Table1[[#This Row],[Efficiency Difference]], 2))</f>
        <v>47.38</v>
      </c>
    </row>
    <row r="40" spans="1:45">
      <c r="A40" t="s">
        <v>26</v>
      </c>
      <c r="B40">
        <v>31</v>
      </c>
      <c r="C40">
        <v>38</v>
      </c>
      <c r="D40">
        <v>303</v>
      </c>
      <c r="E40">
        <v>36</v>
      </c>
      <c r="F40">
        <v>2</v>
      </c>
      <c r="G40">
        <v>23</v>
      </c>
      <c r="H40">
        <v>1</v>
      </c>
      <c r="I40">
        <v>151</v>
      </c>
      <c r="J40">
        <v>40</v>
      </c>
      <c r="K40">
        <v>3</v>
      </c>
      <c r="L40">
        <v>2</v>
      </c>
      <c r="M40" t="s">
        <v>55</v>
      </c>
      <c r="N40">
        <v>716</v>
      </c>
      <c r="O40">
        <v>28</v>
      </c>
      <c r="P40">
        <v>373</v>
      </c>
      <c r="Q40">
        <v>63</v>
      </c>
      <c r="R40">
        <v>3</v>
      </c>
      <c r="S40">
        <v>36</v>
      </c>
      <c r="T40">
        <v>1</v>
      </c>
      <c r="U40">
        <v>84</v>
      </c>
      <c r="V40">
        <v>20</v>
      </c>
      <c r="W40">
        <v>0</v>
      </c>
      <c r="X40">
        <v>0</v>
      </c>
      <c r="Y40" t="s">
        <v>16</v>
      </c>
      <c r="Z40">
        <v>3</v>
      </c>
      <c r="AA40">
        <f>IF(AND(Table1[[#This Row],[Throw Out Pass Eff]]="N", Table1[[#This Row],[Against FCS Team]]="N"), ROUND(((5.45 * D40) + (150 * F40) + (100 * G40) - (300 * H40)) / E40, 2), " ")</f>
        <v>109.76</v>
      </c>
      <c r="AB40">
        <f>IF(AND(Table1[[#This Row],[Throw Out Pass Def Eff]]="N", Table1[[#This Row],[Against FCS Team]]="N"),200 - ROUND(((5.45 * P40) + (150 * R40) + (100 * S40) - (300 * T40)) / Q40, 2), " ")</f>
        <v>108.21</v>
      </c>
      <c r="AC40">
        <f>IF(AND(Table1[[#This Row],[Throw Out Rush Eff]]="N", Table1[[#This Row],[Against FCS Team]]="N"), ROUND(((23.2 * I40) + (150 * K40) - (300 * L40)) / J40, 2), " ")</f>
        <v>83.83</v>
      </c>
      <c r="AD40" s="3">
        <f>IF(AND(Table1[[#This Row],[Throw Out Rush Def Eff]]="N", Table1[[#This Row],[Against FCS Team]]="N"), 200 - ROUND(((23.2 * U40) + (150 * W40) - (300 * X40)) / V40, 2), " ")</f>
        <v>102.56</v>
      </c>
      <c r="AE40" s="3">
        <f>ROUND(Table1[[#This Row],[Opp Passing Attempts]]/(Table1[[#This Row],[Opp Passing Attempts]]+Table1[[#This Row],[Opp Rushing Attempts]]), 2)</f>
        <v>0.76</v>
      </c>
      <c r="AF40" s="3">
        <f>1-Table1[[#This Row],[Passing Weight]]</f>
        <v>0.24</v>
      </c>
      <c r="AG40" s="3" t="str">
        <f>IF(COUNTIF(A:A,Table1[[#This Row],[Opp Team Name]]) &gt; 0, "N", "Y")</f>
        <v>N</v>
      </c>
      <c r="AH40" s="3" t="str">
        <f>IF(Table1[[#This Row],[Passing Attempts]] &lt;15, "Y", "N")</f>
        <v>N</v>
      </c>
      <c r="AI40" s="3" t="str">
        <f>IF(Table1[[#This Row],[Rushing Attempts]] &lt; 15, "Y", "N")</f>
        <v>N</v>
      </c>
      <c r="AJ40" s="3" t="str">
        <f>IF(Table1[[#This Row],[Opp Passing Attempts]]&lt;15, "Y", "N")</f>
        <v>N</v>
      </c>
      <c r="AK40" s="3" t="str">
        <f>IF(Table1[[#This Row],[Opp Rushing Attempts]]&lt;15, "Y", "N")</f>
        <v>N</v>
      </c>
      <c r="AL4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97.25</v>
      </c>
      <c r="AM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98.64</v>
      </c>
      <c r="AN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86.04</v>
      </c>
      <c r="AO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69.81</v>
      </c>
      <c r="AP40" s="3">
        <f>ABS(Table1[[#This Row],[Team Score]]-Table1[[#This Row],[Opp Team Score]])</f>
        <v>10</v>
      </c>
      <c r="AQ40" s="3">
        <f>SUM(Table1[[#This Row],[Team Score]], Table1[[#This Row],[Opp Team Score]])</f>
        <v>66</v>
      </c>
      <c r="AR4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4.3599999999999852</v>
      </c>
      <c r="AS40" s="3">
        <f>IF(Table1[[#This Row],[Efficiency Difference]] = " ", " ", ROUND((Table1[[#This Row],[Winning Margin]]*100)/Table1[[#This Row],[Efficiency Difference]], 2))</f>
        <v>229.36</v>
      </c>
    </row>
    <row r="41" spans="1:45">
      <c r="A41" t="s">
        <v>26</v>
      </c>
      <c r="B41">
        <v>31</v>
      </c>
      <c r="C41">
        <v>14</v>
      </c>
      <c r="D41">
        <v>209</v>
      </c>
      <c r="E41">
        <v>40</v>
      </c>
      <c r="F41">
        <v>2</v>
      </c>
      <c r="G41">
        <v>24</v>
      </c>
      <c r="H41">
        <v>2</v>
      </c>
      <c r="I41">
        <v>17</v>
      </c>
      <c r="J41">
        <v>19</v>
      </c>
      <c r="K41">
        <v>0</v>
      </c>
      <c r="L41">
        <v>0</v>
      </c>
      <c r="M41" t="s">
        <v>20</v>
      </c>
      <c r="N41">
        <v>8</v>
      </c>
      <c r="O41">
        <v>38</v>
      </c>
      <c r="P41">
        <v>200</v>
      </c>
      <c r="Q41">
        <v>20</v>
      </c>
      <c r="R41">
        <v>2</v>
      </c>
      <c r="S41">
        <v>15</v>
      </c>
      <c r="T41">
        <v>0</v>
      </c>
      <c r="U41">
        <v>197</v>
      </c>
      <c r="V41">
        <v>39</v>
      </c>
      <c r="W41">
        <v>1</v>
      </c>
      <c r="X41">
        <v>0</v>
      </c>
      <c r="Y41" t="s">
        <v>19</v>
      </c>
      <c r="Z41">
        <v>4</v>
      </c>
      <c r="AA41">
        <f>IF(AND(Table1[[#This Row],[Throw Out Pass Eff]]="N", Table1[[#This Row],[Against FCS Team]]="N"), ROUND(((5.45 * D41) + (150 * F41) + (100 * G41) - (300 * H41)) / E41, 2), " ")</f>
        <v>80.98</v>
      </c>
      <c r="AB41">
        <f>IF(AND(Table1[[#This Row],[Throw Out Pass Def Eff]]="N", Table1[[#This Row],[Against FCS Team]]="N"),200 - ROUND(((5.45 * P41) + (150 * R41) + (100 * S41) - (300 * T41)) / Q41, 2), " ")</f>
        <v>55.5</v>
      </c>
      <c r="AC41">
        <f>IF(AND(Table1[[#This Row],[Throw Out Rush Eff]]="N", Table1[[#This Row],[Against FCS Team]]="N"), ROUND(((23.2 * I41) + (150 * K41) - (300 * L41)) / J41, 2), " ")</f>
        <v>20.76</v>
      </c>
      <c r="AD41" s="3">
        <f>IF(AND(Table1[[#This Row],[Throw Out Rush Def Eff]]="N", Table1[[#This Row],[Against FCS Team]]="N"), 200 - ROUND(((23.2 * U41) + (150 * W41) - (300 * X41)) / V41, 2), " ")</f>
        <v>78.959999999999994</v>
      </c>
      <c r="AE41" s="3">
        <f>ROUND(Table1[[#This Row],[Opp Passing Attempts]]/(Table1[[#This Row],[Opp Passing Attempts]]+Table1[[#This Row],[Opp Rushing Attempts]]), 2)</f>
        <v>0.34</v>
      </c>
      <c r="AF41" s="3">
        <f>1-Table1[[#This Row],[Passing Weight]]</f>
        <v>0.65999999999999992</v>
      </c>
      <c r="AG41" s="3" t="str">
        <f>IF(COUNTIF(A:A,Table1[[#This Row],[Opp Team Name]]) &gt; 0, "N", "Y")</f>
        <v>N</v>
      </c>
      <c r="AH41" s="3" t="str">
        <f>IF(Table1[[#This Row],[Passing Attempts]] &lt;15, "Y", "N")</f>
        <v>N</v>
      </c>
      <c r="AI41" s="3" t="str">
        <f>IF(Table1[[#This Row],[Rushing Attempts]] &lt; 15, "Y", "N")</f>
        <v>N</v>
      </c>
      <c r="AJ41" s="3" t="str">
        <f>IF(Table1[[#This Row],[Opp Passing Attempts]]&lt;15, "Y", "N")</f>
        <v>N</v>
      </c>
      <c r="AK41" s="3" t="str">
        <f>IF(Table1[[#This Row],[Opp Rushing Attempts]]&lt;15, "Y", "N")</f>
        <v>N</v>
      </c>
      <c r="AL4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108.87</v>
      </c>
      <c r="AM4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62.43</v>
      </c>
      <c r="AN4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34.93</v>
      </c>
      <c r="AO4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116.4</v>
      </c>
      <c r="AP41" s="3">
        <f>ABS(Table1[[#This Row],[Team Score]]-Table1[[#This Row],[Opp Team Score]])</f>
        <v>24</v>
      </c>
      <c r="AQ41" s="3">
        <f>SUM(Table1[[#This Row],[Team Score]], Table1[[#This Row],[Opp Team Score]])</f>
        <v>52</v>
      </c>
      <c r="AR4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163.80000000000001</v>
      </c>
      <c r="AS41" s="3">
        <f>IF(Table1[[#This Row],[Efficiency Difference]] = " ", " ", ROUND((Table1[[#This Row],[Winning Margin]]*100)/Table1[[#This Row],[Efficiency Difference]], 2))</f>
        <v>14.65</v>
      </c>
    </row>
    <row r="42" spans="1:45">
      <c r="A42" t="s">
        <v>26</v>
      </c>
      <c r="B42">
        <v>31</v>
      </c>
      <c r="C42">
        <v>42</v>
      </c>
      <c r="D42">
        <v>510</v>
      </c>
      <c r="E42">
        <v>51</v>
      </c>
      <c r="F42">
        <v>3</v>
      </c>
      <c r="G42">
        <v>30</v>
      </c>
      <c r="H42">
        <v>0</v>
      </c>
      <c r="I42">
        <v>71</v>
      </c>
      <c r="J42">
        <v>30</v>
      </c>
      <c r="K42">
        <v>2</v>
      </c>
      <c r="L42">
        <v>0</v>
      </c>
      <c r="M42" t="s">
        <v>187</v>
      </c>
      <c r="N42">
        <v>697</v>
      </c>
      <c r="O42">
        <v>38</v>
      </c>
      <c r="P42">
        <v>247</v>
      </c>
      <c r="Q42">
        <v>35</v>
      </c>
      <c r="R42">
        <v>0</v>
      </c>
      <c r="S42">
        <v>25</v>
      </c>
      <c r="T42">
        <v>1</v>
      </c>
      <c r="U42">
        <v>381</v>
      </c>
      <c r="V42">
        <v>54</v>
      </c>
      <c r="W42">
        <v>5</v>
      </c>
      <c r="X42">
        <v>1</v>
      </c>
      <c r="Y42" t="s">
        <v>16</v>
      </c>
      <c r="Z42">
        <v>5</v>
      </c>
      <c r="AA42">
        <f>IF(AND(Table1[[#This Row],[Throw Out Pass Eff]]="N", Table1[[#This Row],[Against FCS Team]]="N"), ROUND(((5.45 * D42) + (150 * F42) + (100 * G42) - (300 * H42)) / E42, 2), " ")</f>
        <v>122.15</v>
      </c>
      <c r="AB42">
        <f>IF(AND(Table1[[#This Row],[Throw Out Pass Def Eff]]="N", Table1[[#This Row],[Against FCS Team]]="N"),200 - ROUND(((5.45 * P42) + (150 * R42) + (100 * S42) - (300 * T42)) / Q42, 2), " ")</f>
        <v>98.68</v>
      </c>
      <c r="AC42">
        <f>IF(AND(Table1[[#This Row],[Throw Out Rush Eff]]="N", Table1[[#This Row],[Against FCS Team]]="N"), ROUND(((23.2 * I42) + (150 * K42) - (300 * L42)) / J42, 2), " ")</f>
        <v>64.91</v>
      </c>
      <c r="AD42" s="3">
        <f>IF(AND(Table1[[#This Row],[Throw Out Rush Def Eff]]="N", Table1[[#This Row],[Against FCS Team]]="N"), 200 - ROUND(((23.2 * U42) + (150 * W42) - (300 * X42)) / V42, 2), " ")</f>
        <v>27.97999999999999</v>
      </c>
      <c r="AE42" s="3">
        <f>ROUND(Table1[[#This Row],[Opp Passing Attempts]]/(Table1[[#This Row],[Opp Passing Attempts]]+Table1[[#This Row],[Opp Rushing Attempts]]), 2)</f>
        <v>0.39</v>
      </c>
      <c r="AF42" s="3">
        <f>1-Table1[[#This Row],[Passing Weight]]</f>
        <v>0.61</v>
      </c>
      <c r="AG42" s="3" t="str">
        <f>IF(COUNTIF(A:A,Table1[[#This Row],[Opp Team Name]]) &gt; 0, "N", "Y")</f>
        <v>N</v>
      </c>
      <c r="AH42" s="3" t="str">
        <f>IF(Table1[[#This Row],[Passing Attempts]] &lt;15, "Y", "N")</f>
        <v>N</v>
      </c>
      <c r="AI42" s="3" t="str">
        <f>IF(Table1[[#This Row],[Rushing Attempts]] &lt; 15, "Y", "N")</f>
        <v>N</v>
      </c>
      <c r="AJ42" s="3" t="str">
        <f>IF(Table1[[#This Row],[Opp Passing Attempts]]&lt;15, "Y", "N")</f>
        <v>N</v>
      </c>
      <c r="AK42" s="3" t="str">
        <f>IF(Table1[[#This Row],[Opp Rushing Attempts]]&lt;15, "Y", "N")</f>
        <v>N</v>
      </c>
      <c r="AL4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120.27</v>
      </c>
      <c r="AM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111.27</v>
      </c>
      <c r="AN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90.44</v>
      </c>
      <c r="AO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36.299999999999997</v>
      </c>
      <c r="AP42" s="3">
        <f>ABS(Table1[[#This Row],[Team Score]]-Table1[[#This Row],[Opp Team Score]])</f>
        <v>4</v>
      </c>
      <c r="AQ42" s="3">
        <f>SUM(Table1[[#This Row],[Team Score]], Table1[[#This Row],[Opp Team Score]])</f>
        <v>80</v>
      </c>
      <c r="AR4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86.28000000000003</v>
      </c>
      <c r="AS42" s="3">
        <f>IF(Table1[[#This Row],[Efficiency Difference]] = " ", " ", ROUND((Table1[[#This Row],[Winning Margin]]*100)/Table1[[#This Row],[Efficiency Difference]], 2))</f>
        <v>4.6399999999999997</v>
      </c>
    </row>
    <row r="43" spans="1:45">
      <c r="A43" t="s">
        <v>26</v>
      </c>
      <c r="B43">
        <v>31</v>
      </c>
      <c r="C43">
        <v>38</v>
      </c>
      <c r="D43">
        <v>262</v>
      </c>
      <c r="E43">
        <v>36</v>
      </c>
      <c r="F43">
        <v>2</v>
      </c>
      <c r="G43">
        <v>24</v>
      </c>
      <c r="H43">
        <v>0</v>
      </c>
      <c r="I43">
        <v>176</v>
      </c>
      <c r="J43">
        <v>31</v>
      </c>
      <c r="K43">
        <v>3</v>
      </c>
      <c r="L43">
        <v>1</v>
      </c>
      <c r="M43" t="s">
        <v>32</v>
      </c>
      <c r="N43">
        <v>37</v>
      </c>
      <c r="O43">
        <v>14</v>
      </c>
      <c r="P43">
        <v>104</v>
      </c>
      <c r="Q43">
        <v>25</v>
      </c>
      <c r="R43">
        <v>0</v>
      </c>
      <c r="S43">
        <v>9</v>
      </c>
      <c r="T43">
        <v>3</v>
      </c>
      <c r="U43">
        <v>291</v>
      </c>
      <c r="V43">
        <v>52</v>
      </c>
      <c r="W43">
        <v>2</v>
      </c>
      <c r="X43">
        <v>0</v>
      </c>
      <c r="Y43" t="s">
        <v>16</v>
      </c>
      <c r="Z43">
        <v>6</v>
      </c>
      <c r="AA43">
        <f>IF(AND(Table1[[#This Row],[Throw Out Pass Eff]]="N", Table1[[#This Row],[Against FCS Team]]="N"), ROUND(((5.45 * D43) + (150 * F43) + (100 * G43) - (300 * H43)) / E43, 2), " ")</f>
        <v>114.66</v>
      </c>
      <c r="AB43">
        <f>IF(AND(Table1[[#This Row],[Throw Out Pass Def Eff]]="N", Table1[[#This Row],[Against FCS Team]]="N"),200 - ROUND(((5.45 * P43) + (150 * R43) + (100 * S43) - (300 * T43)) / Q43, 2), " ")</f>
        <v>177.32999999999998</v>
      </c>
      <c r="AC43">
        <f>IF(AND(Table1[[#This Row],[Throw Out Rush Eff]]="N", Table1[[#This Row],[Against FCS Team]]="N"), ROUND(((23.2 * I43) + (150 * K43) - (300 * L43)) / J43, 2), " ")</f>
        <v>136.55000000000001</v>
      </c>
      <c r="AD43" s="3">
        <f>IF(AND(Table1[[#This Row],[Throw Out Rush Def Eff]]="N", Table1[[#This Row],[Against FCS Team]]="N"), 200 - ROUND(((23.2 * U43) + (150 * W43) - (300 * X43)) / V43, 2), " ")</f>
        <v>64.400000000000006</v>
      </c>
      <c r="AE43" s="3">
        <f>ROUND(Table1[[#This Row],[Opp Passing Attempts]]/(Table1[[#This Row],[Opp Passing Attempts]]+Table1[[#This Row],[Opp Rushing Attempts]]), 2)</f>
        <v>0.32</v>
      </c>
      <c r="AF43" s="3">
        <f>1-Table1[[#This Row],[Passing Weight]]</f>
        <v>0.67999999999999994</v>
      </c>
      <c r="AG43" s="3" t="str">
        <f>IF(COUNTIF(A:A,Table1[[#This Row],[Opp Team Name]]) &gt; 0, "N", "Y")</f>
        <v>N</v>
      </c>
      <c r="AH43" s="3" t="str">
        <f>IF(Table1[[#This Row],[Passing Attempts]] &lt;15, "Y", "N")</f>
        <v>N</v>
      </c>
      <c r="AI43" s="3" t="str">
        <f>IF(Table1[[#This Row],[Rushing Attempts]] &lt; 15, "Y", "N")</f>
        <v>N</v>
      </c>
      <c r="AJ43" s="3" t="str">
        <f>IF(Table1[[#This Row],[Opp Passing Attempts]]&lt;15, "Y", "N")</f>
        <v>N</v>
      </c>
      <c r="AK43" s="3" t="str">
        <f>IF(Table1[[#This Row],[Opp Rushing Attempts]]&lt;15, "Y", "N")</f>
        <v>N</v>
      </c>
      <c r="AL4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116.18</v>
      </c>
      <c r="AM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147.88</v>
      </c>
      <c r="AN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136.93</v>
      </c>
      <c r="AO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67.95</v>
      </c>
      <c r="AP43" s="3">
        <f>ABS(Table1[[#This Row],[Team Score]]-Table1[[#This Row],[Opp Team Score]])</f>
        <v>24</v>
      </c>
      <c r="AQ43" s="3">
        <f>SUM(Table1[[#This Row],[Team Score]], Table1[[#This Row],[Opp Team Score]])</f>
        <v>52</v>
      </c>
      <c r="AR4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92.94</v>
      </c>
      <c r="AS43" s="3">
        <f>IF(Table1[[#This Row],[Efficiency Difference]] = " ", " ", ROUND((Table1[[#This Row],[Winning Margin]]*100)/Table1[[#This Row],[Efficiency Difference]], 2))</f>
        <v>25.82</v>
      </c>
    </row>
    <row r="44" spans="1:45">
      <c r="A44" t="s">
        <v>26</v>
      </c>
      <c r="B44">
        <v>31</v>
      </c>
      <c r="C44">
        <v>29</v>
      </c>
      <c r="D44">
        <v>232</v>
      </c>
      <c r="E44">
        <v>28</v>
      </c>
      <c r="F44">
        <v>0</v>
      </c>
      <c r="G44">
        <v>13</v>
      </c>
      <c r="H44">
        <v>0</v>
      </c>
      <c r="I44">
        <v>206</v>
      </c>
      <c r="J44">
        <v>29</v>
      </c>
      <c r="K44">
        <v>3</v>
      </c>
      <c r="L44">
        <v>1</v>
      </c>
      <c r="M44" t="s">
        <v>47</v>
      </c>
      <c r="N44">
        <v>433</v>
      </c>
      <c r="O44">
        <v>24</v>
      </c>
      <c r="P44">
        <v>219</v>
      </c>
      <c r="Q44">
        <v>30</v>
      </c>
      <c r="R44">
        <v>2</v>
      </c>
      <c r="S44">
        <v>18</v>
      </c>
      <c r="T44">
        <v>1</v>
      </c>
      <c r="U44">
        <v>151</v>
      </c>
      <c r="V44">
        <v>46</v>
      </c>
      <c r="W44">
        <v>1</v>
      </c>
      <c r="X44">
        <v>0</v>
      </c>
      <c r="Y44" t="s">
        <v>16</v>
      </c>
      <c r="Z44">
        <v>8</v>
      </c>
      <c r="AA44" s="3">
        <f>IF(AND(Table1[[#This Row],[Throw Out Pass Eff]]="N", Table1[[#This Row],[Against FCS Team]]="N"), ROUND(((5.45 * D44) + (150 * F44) + (100 * G44) - (300 * H44)) / E44, 2), " ")</f>
        <v>91.59</v>
      </c>
      <c r="AB44" s="3">
        <f>IF(AND(Table1[[#This Row],[Throw Out Pass Def Eff]]="N", Table1[[#This Row],[Against FCS Team]]="N"),200 - ROUND(((5.45 * P44) + (150 * R44) + (100 * S44) - (300 * T44)) / Q44, 2), " ")</f>
        <v>100.21</v>
      </c>
      <c r="AC44" s="3">
        <f>IF(AND(Table1[[#This Row],[Throw Out Rush Eff]]="N", Table1[[#This Row],[Against FCS Team]]="N"), ROUND(((23.2 * I44) + (150 * K44) - (300 * L44)) / J44, 2), " ")</f>
        <v>169.97</v>
      </c>
      <c r="AD44" s="3">
        <f>IF(AND(Table1[[#This Row],[Throw Out Rush Def Eff]]="N", Table1[[#This Row],[Against FCS Team]]="N"), 200 - ROUND(((23.2 * U44) + (150 * W44) - (300 * X44)) / V44, 2), " ")</f>
        <v>120.58</v>
      </c>
      <c r="AE44" s="3">
        <f>ROUND(Table1[[#This Row],[Opp Passing Attempts]]/(Table1[[#This Row],[Opp Passing Attempts]]+Table1[[#This Row],[Opp Rushing Attempts]]), 2)</f>
        <v>0.39</v>
      </c>
      <c r="AF44" s="3">
        <f>1-Table1[[#This Row],[Passing Weight]]</f>
        <v>0.61</v>
      </c>
      <c r="AG44" s="3" t="str">
        <f>IF(COUNTIF(A:A,Table1[[#This Row],[Opp Team Name]]) &gt; 0, "N", "Y")</f>
        <v>N</v>
      </c>
      <c r="AH44" s="3" t="str">
        <f>IF(Table1[[#This Row],[Passing Attempts]] &lt;15, "Y", "N")</f>
        <v>N</v>
      </c>
      <c r="AI44" s="3" t="str">
        <f>IF(Table1[[#This Row],[Rushing Attempts]] &lt; 15, "Y", "N")</f>
        <v>N</v>
      </c>
      <c r="AJ44" s="3" t="str">
        <f>IF(Table1[[#This Row],[Opp Passing Attempts]]&lt;15, "Y", "N")</f>
        <v>N</v>
      </c>
      <c r="AK44" s="3" t="str">
        <f>IF(Table1[[#This Row],[Opp Rushing Attempts]]&lt;15, "Y", "N")</f>
        <v>N</v>
      </c>
      <c r="AL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88.8</v>
      </c>
      <c r="AM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74.45</v>
      </c>
      <c r="AN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112.75</v>
      </c>
      <c r="AO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69.44</v>
      </c>
      <c r="AP44" s="3">
        <f>ABS(Table1[[#This Row],[Team Score]]-Table1[[#This Row],[Opp Team Score]])</f>
        <v>5</v>
      </c>
      <c r="AQ44" s="3">
        <f>SUM(Table1[[#This Row],[Team Score]], Table1[[#This Row],[Opp Team Score]])</f>
        <v>53</v>
      </c>
      <c r="AR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82.35</v>
      </c>
      <c r="AS44" s="3">
        <f>IF(Table1[[#This Row],[Efficiency Difference]] = " ", " ", ROUND((Table1[[#This Row],[Winning Margin]]*100)/Table1[[#This Row],[Efficiency Difference]], 2))</f>
        <v>6.07</v>
      </c>
    </row>
    <row r="45" spans="1:45">
      <c r="A45" t="s">
        <v>28</v>
      </c>
      <c r="B45">
        <v>30</v>
      </c>
      <c r="C45">
        <v>53</v>
      </c>
      <c r="D45">
        <v>271</v>
      </c>
      <c r="E45">
        <v>32</v>
      </c>
      <c r="F45">
        <v>1</v>
      </c>
      <c r="G45">
        <v>23</v>
      </c>
      <c r="H45">
        <v>1</v>
      </c>
      <c r="I45">
        <v>375</v>
      </c>
      <c r="J45">
        <v>56</v>
      </c>
      <c r="K45">
        <v>3</v>
      </c>
      <c r="L45">
        <v>1</v>
      </c>
      <c r="M45" t="s">
        <v>174</v>
      </c>
      <c r="N45">
        <v>1004</v>
      </c>
      <c r="O45">
        <v>24</v>
      </c>
      <c r="P45">
        <v>225</v>
      </c>
      <c r="Q45">
        <v>32</v>
      </c>
      <c r="R45">
        <v>2</v>
      </c>
      <c r="S45">
        <v>17</v>
      </c>
      <c r="T45">
        <v>1</v>
      </c>
      <c r="U45">
        <v>97</v>
      </c>
      <c r="V45">
        <v>32</v>
      </c>
      <c r="W45">
        <v>1</v>
      </c>
      <c r="X45">
        <v>0</v>
      </c>
      <c r="Y45" t="s">
        <v>16</v>
      </c>
      <c r="Z45">
        <v>4</v>
      </c>
      <c r="AA45" t="str">
        <f>IF(AND(Table1[[#This Row],[Throw Out Pass Eff]]="N", Table1[[#This Row],[Against FCS Team]]="N"), ROUND(((5.45 * D45) + (150 * F45) + (100 * G45) - (300 * H45)) / E45, 2), " ")</f>
        <v xml:space="preserve"> </v>
      </c>
      <c r="AB45" t="str">
        <f>IF(AND(Table1[[#This Row],[Throw Out Pass Def Eff]]="N", Table1[[#This Row],[Against FCS Team]]="N"),200 - ROUND(((5.45 * P45) + (150 * R45) + (100 * S45) - (300 * T45)) / Q45, 2), " ")</f>
        <v xml:space="preserve"> </v>
      </c>
      <c r="AC45" t="str">
        <f>IF(AND(Table1[[#This Row],[Throw Out Rush Eff]]="N", Table1[[#This Row],[Against FCS Team]]="N"), ROUND(((23.2 * I45) + (150 * K45) - (300 * L45)) / J45, 2), " ")</f>
        <v xml:space="preserve"> </v>
      </c>
      <c r="AD45" s="3" t="str">
        <f>IF(AND(Table1[[#This Row],[Throw Out Rush Def Eff]]="N", Table1[[#This Row],[Against FCS Team]]="N"), 200 - ROUND(((23.2 * U45) + (150 * W45) - (300 * X45)) / V45, 2), " ")</f>
        <v xml:space="preserve"> </v>
      </c>
      <c r="AE45" s="3">
        <f>ROUND(Table1[[#This Row],[Opp Passing Attempts]]/(Table1[[#This Row],[Opp Passing Attempts]]+Table1[[#This Row],[Opp Rushing Attempts]]), 2)</f>
        <v>0.5</v>
      </c>
      <c r="AF45" s="3">
        <f>1-Table1[[#This Row],[Passing Weight]]</f>
        <v>0.5</v>
      </c>
      <c r="AG45" s="3" t="str">
        <f>IF(COUNTIF(A:A,Table1[[#This Row],[Opp Team Name]]) &gt; 0, "N", "Y")</f>
        <v>Y</v>
      </c>
      <c r="AH45" s="3" t="str">
        <f>IF(Table1[[#This Row],[Passing Attempts]] &lt;15, "Y", "N")</f>
        <v>N</v>
      </c>
      <c r="AI45" s="3" t="str">
        <f>IF(Table1[[#This Row],[Rushing Attempts]] &lt; 15, "Y", "N")</f>
        <v>N</v>
      </c>
      <c r="AJ45" s="3" t="str">
        <f>IF(Table1[[#This Row],[Opp Passing Attempts]]&lt;15, "Y", "N")</f>
        <v>N</v>
      </c>
      <c r="AK45" s="3" t="str">
        <f>IF(Table1[[#This Row],[Opp Rushing Attempts]]&lt;15, "Y", "N")</f>
        <v>N</v>
      </c>
      <c r="AL4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5" s="3">
        <f>ABS(Table1[[#This Row],[Team Score]]-Table1[[#This Row],[Opp Team Score]])</f>
        <v>29</v>
      </c>
      <c r="AQ45" s="3">
        <f>SUM(Table1[[#This Row],[Team Score]], Table1[[#This Row],[Opp Team Score]])</f>
        <v>77</v>
      </c>
      <c r="AR4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5" s="3" t="str">
        <f>IF(Table1[[#This Row],[Efficiency Difference]] = " ", " ", ROUND((Table1[[#This Row],[Winning Margin]]*100)/Table1[[#This Row],[Efficiency Difference]], 2))</f>
        <v xml:space="preserve"> </v>
      </c>
    </row>
    <row r="46" spans="1:45">
      <c r="A46" t="s">
        <v>28</v>
      </c>
      <c r="B46">
        <v>30</v>
      </c>
      <c r="C46">
        <v>15</v>
      </c>
      <c r="D46">
        <v>290</v>
      </c>
      <c r="E46">
        <v>32</v>
      </c>
      <c r="F46">
        <v>0</v>
      </c>
      <c r="G46">
        <v>20</v>
      </c>
      <c r="H46">
        <v>1</v>
      </c>
      <c r="I46">
        <v>60</v>
      </c>
      <c r="J46">
        <v>32</v>
      </c>
      <c r="K46">
        <v>1</v>
      </c>
      <c r="L46">
        <v>2</v>
      </c>
      <c r="M46" t="s">
        <v>29</v>
      </c>
      <c r="N46">
        <v>301</v>
      </c>
      <c r="O46">
        <v>33</v>
      </c>
      <c r="P46">
        <v>271</v>
      </c>
      <c r="Q46">
        <v>25</v>
      </c>
      <c r="R46">
        <v>2</v>
      </c>
      <c r="S46">
        <v>17</v>
      </c>
      <c r="T46">
        <v>0</v>
      </c>
      <c r="U46">
        <v>202</v>
      </c>
      <c r="V46">
        <v>50</v>
      </c>
      <c r="W46">
        <v>2</v>
      </c>
      <c r="X46">
        <v>1</v>
      </c>
      <c r="Y46" t="s">
        <v>19</v>
      </c>
      <c r="Z46">
        <v>1</v>
      </c>
      <c r="AA46">
        <f>IF(AND(Table1[[#This Row],[Throw Out Pass Eff]]="N", Table1[[#This Row],[Against FCS Team]]="N"), ROUND(((5.45 * D46) + (150 * F46) + (100 * G46) - (300 * H46)) / E46, 2), " ")</f>
        <v>102.52</v>
      </c>
      <c r="AB46">
        <f>IF(AND(Table1[[#This Row],[Throw Out Pass Def Eff]]="N", Table1[[#This Row],[Against FCS Team]]="N"),200 - ROUND(((5.45 * P46) + (150 * R46) + (100 * S46) - (300 * T46)) / Q46, 2), " ")</f>
        <v>60.919999999999987</v>
      </c>
      <c r="AC46">
        <f>IF(AND(Table1[[#This Row],[Throw Out Rush Eff]]="N", Table1[[#This Row],[Against FCS Team]]="N"), ROUND(((23.2 * I46) + (150 * K46) - (300 * L46)) / J46, 2), " ")</f>
        <v>29.44</v>
      </c>
      <c r="AD46" s="3">
        <f>IF(AND(Table1[[#This Row],[Throw Out Rush Def Eff]]="N", Table1[[#This Row],[Against FCS Team]]="N"), 200 - ROUND(((23.2 * U46) + (150 * W46) - (300 * X46)) / V46, 2), " ")</f>
        <v>106.27</v>
      </c>
      <c r="AE46" s="3">
        <f>ROUND(Table1[[#This Row],[Opp Passing Attempts]]/(Table1[[#This Row],[Opp Passing Attempts]]+Table1[[#This Row],[Opp Rushing Attempts]]), 2)</f>
        <v>0.33</v>
      </c>
      <c r="AF46" s="3">
        <f>1-Table1[[#This Row],[Passing Weight]]</f>
        <v>0.66999999999999993</v>
      </c>
      <c r="AG46" s="3" t="str">
        <f>IF(COUNTIF(A:A,Table1[[#This Row],[Opp Team Name]]) &gt; 0, "N", "Y")</f>
        <v>N</v>
      </c>
      <c r="AH46" s="3" t="str">
        <f>IF(Table1[[#This Row],[Passing Attempts]] &lt;15, "Y", "N")</f>
        <v>N</v>
      </c>
      <c r="AI46" s="3" t="str">
        <f>IF(Table1[[#This Row],[Rushing Attempts]] &lt; 15, "Y", "N")</f>
        <v>N</v>
      </c>
      <c r="AJ46" s="3" t="str">
        <f>IF(Table1[[#This Row],[Opp Passing Attempts]]&lt;15, "Y", "N")</f>
        <v>N</v>
      </c>
      <c r="AK46" s="3" t="str">
        <f>IF(Table1[[#This Row],[Opp Rushing Attempts]]&lt;15, "Y", "N")</f>
        <v>N</v>
      </c>
      <c r="AL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97.37</v>
      </c>
      <c r="AM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67.13</v>
      </c>
      <c r="AN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41.33</v>
      </c>
      <c r="AO4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90.51</v>
      </c>
      <c r="AP46" s="3">
        <f>ABS(Table1[[#This Row],[Team Score]]-Table1[[#This Row],[Opp Team Score]])</f>
        <v>18</v>
      </c>
      <c r="AQ46" s="3">
        <f>SUM(Table1[[#This Row],[Team Score]], Table1[[#This Row],[Opp Team Score]])</f>
        <v>48</v>
      </c>
      <c r="AR4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100.85</v>
      </c>
      <c r="AS46" s="3">
        <f>IF(Table1[[#This Row],[Efficiency Difference]] = " ", " ", ROUND((Table1[[#This Row],[Winning Margin]]*100)/Table1[[#This Row],[Efficiency Difference]], 2))</f>
        <v>17.850000000000001</v>
      </c>
    </row>
    <row r="47" spans="1:45">
      <c r="A47" t="s">
        <v>28</v>
      </c>
      <c r="B47">
        <v>30</v>
      </c>
      <c r="C47">
        <v>47</v>
      </c>
      <c r="D47">
        <v>375</v>
      </c>
      <c r="E47">
        <v>33</v>
      </c>
      <c r="F47">
        <v>4</v>
      </c>
      <c r="G47">
        <v>29</v>
      </c>
      <c r="H47">
        <v>1</v>
      </c>
      <c r="I47">
        <v>236</v>
      </c>
      <c r="J47">
        <v>46</v>
      </c>
      <c r="K47">
        <v>2</v>
      </c>
      <c r="L47">
        <v>1</v>
      </c>
      <c r="M47" t="s">
        <v>94</v>
      </c>
      <c r="N47">
        <v>404</v>
      </c>
      <c r="O47">
        <v>3</v>
      </c>
      <c r="P47">
        <v>87</v>
      </c>
      <c r="Q47">
        <v>29</v>
      </c>
      <c r="R47">
        <v>0</v>
      </c>
      <c r="S47">
        <v>13</v>
      </c>
      <c r="T47">
        <v>0</v>
      </c>
      <c r="U47">
        <v>82</v>
      </c>
      <c r="V47">
        <v>38</v>
      </c>
      <c r="W47">
        <v>0</v>
      </c>
      <c r="X47">
        <v>1</v>
      </c>
      <c r="Y47" t="s">
        <v>16</v>
      </c>
      <c r="Z47">
        <v>2</v>
      </c>
      <c r="AA47">
        <f>IF(AND(Table1[[#This Row],[Throw Out Pass Eff]]="N", Table1[[#This Row],[Against FCS Team]]="N"), ROUND(((5.45 * D47) + (150 * F47) + (100 * G47) - (300 * H47)) / E47, 2), " ")</f>
        <v>158.9</v>
      </c>
      <c r="AB47">
        <f>IF(AND(Table1[[#This Row],[Throw Out Pass Def Eff]]="N", Table1[[#This Row],[Against FCS Team]]="N"),200 - ROUND(((5.45 * P47) + (150 * R47) + (100 * S47) - (300 * T47)) / Q47, 2), " ")</f>
        <v>138.82</v>
      </c>
      <c r="AC47">
        <f>IF(AND(Table1[[#This Row],[Throw Out Rush Eff]]="N", Table1[[#This Row],[Against FCS Team]]="N"), ROUND(((23.2 * I47) + (150 * K47) - (300 * L47)) / J47, 2), " ")</f>
        <v>119.03</v>
      </c>
      <c r="AD47" s="3">
        <f>IF(AND(Table1[[#This Row],[Throw Out Rush Def Eff]]="N", Table1[[#This Row],[Against FCS Team]]="N"), 200 - ROUND(((23.2 * U47) + (150 * W47) - (300 * X47)) / V47, 2), " ")</f>
        <v>157.82999999999998</v>
      </c>
      <c r="AE47" s="3">
        <f>ROUND(Table1[[#This Row],[Opp Passing Attempts]]/(Table1[[#This Row],[Opp Passing Attempts]]+Table1[[#This Row],[Opp Rushing Attempts]]), 2)</f>
        <v>0.43</v>
      </c>
      <c r="AF47" s="3">
        <f>1-Table1[[#This Row],[Passing Weight]]</f>
        <v>0.57000000000000006</v>
      </c>
      <c r="AG47" s="3" t="str">
        <f>IF(COUNTIF(A:A,Table1[[#This Row],[Opp Team Name]]) &gt; 0, "N", "Y")</f>
        <v>N</v>
      </c>
      <c r="AH47" s="3" t="str">
        <f>IF(Table1[[#This Row],[Passing Attempts]] &lt;15, "Y", "N")</f>
        <v>N</v>
      </c>
      <c r="AI47" s="3" t="str">
        <f>IF(Table1[[#This Row],[Rushing Attempts]] &lt; 15, "Y", "N")</f>
        <v>N</v>
      </c>
      <c r="AJ47" s="3" t="str">
        <f>IF(Table1[[#This Row],[Opp Passing Attempts]]&lt;15, "Y", "N")</f>
        <v>N</v>
      </c>
      <c r="AK47" s="3" t="str">
        <f>IF(Table1[[#This Row],[Opp Rushing Attempts]]&lt;15, "Y", "N")</f>
        <v>N</v>
      </c>
      <c r="AL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128.82</v>
      </c>
      <c r="AM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115.98</v>
      </c>
      <c r="AN4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98.34</v>
      </c>
      <c r="AO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73.510000000000005</v>
      </c>
      <c r="AP47" s="3">
        <f>ABS(Table1[[#This Row],[Team Score]]-Table1[[#This Row],[Opp Team Score]])</f>
        <v>44</v>
      </c>
      <c r="AQ47" s="3">
        <f>SUM(Table1[[#This Row],[Team Score]], Table1[[#This Row],[Opp Team Score]])</f>
        <v>50</v>
      </c>
      <c r="AR4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174.57999999999998</v>
      </c>
      <c r="AS47" s="3">
        <f>IF(Table1[[#This Row],[Efficiency Difference]] = " ", " ", ROUND((Table1[[#This Row],[Winning Margin]]*100)/Table1[[#This Row],[Efficiency Difference]], 2))</f>
        <v>25.2</v>
      </c>
    </row>
    <row r="48" spans="1:45">
      <c r="A48" t="s">
        <v>28</v>
      </c>
      <c r="B48">
        <v>30</v>
      </c>
      <c r="C48">
        <v>7</v>
      </c>
      <c r="D48">
        <v>205</v>
      </c>
      <c r="E48">
        <v>36</v>
      </c>
      <c r="F48">
        <v>0</v>
      </c>
      <c r="G48">
        <v>16</v>
      </c>
      <c r="H48">
        <v>2</v>
      </c>
      <c r="I48">
        <v>64</v>
      </c>
      <c r="J48">
        <v>31</v>
      </c>
      <c r="K48">
        <v>1</v>
      </c>
      <c r="L48">
        <v>0</v>
      </c>
      <c r="M48" t="s">
        <v>156</v>
      </c>
      <c r="N48">
        <v>742</v>
      </c>
      <c r="O48">
        <v>26</v>
      </c>
      <c r="P48">
        <v>292</v>
      </c>
      <c r="Q48">
        <v>33</v>
      </c>
      <c r="R48">
        <v>2</v>
      </c>
      <c r="S48">
        <v>21</v>
      </c>
      <c r="T48">
        <v>2</v>
      </c>
      <c r="U48">
        <v>135</v>
      </c>
      <c r="V48">
        <v>40</v>
      </c>
      <c r="W48">
        <v>1</v>
      </c>
      <c r="X48">
        <v>0</v>
      </c>
      <c r="Y48" t="s">
        <v>19</v>
      </c>
      <c r="Z48">
        <v>3</v>
      </c>
      <c r="AA48">
        <f>IF(AND(Table1[[#This Row],[Throw Out Pass Eff]]="N", Table1[[#This Row],[Against FCS Team]]="N"), ROUND(((5.45 * D48) + (150 * F48) + (100 * G48) - (300 * H48)) / E48, 2), " ")</f>
        <v>58.81</v>
      </c>
      <c r="AB48">
        <f>IF(AND(Table1[[#This Row],[Throw Out Pass Def Eff]]="N", Table1[[#This Row],[Against FCS Team]]="N"),200 - ROUND(((5.45 * P48) + (150 * R48) + (100 * S48) - (300 * T48)) / Q48, 2), " ")</f>
        <v>97.23</v>
      </c>
      <c r="AC48">
        <f>IF(AND(Table1[[#This Row],[Throw Out Rush Eff]]="N", Table1[[#This Row],[Against FCS Team]]="N"), ROUND(((23.2 * I48) + (150 * K48) - (300 * L48)) / J48, 2), " ")</f>
        <v>52.74</v>
      </c>
      <c r="AD48" s="3">
        <f>IF(AND(Table1[[#This Row],[Throw Out Rush Def Eff]]="N", Table1[[#This Row],[Against FCS Team]]="N"), 200 - ROUND(((23.2 * U48) + (150 * W48) - (300 * X48)) / V48, 2), " ")</f>
        <v>117.95</v>
      </c>
      <c r="AE48" s="3">
        <f>ROUND(Table1[[#This Row],[Opp Passing Attempts]]/(Table1[[#This Row],[Opp Passing Attempts]]+Table1[[#This Row],[Opp Rushing Attempts]]), 2)</f>
        <v>0.45</v>
      </c>
      <c r="AF48" s="3">
        <f>1-Table1[[#This Row],[Passing Weight]]</f>
        <v>0.55000000000000004</v>
      </c>
      <c r="AG48" s="3" t="str">
        <f>IF(COUNTIF(A:A,Table1[[#This Row],[Opp Team Name]]) &gt; 0, "N", "Y")</f>
        <v>N</v>
      </c>
      <c r="AH48" s="3" t="str">
        <f>IF(Table1[[#This Row],[Passing Attempts]] &lt;15, "Y", "N")</f>
        <v>N</v>
      </c>
      <c r="AI48" s="3" t="str">
        <f>IF(Table1[[#This Row],[Rushing Attempts]] &lt; 15, "Y", "N")</f>
        <v>N</v>
      </c>
      <c r="AJ48" s="3" t="str">
        <f>IF(Table1[[#This Row],[Opp Passing Attempts]]&lt;15, "Y", "N")</f>
        <v>N</v>
      </c>
      <c r="AK48" s="3" t="str">
        <f>IF(Table1[[#This Row],[Opp Rushing Attempts]]&lt;15, "Y", "N")</f>
        <v>N</v>
      </c>
      <c r="AL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66.61</v>
      </c>
      <c r="AM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98.8</v>
      </c>
      <c r="AN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76.78</v>
      </c>
      <c r="AO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126.76</v>
      </c>
      <c r="AP48" s="3">
        <f>ABS(Table1[[#This Row],[Team Score]]-Table1[[#This Row],[Opp Team Score]])</f>
        <v>19</v>
      </c>
      <c r="AQ48" s="3">
        <f>SUM(Table1[[#This Row],[Team Score]], Table1[[#This Row],[Opp Team Score]])</f>
        <v>33</v>
      </c>
      <c r="AR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73.269999999999982</v>
      </c>
      <c r="AS48" s="3">
        <f>IF(Table1[[#This Row],[Efficiency Difference]] = " ", " ", ROUND((Table1[[#This Row],[Winning Margin]]*100)/Table1[[#This Row],[Efficiency Difference]], 2))</f>
        <v>25.93</v>
      </c>
    </row>
    <row r="49" spans="1:45">
      <c r="A49" t="s">
        <v>28</v>
      </c>
      <c r="B49">
        <v>30</v>
      </c>
      <c r="C49">
        <v>26</v>
      </c>
      <c r="D49">
        <v>419</v>
      </c>
      <c r="E49">
        <v>50</v>
      </c>
      <c r="F49">
        <v>2</v>
      </c>
      <c r="G49">
        <v>38</v>
      </c>
      <c r="H49">
        <v>0</v>
      </c>
      <c r="I49">
        <v>25</v>
      </c>
      <c r="J49">
        <v>28</v>
      </c>
      <c r="K49">
        <v>1</v>
      </c>
      <c r="L49">
        <v>0</v>
      </c>
      <c r="M49" t="s">
        <v>85</v>
      </c>
      <c r="N49">
        <v>772</v>
      </c>
      <c r="O49">
        <v>22</v>
      </c>
      <c r="P49">
        <v>159</v>
      </c>
      <c r="Q49">
        <v>24</v>
      </c>
      <c r="R49">
        <v>2</v>
      </c>
      <c r="S49">
        <v>14</v>
      </c>
      <c r="T49">
        <v>2</v>
      </c>
      <c r="U49">
        <v>152</v>
      </c>
      <c r="V49">
        <v>37</v>
      </c>
      <c r="W49">
        <v>1</v>
      </c>
      <c r="X49">
        <v>0</v>
      </c>
      <c r="Y49" t="s">
        <v>16</v>
      </c>
      <c r="Z49">
        <v>5</v>
      </c>
      <c r="AA49">
        <f>IF(AND(Table1[[#This Row],[Throw Out Pass Eff]]="N", Table1[[#This Row],[Against FCS Team]]="N"), ROUND(((5.45 * D49) + (150 * F49) + (100 * G49) - (300 * H49)) / E49, 2), " ")</f>
        <v>127.67</v>
      </c>
      <c r="AB49">
        <f>IF(AND(Table1[[#This Row],[Throw Out Pass Def Eff]]="N", Table1[[#This Row],[Against FCS Team]]="N"),200 - ROUND(((5.45 * P49) + (150 * R49) + (100 * S49) - (300 * T49)) / Q49, 2), " ")</f>
        <v>118.06</v>
      </c>
      <c r="AC49">
        <f>IF(AND(Table1[[#This Row],[Throw Out Rush Eff]]="N", Table1[[#This Row],[Against FCS Team]]="N"), ROUND(((23.2 * I49) + (150 * K49) - (300 * L49)) / J49, 2), " ")</f>
        <v>26.07</v>
      </c>
      <c r="AD49" s="3">
        <f>IF(AND(Table1[[#This Row],[Throw Out Rush Def Eff]]="N", Table1[[#This Row],[Against FCS Team]]="N"), 200 - ROUND(((23.2 * U49) + (150 * W49) - (300 * X49)) / V49, 2), " ")</f>
        <v>100.64</v>
      </c>
      <c r="AE49" s="3">
        <f>ROUND(Table1[[#This Row],[Opp Passing Attempts]]/(Table1[[#This Row],[Opp Passing Attempts]]+Table1[[#This Row],[Opp Rushing Attempts]]), 2)</f>
        <v>0.39</v>
      </c>
      <c r="AF49" s="3">
        <f>1-Table1[[#This Row],[Passing Weight]]</f>
        <v>0.61</v>
      </c>
      <c r="AG49" s="3" t="str">
        <f>IF(COUNTIF(A:A,Table1[[#This Row],[Opp Team Name]]) &gt; 0, "N", "Y")</f>
        <v>N</v>
      </c>
      <c r="AH49" s="3" t="str">
        <f>IF(Table1[[#This Row],[Passing Attempts]] &lt;15, "Y", "N")</f>
        <v>N</v>
      </c>
      <c r="AI49" s="3" t="str">
        <f>IF(Table1[[#This Row],[Rushing Attempts]] &lt; 15, "Y", "N")</f>
        <v>N</v>
      </c>
      <c r="AJ49" s="3" t="str">
        <f>IF(Table1[[#This Row],[Opp Passing Attempts]]&lt;15, "Y", "N")</f>
        <v>N</v>
      </c>
      <c r="AK49" s="3" t="str">
        <f>IF(Table1[[#This Row],[Opp Rushing Attempts]]&lt;15, "Y", "N")</f>
        <v>N</v>
      </c>
      <c r="AL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151.78</v>
      </c>
      <c r="AM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94.55</v>
      </c>
      <c r="AN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29.23</v>
      </c>
      <c r="AO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95.92</v>
      </c>
      <c r="AP49" s="3">
        <f>ABS(Table1[[#This Row],[Team Score]]-Table1[[#This Row],[Opp Team Score]])</f>
        <v>4</v>
      </c>
      <c r="AQ49" s="3">
        <f>SUM(Table1[[#This Row],[Team Score]], Table1[[#This Row],[Opp Team Score]])</f>
        <v>48</v>
      </c>
      <c r="AR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27.560000000000002</v>
      </c>
      <c r="AS49" s="3">
        <f>IF(Table1[[#This Row],[Efficiency Difference]] = " ", " ", ROUND((Table1[[#This Row],[Winning Margin]]*100)/Table1[[#This Row],[Efficiency Difference]], 2))</f>
        <v>14.51</v>
      </c>
    </row>
    <row r="50" spans="1:45">
      <c r="A50" t="s">
        <v>28</v>
      </c>
      <c r="B50">
        <v>30</v>
      </c>
      <c r="C50">
        <v>24</v>
      </c>
      <c r="D50">
        <v>261</v>
      </c>
      <c r="E50">
        <v>43</v>
      </c>
      <c r="F50">
        <v>1</v>
      </c>
      <c r="G50">
        <v>27</v>
      </c>
      <c r="H50">
        <v>3</v>
      </c>
      <c r="I50">
        <v>84</v>
      </c>
      <c r="J50">
        <v>25</v>
      </c>
      <c r="K50">
        <v>1</v>
      </c>
      <c r="L50">
        <v>1</v>
      </c>
      <c r="M50" t="s">
        <v>71</v>
      </c>
      <c r="N50">
        <v>498</v>
      </c>
      <c r="O50">
        <v>19</v>
      </c>
      <c r="P50">
        <v>298</v>
      </c>
      <c r="Q50">
        <v>55</v>
      </c>
      <c r="R50">
        <v>2</v>
      </c>
      <c r="S50">
        <v>26</v>
      </c>
      <c r="T50">
        <v>3</v>
      </c>
      <c r="U50">
        <v>69</v>
      </c>
      <c r="V50">
        <v>37</v>
      </c>
      <c r="W50">
        <v>0</v>
      </c>
      <c r="X50">
        <v>1</v>
      </c>
      <c r="Y50" t="s">
        <v>16</v>
      </c>
      <c r="Z50">
        <v>6</v>
      </c>
      <c r="AA50">
        <f>IF(AND(Table1[[#This Row],[Throw Out Pass Eff]]="N", Table1[[#This Row],[Against FCS Team]]="N"), ROUND(((5.45 * D50) + (150 * F50) + (100 * G50) - (300 * H50)) / E50, 2), " ")</f>
        <v>78.430000000000007</v>
      </c>
      <c r="AB50">
        <f>IF(AND(Table1[[#This Row],[Throw Out Pass Def Eff]]="N", Table1[[#This Row],[Against FCS Team]]="N"),200 - ROUND(((5.45 * P50) + (150 * R50) + (100 * S50) - (300 * T50)) / Q50, 2), " ")</f>
        <v>134.11000000000001</v>
      </c>
      <c r="AC50">
        <f>IF(AND(Table1[[#This Row],[Throw Out Rush Eff]]="N", Table1[[#This Row],[Against FCS Team]]="N"), ROUND(((23.2 * I50) + (150 * K50) - (300 * L50)) / J50, 2), " ")</f>
        <v>71.95</v>
      </c>
      <c r="AD50" s="3">
        <f>IF(AND(Table1[[#This Row],[Throw Out Rush Def Eff]]="N", Table1[[#This Row],[Against FCS Team]]="N"), 200 - ROUND(((23.2 * U50) + (150 * W50) - (300 * X50)) / V50, 2), " ")</f>
        <v>164.84</v>
      </c>
      <c r="AE50" s="3">
        <f>ROUND(Table1[[#This Row],[Opp Passing Attempts]]/(Table1[[#This Row],[Opp Passing Attempts]]+Table1[[#This Row],[Opp Rushing Attempts]]), 2)</f>
        <v>0.6</v>
      </c>
      <c r="AF50" s="3">
        <f>1-Table1[[#This Row],[Passing Weight]]</f>
        <v>0.4</v>
      </c>
      <c r="AG50" s="3" t="str">
        <f>IF(COUNTIF(A:A,Table1[[#This Row],[Opp Team Name]]) &gt; 0, "N", "Y")</f>
        <v>N</v>
      </c>
      <c r="AH50" s="3" t="str">
        <f>IF(Table1[[#This Row],[Passing Attempts]] &lt;15, "Y", "N")</f>
        <v>N</v>
      </c>
      <c r="AI50" s="3" t="str">
        <f>IF(Table1[[#This Row],[Rushing Attempts]] &lt; 15, "Y", "N")</f>
        <v>N</v>
      </c>
      <c r="AJ50" s="3" t="str">
        <f>IF(Table1[[#This Row],[Opp Passing Attempts]]&lt;15, "Y", "N")</f>
        <v>N</v>
      </c>
      <c r="AK50" s="3" t="str">
        <f>IF(Table1[[#This Row],[Opp Rushing Attempts]]&lt;15, "Y", "N")</f>
        <v>N</v>
      </c>
      <c r="AL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76.540000000000006</v>
      </c>
      <c r="AM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119.64</v>
      </c>
      <c r="AN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89.29</v>
      </c>
      <c r="AO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117.97</v>
      </c>
      <c r="AP50" s="3">
        <f>ABS(Table1[[#This Row],[Team Score]]-Table1[[#This Row],[Opp Team Score]])</f>
        <v>5</v>
      </c>
      <c r="AQ50" s="3">
        <f>SUM(Table1[[#This Row],[Team Score]], Table1[[#This Row],[Opp Team Score]])</f>
        <v>43</v>
      </c>
      <c r="AR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49.330000000000041</v>
      </c>
      <c r="AS50" s="3">
        <f>IF(Table1[[#This Row],[Efficiency Difference]] = " ", " ", ROUND((Table1[[#This Row],[Winning Margin]]*100)/Table1[[#This Row],[Efficiency Difference]], 2))</f>
        <v>10.14</v>
      </c>
    </row>
    <row r="51" spans="1:45">
      <c r="A51" t="s">
        <v>28</v>
      </c>
      <c r="B51">
        <v>30</v>
      </c>
      <c r="C51">
        <v>34</v>
      </c>
      <c r="D51">
        <v>147</v>
      </c>
      <c r="E51">
        <v>24</v>
      </c>
      <c r="F51">
        <v>1</v>
      </c>
      <c r="G51">
        <v>14</v>
      </c>
      <c r="H51">
        <v>1</v>
      </c>
      <c r="I51">
        <v>238</v>
      </c>
      <c r="J51">
        <v>45</v>
      </c>
      <c r="K51">
        <v>3</v>
      </c>
      <c r="L51">
        <v>0</v>
      </c>
      <c r="M51" t="s">
        <v>66</v>
      </c>
      <c r="N51">
        <v>231</v>
      </c>
      <c r="O51">
        <v>16</v>
      </c>
      <c r="P51">
        <v>223</v>
      </c>
      <c r="Q51">
        <v>37</v>
      </c>
      <c r="R51">
        <v>1</v>
      </c>
      <c r="S51">
        <v>23</v>
      </c>
      <c r="T51">
        <v>1</v>
      </c>
      <c r="U51">
        <v>66</v>
      </c>
      <c r="V51">
        <v>29</v>
      </c>
      <c r="W51">
        <v>0</v>
      </c>
      <c r="X51">
        <v>1</v>
      </c>
      <c r="Y51" t="s">
        <v>16</v>
      </c>
      <c r="Z51">
        <v>8</v>
      </c>
      <c r="AA51" s="3">
        <f>IF(AND(Table1[[#This Row],[Throw Out Pass Eff]]="N", Table1[[#This Row],[Against FCS Team]]="N"), ROUND(((5.45 * D51) + (150 * F51) + (100 * G51) - (300 * H51)) / E51, 2), " ")</f>
        <v>85.46</v>
      </c>
      <c r="AB51" s="3">
        <f>IF(AND(Table1[[#This Row],[Throw Out Pass Def Eff]]="N", Table1[[#This Row],[Against FCS Team]]="N"),200 - ROUND(((5.45 * P51) + (150 * R51) + (100 * S51) - (300 * T51)) / Q51, 2), " ")</f>
        <v>109.04</v>
      </c>
      <c r="AC51" s="3">
        <f>IF(AND(Table1[[#This Row],[Throw Out Rush Eff]]="N", Table1[[#This Row],[Against FCS Team]]="N"), ROUND(((23.2 * I51) + (150 * K51) - (300 * L51)) / J51, 2), " ")</f>
        <v>132.69999999999999</v>
      </c>
      <c r="AD51" s="3">
        <f>IF(AND(Table1[[#This Row],[Throw Out Rush Def Eff]]="N", Table1[[#This Row],[Against FCS Team]]="N"), 200 - ROUND(((23.2 * U51) + (150 * W51) - (300 * X51)) / V51, 2), " ")</f>
        <v>157.54</v>
      </c>
      <c r="AE51" s="3">
        <f>ROUND(Table1[[#This Row],[Opp Passing Attempts]]/(Table1[[#This Row],[Opp Passing Attempts]]+Table1[[#This Row],[Opp Rushing Attempts]]), 2)</f>
        <v>0.56000000000000005</v>
      </c>
      <c r="AF51" s="3">
        <f>1-Table1[[#This Row],[Passing Weight]]</f>
        <v>0.43999999999999995</v>
      </c>
      <c r="AG51" s="3" t="str">
        <f>IF(COUNTIF(A:A,Table1[[#This Row],[Opp Team Name]]) &gt; 0, "N", "Y")</f>
        <v>N</v>
      </c>
      <c r="AH51" s="3" t="str">
        <f>IF(Table1[[#This Row],[Passing Attempts]] &lt;15, "Y", "N")</f>
        <v>N</v>
      </c>
      <c r="AI51" s="3" t="str">
        <f>IF(Table1[[#This Row],[Rushing Attempts]] &lt; 15, "Y", "N")</f>
        <v>N</v>
      </c>
      <c r="AJ51" s="3" t="str">
        <f>IF(Table1[[#This Row],[Opp Passing Attempts]]&lt;15, "Y", "N")</f>
        <v>N</v>
      </c>
      <c r="AK51" s="3" t="str">
        <f>IF(Table1[[#This Row],[Opp Rushing Attempts]]&lt;15, "Y", "N")</f>
        <v>N</v>
      </c>
      <c r="AL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87.93</v>
      </c>
      <c r="AM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117.7</v>
      </c>
      <c r="AN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158.97999999999999</v>
      </c>
      <c r="AO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136.69</v>
      </c>
      <c r="AP51" s="3">
        <f>ABS(Table1[[#This Row],[Team Score]]-Table1[[#This Row],[Opp Team Score]])</f>
        <v>18</v>
      </c>
      <c r="AQ51" s="3">
        <f>SUM(Table1[[#This Row],[Team Score]], Table1[[#This Row],[Opp Team Score]])</f>
        <v>50</v>
      </c>
      <c r="AR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84.739999999999952</v>
      </c>
      <c r="AS51" s="3">
        <f>IF(Table1[[#This Row],[Efficiency Difference]] = " ", " ", ROUND((Table1[[#This Row],[Winning Margin]]*100)/Table1[[#This Row],[Efficiency Difference]], 2))</f>
        <v>21.24</v>
      </c>
    </row>
    <row r="52" spans="1:45">
      <c r="A52" t="s">
        <v>30</v>
      </c>
      <c r="B52">
        <v>725</v>
      </c>
      <c r="C52">
        <v>26</v>
      </c>
      <c r="D52">
        <v>106</v>
      </c>
      <c r="E52">
        <v>16</v>
      </c>
      <c r="F52">
        <v>1</v>
      </c>
      <c r="G52">
        <v>7</v>
      </c>
      <c r="H52">
        <v>1</v>
      </c>
      <c r="I52">
        <v>303</v>
      </c>
      <c r="J52">
        <v>63</v>
      </c>
      <c r="K52">
        <v>3</v>
      </c>
      <c r="L52">
        <v>2</v>
      </c>
      <c r="M52" t="s">
        <v>31</v>
      </c>
      <c r="N52">
        <v>503</v>
      </c>
      <c r="O52">
        <v>49</v>
      </c>
      <c r="P52">
        <v>220</v>
      </c>
      <c r="Q52">
        <v>24</v>
      </c>
      <c r="R52">
        <v>5</v>
      </c>
      <c r="S52">
        <v>15</v>
      </c>
      <c r="T52">
        <v>1</v>
      </c>
      <c r="U52">
        <v>289</v>
      </c>
      <c r="V52">
        <v>47</v>
      </c>
      <c r="W52">
        <v>1</v>
      </c>
      <c r="X52">
        <v>1</v>
      </c>
      <c r="Y52" t="s">
        <v>19</v>
      </c>
      <c r="Z52">
        <v>1</v>
      </c>
      <c r="AA52">
        <f>IF(AND(Table1[[#This Row],[Throw Out Pass Eff]]="N", Table1[[#This Row],[Against FCS Team]]="N"), ROUND(((5.45 * D52) + (150 * F52) + (100 * G52) - (300 * H52)) / E52, 2), " ")</f>
        <v>70.48</v>
      </c>
      <c r="AB52">
        <f>IF(AND(Table1[[#This Row],[Throw Out Pass Def Eff]]="N", Table1[[#This Row],[Against FCS Team]]="N"),200 - ROUND(((5.45 * P52) + (150 * R52) + (100 * S52) - (300 * T52)) / Q52, 2), " ")</f>
        <v>68.789999999999992</v>
      </c>
      <c r="AC52">
        <f>IF(AND(Table1[[#This Row],[Throw Out Rush Eff]]="N", Table1[[#This Row],[Against FCS Team]]="N"), ROUND(((23.2 * I52) + (150 * K52) - (300 * L52)) / J52, 2), " ")</f>
        <v>109.2</v>
      </c>
      <c r="AD52" s="3">
        <f>IF(AND(Table1[[#This Row],[Throw Out Rush Def Eff]]="N", Table1[[#This Row],[Against FCS Team]]="N"), 200 - ROUND(((23.2 * U52) + (150 * W52) - (300 * X52)) / V52, 2), " ")</f>
        <v>60.539999999999992</v>
      </c>
      <c r="AE52" s="3">
        <f>ROUND(Table1[[#This Row],[Opp Passing Attempts]]/(Table1[[#This Row],[Opp Passing Attempts]]+Table1[[#This Row],[Opp Rushing Attempts]]), 2)</f>
        <v>0.34</v>
      </c>
      <c r="AF52" s="3">
        <f>1-Table1[[#This Row],[Passing Weight]]</f>
        <v>0.65999999999999992</v>
      </c>
      <c r="AG52" s="3" t="str">
        <f>IF(COUNTIF(A:A,Table1[[#This Row],[Opp Team Name]]) &gt; 0, "N", "Y")</f>
        <v>N</v>
      </c>
      <c r="AH52" s="3" t="str">
        <f>IF(Table1[[#This Row],[Passing Attempts]] &lt;15, "Y", "N")</f>
        <v>N</v>
      </c>
      <c r="AI52" s="3" t="str">
        <f>IF(Table1[[#This Row],[Rushing Attempts]] &lt; 15, "Y", "N")</f>
        <v>N</v>
      </c>
      <c r="AJ52" s="3" t="str">
        <f>IF(Table1[[#This Row],[Opp Passing Attempts]]&lt;15, "Y", "N")</f>
        <v>N</v>
      </c>
      <c r="AK52" s="3" t="str">
        <f>IF(Table1[[#This Row],[Opp Rushing Attempts]]&lt;15, "Y", "N")</f>
        <v>N</v>
      </c>
      <c r="AL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69.86</v>
      </c>
      <c r="AM5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72.400000000000006</v>
      </c>
      <c r="AN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120.69</v>
      </c>
      <c r="AO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76.73</v>
      </c>
      <c r="AP52" s="3">
        <f>ABS(Table1[[#This Row],[Team Score]]-Table1[[#This Row],[Opp Team Score]])</f>
        <v>23</v>
      </c>
      <c r="AQ52" s="3">
        <f>SUM(Table1[[#This Row],[Team Score]], Table1[[#This Row],[Opp Team Score]])</f>
        <v>75</v>
      </c>
      <c r="AR5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90.990000000000009</v>
      </c>
      <c r="AS52" s="3">
        <f>IF(Table1[[#This Row],[Efficiency Difference]] = " ", " ", ROUND((Table1[[#This Row],[Winning Margin]]*100)/Table1[[#This Row],[Efficiency Difference]], 2))</f>
        <v>25.28</v>
      </c>
    </row>
    <row r="53" spans="1:45">
      <c r="A53" t="s">
        <v>30</v>
      </c>
      <c r="B53">
        <v>725</v>
      </c>
      <c r="C53">
        <v>20</v>
      </c>
      <c r="D53">
        <v>43</v>
      </c>
      <c r="E53">
        <v>7</v>
      </c>
      <c r="F53">
        <v>0</v>
      </c>
      <c r="G53">
        <v>2</v>
      </c>
      <c r="H53">
        <v>0</v>
      </c>
      <c r="I53">
        <v>403</v>
      </c>
      <c r="J53">
        <v>77</v>
      </c>
      <c r="K53">
        <v>3</v>
      </c>
      <c r="L53">
        <v>3</v>
      </c>
      <c r="M53" t="s">
        <v>126</v>
      </c>
      <c r="N53">
        <v>626</v>
      </c>
      <c r="O53">
        <v>23</v>
      </c>
      <c r="P53">
        <v>146</v>
      </c>
      <c r="Q53">
        <v>18</v>
      </c>
      <c r="R53">
        <v>1</v>
      </c>
      <c r="S53">
        <v>8</v>
      </c>
      <c r="T53">
        <v>0</v>
      </c>
      <c r="U53">
        <v>146</v>
      </c>
      <c r="V53">
        <v>25</v>
      </c>
      <c r="W53">
        <v>2</v>
      </c>
      <c r="X53">
        <v>0</v>
      </c>
      <c r="Y53" t="s">
        <v>19</v>
      </c>
      <c r="Z53">
        <v>2</v>
      </c>
      <c r="AA53" t="str">
        <f>IF(AND(Table1[[#This Row],[Throw Out Pass Eff]]="N", Table1[[#This Row],[Against FCS Team]]="N"), ROUND(((5.45 * D53) + (150 * F53) + (100 * G53) - (300 * H53)) / E53, 2), " ")</f>
        <v xml:space="preserve"> </v>
      </c>
      <c r="AB53">
        <f>IF(AND(Table1[[#This Row],[Throw Out Pass Def Eff]]="N", Table1[[#This Row],[Against FCS Team]]="N"),200 - ROUND(((5.45 * P53) + (150 * R53) + (100 * S53) - (300 * T53)) / Q53, 2), " ")</f>
        <v>103.02</v>
      </c>
      <c r="AC53">
        <f>IF(AND(Table1[[#This Row],[Throw Out Rush Eff]]="N", Table1[[#This Row],[Against FCS Team]]="N"), ROUND(((23.2 * I53) + (150 * K53) - (300 * L53)) / J53, 2), " ")</f>
        <v>115.58</v>
      </c>
      <c r="AD53" s="3">
        <f>IF(AND(Table1[[#This Row],[Throw Out Rush Def Eff]]="N", Table1[[#This Row],[Against FCS Team]]="N"), 200 - ROUND(((23.2 * U53) + (150 * W53) - (300 * X53)) / V53, 2), " ")</f>
        <v>52.509999999999991</v>
      </c>
      <c r="AE53" s="3">
        <f>ROUND(Table1[[#This Row],[Opp Passing Attempts]]/(Table1[[#This Row],[Opp Passing Attempts]]+Table1[[#This Row],[Opp Rushing Attempts]]), 2)</f>
        <v>0.42</v>
      </c>
      <c r="AF53" s="3">
        <f>1-Table1[[#This Row],[Passing Weight]]</f>
        <v>0.58000000000000007</v>
      </c>
      <c r="AG53" s="3" t="str">
        <f>IF(COUNTIF(A:A,Table1[[#This Row],[Opp Team Name]]) &gt; 0, "N", "Y")</f>
        <v>N</v>
      </c>
      <c r="AH53" s="3" t="str">
        <f>IF(Table1[[#This Row],[Passing Attempts]] &lt;15, "Y", "N")</f>
        <v>Y</v>
      </c>
      <c r="AI53" s="3" t="str">
        <f>IF(Table1[[#This Row],[Rushing Attempts]] &lt; 15, "Y", "N")</f>
        <v>N</v>
      </c>
      <c r="AJ53" s="3" t="str">
        <f>IF(Table1[[#This Row],[Opp Passing Attempts]]&lt;15, "Y", "N")</f>
        <v>N</v>
      </c>
      <c r="AK53" s="3" t="str">
        <f>IF(Table1[[#This Row],[Opp Rushing Attempts]]&lt;15, "Y", "N")</f>
        <v>N</v>
      </c>
      <c r="AL5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95.65</v>
      </c>
      <c r="AN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117.85</v>
      </c>
      <c r="AO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56.1</v>
      </c>
      <c r="AP53" s="3">
        <f>ABS(Table1[[#This Row],[Team Score]]-Table1[[#This Row],[Opp Team Score]])</f>
        <v>3</v>
      </c>
      <c r="AQ53" s="3">
        <f>SUM(Table1[[#This Row],[Team Score]], Table1[[#This Row],[Opp Team Score]])</f>
        <v>43</v>
      </c>
      <c r="AR5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3" s="3" t="str">
        <f>IF(Table1[[#This Row],[Efficiency Difference]] = " ", " ", ROUND((Table1[[#This Row],[Winning Margin]]*100)/Table1[[#This Row],[Efficiency Difference]], 2))</f>
        <v xml:space="preserve"> </v>
      </c>
    </row>
    <row r="54" spans="1:45">
      <c r="A54" t="s">
        <v>30</v>
      </c>
      <c r="B54">
        <v>725</v>
      </c>
      <c r="C54">
        <v>21</v>
      </c>
      <c r="D54">
        <v>6</v>
      </c>
      <c r="E54">
        <v>7</v>
      </c>
      <c r="F54">
        <v>0</v>
      </c>
      <c r="G54">
        <v>1</v>
      </c>
      <c r="H54">
        <v>0</v>
      </c>
      <c r="I54">
        <v>381</v>
      </c>
      <c r="J54">
        <v>75</v>
      </c>
      <c r="K54">
        <v>3</v>
      </c>
      <c r="L54">
        <v>1</v>
      </c>
      <c r="M54" t="s">
        <v>41</v>
      </c>
      <c r="N54">
        <v>509</v>
      </c>
      <c r="O54">
        <v>14</v>
      </c>
      <c r="P54">
        <v>194</v>
      </c>
      <c r="Q54">
        <v>30</v>
      </c>
      <c r="R54">
        <v>2</v>
      </c>
      <c r="S54">
        <v>17</v>
      </c>
      <c r="T54">
        <v>0</v>
      </c>
      <c r="U54">
        <v>115</v>
      </c>
      <c r="V54">
        <v>27</v>
      </c>
      <c r="W54">
        <v>0</v>
      </c>
      <c r="X54">
        <v>0</v>
      </c>
      <c r="Y54" t="s">
        <v>16</v>
      </c>
      <c r="Z54">
        <v>3</v>
      </c>
      <c r="AA54" t="str">
        <f>IF(AND(Table1[[#This Row],[Throw Out Pass Eff]]="N", Table1[[#This Row],[Against FCS Team]]="N"), ROUND(((5.45 * D54) + (150 * F54) + (100 * G54) - (300 * H54)) / E54, 2), " ")</f>
        <v xml:space="preserve"> </v>
      </c>
      <c r="AB54">
        <f>IF(AND(Table1[[#This Row],[Throw Out Pass Def Eff]]="N", Table1[[#This Row],[Against FCS Team]]="N"),200 - ROUND(((5.45 * P54) + (150 * R54) + (100 * S54) - (300 * T54)) / Q54, 2), " ")</f>
        <v>98.09</v>
      </c>
      <c r="AC54">
        <f>IF(AND(Table1[[#This Row],[Throw Out Rush Eff]]="N", Table1[[#This Row],[Against FCS Team]]="N"), ROUND(((23.2 * I54) + (150 * K54) - (300 * L54)) / J54, 2), " ")</f>
        <v>119.86</v>
      </c>
      <c r="AD54" s="3">
        <f>IF(AND(Table1[[#This Row],[Throw Out Rush Def Eff]]="N", Table1[[#This Row],[Against FCS Team]]="N"), 200 - ROUND(((23.2 * U54) + (150 * W54) - (300 * X54)) / V54, 2), " ")</f>
        <v>101.19</v>
      </c>
      <c r="AE54" s="3">
        <f>ROUND(Table1[[#This Row],[Opp Passing Attempts]]/(Table1[[#This Row],[Opp Passing Attempts]]+Table1[[#This Row],[Opp Rushing Attempts]]), 2)</f>
        <v>0.53</v>
      </c>
      <c r="AF54" s="3">
        <f>1-Table1[[#This Row],[Passing Weight]]</f>
        <v>0.47</v>
      </c>
      <c r="AG54" s="3" t="str">
        <f>IF(COUNTIF(A:A,Table1[[#This Row],[Opp Team Name]]) &gt; 0, "N", "Y")</f>
        <v>N</v>
      </c>
      <c r="AH54" s="3" t="str">
        <f>IF(Table1[[#This Row],[Passing Attempts]] &lt;15, "Y", "N")</f>
        <v>Y</v>
      </c>
      <c r="AI54" s="3" t="str">
        <f>IF(Table1[[#This Row],[Rushing Attempts]] &lt; 15, "Y", "N")</f>
        <v>N</v>
      </c>
      <c r="AJ54" s="3" t="str">
        <f>IF(Table1[[#This Row],[Opp Passing Attempts]]&lt;15, "Y", "N")</f>
        <v>N</v>
      </c>
      <c r="AK54" s="3" t="str">
        <f>IF(Table1[[#This Row],[Opp Rushing Attempts]]&lt;15, "Y", "N")</f>
        <v>N</v>
      </c>
      <c r="AL5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114.45</v>
      </c>
      <c r="AN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118.48</v>
      </c>
      <c r="AO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90.04</v>
      </c>
      <c r="AP54" s="3">
        <f>ABS(Table1[[#This Row],[Team Score]]-Table1[[#This Row],[Opp Team Score]])</f>
        <v>7</v>
      </c>
      <c r="AQ54" s="3">
        <f>SUM(Table1[[#This Row],[Team Score]], Table1[[#This Row],[Opp Team Score]])</f>
        <v>35</v>
      </c>
      <c r="AR5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4" s="3" t="str">
        <f>IF(Table1[[#This Row],[Efficiency Difference]] = " ", " ", ROUND((Table1[[#This Row],[Winning Margin]]*100)/Table1[[#This Row],[Efficiency Difference]], 2))</f>
        <v xml:space="preserve"> </v>
      </c>
    </row>
    <row r="55" spans="1:45">
      <c r="A55" t="s">
        <v>30</v>
      </c>
      <c r="B55">
        <v>725</v>
      </c>
      <c r="C55">
        <v>21</v>
      </c>
      <c r="D55">
        <v>0</v>
      </c>
      <c r="E55">
        <v>4</v>
      </c>
      <c r="F55">
        <v>0</v>
      </c>
      <c r="G55">
        <v>0</v>
      </c>
      <c r="H55">
        <v>1</v>
      </c>
      <c r="I55">
        <v>402</v>
      </c>
      <c r="J55">
        <v>59</v>
      </c>
      <c r="K55">
        <v>3</v>
      </c>
      <c r="L55">
        <v>0</v>
      </c>
      <c r="M55" t="s">
        <v>34</v>
      </c>
      <c r="N55">
        <v>47</v>
      </c>
      <c r="O55">
        <v>48</v>
      </c>
      <c r="P55">
        <v>383</v>
      </c>
      <c r="Q55">
        <v>33</v>
      </c>
      <c r="R55">
        <v>3</v>
      </c>
      <c r="S55">
        <v>26</v>
      </c>
      <c r="T55">
        <v>0</v>
      </c>
      <c r="U55">
        <v>162</v>
      </c>
      <c r="V55">
        <v>42</v>
      </c>
      <c r="W55">
        <v>3</v>
      </c>
      <c r="X55">
        <v>0</v>
      </c>
      <c r="Y55" t="s">
        <v>19</v>
      </c>
      <c r="Z55">
        <v>4</v>
      </c>
      <c r="AA55" t="str">
        <f>IF(AND(Table1[[#This Row],[Throw Out Pass Eff]]="N", Table1[[#This Row],[Against FCS Team]]="N"), ROUND(((5.45 * D55) + (150 * F55) + (100 * G55) - (300 * H55)) / E55, 2), " ")</f>
        <v xml:space="preserve"> </v>
      </c>
      <c r="AB55">
        <f>IF(AND(Table1[[#This Row],[Throw Out Pass Def Eff]]="N", Table1[[#This Row],[Against FCS Team]]="N"),200 - ROUND(((5.45 * P55) + (150 * R55) + (100 * S55) - (300 * T55)) / Q55, 2), " ")</f>
        <v>44.319999999999993</v>
      </c>
      <c r="AC55">
        <f>IF(AND(Table1[[#This Row],[Throw Out Rush Eff]]="N", Table1[[#This Row],[Against FCS Team]]="N"), ROUND(((23.2 * I55) + (150 * K55) - (300 * L55)) / J55, 2), " ")</f>
        <v>165.7</v>
      </c>
      <c r="AD55" s="3">
        <f>IF(AND(Table1[[#This Row],[Throw Out Rush Def Eff]]="N", Table1[[#This Row],[Against FCS Team]]="N"), 200 - ROUND(((23.2 * U55) + (150 * W55) - (300 * X55)) / V55, 2), " ")</f>
        <v>99.8</v>
      </c>
      <c r="AE55" s="3">
        <f>ROUND(Table1[[#This Row],[Opp Passing Attempts]]/(Table1[[#This Row],[Opp Passing Attempts]]+Table1[[#This Row],[Opp Rushing Attempts]]), 2)</f>
        <v>0.44</v>
      </c>
      <c r="AF55" s="3">
        <f>1-Table1[[#This Row],[Passing Weight]]</f>
        <v>0.56000000000000005</v>
      </c>
      <c r="AG55" s="3" t="str">
        <f>IF(COUNTIF(A:A,Table1[[#This Row],[Opp Team Name]]) &gt; 0, "N", "Y")</f>
        <v>N</v>
      </c>
      <c r="AH55" s="3" t="str">
        <f>IF(Table1[[#This Row],[Passing Attempts]] &lt;15, "Y", "N")</f>
        <v>Y</v>
      </c>
      <c r="AI55" s="3" t="str">
        <f>IF(Table1[[#This Row],[Rushing Attempts]] &lt; 15, "Y", "N")</f>
        <v>N</v>
      </c>
      <c r="AJ55" s="3" t="str">
        <f>IF(Table1[[#This Row],[Opp Passing Attempts]]&lt;15, "Y", "N")</f>
        <v>N</v>
      </c>
      <c r="AK55" s="3" t="str">
        <f>IF(Table1[[#This Row],[Opp Rushing Attempts]]&lt;15, "Y", "N")</f>
        <v>N</v>
      </c>
      <c r="AL5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43.14</v>
      </c>
      <c r="AN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143.31</v>
      </c>
      <c r="AO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85.93</v>
      </c>
      <c r="AP55" s="3">
        <f>ABS(Table1[[#This Row],[Team Score]]-Table1[[#This Row],[Opp Team Score]])</f>
        <v>27</v>
      </c>
      <c r="AQ55" s="3">
        <f>SUM(Table1[[#This Row],[Team Score]], Table1[[#This Row],[Opp Team Score]])</f>
        <v>69</v>
      </c>
      <c r="AR5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5" s="3" t="str">
        <f>IF(Table1[[#This Row],[Efficiency Difference]] = " ", " ", ROUND((Table1[[#This Row],[Winning Margin]]*100)/Table1[[#This Row],[Efficiency Difference]], 2))</f>
        <v xml:space="preserve"> </v>
      </c>
    </row>
    <row r="56" spans="1:45">
      <c r="A56" t="s">
        <v>30</v>
      </c>
      <c r="B56">
        <v>725</v>
      </c>
      <c r="C56">
        <v>45</v>
      </c>
      <c r="D56">
        <v>70</v>
      </c>
      <c r="E56">
        <v>3</v>
      </c>
      <c r="F56">
        <v>1</v>
      </c>
      <c r="G56">
        <v>3</v>
      </c>
      <c r="H56">
        <v>0</v>
      </c>
      <c r="I56">
        <v>353</v>
      </c>
      <c r="J56">
        <v>62</v>
      </c>
      <c r="K56">
        <v>5</v>
      </c>
      <c r="L56">
        <v>2</v>
      </c>
      <c r="M56" t="s">
        <v>140</v>
      </c>
      <c r="N56">
        <v>718</v>
      </c>
      <c r="O56">
        <v>6</v>
      </c>
      <c r="P56">
        <v>74</v>
      </c>
      <c r="Q56">
        <v>20</v>
      </c>
      <c r="R56">
        <v>0</v>
      </c>
      <c r="S56">
        <v>10</v>
      </c>
      <c r="T56">
        <v>2</v>
      </c>
      <c r="U56">
        <v>125</v>
      </c>
      <c r="V56">
        <v>28</v>
      </c>
      <c r="W56">
        <v>1</v>
      </c>
      <c r="X56">
        <v>2</v>
      </c>
      <c r="Y56" t="s">
        <v>16</v>
      </c>
      <c r="Z56">
        <v>5</v>
      </c>
      <c r="AA56" t="str">
        <f>IF(AND(Table1[[#This Row],[Throw Out Pass Eff]]="N", Table1[[#This Row],[Against FCS Team]]="N"), ROUND(((5.45 * D56) + (150 * F56) + (100 * G56) - (300 * H56)) / E56, 2), " ")</f>
        <v xml:space="preserve"> </v>
      </c>
      <c r="AB56">
        <f>IF(AND(Table1[[#This Row],[Throw Out Pass Def Eff]]="N", Table1[[#This Row],[Against FCS Team]]="N"),200 - ROUND(((5.45 * P56) + (150 * R56) + (100 * S56) - (300 * T56)) / Q56, 2), " ")</f>
        <v>159.82999999999998</v>
      </c>
      <c r="AC56">
        <f>IF(AND(Table1[[#This Row],[Throw Out Rush Eff]]="N", Table1[[#This Row],[Against FCS Team]]="N"), ROUND(((23.2 * I56) + (150 * K56) - (300 * L56)) / J56, 2), " ")</f>
        <v>134.51</v>
      </c>
      <c r="AD56" s="3">
        <f>IF(AND(Table1[[#This Row],[Throw Out Rush Def Eff]]="N", Table1[[#This Row],[Against FCS Team]]="N"), 200 - ROUND(((23.2 * U56) + (150 * W56) - (300 * X56)) / V56, 2), " ")</f>
        <v>112.5</v>
      </c>
      <c r="AE56" s="3">
        <f>ROUND(Table1[[#This Row],[Opp Passing Attempts]]/(Table1[[#This Row],[Opp Passing Attempts]]+Table1[[#This Row],[Opp Rushing Attempts]]), 2)</f>
        <v>0.42</v>
      </c>
      <c r="AF56" s="3">
        <f>1-Table1[[#This Row],[Passing Weight]]</f>
        <v>0.58000000000000007</v>
      </c>
      <c r="AG56" s="3" t="str">
        <f>IF(COUNTIF(A:A,Table1[[#This Row],[Opp Team Name]]) &gt; 0, "N", "Y")</f>
        <v>N</v>
      </c>
      <c r="AH56" s="3" t="str">
        <f>IF(Table1[[#This Row],[Passing Attempts]] &lt;15, "Y", "N")</f>
        <v>Y</v>
      </c>
      <c r="AI56" s="3" t="str">
        <f>IF(Table1[[#This Row],[Rushing Attempts]] &lt; 15, "Y", "N")</f>
        <v>N</v>
      </c>
      <c r="AJ56" s="3" t="str">
        <f>IF(Table1[[#This Row],[Opp Passing Attempts]]&lt;15, "Y", "N")</f>
        <v>N</v>
      </c>
      <c r="AK56" s="3" t="str">
        <f>IF(Table1[[#This Row],[Opp Rushing Attempts]]&lt;15, "Y", "N")</f>
        <v>N</v>
      </c>
      <c r="AL56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153.25</v>
      </c>
      <c r="AN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136.76</v>
      </c>
      <c r="AO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94.32</v>
      </c>
      <c r="AP56" s="3">
        <f>ABS(Table1[[#This Row],[Team Score]]-Table1[[#This Row],[Opp Team Score]])</f>
        <v>39</v>
      </c>
      <c r="AQ56" s="3">
        <f>SUM(Table1[[#This Row],[Team Score]], Table1[[#This Row],[Opp Team Score]])</f>
        <v>51</v>
      </c>
      <c r="AR5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6" s="3" t="str">
        <f>IF(Table1[[#This Row],[Efficiency Difference]] = " ", " ", ROUND((Table1[[#This Row],[Winning Margin]]*100)/Table1[[#This Row],[Efficiency Difference]], 2))</f>
        <v xml:space="preserve"> </v>
      </c>
    </row>
    <row r="57" spans="1:45">
      <c r="A57" t="s">
        <v>30</v>
      </c>
      <c r="B57">
        <v>725</v>
      </c>
      <c r="C57">
        <v>28</v>
      </c>
      <c r="D57">
        <v>124</v>
      </c>
      <c r="E57">
        <v>9</v>
      </c>
      <c r="F57">
        <v>1</v>
      </c>
      <c r="G57">
        <v>8</v>
      </c>
      <c r="H57">
        <v>0</v>
      </c>
      <c r="I57">
        <v>326</v>
      </c>
      <c r="J57">
        <v>65</v>
      </c>
      <c r="K57">
        <v>3</v>
      </c>
      <c r="L57">
        <v>2</v>
      </c>
      <c r="M57" t="s">
        <v>96</v>
      </c>
      <c r="N57">
        <v>414</v>
      </c>
      <c r="O57">
        <v>35</v>
      </c>
      <c r="P57">
        <v>342</v>
      </c>
      <c r="Q57">
        <v>37</v>
      </c>
      <c r="R57">
        <v>4</v>
      </c>
      <c r="S57">
        <v>24</v>
      </c>
      <c r="T57">
        <v>0</v>
      </c>
      <c r="U57">
        <v>161</v>
      </c>
      <c r="V57">
        <v>33</v>
      </c>
      <c r="W57">
        <v>1</v>
      </c>
      <c r="X57">
        <v>1</v>
      </c>
      <c r="Y57" t="s">
        <v>19</v>
      </c>
      <c r="Z57">
        <v>6</v>
      </c>
      <c r="AA57" t="str">
        <f>IF(AND(Table1[[#This Row],[Throw Out Pass Eff]]="N", Table1[[#This Row],[Against FCS Team]]="N"), ROUND(((5.45 * D57) + (150 * F57) + (100 * G57) - (300 * H57)) / E57, 2), " ")</f>
        <v xml:space="preserve"> </v>
      </c>
      <c r="AB57">
        <f>IF(AND(Table1[[#This Row],[Throw Out Pass Def Eff]]="N", Table1[[#This Row],[Against FCS Team]]="N"),200 - ROUND(((5.45 * P57) + (150 * R57) + (100 * S57) - (300 * T57)) / Q57, 2), " ")</f>
        <v>68.539999999999992</v>
      </c>
      <c r="AC57">
        <f>IF(AND(Table1[[#This Row],[Throw Out Rush Eff]]="N", Table1[[#This Row],[Against FCS Team]]="N"), ROUND(((23.2 * I57) + (150 * K57) - (300 * L57)) / J57, 2), " ")</f>
        <v>114.05</v>
      </c>
      <c r="AD57" s="3">
        <f>IF(AND(Table1[[#This Row],[Throw Out Rush Def Eff]]="N", Table1[[#This Row],[Against FCS Team]]="N"), 200 - ROUND(((23.2 * U57) + (150 * W57) - (300 * X57)) / V57, 2), " ")</f>
        <v>91.36</v>
      </c>
      <c r="AE57" s="3">
        <f>ROUND(Table1[[#This Row],[Opp Passing Attempts]]/(Table1[[#This Row],[Opp Passing Attempts]]+Table1[[#This Row],[Opp Rushing Attempts]]), 2)</f>
        <v>0.53</v>
      </c>
      <c r="AF57" s="3">
        <f>1-Table1[[#This Row],[Passing Weight]]</f>
        <v>0.47</v>
      </c>
      <c r="AG57" s="3" t="str">
        <f>IF(COUNTIF(A:A,Table1[[#This Row],[Opp Team Name]]) &gt; 0, "N", "Y")</f>
        <v>N</v>
      </c>
      <c r="AH57" s="3" t="str">
        <f>IF(Table1[[#This Row],[Passing Attempts]] &lt;15, "Y", "N")</f>
        <v>Y</v>
      </c>
      <c r="AI57" s="3" t="str">
        <f>IF(Table1[[#This Row],[Rushing Attempts]] &lt; 15, "Y", "N")</f>
        <v>N</v>
      </c>
      <c r="AJ57" s="3" t="str">
        <f>IF(Table1[[#This Row],[Opp Passing Attempts]]&lt;15, "Y", "N")</f>
        <v>N</v>
      </c>
      <c r="AK57" s="3" t="str">
        <f>IF(Table1[[#This Row],[Opp Rushing Attempts]]&lt;15, "Y", "N")</f>
        <v>N</v>
      </c>
      <c r="AL5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66.37</v>
      </c>
      <c r="AN5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114.86</v>
      </c>
      <c r="AO5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37.86</v>
      </c>
      <c r="AP57" s="3">
        <f>ABS(Table1[[#This Row],[Team Score]]-Table1[[#This Row],[Opp Team Score]])</f>
        <v>7</v>
      </c>
      <c r="AQ57" s="3">
        <f>SUM(Table1[[#This Row],[Team Score]], Table1[[#This Row],[Opp Team Score]])</f>
        <v>63</v>
      </c>
      <c r="AR5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7" s="3" t="str">
        <f>IF(Table1[[#This Row],[Efficiency Difference]] = " ", " ", ROUND((Table1[[#This Row],[Winning Margin]]*100)/Table1[[#This Row],[Efficiency Difference]], 2))</f>
        <v xml:space="preserve"> </v>
      </c>
    </row>
    <row r="58" spans="1:45">
      <c r="A58" t="s">
        <v>30</v>
      </c>
      <c r="B58">
        <v>725</v>
      </c>
      <c r="C58">
        <v>21</v>
      </c>
      <c r="D58">
        <v>18</v>
      </c>
      <c r="E58">
        <v>6</v>
      </c>
      <c r="F58">
        <v>0</v>
      </c>
      <c r="G58">
        <v>1</v>
      </c>
      <c r="H58">
        <v>0</v>
      </c>
      <c r="I58">
        <v>270</v>
      </c>
      <c r="J58">
        <v>51</v>
      </c>
      <c r="K58">
        <v>2</v>
      </c>
      <c r="L58">
        <v>3</v>
      </c>
      <c r="M58" t="s">
        <v>152</v>
      </c>
      <c r="N58">
        <v>736</v>
      </c>
      <c r="O58">
        <v>44</v>
      </c>
      <c r="P58">
        <v>186</v>
      </c>
      <c r="Q58">
        <v>27</v>
      </c>
      <c r="R58">
        <v>1</v>
      </c>
      <c r="S58">
        <v>10</v>
      </c>
      <c r="T58">
        <v>2</v>
      </c>
      <c r="U58">
        <v>344</v>
      </c>
      <c r="V58">
        <v>54</v>
      </c>
      <c r="W58">
        <v>5</v>
      </c>
      <c r="X58">
        <v>0</v>
      </c>
      <c r="Y58" t="s">
        <v>19</v>
      </c>
      <c r="Z58">
        <v>8</v>
      </c>
      <c r="AA58" s="3" t="str">
        <f>IF(AND(Table1[[#This Row],[Throw Out Pass Eff]]="N", Table1[[#This Row],[Against FCS Team]]="N"), ROUND(((5.45 * D58) + (150 * F58) + (100 * G58) - (300 * H58)) / E58, 2), " ")</f>
        <v xml:space="preserve"> </v>
      </c>
      <c r="AB58" s="3">
        <f>IF(AND(Table1[[#This Row],[Throw Out Pass Def Eff]]="N", Table1[[#This Row],[Against FCS Team]]="N"),200 - ROUND(((5.45 * P58) + (150 * R58) + (100 * S58) - (300 * T58)) / Q58, 2), " ")</f>
        <v>142.09</v>
      </c>
      <c r="AC58" s="3">
        <f>IF(AND(Table1[[#This Row],[Throw Out Rush Eff]]="N", Table1[[#This Row],[Against FCS Team]]="N"), ROUND(((23.2 * I58) + (150 * K58) - (300 * L58)) / J58, 2), " ")</f>
        <v>111.06</v>
      </c>
      <c r="AD58" s="3">
        <f>IF(AND(Table1[[#This Row],[Throw Out Rush Def Eff]]="N", Table1[[#This Row],[Against FCS Team]]="N"), 200 - ROUND(((23.2 * U58) + (150 * W58) - (300 * X58)) / V58, 2), " ")</f>
        <v>38.319999999999993</v>
      </c>
      <c r="AE58" s="3">
        <f>ROUND(Table1[[#This Row],[Opp Passing Attempts]]/(Table1[[#This Row],[Opp Passing Attempts]]+Table1[[#This Row],[Opp Rushing Attempts]]), 2)</f>
        <v>0.33</v>
      </c>
      <c r="AF58" s="3">
        <f>1-Table1[[#This Row],[Passing Weight]]</f>
        <v>0.66999999999999993</v>
      </c>
      <c r="AG58" s="3" t="str">
        <f>IF(COUNTIF(A:A,Table1[[#This Row],[Opp Team Name]]) &gt; 0, "N", "Y")</f>
        <v>N</v>
      </c>
      <c r="AH58" s="3" t="str">
        <f>IF(Table1[[#This Row],[Passing Attempts]] &lt;15, "Y", "N")</f>
        <v>Y</v>
      </c>
      <c r="AI58" s="3" t="str">
        <f>IF(Table1[[#This Row],[Rushing Attempts]] &lt; 15, "Y", "N")</f>
        <v>N</v>
      </c>
      <c r="AJ58" s="3" t="str">
        <f>IF(Table1[[#This Row],[Opp Passing Attempts]]&lt;15, "Y", "N")</f>
        <v>N</v>
      </c>
      <c r="AK58" s="3" t="str">
        <f>IF(Table1[[#This Row],[Opp Rushing Attempts]]&lt;15, "Y", "N")</f>
        <v>N</v>
      </c>
      <c r="AL5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89.22</v>
      </c>
      <c r="AN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135.62</v>
      </c>
      <c r="AO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33.880000000000003</v>
      </c>
      <c r="AP58" s="3">
        <f>ABS(Table1[[#This Row],[Team Score]]-Table1[[#This Row],[Opp Team Score]])</f>
        <v>23</v>
      </c>
      <c r="AQ58" s="3">
        <f>SUM(Table1[[#This Row],[Team Score]], Table1[[#This Row],[Opp Team Score]])</f>
        <v>65</v>
      </c>
      <c r="AR5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8" s="3" t="str">
        <f>IF(Table1[[#This Row],[Efficiency Difference]] = " ", " ", ROUND((Table1[[#This Row],[Winning Margin]]*100)/Table1[[#This Row],[Efficiency Difference]], 2))</f>
        <v xml:space="preserve"> </v>
      </c>
    </row>
    <row r="59" spans="1:45">
      <c r="A59" t="s">
        <v>32</v>
      </c>
      <c r="B59">
        <v>37</v>
      </c>
      <c r="C59">
        <v>42</v>
      </c>
      <c r="D59">
        <v>286</v>
      </c>
      <c r="E59">
        <v>24</v>
      </c>
      <c r="F59">
        <v>3</v>
      </c>
      <c r="G59">
        <v>18</v>
      </c>
      <c r="H59">
        <v>0</v>
      </c>
      <c r="I59">
        <v>78</v>
      </c>
      <c r="J59">
        <v>30</v>
      </c>
      <c r="K59">
        <v>2</v>
      </c>
      <c r="L59">
        <v>0</v>
      </c>
      <c r="M59" t="s">
        <v>33</v>
      </c>
      <c r="N59">
        <v>731</v>
      </c>
      <c r="O59">
        <v>38</v>
      </c>
      <c r="P59">
        <v>221</v>
      </c>
      <c r="Q59">
        <v>31</v>
      </c>
      <c r="R59">
        <v>0</v>
      </c>
      <c r="S59">
        <v>22</v>
      </c>
      <c r="T59">
        <v>0</v>
      </c>
      <c r="U59">
        <v>227</v>
      </c>
      <c r="V59">
        <v>53</v>
      </c>
      <c r="W59">
        <v>5</v>
      </c>
      <c r="X59">
        <v>0</v>
      </c>
      <c r="Y59" t="s">
        <v>16</v>
      </c>
      <c r="Z59">
        <v>1</v>
      </c>
      <c r="AA59">
        <f>IF(AND(Table1[[#This Row],[Throw Out Pass Eff]]="N", Table1[[#This Row],[Against FCS Team]]="N"), ROUND(((5.45 * D59) + (150 * F59) + (100 * G59) - (300 * H59)) / E59, 2), " ")</f>
        <v>158.69999999999999</v>
      </c>
      <c r="AB59">
        <f>IF(AND(Table1[[#This Row],[Throw Out Pass Def Eff]]="N", Table1[[#This Row],[Against FCS Team]]="N"),200 - ROUND(((5.45 * P59) + (150 * R59) + (100 * S59) - (300 * T59)) / Q59, 2), " ")</f>
        <v>90.18</v>
      </c>
      <c r="AC59">
        <f>IF(AND(Table1[[#This Row],[Throw Out Rush Eff]]="N", Table1[[#This Row],[Against FCS Team]]="N"), ROUND(((23.2 * I59) + (150 * K59) - (300 * L59)) / J59, 2), " ")</f>
        <v>70.319999999999993</v>
      </c>
      <c r="AD59" s="3">
        <f>IF(AND(Table1[[#This Row],[Throw Out Rush Def Eff]]="N", Table1[[#This Row],[Against FCS Team]]="N"), 200 - ROUND(((23.2 * U59) + (150 * W59) - (300 * X59)) / V59, 2), " ")</f>
        <v>86.48</v>
      </c>
      <c r="AE59" s="3">
        <f>ROUND(Table1[[#This Row],[Opp Passing Attempts]]/(Table1[[#This Row],[Opp Passing Attempts]]+Table1[[#This Row],[Opp Rushing Attempts]]), 2)</f>
        <v>0.37</v>
      </c>
      <c r="AF59" s="3">
        <f>1-Table1[[#This Row],[Passing Weight]]</f>
        <v>0.63</v>
      </c>
      <c r="AG59" s="3" t="str">
        <f>IF(COUNTIF(A:A,Table1[[#This Row],[Opp Team Name]]) &gt; 0, "N", "Y")</f>
        <v>N</v>
      </c>
      <c r="AH59" s="3" t="str">
        <f>IF(Table1[[#This Row],[Passing Attempts]] &lt;15, "Y", "N")</f>
        <v>N</v>
      </c>
      <c r="AI59" s="3" t="str">
        <f>IF(Table1[[#This Row],[Rushing Attempts]] &lt; 15, "Y", "N")</f>
        <v>N</v>
      </c>
      <c r="AJ59" s="3" t="str">
        <f>IF(Table1[[#This Row],[Opp Passing Attempts]]&lt;15, "Y", "N")</f>
        <v>N</v>
      </c>
      <c r="AK59" s="3" t="str">
        <f>IF(Table1[[#This Row],[Opp Rushing Attempts]]&lt;15, "Y", "N")</f>
        <v>N</v>
      </c>
      <c r="AL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157.36000000000001</v>
      </c>
      <c r="AM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93.6</v>
      </c>
      <c r="AN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85.84</v>
      </c>
      <c r="AO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113.02</v>
      </c>
      <c r="AP59" s="3">
        <f>ABS(Table1[[#This Row],[Team Score]]-Table1[[#This Row],[Opp Team Score]])</f>
        <v>4</v>
      </c>
      <c r="AQ59" s="3">
        <f>SUM(Table1[[#This Row],[Team Score]], Table1[[#This Row],[Opp Team Score]])</f>
        <v>80</v>
      </c>
      <c r="AR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5.6800000000000068</v>
      </c>
      <c r="AS59" s="3">
        <f>IF(Table1[[#This Row],[Efficiency Difference]] = " ", " ", ROUND((Table1[[#This Row],[Winning Margin]]*100)/Table1[[#This Row],[Efficiency Difference]], 2))</f>
        <v>70.42</v>
      </c>
    </row>
    <row r="60" spans="1:45">
      <c r="A60" t="s">
        <v>32</v>
      </c>
      <c r="B60">
        <v>37</v>
      </c>
      <c r="C60">
        <v>41</v>
      </c>
      <c r="D60">
        <v>146</v>
      </c>
      <c r="E60">
        <v>23</v>
      </c>
      <c r="F60">
        <v>2</v>
      </c>
      <c r="G60">
        <v>16</v>
      </c>
      <c r="H60">
        <v>1</v>
      </c>
      <c r="I60">
        <v>235</v>
      </c>
      <c r="J60">
        <v>36</v>
      </c>
      <c r="K60">
        <v>2</v>
      </c>
      <c r="L60">
        <v>0</v>
      </c>
      <c r="M60" t="s">
        <v>95</v>
      </c>
      <c r="N60">
        <v>430</v>
      </c>
      <c r="O60">
        <v>34</v>
      </c>
      <c r="P60">
        <v>198</v>
      </c>
      <c r="Q60">
        <v>34</v>
      </c>
      <c r="R60">
        <v>1</v>
      </c>
      <c r="S60">
        <v>21</v>
      </c>
      <c r="T60">
        <v>1</v>
      </c>
      <c r="U60">
        <v>333</v>
      </c>
      <c r="V60">
        <v>63</v>
      </c>
      <c r="W60">
        <v>2</v>
      </c>
      <c r="X60">
        <v>0</v>
      </c>
      <c r="Y60" t="s">
        <v>16</v>
      </c>
      <c r="Z60">
        <v>2</v>
      </c>
      <c r="AA60">
        <f>IF(AND(Table1[[#This Row],[Throw Out Pass Eff]]="N", Table1[[#This Row],[Against FCS Team]]="N"), ROUND(((5.45 * D60) + (150 * F60) + (100 * G60) - (300 * H60)) / E60, 2), " ")</f>
        <v>104.16</v>
      </c>
      <c r="AB60">
        <f>IF(AND(Table1[[#This Row],[Throw Out Pass Def Eff]]="N", Table1[[#This Row],[Against FCS Team]]="N"),200 - ROUND(((5.45 * P60) + (150 * R60) + (100 * S60) - (300 * T60)) / Q60, 2), " ")</f>
        <v>110.91</v>
      </c>
      <c r="AC60">
        <f>IF(AND(Table1[[#This Row],[Throw Out Rush Eff]]="N", Table1[[#This Row],[Against FCS Team]]="N"), ROUND(((23.2 * I60) + (150 * K60) - (300 * L60)) / J60, 2), " ")</f>
        <v>159.78</v>
      </c>
      <c r="AD60" s="3">
        <f>IF(AND(Table1[[#This Row],[Throw Out Rush Def Eff]]="N", Table1[[#This Row],[Against FCS Team]]="N"), 200 - ROUND(((23.2 * U60) + (150 * W60) - (300 * X60)) / V60, 2), " ")</f>
        <v>72.61</v>
      </c>
      <c r="AE60" s="3">
        <f>ROUND(Table1[[#This Row],[Opp Passing Attempts]]/(Table1[[#This Row],[Opp Passing Attempts]]+Table1[[#This Row],[Opp Rushing Attempts]]), 2)</f>
        <v>0.35</v>
      </c>
      <c r="AF60" s="3">
        <f>1-Table1[[#This Row],[Passing Weight]]</f>
        <v>0.65</v>
      </c>
      <c r="AG60" s="3" t="str">
        <f>IF(COUNTIF(A:A,Table1[[#This Row],[Opp Team Name]]) &gt; 0, "N", "Y")</f>
        <v>N</v>
      </c>
      <c r="AH60" s="3" t="str">
        <f>IF(Table1[[#This Row],[Passing Attempts]] &lt;15, "Y", "N")</f>
        <v>N</v>
      </c>
      <c r="AI60" s="3" t="str">
        <f>IF(Table1[[#This Row],[Rushing Attempts]] &lt; 15, "Y", "N")</f>
        <v>N</v>
      </c>
      <c r="AJ60" s="3" t="str">
        <f>IF(Table1[[#This Row],[Opp Passing Attempts]]&lt;15, "Y", "N")</f>
        <v>N</v>
      </c>
      <c r="AK60" s="3" t="str">
        <f>IF(Table1[[#This Row],[Opp Rushing Attempts]]&lt;15, "Y", "N")</f>
        <v>N</v>
      </c>
      <c r="AL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116.17</v>
      </c>
      <c r="AM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99.07</v>
      </c>
      <c r="AN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180.01</v>
      </c>
      <c r="AO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70.66</v>
      </c>
      <c r="AP60" s="3">
        <f>ABS(Table1[[#This Row],[Team Score]]-Table1[[#This Row],[Opp Team Score]])</f>
        <v>7</v>
      </c>
      <c r="AQ60" s="3">
        <f>SUM(Table1[[#This Row],[Team Score]], Table1[[#This Row],[Opp Team Score]])</f>
        <v>75</v>
      </c>
      <c r="AR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47.45999999999998</v>
      </c>
      <c r="AS60" s="3">
        <f>IF(Table1[[#This Row],[Efficiency Difference]] = " ", " ", ROUND((Table1[[#This Row],[Winning Margin]]*100)/Table1[[#This Row],[Efficiency Difference]], 2))</f>
        <v>14.75</v>
      </c>
    </row>
    <row r="61" spans="1:45">
      <c r="A61" t="s">
        <v>32</v>
      </c>
      <c r="B61">
        <v>37</v>
      </c>
      <c r="C61">
        <v>24</v>
      </c>
      <c r="D61">
        <v>198</v>
      </c>
      <c r="E61">
        <v>25</v>
      </c>
      <c r="F61">
        <v>1</v>
      </c>
      <c r="G61">
        <v>12</v>
      </c>
      <c r="H61">
        <v>1</v>
      </c>
      <c r="I61">
        <v>237</v>
      </c>
      <c r="J61">
        <v>38</v>
      </c>
      <c r="K61">
        <v>2</v>
      </c>
      <c r="L61">
        <v>0</v>
      </c>
      <c r="M61" t="s">
        <v>54</v>
      </c>
      <c r="N61">
        <v>147</v>
      </c>
      <c r="O61">
        <v>38</v>
      </c>
      <c r="P61">
        <v>386</v>
      </c>
      <c r="Q61">
        <v>42</v>
      </c>
      <c r="R61">
        <v>4</v>
      </c>
      <c r="S61">
        <v>30</v>
      </c>
      <c r="T61">
        <v>0</v>
      </c>
      <c r="U61">
        <v>238</v>
      </c>
      <c r="V61">
        <v>50</v>
      </c>
      <c r="W61">
        <v>1</v>
      </c>
      <c r="X61">
        <v>1</v>
      </c>
      <c r="Y61" t="s">
        <v>19</v>
      </c>
      <c r="Z61">
        <v>3</v>
      </c>
      <c r="AA61">
        <f>IF(AND(Table1[[#This Row],[Throw Out Pass Eff]]="N", Table1[[#This Row],[Against FCS Team]]="N"), ROUND(((5.45 * D61) + (150 * F61) + (100 * G61) - (300 * H61)) / E61, 2), " ")</f>
        <v>85.16</v>
      </c>
      <c r="AB61">
        <f>IF(AND(Table1[[#This Row],[Throw Out Pass Def Eff]]="N", Table1[[#This Row],[Against FCS Team]]="N"),200 - ROUND(((5.45 * P61) + (150 * R61) + (100 * S61) - (300 * T61)) / Q61, 2), " ")</f>
        <v>64.199999999999989</v>
      </c>
      <c r="AC61">
        <f>IF(AND(Table1[[#This Row],[Throw Out Rush Eff]]="N", Table1[[#This Row],[Against FCS Team]]="N"), ROUND(((23.2 * I61) + (150 * K61) - (300 * L61)) / J61, 2), " ")</f>
        <v>152.59</v>
      </c>
      <c r="AD61" s="3">
        <f>IF(AND(Table1[[#This Row],[Throw Out Rush Def Eff]]="N", Table1[[#This Row],[Against FCS Team]]="N"), 200 - ROUND(((23.2 * U61) + (150 * W61) - (300 * X61)) / V61, 2), " ")</f>
        <v>92.57</v>
      </c>
      <c r="AE61" s="3">
        <f>ROUND(Table1[[#This Row],[Opp Passing Attempts]]/(Table1[[#This Row],[Opp Passing Attempts]]+Table1[[#This Row],[Opp Rushing Attempts]]), 2)</f>
        <v>0.46</v>
      </c>
      <c r="AF61" s="3">
        <f>1-Table1[[#This Row],[Passing Weight]]</f>
        <v>0.54</v>
      </c>
      <c r="AG61" s="3" t="str">
        <f>IF(COUNTIF(A:A,Table1[[#This Row],[Opp Team Name]]) &gt; 0, "N", "Y")</f>
        <v>N</v>
      </c>
      <c r="AH61" s="3" t="str">
        <f>IF(Table1[[#This Row],[Passing Attempts]] &lt;15, "Y", "N")</f>
        <v>N</v>
      </c>
      <c r="AI61" s="3" t="str">
        <f>IF(Table1[[#This Row],[Rushing Attempts]] &lt; 15, "Y", "N")</f>
        <v>N</v>
      </c>
      <c r="AJ61" s="3" t="str">
        <f>IF(Table1[[#This Row],[Opp Passing Attempts]]&lt;15, "Y", "N")</f>
        <v>N</v>
      </c>
      <c r="AK61" s="3" t="str">
        <f>IF(Table1[[#This Row],[Opp Rushing Attempts]]&lt;15, "Y", "N")</f>
        <v>N</v>
      </c>
      <c r="AL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95.34</v>
      </c>
      <c r="AM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73.19</v>
      </c>
      <c r="AN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163.46</v>
      </c>
      <c r="AO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91.6</v>
      </c>
      <c r="AP61" s="3">
        <f>ABS(Table1[[#This Row],[Team Score]]-Table1[[#This Row],[Opp Team Score]])</f>
        <v>14</v>
      </c>
      <c r="AQ61" s="3">
        <f>SUM(Table1[[#This Row],[Team Score]], Table1[[#This Row],[Opp Team Score]])</f>
        <v>62</v>
      </c>
      <c r="AR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5.4800000000000182</v>
      </c>
      <c r="AS61" s="3">
        <f>IF(Table1[[#This Row],[Efficiency Difference]] = " ", " ", ROUND((Table1[[#This Row],[Winning Margin]]*100)/Table1[[#This Row],[Efficiency Difference]], 2))</f>
        <v>255.47</v>
      </c>
    </row>
    <row r="62" spans="1:45">
      <c r="A62" t="s">
        <v>32</v>
      </c>
      <c r="B62">
        <v>37</v>
      </c>
      <c r="C62">
        <v>30</v>
      </c>
      <c r="D62">
        <v>178</v>
      </c>
      <c r="E62">
        <v>29</v>
      </c>
      <c r="F62">
        <v>2</v>
      </c>
      <c r="G62">
        <v>16</v>
      </c>
      <c r="H62">
        <v>1</v>
      </c>
      <c r="I62">
        <v>137</v>
      </c>
      <c r="J62">
        <v>33</v>
      </c>
      <c r="K62">
        <v>0</v>
      </c>
      <c r="L62">
        <v>0</v>
      </c>
      <c r="M62" t="s">
        <v>68</v>
      </c>
      <c r="N62">
        <v>229</v>
      </c>
      <c r="O62">
        <v>14</v>
      </c>
      <c r="P62">
        <v>199</v>
      </c>
      <c r="Q62">
        <v>32</v>
      </c>
      <c r="R62">
        <v>1</v>
      </c>
      <c r="S62">
        <v>21</v>
      </c>
      <c r="T62">
        <v>3</v>
      </c>
      <c r="U62">
        <v>108</v>
      </c>
      <c r="V62">
        <v>34</v>
      </c>
      <c r="W62">
        <v>0</v>
      </c>
      <c r="X62">
        <v>0</v>
      </c>
      <c r="Y62" t="s">
        <v>16</v>
      </c>
      <c r="Z62">
        <v>4</v>
      </c>
      <c r="AA62">
        <f>IF(AND(Table1[[#This Row],[Throw Out Pass Eff]]="N", Table1[[#This Row],[Against FCS Team]]="N"), ROUND(((5.45 * D62) + (150 * F62) + (100 * G62) - (300 * H62)) / E62, 2), " ")</f>
        <v>88.62</v>
      </c>
      <c r="AB62">
        <f>IF(AND(Table1[[#This Row],[Throw Out Pass Def Eff]]="N", Table1[[#This Row],[Against FCS Team]]="N"),200 - ROUND(((5.45 * P62) + (150 * R62) + (100 * S62) - (300 * T62)) / Q62, 2), " ")</f>
        <v>123.92</v>
      </c>
      <c r="AC62">
        <f>IF(AND(Table1[[#This Row],[Throw Out Rush Eff]]="N", Table1[[#This Row],[Against FCS Team]]="N"), ROUND(((23.2 * I62) + (150 * K62) - (300 * L62)) / J62, 2), " ")</f>
        <v>96.32</v>
      </c>
      <c r="AD62" s="3">
        <f>IF(AND(Table1[[#This Row],[Throw Out Rush Def Eff]]="N", Table1[[#This Row],[Against FCS Team]]="N"), 200 - ROUND(((23.2 * U62) + (150 * W62) - (300 * X62)) / V62, 2), " ")</f>
        <v>126.31</v>
      </c>
      <c r="AE62" s="3">
        <f>ROUND(Table1[[#This Row],[Opp Passing Attempts]]/(Table1[[#This Row],[Opp Passing Attempts]]+Table1[[#This Row],[Opp Rushing Attempts]]), 2)</f>
        <v>0.48</v>
      </c>
      <c r="AF62" s="3">
        <f>1-Table1[[#This Row],[Passing Weight]]</f>
        <v>0.52</v>
      </c>
      <c r="AG62" s="3" t="str">
        <f>IF(COUNTIF(A:A,Table1[[#This Row],[Opp Team Name]]) &gt; 0, "N", "Y")</f>
        <v>N</v>
      </c>
      <c r="AH62" s="3" t="str">
        <f>IF(Table1[[#This Row],[Passing Attempts]] &lt;15, "Y", "N")</f>
        <v>N</v>
      </c>
      <c r="AI62" s="3" t="str">
        <f>IF(Table1[[#This Row],[Rushing Attempts]] &lt; 15, "Y", "N")</f>
        <v>N</v>
      </c>
      <c r="AJ62" s="3" t="str">
        <f>IF(Table1[[#This Row],[Opp Passing Attempts]]&lt;15, "Y", "N")</f>
        <v>N</v>
      </c>
      <c r="AK62" s="3" t="str">
        <f>IF(Table1[[#This Row],[Opp Rushing Attempts]]&lt;15, "Y", "N")</f>
        <v>N</v>
      </c>
      <c r="AL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88.8</v>
      </c>
      <c r="AM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87.29</v>
      </c>
      <c r="AN6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100.91</v>
      </c>
      <c r="AO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70.2</v>
      </c>
      <c r="AP62" s="3">
        <f>ABS(Table1[[#This Row],[Team Score]]-Table1[[#This Row],[Opp Team Score]])</f>
        <v>16</v>
      </c>
      <c r="AQ62" s="3">
        <f>SUM(Table1[[#This Row],[Team Score]], Table1[[#This Row],[Opp Team Score]])</f>
        <v>44</v>
      </c>
      <c r="AR6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35.170000000000016</v>
      </c>
      <c r="AS62" s="3">
        <f>IF(Table1[[#This Row],[Efficiency Difference]] = " ", " ", ROUND((Table1[[#This Row],[Winning Margin]]*100)/Table1[[#This Row],[Efficiency Difference]], 2))</f>
        <v>45.49</v>
      </c>
    </row>
    <row r="63" spans="1:45">
      <c r="A63" t="s">
        <v>32</v>
      </c>
      <c r="B63">
        <v>37</v>
      </c>
      <c r="C63">
        <v>16</v>
      </c>
      <c r="D63">
        <v>112</v>
      </c>
      <c r="E63">
        <v>25</v>
      </c>
      <c r="F63">
        <v>1</v>
      </c>
      <c r="G63">
        <v>12</v>
      </c>
      <c r="H63">
        <v>4</v>
      </c>
      <c r="I63">
        <v>246</v>
      </c>
      <c r="J63">
        <v>67</v>
      </c>
      <c r="K63">
        <v>1</v>
      </c>
      <c r="L63">
        <v>0</v>
      </c>
      <c r="M63" t="s">
        <v>65</v>
      </c>
      <c r="N63">
        <v>648</v>
      </c>
      <c r="O63">
        <v>13</v>
      </c>
      <c r="P63">
        <v>160</v>
      </c>
      <c r="Q63">
        <v>23</v>
      </c>
      <c r="R63">
        <v>1</v>
      </c>
      <c r="S63">
        <v>9</v>
      </c>
      <c r="T63">
        <v>2</v>
      </c>
      <c r="U63">
        <v>129</v>
      </c>
      <c r="V63">
        <v>29</v>
      </c>
      <c r="W63">
        <v>1</v>
      </c>
      <c r="X63">
        <v>2</v>
      </c>
      <c r="Y63" t="s">
        <v>16</v>
      </c>
      <c r="Z63">
        <v>5</v>
      </c>
      <c r="AA63">
        <f>IF(AND(Table1[[#This Row],[Throw Out Pass Eff]]="N", Table1[[#This Row],[Against FCS Team]]="N"), ROUND(((5.45 * D63) + (150 * F63) + (100 * G63) - (300 * H63)) / E63, 2), " ")</f>
        <v>30.42</v>
      </c>
      <c r="AB63">
        <f>IF(AND(Table1[[#This Row],[Throw Out Pass Def Eff]]="N", Table1[[#This Row],[Against FCS Team]]="N"),200 - ROUND(((5.45 * P63) + (150 * R63) + (100 * S63) - (300 * T63)) / Q63, 2), " ")</f>
        <v>142.52000000000001</v>
      </c>
      <c r="AC63">
        <f>IF(AND(Table1[[#This Row],[Throw Out Rush Eff]]="N", Table1[[#This Row],[Against FCS Team]]="N"), ROUND(((23.2 * I63) + (150 * K63) - (300 * L63)) / J63, 2), " ")</f>
        <v>87.42</v>
      </c>
      <c r="AD63" s="3">
        <f>IF(AND(Table1[[#This Row],[Throw Out Rush Def Eff]]="N", Table1[[#This Row],[Against FCS Team]]="N"), 200 - ROUND(((23.2 * U63) + (150 * W63) - (300 * X63)) / V63, 2), " ")</f>
        <v>112.32</v>
      </c>
      <c r="AE63" s="3">
        <f>ROUND(Table1[[#This Row],[Opp Passing Attempts]]/(Table1[[#This Row],[Opp Passing Attempts]]+Table1[[#This Row],[Opp Rushing Attempts]]), 2)</f>
        <v>0.44</v>
      </c>
      <c r="AF63" s="3">
        <f>1-Table1[[#This Row],[Passing Weight]]</f>
        <v>0.56000000000000005</v>
      </c>
      <c r="AG63" s="3" t="str">
        <f>IF(COUNTIF(A:A,Table1[[#This Row],[Opp Team Name]]) &gt; 0, "N", "Y")</f>
        <v>N</v>
      </c>
      <c r="AH63" s="3" t="str">
        <f>IF(Table1[[#This Row],[Passing Attempts]] &lt;15, "Y", "N")</f>
        <v>N</v>
      </c>
      <c r="AI63" s="3" t="str">
        <f>IF(Table1[[#This Row],[Rushing Attempts]] &lt; 15, "Y", "N")</f>
        <v>N</v>
      </c>
      <c r="AJ63" s="3" t="str">
        <f>IF(Table1[[#This Row],[Opp Passing Attempts]]&lt;15, "Y", "N")</f>
        <v>N</v>
      </c>
      <c r="AK63" s="3" t="str">
        <f>IF(Table1[[#This Row],[Opp Rushing Attempts]]&lt;15, "Y", "N")</f>
        <v>N</v>
      </c>
      <c r="AL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43.2</v>
      </c>
      <c r="AM6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115.78</v>
      </c>
      <c r="AN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115.44</v>
      </c>
      <c r="AO6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125.81</v>
      </c>
      <c r="AP63" s="3">
        <f>ABS(Table1[[#This Row],[Team Score]]-Table1[[#This Row],[Opp Team Score]])</f>
        <v>3</v>
      </c>
      <c r="AQ63" s="3">
        <f>SUM(Table1[[#This Row],[Team Score]], Table1[[#This Row],[Opp Team Score]])</f>
        <v>29</v>
      </c>
      <c r="AR6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27.319999999999993</v>
      </c>
      <c r="AS63" s="3">
        <f>IF(Table1[[#This Row],[Efficiency Difference]] = " ", " ", ROUND((Table1[[#This Row],[Winning Margin]]*100)/Table1[[#This Row],[Efficiency Difference]], 2))</f>
        <v>10.98</v>
      </c>
    </row>
    <row r="64" spans="1:45">
      <c r="A64" t="s">
        <v>32</v>
      </c>
      <c r="B64">
        <v>37</v>
      </c>
      <c r="C64">
        <v>14</v>
      </c>
      <c r="D64">
        <v>104</v>
      </c>
      <c r="E64">
        <v>25</v>
      </c>
      <c r="F64">
        <v>0</v>
      </c>
      <c r="G64">
        <v>9</v>
      </c>
      <c r="H64">
        <v>3</v>
      </c>
      <c r="I64">
        <v>291</v>
      </c>
      <c r="J64">
        <v>52</v>
      </c>
      <c r="K64">
        <v>2</v>
      </c>
      <c r="L64">
        <v>0</v>
      </c>
      <c r="M64" t="s">
        <v>26</v>
      </c>
      <c r="N64">
        <v>31</v>
      </c>
      <c r="O64">
        <v>38</v>
      </c>
      <c r="P64">
        <v>262</v>
      </c>
      <c r="Q64">
        <v>36</v>
      </c>
      <c r="R64">
        <v>2</v>
      </c>
      <c r="S64">
        <v>24</v>
      </c>
      <c r="T64">
        <v>0</v>
      </c>
      <c r="U64">
        <v>176</v>
      </c>
      <c r="V64">
        <v>31</v>
      </c>
      <c r="W64">
        <v>3</v>
      </c>
      <c r="X64">
        <v>1</v>
      </c>
      <c r="Y64" t="s">
        <v>19</v>
      </c>
      <c r="Z64">
        <v>6</v>
      </c>
      <c r="AA64">
        <f>IF(AND(Table1[[#This Row],[Throw Out Pass Eff]]="N", Table1[[#This Row],[Against FCS Team]]="N"), ROUND(((5.45 * D64) + (150 * F64) + (100 * G64) - (300 * H64)) / E64, 2), " ")</f>
        <v>22.67</v>
      </c>
      <c r="AB64">
        <f>IF(AND(Table1[[#This Row],[Throw Out Pass Def Eff]]="N", Table1[[#This Row],[Against FCS Team]]="N"),200 - ROUND(((5.45 * P64) + (150 * R64) + (100 * S64) - (300 * T64)) / Q64, 2), " ")</f>
        <v>85.34</v>
      </c>
      <c r="AC64">
        <f>IF(AND(Table1[[#This Row],[Throw Out Rush Eff]]="N", Table1[[#This Row],[Against FCS Team]]="N"), ROUND(((23.2 * I64) + (150 * K64) - (300 * L64)) / J64, 2), " ")</f>
        <v>135.6</v>
      </c>
      <c r="AD64" s="3">
        <f>IF(AND(Table1[[#This Row],[Throw Out Rush Def Eff]]="N", Table1[[#This Row],[Against FCS Team]]="N"), 200 - ROUND(((23.2 * U64) + (150 * W64) - (300 * X64)) / V64, 2), " ")</f>
        <v>63.449999999999989</v>
      </c>
      <c r="AE64" s="3">
        <f>ROUND(Table1[[#This Row],[Opp Passing Attempts]]/(Table1[[#This Row],[Opp Passing Attempts]]+Table1[[#This Row],[Opp Rushing Attempts]]), 2)</f>
        <v>0.54</v>
      </c>
      <c r="AF64" s="3">
        <f>1-Table1[[#This Row],[Passing Weight]]</f>
        <v>0.45999999999999996</v>
      </c>
      <c r="AG64" s="3" t="str">
        <f>IF(COUNTIF(A:A,Table1[[#This Row],[Opp Team Name]]) &gt; 0, "N", "Y")</f>
        <v>N</v>
      </c>
      <c r="AH64" s="3" t="str">
        <f>IF(Table1[[#This Row],[Passing Attempts]] &lt;15, "Y", "N")</f>
        <v>N</v>
      </c>
      <c r="AI64" s="3" t="str">
        <f>IF(Table1[[#This Row],[Rushing Attempts]] &lt; 15, "Y", "N")</f>
        <v>N</v>
      </c>
      <c r="AJ64" s="3" t="str">
        <f>IF(Table1[[#This Row],[Opp Passing Attempts]]&lt;15, "Y", "N")</f>
        <v>N</v>
      </c>
      <c r="AK64" s="3" t="str">
        <f>IF(Table1[[#This Row],[Opp Rushing Attempts]]&lt;15, "Y", "N")</f>
        <v>N</v>
      </c>
      <c r="AL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24.67</v>
      </c>
      <c r="AM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90.73</v>
      </c>
      <c r="AN6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116.56</v>
      </c>
      <c r="AO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66.22</v>
      </c>
      <c r="AP64" s="3">
        <f>ABS(Table1[[#This Row],[Team Score]]-Table1[[#This Row],[Opp Team Score]])</f>
        <v>24</v>
      </c>
      <c r="AQ64" s="3">
        <f>SUM(Table1[[#This Row],[Team Score]], Table1[[#This Row],[Opp Team Score]])</f>
        <v>52</v>
      </c>
      <c r="AR6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92.940000000000026</v>
      </c>
      <c r="AS64" s="3">
        <f>IF(Table1[[#This Row],[Efficiency Difference]] = " ", " ", ROUND((Table1[[#This Row],[Winning Margin]]*100)/Table1[[#This Row],[Efficiency Difference]], 2))</f>
        <v>25.82</v>
      </c>
    </row>
    <row r="65" spans="1:45">
      <c r="A65" t="s">
        <v>32</v>
      </c>
      <c r="B65">
        <v>37</v>
      </c>
      <c r="C65">
        <v>17</v>
      </c>
      <c r="D65">
        <v>123</v>
      </c>
      <c r="E65">
        <v>16</v>
      </c>
      <c r="F65">
        <v>1</v>
      </c>
      <c r="G65">
        <v>7</v>
      </c>
      <c r="H65">
        <v>0</v>
      </c>
      <c r="I65">
        <v>155</v>
      </c>
      <c r="J65">
        <v>43</v>
      </c>
      <c r="K65">
        <v>1</v>
      </c>
      <c r="L65">
        <v>0</v>
      </c>
      <c r="M65" t="s">
        <v>69</v>
      </c>
      <c r="N65">
        <v>235</v>
      </c>
      <c r="O65">
        <v>6</v>
      </c>
      <c r="P65">
        <v>128</v>
      </c>
      <c r="Q65">
        <v>29</v>
      </c>
      <c r="R65">
        <v>0</v>
      </c>
      <c r="S65">
        <v>15</v>
      </c>
      <c r="T65">
        <v>1</v>
      </c>
      <c r="U65">
        <v>66</v>
      </c>
      <c r="V65">
        <v>30</v>
      </c>
      <c r="W65">
        <v>0</v>
      </c>
      <c r="X65">
        <v>2</v>
      </c>
      <c r="Y65" t="s">
        <v>16</v>
      </c>
      <c r="Z65">
        <v>7</v>
      </c>
      <c r="AA65">
        <f>IF(AND(Table1[[#This Row],[Throw Out Pass Eff]]="N", Table1[[#This Row],[Against FCS Team]]="N"), ROUND(((5.45 * D65) + (150 * F65) + (100 * G65) - (300 * H65)) / E65, 2), " ")</f>
        <v>95.02</v>
      </c>
      <c r="AB65">
        <f>IF(AND(Table1[[#This Row],[Throw Out Pass Def Eff]]="N", Table1[[#This Row],[Against FCS Team]]="N"),200 - ROUND(((5.45 * P65) + (150 * R65) + (100 * S65) - (300 * T65)) / Q65, 2), " ")</f>
        <v>134.57</v>
      </c>
      <c r="AC65">
        <f>IF(AND(Table1[[#This Row],[Throw Out Rush Eff]]="N", Table1[[#This Row],[Against FCS Team]]="N"), ROUND(((23.2 * I65) + (150 * K65) - (300 * L65)) / J65, 2), " ")</f>
        <v>87.12</v>
      </c>
      <c r="AD65" s="3">
        <f>IF(AND(Table1[[#This Row],[Throw Out Rush Def Eff]]="N", Table1[[#This Row],[Against FCS Team]]="N"), 200 - ROUND(((23.2 * U65) + (150 * W65) - (300 * X65)) / V65, 2), " ")</f>
        <v>168.96</v>
      </c>
      <c r="AE65" s="3">
        <f>ROUND(Table1[[#This Row],[Opp Passing Attempts]]/(Table1[[#This Row],[Opp Passing Attempts]]+Table1[[#This Row],[Opp Rushing Attempts]]), 2)</f>
        <v>0.49</v>
      </c>
      <c r="AF65" s="3">
        <f>1-Table1[[#This Row],[Passing Weight]]</f>
        <v>0.51</v>
      </c>
      <c r="AG65" s="3" t="str">
        <f>IF(COUNTIF(A:A,Table1[[#This Row],[Opp Team Name]]) &gt; 0, "N", "Y")</f>
        <v>N</v>
      </c>
      <c r="AH65" s="3" t="str">
        <f>IF(Table1[[#This Row],[Passing Attempts]] &lt;15, "Y", "N")</f>
        <v>N</v>
      </c>
      <c r="AI65" s="3" t="str">
        <f>IF(Table1[[#This Row],[Rushing Attempts]] &lt; 15, "Y", "N")</f>
        <v>N</v>
      </c>
      <c r="AJ65" s="3" t="str">
        <f>IF(Table1[[#This Row],[Opp Passing Attempts]]&lt;15, "Y", "N")</f>
        <v>N</v>
      </c>
      <c r="AK65" s="3" t="str">
        <f>IF(Table1[[#This Row],[Opp Rushing Attempts]]&lt;15, "Y", "N")</f>
        <v>N</v>
      </c>
      <c r="AL6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115.74</v>
      </c>
      <c r="AM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122.79</v>
      </c>
      <c r="AN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113.7</v>
      </c>
      <c r="AO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164.72</v>
      </c>
      <c r="AP65" s="3">
        <f>ABS(Table1[[#This Row],[Team Score]]-Table1[[#This Row],[Opp Team Score]])</f>
        <v>11</v>
      </c>
      <c r="AQ65" s="3">
        <f>SUM(Table1[[#This Row],[Team Score]], Table1[[#This Row],[Opp Team Score]])</f>
        <v>23</v>
      </c>
      <c r="AR6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85.669999999999959</v>
      </c>
      <c r="AS65" s="3">
        <f>IF(Table1[[#This Row],[Efficiency Difference]] = " ", " ", ROUND((Table1[[#This Row],[Winning Margin]]*100)/Table1[[#This Row],[Efficiency Difference]], 2))</f>
        <v>12.84</v>
      </c>
    </row>
    <row r="66" spans="1:45">
      <c r="A66" t="s">
        <v>32</v>
      </c>
      <c r="B66">
        <v>37</v>
      </c>
      <c r="C66">
        <v>10</v>
      </c>
      <c r="D66">
        <v>161</v>
      </c>
      <c r="E66">
        <v>24</v>
      </c>
      <c r="F66">
        <v>0</v>
      </c>
      <c r="G66">
        <v>14</v>
      </c>
      <c r="H66">
        <v>1</v>
      </c>
      <c r="I66">
        <v>87</v>
      </c>
      <c r="J66">
        <v>34</v>
      </c>
      <c r="K66">
        <v>1</v>
      </c>
      <c r="L66">
        <v>1</v>
      </c>
      <c r="M66" t="s">
        <v>92</v>
      </c>
      <c r="N66">
        <v>365</v>
      </c>
      <c r="O66">
        <v>45</v>
      </c>
      <c r="P66">
        <v>219</v>
      </c>
      <c r="Q66">
        <v>23</v>
      </c>
      <c r="R66">
        <v>3</v>
      </c>
      <c r="S66">
        <v>16</v>
      </c>
      <c r="T66">
        <v>0</v>
      </c>
      <c r="U66">
        <v>174</v>
      </c>
      <c r="V66">
        <v>36</v>
      </c>
      <c r="W66">
        <v>2</v>
      </c>
      <c r="X66">
        <v>0</v>
      </c>
      <c r="Y66" t="s">
        <v>19</v>
      </c>
      <c r="Z66">
        <v>8</v>
      </c>
      <c r="AA66" s="3">
        <f>IF(AND(Table1[[#This Row],[Throw Out Pass Eff]]="N", Table1[[#This Row],[Against FCS Team]]="N"), ROUND(((5.45 * D66) + (150 * F66) + (100 * G66) - (300 * H66)) / E66, 2), " ")</f>
        <v>82.39</v>
      </c>
      <c r="AB66" s="3">
        <f>IF(AND(Table1[[#This Row],[Throw Out Pass Def Eff]]="N", Table1[[#This Row],[Against FCS Team]]="N"),200 - ROUND(((5.45 * P66) + (150 * R66) + (100 * S66) - (300 * T66)) / Q66, 2), " ")</f>
        <v>58.97999999999999</v>
      </c>
      <c r="AC66" s="3">
        <f>IF(AND(Table1[[#This Row],[Throw Out Rush Eff]]="N", Table1[[#This Row],[Against FCS Team]]="N"), ROUND(((23.2 * I66) + (150 * K66) - (300 * L66)) / J66, 2), " ")</f>
        <v>54.95</v>
      </c>
      <c r="AD66" s="3">
        <f>IF(AND(Table1[[#This Row],[Throw Out Rush Def Eff]]="N", Table1[[#This Row],[Against FCS Team]]="N"), 200 - ROUND(((23.2 * U66) + (150 * W66) - (300 * X66)) / V66, 2), " ")</f>
        <v>79.53</v>
      </c>
      <c r="AE66" s="3">
        <f>ROUND(Table1[[#This Row],[Opp Passing Attempts]]/(Table1[[#This Row],[Opp Passing Attempts]]+Table1[[#This Row],[Opp Rushing Attempts]]), 2)</f>
        <v>0.39</v>
      </c>
      <c r="AF66" s="3">
        <f>1-Table1[[#This Row],[Passing Weight]]</f>
        <v>0.61</v>
      </c>
      <c r="AG66" s="3" t="str">
        <f>IF(COUNTIF(A:A,Table1[[#This Row],[Opp Team Name]]) &gt; 0, "N", "Y")</f>
        <v>N</v>
      </c>
      <c r="AH66" s="3" t="str">
        <f>IF(Table1[[#This Row],[Passing Attempts]] &lt;15, "Y", "N")</f>
        <v>N</v>
      </c>
      <c r="AI66" s="3" t="str">
        <f>IF(Table1[[#This Row],[Rushing Attempts]] &lt; 15, "Y", "N")</f>
        <v>N</v>
      </c>
      <c r="AJ66" s="3" t="str">
        <f>IF(Table1[[#This Row],[Opp Passing Attempts]]&lt;15, "Y", "N")</f>
        <v>N</v>
      </c>
      <c r="AK66" s="3" t="str">
        <f>IF(Table1[[#This Row],[Opp Rushing Attempts]]&lt;15, "Y", "N")</f>
        <v>N</v>
      </c>
      <c r="AL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109.92</v>
      </c>
      <c r="AM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65.12</v>
      </c>
      <c r="AN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76.75</v>
      </c>
      <c r="AO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85.78</v>
      </c>
      <c r="AP66" s="3">
        <f>ABS(Table1[[#This Row],[Team Score]]-Table1[[#This Row],[Opp Team Score]])</f>
        <v>35</v>
      </c>
      <c r="AQ66" s="3">
        <f>SUM(Table1[[#This Row],[Team Score]], Table1[[#This Row],[Opp Team Score]])</f>
        <v>55</v>
      </c>
      <c r="AR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124.15</v>
      </c>
      <c r="AS66" s="3">
        <f>IF(Table1[[#This Row],[Efficiency Difference]] = " ", " ", ROUND((Table1[[#This Row],[Winning Margin]]*100)/Table1[[#This Row],[Efficiency Difference]], 2))</f>
        <v>28.19</v>
      </c>
    </row>
    <row r="67" spans="1:45">
      <c r="A67" t="s">
        <v>34</v>
      </c>
      <c r="B67">
        <v>47</v>
      </c>
      <c r="C67">
        <v>27</v>
      </c>
      <c r="D67">
        <v>173</v>
      </c>
      <c r="E67">
        <v>29</v>
      </c>
      <c r="F67">
        <v>2</v>
      </c>
      <c r="G67">
        <v>23</v>
      </c>
      <c r="H67">
        <v>0</v>
      </c>
      <c r="I67">
        <v>210</v>
      </c>
      <c r="J67">
        <v>46</v>
      </c>
      <c r="K67">
        <v>1</v>
      </c>
      <c r="L67">
        <v>0</v>
      </c>
      <c r="M67" t="s">
        <v>35</v>
      </c>
      <c r="N67">
        <v>306</v>
      </c>
      <c r="O67">
        <v>20</v>
      </c>
      <c r="P67">
        <v>272</v>
      </c>
      <c r="Q67">
        <v>32</v>
      </c>
      <c r="R67">
        <v>1</v>
      </c>
      <c r="S67">
        <v>20</v>
      </c>
      <c r="T67">
        <v>0</v>
      </c>
      <c r="U67">
        <v>103</v>
      </c>
      <c r="V67">
        <v>32</v>
      </c>
      <c r="W67">
        <v>1</v>
      </c>
      <c r="X67">
        <v>0</v>
      </c>
      <c r="Y67" t="s">
        <v>16</v>
      </c>
      <c r="Z67">
        <v>1</v>
      </c>
      <c r="AA67">
        <f>IF(AND(Table1[[#This Row],[Throw Out Pass Eff]]="N", Table1[[#This Row],[Against FCS Team]]="N"), ROUND(((5.45 * D67) + (150 * F67) + (100 * G67) - (300 * H67)) / E67, 2), " ")</f>
        <v>122.17</v>
      </c>
      <c r="AB67">
        <f>IF(AND(Table1[[#This Row],[Throw Out Pass Def Eff]]="N", Table1[[#This Row],[Against FCS Team]]="N"),200 - ROUND(((5.45 * P67) + (150 * R67) + (100 * S67) - (300 * T67)) / Q67, 2), " ")</f>
        <v>86.49</v>
      </c>
      <c r="AC67">
        <f>IF(AND(Table1[[#This Row],[Throw Out Rush Eff]]="N", Table1[[#This Row],[Against FCS Team]]="N"), ROUND(((23.2 * I67) + (150 * K67) - (300 * L67)) / J67, 2), " ")</f>
        <v>109.17</v>
      </c>
      <c r="AD67" s="3">
        <f>IF(AND(Table1[[#This Row],[Throw Out Rush Def Eff]]="N", Table1[[#This Row],[Against FCS Team]]="N"), 200 - ROUND(((23.2 * U67) + (150 * W67) - (300 * X67)) / V67, 2), " ")</f>
        <v>120.64</v>
      </c>
      <c r="AE67" s="3">
        <f>ROUND(Table1[[#This Row],[Opp Passing Attempts]]/(Table1[[#This Row],[Opp Passing Attempts]]+Table1[[#This Row],[Opp Rushing Attempts]]), 2)</f>
        <v>0.5</v>
      </c>
      <c r="AF67" s="3">
        <f>1-Table1[[#This Row],[Passing Weight]]</f>
        <v>0.5</v>
      </c>
      <c r="AG67" s="3" t="str">
        <f>IF(COUNTIF(A:A,Table1[[#This Row],[Opp Team Name]]) &gt; 0, "N", "Y")</f>
        <v>N</v>
      </c>
      <c r="AH67" s="3" t="str">
        <f>IF(Table1[[#This Row],[Passing Attempts]] &lt;15, "Y", "N")</f>
        <v>N</v>
      </c>
      <c r="AI67" s="3" t="str">
        <f>IF(Table1[[#This Row],[Rushing Attempts]] &lt; 15, "Y", "N")</f>
        <v>N</v>
      </c>
      <c r="AJ67" s="3" t="str">
        <f>IF(Table1[[#This Row],[Opp Passing Attempts]]&lt;15, "Y", "N")</f>
        <v>N</v>
      </c>
      <c r="AK67" s="3" t="str">
        <f>IF(Table1[[#This Row],[Opp Rushing Attempts]]&lt;15, "Y", "N")</f>
        <v>N</v>
      </c>
      <c r="AL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99.46</v>
      </c>
      <c r="AM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70.44</v>
      </c>
      <c r="AN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91.22</v>
      </c>
      <c r="AO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86.05</v>
      </c>
      <c r="AP67" s="3">
        <f>ABS(Table1[[#This Row],[Team Score]]-Table1[[#This Row],[Opp Team Score]])</f>
        <v>7</v>
      </c>
      <c r="AQ67" s="3">
        <f>SUM(Table1[[#This Row],[Team Score]], Table1[[#This Row],[Opp Team Score]])</f>
        <v>47</v>
      </c>
      <c r="AR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38.47</v>
      </c>
      <c r="AS67" s="3">
        <f>IF(Table1[[#This Row],[Efficiency Difference]] = " ", " ", ROUND((Table1[[#This Row],[Winning Margin]]*100)/Table1[[#This Row],[Efficiency Difference]], 2))</f>
        <v>18.2</v>
      </c>
    </row>
    <row r="68" spans="1:45">
      <c r="A68" t="s">
        <v>34</v>
      </c>
      <c r="B68">
        <v>47</v>
      </c>
      <c r="C68">
        <v>7</v>
      </c>
      <c r="D68">
        <v>148</v>
      </c>
      <c r="E68">
        <v>35</v>
      </c>
      <c r="F68">
        <v>0</v>
      </c>
      <c r="G68">
        <v>24</v>
      </c>
      <c r="H68">
        <v>0</v>
      </c>
      <c r="I68">
        <v>77</v>
      </c>
      <c r="J68">
        <v>33</v>
      </c>
      <c r="K68">
        <v>1</v>
      </c>
      <c r="L68">
        <v>3</v>
      </c>
      <c r="M68" t="s">
        <v>115</v>
      </c>
      <c r="N68">
        <v>651</v>
      </c>
      <c r="O68">
        <v>37</v>
      </c>
      <c r="P68">
        <v>372</v>
      </c>
      <c r="Q68">
        <v>50</v>
      </c>
      <c r="R68">
        <v>1</v>
      </c>
      <c r="S68">
        <v>31</v>
      </c>
      <c r="T68">
        <v>2</v>
      </c>
      <c r="U68">
        <v>147</v>
      </c>
      <c r="V68">
        <v>38</v>
      </c>
      <c r="W68">
        <v>2</v>
      </c>
      <c r="X68">
        <v>0</v>
      </c>
      <c r="Y68" t="s">
        <v>19</v>
      </c>
      <c r="Z68">
        <v>2</v>
      </c>
      <c r="AA68">
        <f>IF(AND(Table1[[#This Row],[Throw Out Pass Eff]]="N", Table1[[#This Row],[Against FCS Team]]="N"), ROUND(((5.45 * D68) + (150 * F68) + (100 * G68) - (300 * H68)) / E68, 2), " ")</f>
        <v>91.62</v>
      </c>
      <c r="AB68">
        <f>IF(AND(Table1[[#This Row],[Throw Out Pass Def Eff]]="N", Table1[[#This Row],[Against FCS Team]]="N"),200 - ROUND(((5.45 * P68) + (150 * R68) + (100 * S68) - (300 * T68)) / Q68, 2), " ")</f>
        <v>106.45</v>
      </c>
      <c r="AC68">
        <f>IF(AND(Table1[[#This Row],[Throw Out Rush Eff]]="N", Table1[[#This Row],[Against FCS Team]]="N"), ROUND(((23.2 * I68) + (150 * K68) - (300 * L68)) / J68, 2), " ")</f>
        <v>31.41</v>
      </c>
      <c r="AD68" s="3">
        <f>IF(AND(Table1[[#This Row],[Throw Out Rush Def Eff]]="N", Table1[[#This Row],[Against FCS Team]]="N"), 200 - ROUND(((23.2 * U68) + (150 * W68) - (300 * X68)) / V68, 2), " ")</f>
        <v>102.36</v>
      </c>
      <c r="AE68" s="3">
        <f>ROUND(Table1[[#This Row],[Opp Passing Attempts]]/(Table1[[#This Row],[Opp Passing Attempts]]+Table1[[#This Row],[Opp Rushing Attempts]]), 2)</f>
        <v>0.56999999999999995</v>
      </c>
      <c r="AF68" s="3">
        <f>1-Table1[[#This Row],[Passing Weight]]</f>
        <v>0.43000000000000005</v>
      </c>
      <c r="AG68" s="3" t="str">
        <f>IF(COUNTIF(A:A,Table1[[#This Row],[Opp Team Name]]) &gt; 0, "N", "Y")</f>
        <v>N</v>
      </c>
      <c r="AH68" s="3" t="str">
        <f>IF(Table1[[#This Row],[Passing Attempts]] &lt;15, "Y", "N")</f>
        <v>N</v>
      </c>
      <c r="AI68" s="3" t="str">
        <f>IF(Table1[[#This Row],[Rushing Attempts]] &lt; 15, "Y", "N")</f>
        <v>N</v>
      </c>
      <c r="AJ68" s="3" t="str">
        <f>IF(Table1[[#This Row],[Opp Passing Attempts]]&lt;15, "Y", "N")</f>
        <v>N</v>
      </c>
      <c r="AK68" s="3" t="str">
        <f>IF(Table1[[#This Row],[Opp Rushing Attempts]]&lt;15, "Y", "N")</f>
        <v>N</v>
      </c>
      <c r="AL6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95.96</v>
      </c>
      <c r="AM6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100.6</v>
      </c>
      <c r="AN6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39.99</v>
      </c>
      <c r="AO6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106.31</v>
      </c>
      <c r="AP68" s="3">
        <f>ABS(Table1[[#This Row],[Team Score]]-Table1[[#This Row],[Opp Team Score]])</f>
        <v>30</v>
      </c>
      <c r="AQ68" s="3">
        <f>SUM(Table1[[#This Row],[Team Score]], Table1[[#This Row],[Opp Team Score]])</f>
        <v>44</v>
      </c>
      <c r="AR6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68.16</v>
      </c>
      <c r="AS68" s="3">
        <f>IF(Table1[[#This Row],[Efficiency Difference]] = " ", " ", ROUND((Table1[[#This Row],[Winning Margin]]*100)/Table1[[#This Row],[Efficiency Difference]], 2))</f>
        <v>44.01</v>
      </c>
    </row>
    <row r="69" spans="1:45">
      <c r="A69" t="s">
        <v>34</v>
      </c>
      <c r="B69">
        <v>47</v>
      </c>
      <c r="C69">
        <v>28</v>
      </c>
      <c r="D69">
        <v>226</v>
      </c>
      <c r="E69">
        <v>36</v>
      </c>
      <c r="F69">
        <v>2</v>
      </c>
      <c r="G69">
        <v>24</v>
      </c>
      <c r="H69">
        <v>0</v>
      </c>
      <c r="I69">
        <v>174</v>
      </c>
      <c r="J69">
        <v>39</v>
      </c>
      <c r="K69">
        <v>2</v>
      </c>
      <c r="L69">
        <v>0</v>
      </c>
      <c r="M69" t="s">
        <v>44</v>
      </c>
      <c r="N69">
        <v>86</v>
      </c>
      <c r="O69">
        <v>25</v>
      </c>
      <c r="P69">
        <v>176</v>
      </c>
      <c r="Q69">
        <v>24</v>
      </c>
      <c r="R69">
        <v>2</v>
      </c>
      <c r="S69">
        <v>14</v>
      </c>
      <c r="T69">
        <v>0</v>
      </c>
      <c r="U69">
        <v>177</v>
      </c>
      <c r="V69">
        <v>37</v>
      </c>
      <c r="W69">
        <v>2</v>
      </c>
      <c r="X69">
        <v>0</v>
      </c>
      <c r="Y69" t="s">
        <v>16</v>
      </c>
      <c r="Z69">
        <v>3</v>
      </c>
      <c r="AA69">
        <f>IF(AND(Table1[[#This Row],[Throw Out Pass Eff]]="N", Table1[[#This Row],[Against FCS Team]]="N"), ROUND(((5.45 * D69) + (150 * F69) + (100 * G69) - (300 * H69)) / E69, 2), " ")</f>
        <v>109.21</v>
      </c>
      <c r="AB69">
        <f>IF(AND(Table1[[#This Row],[Throw Out Pass Def Eff]]="N", Table1[[#This Row],[Against FCS Team]]="N"),200 - ROUND(((5.45 * P69) + (150 * R69) + (100 * S69) - (300 * T69)) / Q69, 2), " ")</f>
        <v>89.2</v>
      </c>
      <c r="AC69">
        <f>IF(AND(Table1[[#This Row],[Throw Out Rush Eff]]="N", Table1[[#This Row],[Against FCS Team]]="N"), ROUND(((23.2 * I69) + (150 * K69) - (300 * L69)) / J69, 2), " ")</f>
        <v>111.2</v>
      </c>
      <c r="AD69" s="3">
        <f>IF(AND(Table1[[#This Row],[Throw Out Rush Def Eff]]="N", Table1[[#This Row],[Against FCS Team]]="N"), 200 - ROUND(((23.2 * U69) + (150 * W69) - (300 * X69)) / V69, 2), " ")</f>
        <v>80.91</v>
      </c>
      <c r="AE69" s="3">
        <f>ROUND(Table1[[#This Row],[Opp Passing Attempts]]/(Table1[[#This Row],[Opp Passing Attempts]]+Table1[[#This Row],[Opp Rushing Attempts]]), 2)</f>
        <v>0.39</v>
      </c>
      <c r="AF69" s="3">
        <f>1-Table1[[#This Row],[Passing Weight]]</f>
        <v>0.61</v>
      </c>
      <c r="AG69" s="3" t="str">
        <f>IF(COUNTIF(A:A,Table1[[#This Row],[Opp Team Name]]) &gt; 0, "N", "Y")</f>
        <v>N</v>
      </c>
      <c r="AH69" s="3" t="str">
        <f>IF(Table1[[#This Row],[Passing Attempts]] &lt;15, "Y", "N")</f>
        <v>N</v>
      </c>
      <c r="AI69" s="3" t="str">
        <f>IF(Table1[[#This Row],[Rushing Attempts]] &lt; 15, "Y", "N")</f>
        <v>N</v>
      </c>
      <c r="AJ69" s="3" t="str">
        <f>IF(Table1[[#This Row],[Opp Passing Attempts]]&lt;15, "Y", "N")</f>
        <v>N</v>
      </c>
      <c r="AK69" s="3" t="str">
        <f>IF(Table1[[#This Row],[Opp Rushing Attempts]]&lt;15, "Y", "N")</f>
        <v>N</v>
      </c>
      <c r="AL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102.57</v>
      </c>
      <c r="AM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74.91</v>
      </c>
      <c r="AN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91.67</v>
      </c>
      <c r="AO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75.31</v>
      </c>
      <c r="AP69" s="3">
        <f>ABS(Table1[[#This Row],[Team Score]]-Table1[[#This Row],[Opp Team Score]])</f>
        <v>3</v>
      </c>
      <c r="AQ69" s="3">
        <f>SUM(Table1[[#This Row],[Team Score]], Table1[[#This Row],[Opp Team Score]])</f>
        <v>53</v>
      </c>
      <c r="AR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9.4799999999999898</v>
      </c>
      <c r="AS69" s="3">
        <f>IF(Table1[[#This Row],[Efficiency Difference]] = " ", " ", ROUND((Table1[[#This Row],[Winning Margin]]*100)/Table1[[#This Row],[Efficiency Difference]], 2))</f>
        <v>31.65</v>
      </c>
    </row>
    <row r="70" spans="1:45">
      <c r="A70" t="s">
        <v>34</v>
      </c>
      <c r="B70">
        <v>47</v>
      </c>
      <c r="C70">
        <v>48</v>
      </c>
      <c r="D70">
        <v>383</v>
      </c>
      <c r="E70">
        <v>33</v>
      </c>
      <c r="F70">
        <v>3</v>
      </c>
      <c r="G70">
        <v>26</v>
      </c>
      <c r="H70">
        <v>0</v>
      </c>
      <c r="I70">
        <v>162</v>
      </c>
      <c r="J70">
        <v>42</v>
      </c>
      <c r="K70">
        <v>3</v>
      </c>
      <c r="L70">
        <v>0</v>
      </c>
      <c r="M70" t="s">
        <v>30</v>
      </c>
      <c r="N70">
        <v>725</v>
      </c>
      <c r="O70">
        <v>21</v>
      </c>
      <c r="P70">
        <v>0</v>
      </c>
      <c r="Q70">
        <v>4</v>
      </c>
      <c r="R70">
        <v>0</v>
      </c>
      <c r="S70">
        <v>0</v>
      </c>
      <c r="T70">
        <v>1</v>
      </c>
      <c r="U70">
        <v>402</v>
      </c>
      <c r="V70">
        <v>59</v>
      </c>
      <c r="W70">
        <v>3</v>
      </c>
      <c r="X70">
        <v>0</v>
      </c>
      <c r="Y70" t="s">
        <v>16</v>
      </c>
      <c r="Z70">
        <v>4</v>
      </c>
      <c r="AA70">
        <f>IF(AND(Table1[[#This Row],[Throw Out Pass Eff]]="N", Table1[[#This Row],[Against FCS Team]]="N"), ROUND(((5.45 * D70) + (150 * F70) + (100 * G70) - (300 * H70)) / E70, 2), " ")</f>
        <v>155.68</v>
      </c>
      <c r="AB70" t="str">
        <f>IF(AND(Table1[[#This Row],[Throw Out Pass Def Eff]]="N", Table1[[#This Row],[Against FCS Team]]="N"),200 - ROUND(((5.45 * P70) + (150 * R70) + (100 * S70) - (300 * T70)) / Q70, 2), " ")</f>
        <v xml:space="preserve"> </v>
      </c>
      <c r="AC70">
        <f>IF(AND(Table1[[#This Row],[Throw Out Rush Eff]]="N", Table1[[#This Row],[Against FCS Team]]="N"), ROUND(((23.2 * I70) + (150 * K70) - (300 * L70)) / J70, 2), " ")</f>
        <v>100.2</v>
      </c>
      <c r="AD70" s="3">
        <f>IF(AND(Table1[[#This Row],[Throw Out Rush Def Eff]]="N", Table1[[#This Row],[Against FCS Team]]="N"), 200 - ROUND(((23.2 * U70) + (150 * W70) - (300 * X70)) / V70, 2), " ")</f>
        <v>34.300000000000011</v>
      </c>
      <c r="AE70" s="3">
        <f>ROUND(Table1[[#This Row],[Opp Passing Attempts]]/(Table1[[#This Row],[Opp Passing Attempts]]+Table1[[#This Row],[Opp Rushing Attempts]]), 2)</f>
        <v>0.06</v>
      </c>
      <c r="AF70" s="3">
        <f>1-Table1[[#This Row],[Passing Weight]]</f>
        <v>0.94</v>
      </c>
      <c r="AG70" s="3" t="str">
        <f>IF(COUNTIF(A:A,Table1[[#This Row],[Opp Team Name]]) &gt; 0, "N", "Y")</f>
        <v>N</v>
      </c>
      <c r="AH70" s="3" t="str">
        <f>IF(Table1[[#This Row],[Passing Attempts]] &lt;15, "Y", "N")</f>
        <v>N</v>
      </c>
      <c r="AI70" s="3" t="str">
        <f>IF(Table1[[#This Row],[Rushing Attempts]] &lt; 15, "Y", "N")</f>
        <v>N</v>
      </c>
      <c r="AJ70" s="3" t="str">
        <f>IF(Table1[[#This Row],[Opp Passing Attempts]]&lt;15, "Y", "N")</f>
        <v>Y</v>
      </c>
      <c r="AK70" s="3" t="str">
        <f>IF(Table1[[#This Row],[Opp Rushing Attempts]]&lt;15, "Y", "N")</f>
        <v>N</v>
      </c>
      <c r="AL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152.27000000000001</v>
      </c>
      <c r="AM70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79.62</v>
      </c>
      <c r="AO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42.63</v>
      </c>
      <c r="AP70" s="3">
        <f>ABS(Table1[[#This Row],[Team Score]]-Table1[[#This Row],[Opp Team Score]])</f>
        <v>27</v>
      </c>
      <c r="AQ70" s="3">
        <f>SUM(Table1[[#This Row],[Team Score]], Table1[[#This Row],[Opp Team Score]])</f>
        <v>69</v>
      </c>
      <c r="AR7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0" s="3" t="str">
        <f>IF(Table1[[#This Row],[Efficiency Difference]] = " ", " ", ROUND((Table1[[#This Row],[Winning Margin]]*100)/Table1[[#This Row],[Efficiency Difference]], 2))</f>
        <v xml:space="preserve"> </v>
      </c>
    </row>
    <row r="71" spans="1:45">
      <c r="A71" t="s">
        <v>34</v>
      </c>
      <c r="B71">
        <v>47</v>
      </c>
      <c r="C71">
        <v>6</v>
      </c>
      <c r="D71">
        <v>95</v>
      </c>
      <c r="E71">
        <v>36</v>
      </c>
      <c r="F71">
        <v>0</v>
      </c>
      <c r="G71">
        <v>14</v>
      </c>
      <c r="H71">
        <v>3</v>
      </c>
      <c r="I71">
        <v>119</v>
      </c>
      <c r="J71">
        <v>35</v>
      </c>
      <c r="K71">
        <v>0</v>
      </c>
      <c r="L71">
        <v>1</v>
      </c>
      <c r="M71" t="s">
        <v>116</v>
      </c>
      <c r="N71">
        <v>522</v>
      </c>
      <c r="O71">
        <v>62</v>
      </c>
      <c r="P71">
        <v>447</v>
      </c>
      <c r="Q71">
        <v>39</v>
      </c>
      <c r="R71">
        <v>5</v>
      </c>
      <c r="S71">
        <v>27</v>
      </c>
      <c r="T71">
        <v>1</v>
      </c>
      <c r="U71">
        <v>208</v>
      </c>
      <c r="V71">
        <v>38</v>
      </c>
      <c r="W71">
        <v>2</v>
      </c>
      <c r="X71">
        <v>1</v>
      </c>
      <c r="Y71" t="s">
        <v>19</v>
      </c>
      <c r="Z71">
        <v>5</v>
      </c>
      <c r="AA71">
        <f>IF(AND(Table1[[#This Row],[Throw Out Pass Eff]]="N", Table1[[#This Row],[Against FCS Team]]="N"), ROUND(((5.45 * D71) + (150 * F71) + (100 * G71) - (300 * H71)) / E71, 2), " ")</f>
        <v>28.27</v>
      </c>
      <c r="AB71">
        <f>IF(AND(Table1[[#This Row],[Throw Out Pass Def Eff]]="N", Table1[[#This Row],[Against FCS Team]]="N"),200 - ROUND(((5.45 * P71) + (150 * R71) + (100 * S71) - (300 * T71)) / Q71, 2), " ")</f>
        <v>56.77000000000001</v>
      </c>
      <c r="AC71">
        <f>IF(AND(Table1[[#This Row],[Throw Out Rush Eff]]="N", Table1[[#This Row],[Against FCS Team]]="N"), ROUND(((23.2 * I71) + (150 * K71) - (300 * L71)) / J71, 2), " ")</f>
        <v>70.31</v>
      </c>
      <c r="AD71" s="3">
        <f>IF(AND(Table1[[#This Row],[Throw Out Rush Def Eff]]="N", Table1[[#This Row],[Against FCS Team]]="N"), 200 - ROUND(((23.2 * U71) + (150 * W71) - (300 * X71)) / V71, 2), " ")</f>
        <v>73.010000000000005</v>
      </c>
      <c r="AE71" s="3">
        <f>ROUND(Table1[[#This Row],[Opp Passing Attempts]]/(Table1[[#This Row],[Opp Passing Attempts]]+Table1[[#This Row],[Opp Rushing Attempts]]), 2)</f>
        <v>0.51</v>
      </c>
      <c r="AF71" s="3">
        <f>1-Table1[[#This Row],[Passing Weight]]</f>
        <v>0.49</v>
      </c>
      <c r="AG71" s="3" t="str">
        <f>IF(COUNTIF(A:A,Table1[[#This Row],[Opp Team Name]]) &gt; 0, "N", "Y")</f>
        <v>N</v>
      </c>
      <c r="AH71" s="3" t="str">
        <f>IF(Table1[[#This Row],[Passing Attempts]] &lt;15, "Y", "N")</f>
        <v>N</v>
      </c>
      <c r="AI71" s="3" t="str">
        <f>IF(Table1[[#This Row],[Rushing Attempts]] &lt; 15, "Y", "N")</f>
        <v>N</v>
      </c>
      <c r="AJ71" s="3" t="str">
        <f>IF(Table1[[#This Row],[Opp Passing Attempts]]&lt;15, "Y", "N")</f>
        <v>N</v>
      </c>
      <c r="AK71" s="3" t="str">
        <f>IF(Table1[[#This Row],[Opp Rushing Attempts]]&lt;15, "Y", "N")</f>
        <v>N</v>
      </c>
      <c r="AL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33.32</v>
      </c>
      <c r="AM7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63.76</v>
      </c>
      <c r="AN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92.61</v>
      </c>
      <c r="AO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79.27</v>
      </c>
      <c r="AP71" s="3">
        <f>ABS(Table1[[#This Row],[Team Score]]-Table1[[#This Row],[Opp Team Score]])</f>
        <v>56</v>
      </c>
      <c r="AQ71" s="3">
        <f>SUM(Table1[[#This Row],[Team Score]], Table1[[#This Row],[Opp Team Score]])</f>
        <v>68</v>
      </c>
      <c r="AR7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171.64</v>
      </c>
      <c r="AS71" s="3">
        <f>IF(Table1[[#This Row],[Efficiency Difference]] = " ", " ", ROUND((Table1[[#This Row],[Winning Margin]]*100)/Table1[[#This Row],[Efficiency Difference]], 2))</f>
        <v>32.630000000000003</v>
      </c>
    </row>
    <row r="72" spans="1:45">
      <c r="A72" t="s">
        <v>34</v>
      </c>
      <c r="B72">
        <v>47</v>
      </c>
      <c r="C72">
        <v>0</v>
      </c>
      <c r="D72">
        <v>155</v>
      </c>
      <c r="E72">
        <v>34</v>
      </c>
      <c r="F72">
        <v>0</v>
      </c>
      <c r="G72">
        <v>19</v>
      </c>
      <c r="H72">
        <v>2</v>
      </c>
      <c r="I72">
        <v>81</v>
      </c>
      <c r="J72">
        <v>25</v>
      </c>
      <c r="K72">
        <v>0</v>
      </c>
      <c r="L72">
        <v>1</v>
      </c>
      <c r="M72" t="s">
        <v>132</v>
      </c>
      <c r="N72">
        <v>690</v>
      </c>
      <c r="O72">
        <v>42</v>
      </c>
      <c r="P72">
        <v>160</v>
      </c>
      <c r="Q72">
        <v>13</v>
      </c>
      <c r="R72">
        <v>1</v>
      </c>
      <c r="S72">
        <v>10</v>
      </c>
      <c r="T72">
        <v>0</v>
      </c>
      <c r="U72">
        <v>350</v>
      </c>
      <c r="V72">
        <v>62</v>
      </c>
      <c r="W72">
        <v>5</v>
      </c>
      <c r="X72">
        <v>0</v>
      </c>
      <c r="Y72" t="s">
        <v>19</v>
      </c>
      <c r="Z72">
        <v>6</v>
      </c>
      <c r="AA72">
        <f>IF(AND(Table1[[#This Row],[Throw Out Pass Eff]]="N", Table1[[#This Row],[Against FCS Team]]="N"), ROUND(((5.45 * D72) + (150 * F72) + (100 * G72) - (300 * H72)) / E72, 2), " ")</f>
        <v>63.08</v>
      </c>
      <c r="AB72" t="str">
        <f>IF(AND(Table1[[#This Row],[Throw Out Pass Def Eff]]="N", Table1[[#This Row],[Against FCS Team]]="N"),200 - ROUND(((5.45 * P72) + (150 * R72) + (100 * S72) - (300 * T72)) / Q72, 2), " ")</f>
        <v xml:space="preserve"> </v>
      </c>
      <c r="AC72">
        <f>IF(AND(Table1[[#This Row],[Throw Out Rush Eff]]="N", Table1[[#This Row],[Against FCS Team]]="N"), ROUND(((23.2 * I72) + (150 * K72) - (300 * L72)) / J72, 2), " ")</f>
        <v>63.17</v>
      </c>
      <c r="AD72" s="3">
        <f>IF(AND(Table1[[#This Row],[Throw Out Rush Def Eff]]="N", Table1[[#This Row],[Against FCS Team]]="N"), 200 - ROUND(((23.2 * U72) + (150 * W72) - (300 * X72)) / V72, 2), " ")</f>
        <v>56.94</v>
      </c>
      <c r="AE72" s="3">
        <f>ROUND(Table1[[#This Row],[Opp Passing Attempts]]/(Table1[[#This Row],[Opp Passing Attempts]]+Table1[[#This Row],[Opp Rushing Attempts]]), 2)</f>
        <v>0.17</v>
      </c>
      <c r="AF72" s="3">
        <f>1-Table1[[#This Row],[Passing Weight]]</f>
        <v>0.83</v>
      </c>
      <c r="AG72" s="3" t="str">
        <f>IF(COUNTIF(A:A,Table1[[#This Row],[Opp Team Name]]) &gt; 0, "N", "Y")</f>
        <v>N</v>
      </c>
      <c r="AH72" s="3" t="str">
        <f>IF(Table1[[#This Row],[Passing Attempts]] &lt;15, "Y", "N")</f>
        <v>N</v>
      </c>
      <c r="AI72" s="3" t="str">
        <f>IF(Table1[[#This Row],[Rushing Attempts]] &lt; 15, "Y", "N")</f>
        <v>N</v>
      </c>
      <c r="AJ72" s="3" t="str">
        <f>IF(Table1[[#This Row],[Opp Passing Attempts]]&lt;15, "Y", "N")</f>
        <v>Y</v>
      </c>
      <c r="AK72" s="3" t="str">
        <f>IF(Table1[[#This Row],[Opp Rushing Attempts]]&lt;15, "Y", "N")</f>
        <v>N</v>
      </c>
      <c r="AL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72.150000000000006</v>
      </c>
      <c r="AM7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87.16</v>
      </c>
      <c r="AO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63.29</v>
      </c>
      <c r="AP72" s="3">
        <f>ABS(Table1[[#This Row],[Team Score]]-Table1[[#This Row],[Opp Team Score]])</f>
        <v>42</v>
      </c>
      <c r="AQ72" s="3">
        <f>SUM(Table1[[#This Row],[Team Score]], Table1[[#This Row],[Opp Team Score]])</f>
        <v>42</v>
      </c>
      <c r="AR7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2" s="3" t="str">
        <f>IF(Table1[[#This Row],[Efficiency Difference]] = " ", " ", ROUND((Table1[[#This Row],[Winning Margin]]*100)/Table1[[#This Row],[Efficiency Difference]], 2))</f>
        <v xml:space="preserve"> </v>
      </c>
    </row>
    <row r="73" spans="1:45">
      <c r="A73" t="s">
        <v>34</v>
      </c>
      <c r="B73">
        <v>47</v>
      </c>
      <c r="C73">
        <v>23</v>
      </c>
      <c r="D73">
        <v>206</v>
      </c>
      <c r="E73">
        <v>37</v>
      </c>
      <c r="F73">
        <v>0</v>
      </c>
      <c r="G73">
        <v>21</v>
      </c>
      <c r="H73">
        <v>0</v>
      </c>
      <c r="I73">
        <v>166</v>
      </c>
      <c r="J73">
        <v>41</v>
      </c>
      <c r="K73">
        <v>2</v>
      </c>
      <c r="L73">
        <v>0</v>
      </c>
      <c r="M73" t="s">
        <v>109</v>
      </c>
      <c r="N73">
        <v>519</v>
      </c>
      <c r="O73">
        <v>20</v>
      </c>
      <c r="P73">
        <v>283</v>
      </c>
      <c r="Q73">
        <v>31</v>
      </c>
      <c r="R73">
        <v>3</v>
      </c>
      <c r="S73">
        <v>19</v>
      </c>
      <c r="T73">
        <v>2</v>
      </c>
      <c r="U73">
        <v>130</v>
      </c>
      <c r="V73">
        <v>30</v>
      </c>
      <c r="W73">
        <v>0</v>
      </c>
      <c r="X73">
        <v>1</v>
      </c>
      <c r="Y73" t="s">
        <v>16</v>
      </c>
      <c r="Z73">
        <v>7</v>
      </c>
      <c r="AA73">
        <f>IF(AND(Table1[[#This Row],[Throw Out Pass Eff]]="N", Table1[[#This Row],[Against FCS Team]]="N"), ROUND(((5.45 * D73) + (150 * F73) + (100 * G73) - (300 * H73)) / E73, 2), " ")</f>
        <v>87.1</v>
      </c>
      <c r="AB73">
        <f>IF(AND(Table1[[#This Row],[Throw Out Pass Def Eff]]="N", Table1[[#This Row],[Against FCS Team]]="N"),200 - ROUND(((5.45 * P73) + (150 * R73) + (100 * S73) - (300 * T73)) / Q73, 2), " ")</f>
        <v>93.8</v>
      </c>
      <c r="AC73">
        <f>IF(AND(Table1[[#This Row],[Throw Out Rush Eff]]="N", Table1[[#This Row],[Against FCS Team]]="N"), ROUND(((23.2 * I73) + (150 * K73) - (300 * L73)) / J73, 2), " ")</f>
        <v>101.25</v>
      </c>
      <c r="AD73" s="3">
        <f>IF(AND(Table1[[#This Row],[Throw Out Rush Def Eff]]="N", Table1[[#This Row],[Against FCS Team]]="N"), 200 - ROUND(((23.2 * U73) + (150 * W73) - (300 * X73)) / V73, 2), " ")</f>
        <v>109.47</v>
      </c>
      <c r="AE73" s="3">
        <f>ROUND(Table1[[#This Row],[Opp Passing Attempts]]/(Table1[[#This Row],[Opp Passing Attempts]]+Table1[[#This Row],[Opp Rushing Attempts]]), 2)</f>
        <v>0.51</v>
      </c>
      <c r="AF73" s="3">
        <f>1-Table1[[#This Row],[Passing Weight]]</f>
        <v>0.49</v>
      </c>
      <c r="AG73" s="3" t="str">
        <f>IF(COUNTIF(A:A,Table1[[#This Row],[Opp Team Name]]) &gt; 0, "N", "Y")</f>
        <v>N</v>
      </c>
      <c r="AH73" s="3" t="str">
        <f>IF(Table1[[#This Row],[Passing Attempts]] &lt;15, "Y", "N")</f>
        <v>N</v>
      </c>
      <c r="AI73" s="3" t="str">
        <f>IF(Table1[[#This Row],[Rushing Attempts]] &lt; 15, "Y", "N")</f>
        <v>N</v>
      </c>
      <c r="AJ73" s="3" t="str">
        <f>IF(Table1[[#This Row],[Opp Passing Attempts]]&lt;15, "Y", "N")</f>
        <v>N</v>
      </c>
      <c r="AK73" s="3" t="str">
        <f>IF(Table1[[#This Row],[Opp Rushing Attempts]]&lt;15, "Y", "N")</f>
        <v>N</v>
      </c>
      <c r="AL7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104.02</v>
      </c>
      <c r="AM7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</v>
      </c>
      <c r="AN7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130.84</v>
      </c>
      <c r="AO7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108.92</v>
      </c>
      <c r="AP73" s="3">
        <f>ABS(Table1[[#This Row],[Team Score]]-Table1[[#This Row],[Opp Team Score]])</f>
        <v>3</v>
      </c>
      <c r="AQ73" s="3">
        <f>SUM(Table1[[#This Row],[Team Score]], Table1[[#This Row],[Opp Team Score]])</f>
        <v>43</v>
      </c>
      <c r="AR7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8.3800000000000239</v>
      </c>
      <c r="AS73" s="3">
        <f>IF(Table1[[#This Row],[Efficiency Difference]] = " ", " ", ROUND((Table1[[#This Row],[Winning Margin]]*100)/Table1[[#This Row],[Efficiency Difference]], 2))</f>
        <v>35.799999999999997</v>
      </c>
    </row>
    <row r="74" spans="1:45">
      <c r="A74" t="s">
        <v>34</v>
      </c>
      <c r="B74">
        <v>47</v>
      </c>
      <c r="C74">
        <v>31</v>
      </c>
      <c r="D74">
        <v>325</v>
      </c>
      <c r="E74">
        <v>38</v>
      </c>
      <c r="F74">
        <v>3</v>
      </c>
      <c r="G74">
        <v>27</v>
      </c>
      <c r="H74">
        <v>1</v>
      </c>
      <c r="I74">
        <v>130</v>
      </c>
      <c r="J74">
        <v>31</v>
      </c>
      <c r="K74">
        <v>1</v>
      </c>
      <c r="L74">
        <v>0</v>
      </c>
      <c r="M74" t="s">
        <v>50</v>
      </c>
      <c r="N74">
        <v>129</v>
      </c>
      <c r="O74">
        <v>27</v>
      </c>
      <c r="P74">
        <v>436</v>
      </c>
      <c r="Q74">
        <v>45</v>
      </c>
      <c r="R74">
        <v>3</v>
      </c>
      <c r="S74">
        <v>30</v>
      </c>
      <c r="T74">
        <v>1</v>
      </c>
      <c r="U74">
        <v>133</v>
      </c>
      <c r="V74">
        <v>29</v>
      </c>
      <c r="W74">
        <v>0</v>
      </c>
      <c r="X74">
        <v>2</v>
      </c>
      <c r="Y74" t="s">
        <v>16</v>
      </c>
      <c r="Z74">
        <v>8</v>
      </c>
      <c r="AA74" s="3">
        <f>IF(AND(Table1[[#This Row],[Throw Out Pass Eff]]="N", Table1[[#This Row],[Against FCS Team]]="N"), ROUND(((5.45 * D74) + (150 * F74) + (100 * G74) - (300 * H74)) / E74, 2), " ")</f>
        <v>121.61</v>
      </c>
      <c r="AB74" s="3">
        <f>IF(AND(Table1[[#This Row],[Throw Out Pass Def Eff]]="N", Table1[[#This Row],[Against FCS Team]]="N"),200 - ROUND(((5.45 * P74) + (150 * R74) + (100 * S74) - (300 * T74)) / Q74, 2), " ")</f>
        <v>77.2</v>
      </c>
      <c r="AC74" s="3">
        <f>IF(AND(Table1[[#This Row],[Throw Out Rush Eff]]="N", Table1[[#This Row],[Against FCS Team]]="N"), ROUND(((23.2 * I74) + (150 * K74) - (300 * L74)) / J74, 2), " ")</f>
        <v>102.13</v>
      </c>
      <c r="AD74" s="3">
        <f>IF(AND(Table1[[#This Row],[Throw Out Rush Def Eff]]="N", Table1[[#This Row],[Against FCS Team]]="N"), 200 - ROUND(((23.2 * U74) + (150 * W74) - (300 * X74)) / V74, 2), " ")</f>
        <v>114.29</v>
      </c>
      <c r="AE74" s="3">
        <f>ROUND(Table1[[#This Row],[Opp Passing Attempts]]/(Table1[[#This Row],[Opp Passing Attempts]]+Table1[[#This Row],[Opp Rushing Attempts]]), 2)</f>
        <v>0.61</v>
      </c>
      <c r="AF74" s="3">
        <f>1-Table1[[#This Row],[Passing Weight]]</f>
        <v>0.39</v>
      </c>
      <c r="AG74" s="3" t="str">
        <f>IF(COUNTIF(A:A,Table1[[#This Row],[Opp Team Name]]) &gt; 0, "N", "Y")</f>
        <v>N</v>
      </c>
      <c r="AH74" s="3" t="str">
        <f>IF(Table1[[#This Row],[Passing Attempts]] &lt;15, "Y", "N")</f>
        <v>N</v>
      </c>
      <c r="AI74" s="3" t="str">
        <f>IF(Table1[[#This Row],[Rushing Attempts]] &lt; 15, "Y", "N")</f>
        <v>N</v>
      </c>
      <c r="AJ74" s="3" t="str">
        <f>IF(Table1[[#This Row],[Opp Passing Attempts]]&lt;15, "Y", "N")</f>
        <v>N</v>
      </c>
      <c r="AK74" s="3" t="str">
        <f>IF(Table1[[#This Row],[Opp Rushing Attempts]]&lt;15, "Y", "N")</f>
        <v>N</v>
      </c>
      <c r="AL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113.43</v>
      </c>
      <c r="AM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71.38</v>
      </c>
      <c r="AN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88.54</v>
      </c>
      <c r="AO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106.06</v>
      </c>
      <c r="AP74" s="3">
        <f>ABS(Table1[[#This Row],[Team Score]]-Table1[[#This Row],[Opp Team Score]])</f>
        <v>4</v>
      </c>
      <c r="AQ74" s="3">
        <f>SUM(Table1[[#This Row],[Team Score]], Table1[[#This Row],[Opp Team Score]])</f>
        <v>58</v>
      </c>
      <c r="AR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15.230000000000018</v>
      </c>
      <c r="AS74" s="3">
        <f>IF(Table1[[#This Row],[Efficiency Difference]] = " ", " ", ROUND((Table1[[#This Row],[Winning Margin]]*100)/Table1[[#This Row],[Efficiency Difference]], 2))</f>
        <v>26.26</v>
      </c>
    </row>
    <row r="75" spans="1:45">
      <c r="A75" t="s">
        <v>36</v>
      </c>
      <c r="B75">
        <v>51</v>
      </c>
      <c r="C75">
        <v>50</v>
      </c>
      <c r="D75">
        <v>414</v>
      </c>
      <c r="E75">
        <v>29</v>
      </c>
      <c r="F75">
        <v>6</v>
      </c>
      <c r="G75">
        <v>23</v>
      </c>
      <c r="H75">
        <v>0</v>
      </c>
      <c r="I75">
        <v>150</v>
      </c>
      <c r="J75">
        <v>36</v>
      </c>
      <c r="K75">
        <v>1</v>
      </c>
      <c r="L75">
        <v>1</v>
      </c>
      <c r="M75" t="s">
        <v>37</v>
      </c>
      <c r="N75">
        <v>698</v>
      </c>
      <c r="O75">
        <v>48</v>
      </c>
      <c r="P75">
        <v>251</v>
      </c>
      <c r="Q75">
        <v>40</v>
      </c>
      <c r="R75">
        <v>4</v>
      </c>
      <c r="S75">
        <v>25</v>
      </c>
      <c r="T75">
        <v>1</v>
      </c>
      <c r="U75">
        <v>215</v>
      </c>
      <c r="V75">
        <v>38</v>
      </c>
      <c r="W75">
        <v>2</v>
      </c>
      <c r="X75">
        <v>0</v>
      </c>
      <c r="Y75" t="s">
        <v>16</v>
      </c>
      <c r="Z75">
        <v>1</v>
      </c>
      <c r="AA75">
        <f>IF(AND(Table1[[#This Row],[Throw Out Pass Eff]]="N", Table1[[#This Row],[Against FCS Team]]="N"), ROUND(((5.45 * D75) + (150 * F75) + (100 * G75) - (300 * H75)) / E75, 2), " ")</f>
        <v>188.15</v>
      </c>
      <c r="AB75">
        <f>IF(AND(Table1[[#This Row],[Throw Out Pass Def Eff]]="N", Table1[[#This Row],[Against FCS Team]]="N"),200 - ROUND(((5.45 * P75) + (150 * R75) + (100 * S75) - (300 * T75)) / Q75, 2), " ")</f>
        <v>95.8</v>
      </c>
      <c r="AC75">
        <f>IF(AND(Table1[[#This Row],[Throw Out Rush Eff]]="N", Table1[[#This Row],[Against FCS Team]]="N"), ROUND(((23.2 * I75) + (150 * K75) - (300 * L75)) / J75, 2), " ")</f>
        <v>92.5</v>
      </c>
      <c r="AD75" s="3">
        <f>IF(AND(Table1[[#This Row],[Throw Out Rush Def Eff]]="N", Table1[[#This Row],[Against FCS Team]]="N"), 200 - ROUND(((23.2 * U75) + (150 * W75) - (300 * X75)) / V75, 2), " ")</f>
        <v>60.84</v>
      </c>
      <c r="AE75" s="3">
        <f>ROUND(Table1[[#This Row],[Opp Passing Attempts]]/(Table1[[#This Row],[Opp Passing Attempts]]+Table1[[#This Row],[Opp Rushing Attempts]]), 2)</f>
        <v>0.51</v>
      </c>
      <c r="AF75" s="3">
        <f>1-Table1[[#This Row],[Passing Weight]]</f>
        <v>0.49</v>
      </c>
      <c r="AG75" s="3" t="str">
        <f>IF(COUNTIF(A:A,Table1[[#This Row],[Opp Team Name]]) &gt; 0, "N", "Y")</f>
        <v>N</v>
      </c>
      <c r="AH75" s="3" t="str">
        <f>IF(Table1[[#This Row],[Passing Attempts]] &lt;15, "Y", "N")</f>
        <v>N</v>
      </c>
      <c r="AI75" s="3" t="str">
        <f>IF(Table1[[#This Row],[Rushing Attempts]] &lt; 15, "Y", "N")</f>
        <v>N</v>
      </c>
      <c r="AJ75" s="3" t="str">
        <f>IF(Table1[[#This Row],[Opp Passing Attempts]]&lt;15, "Y", "N")</f>
        <v>N</v>
      </c>
      <c r="AK75" s="3" t="str">
        <f>IF(Table1[[#This Row],[Opp Rushing Attempts]]&lt;15, "Y", "N")</f>
        <v>N</v>
      </c>
      <c r="AL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168.33</v>
      </c>
      <c r="AM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117.09</v>
      </c>
      <c r="AN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113.82</v>
      </c>
      <c r="AO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72.98</v>
      </c>
      <c r="AP75" s="3">
        <f>ABS(Table1[[#This Row],[Team Score]]-Table1[[#This Row],[Opp Team Score]])</f>
        <v>2</v>
      </c>
      <c r="AQ75" s="3">
        <f>SUM(Table1[[#This Row],[Team Score]], Table1[[#This Row],[Opp Team Score]])</f>
        <v>98</v>
      </c>
      <c r="AR7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37.289999999999964</v>
      </c>
      <c r="AS75" s="3">
        <f>IF(Table1[[#This Row],[Efficiency Difference]] = " ", " ", ROUND((Table1[[#This Row],[Winning Margin]]*100)/Table1[[#This Row],[Efficiency Difference]], 2))</f>
        <v>5.36</v>
      </c>
    </row>
    <row r="76" spans="1:45">
      <c r="A76" t="s">
        <v>36</v>
      </c>
      <c r="B76">
        <v>51</v>
      </c>
      <c r="C76">
        <v>48</v>
      </c>
      <c r="D76">
        <v>279</v>
      </c>
      <c r="E76">
        <v>23</v>
      </c>
      <c r="F76">
        <v>3</v>
      </c>
      <c r="G76">
        <v>20</v>
      </c>
      <c r="H76">
        <v>0</v>
      </c>
      <c r="I76">
        <v>266</v>
      </c>
      <c r="J76">
        <v>31</v>
      </c>
      <c r="K76">
        <v>3</v>
      </c>
      <c r="L76">
        <v>1</v>
      </c>
      <c r="M76" t="s">
        <v>193</v>
      </c>
      <c r="N76">
        <v>676</v>
      </c>
      <c r="O76">
        <v>0</v>
      </c>
      <c r="P76">
        <v>122</v>
      </c>
      <c r="Q76">
        <v>22</v>
      </c>
      <c r="R76">
        <v>0</v>
      </c>
      <c r="S76">
        <v>13</v>
      </c>
      <c r="T76">
        <v>1</v>
      </c>
      <c r="U76">
        <v>85</v>
      </c>
      <c r="V76">
        <v>26</v>
      </c>
      <c r="W76">
        <v>0</v>
      </c>
      <c r="X76">
        <v>1</v>
      </c>
      <c r="Y76" t="s">
        <v>16</v>
      </c>
      <c r="Z76">
        <v>3</v>
      </c>
      <c r="AA76">
        <f>IF(AND(Table1[[#This Row],[Throw Out Pass Eff]]="N", Table1[[#This Row],[Against FCS Team]]="N"), ROUND(((5.45 * D76) + (150 * F76) + (100 * G76) - (300 * H76)) / E76, 2), " ")</f>
        <v>172.63</v>
      </c>
      <c r="AB76">
        <f>IF(AND(Table1[[#This Row],[Throw Out Pass Def Eff]]="N", Table1[[#This Row],[Against FCS Team]]="N"),200 - ROUND(((5.45 * P76) + (150 * R76) + (100 * S76) - (300 * T76)) / Q76, 2), " ")</f>
        <v>124.32</v>
      </c>
      <c r="AC76">
        <f>IF(AND(Table1[[#This Row],[Throw Out Rush Eff]]="N", Table1[[#This Row],[Against FCS Team]]="N"), ROUND(((23.2 * I76) + (150 * K76) - (300 * L76)) / J76, 2), " ")</f>
        <v>203.91</v>
      </c>
      <c r="AD76" s="3">
        <f>IF(AND(Table1[[#This Row],[Throw Out Rush Def Eff]]="N", Table1[[#This Row],[Against FCS Team]]="N"), 200 - ROUND(((23.2 * U76) + (150 * W76) - (300 * X76)) / V76, 2), " ")</f>
        <v>135.69</v>
      </c>
      <c r="AE76" s="3">
        <f>ROUND(Table1[[#This Row],[Opp Passing Attempts]]/(Table1[[#This Row],[Opp Passing Attempts]]+Table1[[#This Row],[Opp Rushing Attempts]]), 2)</f>
        <v>0.46</v>
      </c>
      <c r="AF76" s="3">
        <f>1-Table1[[#This Row],[Passing Weight]]</f>
        <v>0.54</v>
      </c>
      <c r="AG76" s="3" t="str">
        <f>IF(COUNTIF(A:A,Table1[[#This Row],[Opp Team Name]]) &gt; 0, "N", "Y")</f>
        <v>N</v>
      </c>
      <c r="AH76" s="3" t="str">
        <f>IF(Table1[[#This Row],[Passing Attempts]] &lt;15, "Y", "N")</f>
        <v>N</v>
      </c>
      <c r="AI76" s="3" t="str">
        <f>IF(Table1[[#This Row],[Rushing Attempts]] &lt; 15, "Y", "N")</f>
        <v>N</v>
      </c>
      <c r="AJ76" s="3" t="str">
        <f>IF(Table1[[#This Row],[Opp Passing Attempts]]&lt;15, "Y", "N")</f>
        <v>N</v>
      </c>
      <c r="AK76" s="3" t="str">
        <f>IF(Table1[[#This Row],[Opp Rushing Attempts]]&lt;15, "Y", "N")</f>
        <v>N</v>
      </c>
      <c r="AL7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79.88</v>
      </c>
      <c r="AM7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92.26</v>
      </c>
      <c r="AN7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194.92</v>
      </c>
      <c r="AO7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134.18</v>
      </c>
      <c r="AP76" s="3">
        <f>ABS(Table1[[#This Row],[Team Score]]-Table1[[#This Row],[Opp Team Score]])</f>
        <v>48</v>
      </c>
      <c r="AQ76" s="3">
        <f>SUM(Table1[[#This Row],[Team Score]], Table1[[#This Row],[Opp Team Score]])</f>
        <v>48</v>
      </c>
      <c r="AR7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236.54999999999995</v>
      </c>
      <c r="AS76" s="3">
        <f>IF(Table1[[#This Row],[Efficiency Difference]] = " ", " ", ROUND((Table1[[#This Row],[Winning Margin]]*100)/Table1[[#This Row],[Efficiency Difference]], 2))</f>
        <v>20.29</v>
      </c>
    </row>
    <row r="77" spans="1:45">
      <c r="A77" t="s">
        <v>36</v>
      </c>
      <c r="B77">
        <v>51</v>
      </c>
      <c r="C77">
        <v>56</v>
      </c>
      <c r="D77">
        <v>367</v>
      </c>
      <c r="E77">
        <v>35</v>
      </c>
      <c r="F77">
        <v>5</v>
      </c>
      <c r="G77">
        <v>31</v>
      </c>
      <c r="H77">
        <v>0</v>
      </c>
      <c r="I77">
        <v>306</v>
      </c>
      <c r="J77">
        <v>50</v>
      </c>
      <c r="K77">
        <v>2</v>
      </c>
      <c r="L77">
        <v>2</v>
      </c>
      <c r="M77" t="s">
        <v>122</v>
      </c>
      <c r="N77">
        <v>574</v>
      </c>
      <c r="O77">
        <v>31</v>
      </c>
      <c r="P77">
        <v>260</v>
      </c>
      <c r="Q77">
        <v>39</v>
      </c>
      <c r="R77">
        <v>3</v>
      </c>
      <c r="S77">
        <v>23</v>
      </c>
      <c r="T77">
        <v>1</v>
      </c>
      <c r="U77">
        <v>156</v>
      </c>
      <c r="V77">
        <v>38</v>
      </c>
      <c r="W77">
        <v>1</v>
      </c>
      <c r="X77">
        <v>1</v>
      </c>
      <c r="Y77" t="s">
        <v>16</v>
      </c>
      <c r="Z77">
        <v>4</v>
      </c>
      <c r="AA77">
        <f>IF(AND(Table1[[#This Row],[Throw Out Pass Eff]]="N", Table1[[#This Row],[Against FCS Team]]="N"), ROUND(((5.45 * D77) + (150 * F77) + (100 * G77) - (300 * H77)) / E77, 2), " ")</f>
        <v>167.15</v>
      </c>
      <c r="AB77">
        <f>IF(AND(Table1[[#This Row],[Throw Out Pass Def Eff]]="N", Table1[[#This Row],[Against FCS Team]]="N"),200 - ROUND(((5.45 * P77) + (150 * R77) + (100 * S77) - (300 * T77)) / Q77, 2), " ")</f>
        <v>100.85</v>
      </c>
      <c r="AC77">
        <f>IF(AND(Table1[[#This Row],[Throw Out Rush Eff]]="N", Table1[[#This Row],[Against FCS Team]]="N"), ROUND(((23.2 * I77) + (150 * K77) - (300 * L77)) / J77, 2), " ")</f>
        <v>135.97999999999999</v>
      </c>
      <c r="AD77" s="3">
        <f>IF(AND(Table1[[#This Row],[Throw Out Rush Def Eff]]="N", Table1[[#This Row],[Against FCS Team]]="N"), 200 - ROUND(((23.2 * U77) + (150 * W77) - (300 * X77)) / V77, 2), " ")</f>
        <v>108.71</v>
      </c>
      <c r="AE77" s="3">
        <f>ROUND(Table1[[#This Row],[Opp Passing Attempts]]/(Table1[[#This Row],[Opp Passing Attempts]]+Table1[[#This Row],[Opp Rushing Attempts]]), 2)</f>
        <v>0.51</v>
      </c>
      <c r="AF77" s="3">
        <f>1-Table1[[#This Row],[Passing Weight]]</f>
        <v>0.49</v>
      </c>
      <c r="AG77" s="3" t="str">
        <f>IF(COUNTIF(A:A,Table1[[#This Row],[Opp Team Name]]) &gt; 0, "N", "Y")</f>
        <v>N</v>
      </c>
      <c r="AH77" s="3" t="str">
        <f>IF(Table1[[#This Row],[Passing Attempts]] &lt;15, "Y", "N")</f>
        <v>N</v>
      </c>
      <c r="AI77" s="3" t="str">
        <f>IF(Table1[[#This Row],[Rushing Attempts]] &lt; 15, "Y", "N")</f>
        <v>N</v>
      </c>
      <c r="AJ77" s="3" t="str">
        <f>IF(Table1[[#This Row],[Opp Passing Attempts]]&lt;15, "Y", "N")</f>
        <v>N</v>
      </c>
      <c r="AK77" s="3" t="str">
        <f>IF(Table1[[#This Row],[Opp Rushing Attempts]]&lt;15, "Y", "N")</f>
        <v>N</v>
      </c>
      <c r="AL7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156.22999999999999</v>
      </c>
      <c r="AM7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91.03</v>
      </c>
      <c r="AN7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120.3</v>
      </c>
      <c r="AO7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73.67</v>
      </c>
      <c r="AP77" s="3">
        <f>ABS(Table1[[#This Row],[Team Score]]-Table1[[#This Row],[Opp Team Score]])</f>
        <v>25</v>
      </c>
      <c r="AQ77" s="3">
        <f>SUM(Table1[[#This Row],[Team Score]], Table1[[#This Row],[Opp Team Score]])</f>
        <v>87</v>
      </c>
      <c r="AR7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112.69</v>
      </c>
      <c r="AS77" s="3">
        <f>IF(Table1[[#This Row],[Efficiency Difference]] = " ", " ", ROUND((Table1[[#This Row],[Winning Margin]]*100)/Table1[[#This Row],[Efficiency Difference]], 2))</f>
        <v>22.18</v>
      </c>
    </row>
    <row r="78" spans="1:45">
      <c r="A78" t="s">
        <v>36</v>
      </c>
      <c r="B78">
        <v>51</v>
      </c>
      <c r="C78">
        <v>35</v>
      </c>
      <c r="D78">
        <v>346</v>
      </c>
      <c r="E78">
        <v>32</v>
      </c>
      <c r="F78">
        <v>5</v>
      </c>
      <c r="G78">
        <v>23</v>
      </c>
      <c r="H78">
        <v>1</v>
      </c>
      <c r="I78">
        <v>83</v>
      </c>
      <c r="J78">
        <v>30</v>
      </c>
      <c r="K78">
        <v>0</v>
      </c>
      <c r="L78">
        <v>2</v>
      </c>
      <c r="M78" t="s">
        <v>82</v>
      </c>
      <c r="N78">
        <v>327</v>
      </c>
      <c r="O78">
        <v>36</v>
      </c>
      <c r="P78">
        <v>146</v>
      </c>
      <c r="Q78">
        <v>28</v>
      </c>
      <c r="R78">
        <v>2</v>
      </c>
      <c r="S78">
        <v>13</v>
      </c>
      <c r="T78">
        <v>1</v>
      </c>
      <c r="U78">
        <v>210</v>
      </c>
      <c r="V78">
        <v>51</v>
      </c>
      <c r="W78">
        <v>2</v>
      </c>
      <c r="X78">
        <v>0</v>
      </c>
      <c r="Y78" t="s">
        <v>19</v>
      </c>
      <c r="Z78">
        <v>5</v>
      </c>
      <c r="AA78">
        <f>IF(AND(Table1[[#This Row],[Throw Out Pass Eff]]="N", Table1[[#This Row],[Against FCS Team]]="N"), ROUND(((5.45 * D78) + (150 * F78) + (100 * G78) - (300 * H78)) / E78, 2), " ")</f>
        <v>144.87</v>
      </c>
      <c r="AB78">
        <f>IF(AND(Table1[[#This Row],[Throw Out Pass Def Eff]]="N", Table1[[#This Row],[Against FCS Team]]="N"),200 - ROUND(((5.45 * P78) + (150 * R78) + (100 * S78) - (300 * T78)) / Q78, 2), " ")</f>
        <v>125.15</v>
      </c>
      <c r="AC78">
        <f>IF(AND(Table1[[#This Row],[Throw Out Rush Eff]]="N", Table1[[#This Row],[Against FCS Team]]="N"), ROUND(((23.2 * I78) + (150 * K78) - (300 * L78)) / J78, 2), " ")</f>
        <v>44.19</v>
      </c>
      <c r="AD78" s="3">
        <f>IF(AND(Table1[[#This Row],[Throw Out Rush Def Eff]]="N", Table1[[#This Row],[Against FCS Team]]="N"), 200 - ROUND(((23.2 * U78) + (150 * W78) - (300 * X78)) / V78, 2), " ")</f>
        <v>98.59</v>
      </c>
      <c r="AE78" s="3">
        <f>ROUND(Table1[[#This Row],[Opp Passing Attempts]]/(Table1[[#This Row],[Opp Passing Attempts]]+Table1[[#This Row],[Opp Rushing Attempts]]), 2)</f>
        <v>0.35</v>
      </c>
      <c r="AF78" s="3">
        <f>1-Table1[[#This Row],[Passing Weight]]</f>
        <v>0.65</v>
      </c>
      <c r="AG78" s="3" t="str">
        <f>IF(COUNTIF(A:A,Table1[[#This Row],[Opp Team Name]]) &gt; 0, "N", "Y")</f>
        <v>N</v>
      </c>
      <c r="AH78" s="3" t="str">
        <f>IF(Table1[[#This Row],[Passing Attempts]] &lt;15, "Y", "N")</f>
        <v>N</v>
      </c>
      <c r="AI78" s="3" t="str">
        <f>IF(Table1[[#This Row],[Rushing Attempts]] &lt; 15, "Y", "N")</f>
        <v>N</v>
      </c>
      <c r="AJ78" s="3" t="str">
        <f>IF(Table1[[#This Row],[Opp Passing Attempts]]&lt;15, "Y", "N")</f>
        <v>N</v>
      </c>
      <c r="AK78" s="3" t="str">
        <f>IF(Table1[[#This Row],[Opp Rushing Attempts]]&lt;15, "Y", "N")</f>
        <v>N</v>
      </c>
      <c r="AL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148.19999999999999</v>
      </c>
      <c r="AM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129.22999999999999</v>
      </c>
      <c r="AN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54.32</v>
      </c>
      <c r="AO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119.89</v>
      </c>
      <c r="AP78" s="3">
        <f>ABS(Table1[[#This Row],[Team Score]]-Table1[[#This Row],[Opp Team Score]])</f>
        <v>1</v>
      </c>
      <c r="AQ78" s="3">
        <f>SUM(Table1[[#This Row],[Team Score]], Table1[[#This Row],[Opp Team Score]])</f>
        <v>71</v>
      </c>
      <c r="AR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12.800000000000011</v>
      </c>
      <c r="AS78" s="3">
        <f>IF(Table1[[#This Row],[Efficiency Difference]] = " ", " ", ROUND((Table1[[#This Row],[Winning Margin]]*100)/Table1[[#This Row],[Efficiency Difference]], 2))</f>
        <v>7.81</v>
      </c>
    </row>
    <row r="79" spans="1:45">
      <c r="A79" t="s">
        <v>36</v>
      </c>
      <c r="B79">
        <v>51</v>
      </c>
      <c r="C79">
        <v>49</v>
      </c>
      <c r="D79">
        <v>212</v>
      </c>
      <c r="E79">
        <v>30</v>
      </c>
      <c r="F79">
        <v>1</v>
      </c>
      <c r="G79">
        <v>22</v>
      </c>
      <c r="H79">
        <v>0</v>
      </c>
      <c r="I79">
        <v>395</v>
      </c>
      <c r="J79">
        <v>67</v>
      </c>
      <c r="K79">
        <v>5</v>
      </c>
      <c r="L79">
        <v>2</v>
      </c>
      <c r="M79" t="s">
        <v>78</v>
      </c>
      <c r="N79">
        <v>311</v>
      </c>
      <c r="O79">
        <v>26</v>
      </c>
      <c r="P79">
        <v>244</v>
      </c>
      <c r="Q79">
        <v>35</v>
      </c>
      <c r="R79">
        <v>3</v>
      </c>
      <c r="S79">
        <v>17</v>
      </c>
      <c r="T79">
        <v>1</v>
      </c>
      <c r="U79">
        <v>181</v>
      </c>
      <c r="V79">
        <v>33</v>
      </c>
      <c r="W79">
        <v>1</v>
      </c>
      <c r="X79">
        <v>1</v>
      </c>
      <c r="Y79" t="s">
        <v>16</v>
      </c>
      <c r="Z79">
        <v>6</v>
      </c>
      <c r="AA79">
        <f>IF(AND(Table1[[#This Row],[Throw Out Pass Eff]]="N", Table1[[#This Row],[Against FCS Team]]="N"), ROUND(((5.45 * D79) + (150 * F79) + (100 * G79) - (300 * H79)) / E79, 2), " ")</f>
        <v>116.85</v>
      </c>
      <c r="AB79">
        <f>IF(AND(Table1[[#This Row],[Throw Out Pass Def Eff]]="N", Table1[[#This Row],[Against FCS Team]]="N"),200 - ROUND(((5.45 * P79) + (150 * R79) + (100 * S79) - (300 * T79)) / Q79, 2), " ")</f>
        <v>109.15</v>
      </c>
      <c r="AC79">
        <f>IF(AND(Table1[[#This Row],[Throw Out Rush Eff]]="N", Table1[[#This Row],[Against FCS Team]]="N"), ROUND(((23.2 * I79) + (150 * K79) - (300 * L79)) / J79, 2), " ")</f>
        <v>139.01</v>
      </c>
      <c r="AD79" s="3">
        <f>IF(AND(Table1[[#This Row],[Throw Out Rush Def Eff]]="N", Table1[[#This Row],[Against FCS Team]]="N"), 200 - ROUND(((23.2 * U79) + (150 * W79) - (300 * X79)) / V79, 2), " ")</f>
        <v>77.3</v>
      </c>
      <c r="AE79" s="3">
        <f>ROUND(Table1[[#This Row],[Opp Passing Attempts]]/(Table1[[#This Row],[Opp Passing Attempts]]+Table1[[#This Row],[Opp Rushing Attempts]]), 2)</f>
        <v>0.51</v>
      </c>
      <c r="AF79" s="3">
        <f>1-Table1[[#This Row],[Passing Weight]]</f>
        <v>0.49</v>
      </c>
      <c r="AG79" s="3" t="str">
        <f>IF(COUNTIF(A:A,Table1[[#This Row],[Opp Team Name]]) &gt; 0, "N", "Y")</f>
        <v>N</v>
      </c>
      <c r="AH79" s="3" t="str">
        <f>IF(Table1[[#This Row],[Passing Attempts]] &lt;15, "Y", "N")</f>
        <v>N</v>
      </c>
      <c r="AI79" s="3" t="str">
        <f>IF(Table1[[#This Row],[Rushing Attempts]] &lt; 15, "Y", "N")</f>
        <v>N</v>
      </c>
      <c r="AJ79" s="3" t="str">
        <f>IF(Table1[[#This Row],[Opp Passing Attempts]]&lt;15, "Y", "N")</f>
        <v>N</v>
      </c>
      <c r="AK79" s="3" t="str">
        <f>IF(Table1[[#This Row],[Opp Rushing Attempts]]&lt;15, "Y", "N")</f>
        <v>N</v>
      </c>
      <c r="AL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109.7</v>
      </c>
      <c r="AM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91.51</v>
      </c>
      <c r="AN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137.91</v>
      </c>
      <c r="AO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67.459999999999994</v>
      </c>
      <c r="AP79" s="3">
        <f>ABS(Table1[[#This Row],[Team Score]]-Table1[[#This Row],[Opp Team Score]])</f>
        <v>23</v>
      </c>
      <c r="AQ79" s="3">
        <f>SUM(Table1[[#This Row],[Team Score]], Table1[[#This Row],[Opp Team Score]])</f>
        <v>75</v>
      </c>
      <c r="AR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42.309999999999974</v>
      </c>
      <c r="AS79" s="3">
        <f>IF(Table1[[#This Row],[Efficiency Difference]] = " ", " ", ROUND((Table1[[#This Row],[Winning Margin]]*100)/Table1[[#This Row],[Efficiency Difference]], 2))</f>
        <v>54.36</v>
      </c>
    </row>
    <row r="80" spans="1:45">
      <c r="A80" t="s">
        <v>36</v>
      </c>
      <c r="B80">
        <v>51</v>
      </c>
      <c r="C80">
        <v>28</v>
      </c>
      <c r="D80">
        <v>430</v>
      </c>
      <c r="E80">
        <v>40</v>
      </c>
      <c r="F80">
        <v>3</v>
      </c>
      <c r="G80">
        <v>28</v>
      </c>
      <c r="H80">
        <v>1</v>
      </c>
      <c r="I80">
        <v>50</v>
      </c>
      <c r="J80">
        <v>31</v>
      </c>
      <c r="K80">
        <v>1</v>
      </c>
      <c r="L80">
        <v>0</v>
      </c>
      <c r="M80" t="s">
        <v>187</v>
      </c>
      <c r="N80">
        <v>697</v>
      </c>
      <c r="O80">
        <v>55</v>
      </c>
      <c r="P80">
        <v>415</v>
      </c>
      <c r="Q80">
        <v>38</v>
      </c>
      <c r="R80">
        <v>6</v>
      </c>
      <c r="S80">
        <v>25</v>
      </c>
      <c r="T80">
        <v>1</v>
      </c>
      <c r="U80">
        <v>266</v>
      </c>
      <c r="V80">
        <v>45</v>
      </c>
      <c r="W80">
        <v>1</v>
      </c>
      <c r="X80">
        <v>0</v>
      </c>
      <c r="Y80" t="s">
        <v>19</v>
      </c>
      <c r="Z80">
        <v>7</v>
      </c>
      <c r="AA80">
        <f>IF(AND(Table1[[#This Row],[Throw Out Pass Eff]]="N", Table1[[#This Row],[Against FCS Team]]="N"), ROUND(((5.45 * D80) + (150 * F80) + (100 * G80) - (300 * H80)) / E80, 2), " ")</f>
        <v>132.34</v>
      </c>
      <c r="AB80">
        <f>IF(AND(Table1[[#This Row],[Throw Out Pass Def Eff]]="N", Table1[[#This Row],[Against FCS Team]]="N"),200 - ROUND(((5.45 * P80) + (150 * R80) + (100 * S80) - (300 * T80)) / Q80, 2), " ")</f>
        <v>58.900000000000006</v>
      </c>
      <c r="AC80">
        <f>IF(AND(Table1[[#This Row],[Throw Out Rush Eff]]="N", Table1[[#This Row],[Against FCS Team]]="N"), ROUND(((23.2 * I80) + (150 * K80) - (300 * L80)) / J80, 2), " ")</f>
        <v>42.26</v>
      </c>
      <c r="AD80" s="3">
        <f>IF(AND(Table1[[#This Row],[Throw Out Rush Def Eff]]="N", Table1[[#This Row],[Against FCS Team]]="N"), 200 - ROUND(((23.2 * U80) + (150 * W80) - (300 * X80)) / V80, 2), " ")</f>
        <v>59.53</v>
      </c>
      <c r="AE80" s="3">
        <f>ROUND(Table1[[#This Row],[Opp Passing Attempts]]/(Table1[[#This Row],[Opp Passing Attempts]]+Table1[[#This Row],[Opp Rushing Attempts]]), 2)</f>
        <v>0.46</v>
      </c>
      <c r="AF80" s="3">
        <f>1-Table1[[#This Row],[Passing Weight]]</f>
        <v>0.54</v>
      </c>
      <c r="AG80" s="3" t="str">
        <f>IF(COUNTIF(A:A,Table1[[#This Row],[Opp Team Name]]) &gt; 0, "N", "Y")</f>
        <v>N</v>
      </c>
      <c r="AH80" s="3" t="str">
        <f>IF(Table1[[#This Row],[Passing Attempts]] &lt;15, "Y", "N")</f>
        <v>N</v>
      </c>
      <c r="AI80" s="3" t="str">
        <f>IF(Table1[[#This Row],[Rushing Attempts]] &lt; 15, "Y", "N")</f>
        <v>N</v>
      </c>
      <c r="AJ80" s="3" t="str">
        <f>IF(Table1[[#This Row],[Opp Passing Attempts]]&lt;15, "Y", "N")</f>
        <v>N</v>
      </c>
      <c r="AK80" s="3" t="str">
        <f>IF(Table1[[#This Row],[Opp Rushing Attempts]]&lt;15, "Y", "N")</f>
        <v>N</v>
      </c>
      <c r="AL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130.30000000000001</v>
      </c>
      <c r="AM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66.42</v>
      </c>
      <c r="AN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58.88</v>
      </c>
      <c r="AO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77.239999999999995</v>
      </c>
      <c r="AP80" s="3">
        <f>ABS(Table1[[#This Row],[Team Score]]-Table1[[#This Row],[Opp Team Score]])</f>
        <v>27</v>
      </c>
      <c r="AQ80" s="3">
        <f>SUM(Table1[[#This Row],[Team Score]], Table1[[#This Row],[Opp Team Score]])</f>
        <v>83</v>
      </c>
      <c r="AR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106.97</v>
      </c>
      <c r="AS80" s="3">
        <f>IF(Table1[[#This Row],[Efficiency Difference]] = " ", " ", ROUND((Table1[[#This Row],[Winning Margin]]*100)/Table1[[#This Row],[Efficiency Difference]], 2))</f>
        <v>25.24</v>
      </c>
    </row>
    <row r="81" spans="1:45">
      <c r="A81" t="s">
        <v>38</v>
      </c>
      <c r="B81">
        <v>66</v>
      </c>
      <c r="C81">
        <v>35</v>
      </c>
      <c r="D81">
        <v>261</v>
      </c>
      <c r="E81">
        <v>34</v>
      </c>
      <c r="F81">
        <v>3</v>
      </c>
      <c r="G81">
        <v>28</v>
      </c>
      <c r="H81">
        <v>1</v>
      </c>
      <c r="I81">
        <v>129</v>
      </c>
      <c r="J81">
        <v>37</v>
      </c>
      <c r="K81">
        <v>2</v>
      </c>
      <c r="L81">
        <v>0</v>
      </c>
      <c r="M81" t="s">
        <v>39</v>
      </c>
      <c r="N81">
        <v>257</v>
      </c>
      <c r="O81">
        <v>21</v>
      </c>
      <c r="P81">
        <v>236</v>
      </c>
      <c r="Q81">
        <v>29</v>
      </c>
      <c r="R81">
        <v>2</v>
      </c>
      <c r="S81">
        <v>16</v>
      </c>
      <c r="T81">
        <v>1</v>
      </c>
      <c r="U81">
        <v>137</v>
      </c>
      <c r="V81">
        <v>31</v>
      </c>
      <c r="W81">
        <v>1</v>
      </c>
      <c r="X81">
        <v>0</v>
      </c>
      <c r="Y81" t="s">
        <v>16</v>
      </c>
      <c r="Z81">
        <v>1</v>
      </c>
      <c r="AA81">
        <f>IF(AND(Table1[[#This Row],[Throw Out Pass Eff]]="N", Table1[[#This Row],[Against FCS Team]]="N"), ROUND(((5.45 * D81) + (150 * F81) + (100 * G81) - (300 * H81)) / E81, 2), " ")</f>
        <v>128.6</v>
      </c>
      <c r="AB81">
        <f>IF(AND(Table1[[#This Row],[Throw Out Pass Def Eff]]="N", Table1[[#This Row],[Against FCS Team]]="N"),200 - ROUND(((5.45 * P81) + (150 * R81) + (100 * S81) - (300 * T81)) / Q81, 2), " ")</f>
        <v>100.48</v>
      </c>
      <c r="AC81">
        <f>IF(AND(Table1[[#This Row],[Throw Out Rush Eff]]="N", Table1[[#This Row],[Against FCS Team]]="N"), ROUND(((23.2 * I81) + (150 * K81) - (300 * L81)) / J81, 2), " ")</f>
        <v>88.99</v>
      </c>
      <c r="AD81" s="3">
        <f>IF(AND(Table1[[#This Row],[Throw Out Rush Def Eff]]="N", Table1[[#This Row],[Against FCS Team]]="N"), 200 - ROUND(((23.2 * U81) + (150 * W81) - (300 * X81)) / V81, 2), " ")</f>
        <v>92.63</v>
      </c>
      <c r="AE81" s="3">
        <f>ROUND(Table1[[#This Row],[Opp Passing Attempts]]/(Table1[[#This Row],[Opp Passing Attempts]]+Table1[[#This Row],[Opp Rushing Attempts]]), 2)</f>
        <v>0.48</v>
      </c>
      <c r="AF81" s="3">
        <f>1-Table1[[#This Row],[Passing Weight]]</f>
        <v>0.52</v>
      </c>
      <c r="AG81" s="3" t="str">
        <f>IF(COUNTIF(A:A,Table1[[#This Row],[Opp Team Name]]) &gt; 0, "N", "Y")</f>
        <v>N</v>
      </c>
      <c r="AH81" s="3" t="str">
        <f>IF(Table1[[#This Row],[Passing Attempts]] &lt;15, "Y", "N")</f>
        <v>N</v>
      </c>
      <c r="AI81" s="3" t="str">
        <f>IF(Table1[[#This Row],[Rushing Attempts]] &lt; 15, "Y", "N")</f>
        <v>N</v>
      </c>
      <c r="AJ81" s="3" t="str">
        <f>IF(Table1[[#This Row],[Opp Passing Attempts]]&lt;15, "Y", "N")</f>
        <v>N</v>
      </c>
      <c r="AK81" s="3" t="str">
        <f>IF(Table1[[#This Row],[Opp Rushing Attempts]]&lt;15, "Y", "N")</f>
        <v>N</v>
      </c>
      <c r="AL8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164.45</v>
      </c>
      <c r="AM8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104.59</v>
      </c>
      <c r="AN8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116.22</v>
      </c>
      <c r="AO8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84.57</v>
      </c>
      <c r="AP81" s="3">
        <f>ABS(Table1[[#This Row],[Team Score]]-Table1[[#This Row],[Opp Team Score]])</f>
        <v>14</v>
      </c>
      <c r="AQ81" s="3">
        <f>SUM(Table1[[#This Row],[Team Score]], Table1[[#This Row],[Opp Team Score]])</f>
        <v>56</v>
      </c>
      <c r="AR8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10.699999999999989</v>
      </c>
      <c r="AS81" s="3">
        <f>IF(Table1[[#This Row],[Efficiency Difference]] = " ", " ", ROUND((Table1[[#This Row],[Winning Margin]]*100)/Table1[[#This Row],[Efficiency Difference]], 2))</f>
        <v>130.84</v>
      </c>
    </row>
    <row r="82" spans="1:45">
      <c r="A82" t="s">
        <v>38</v>
      </c>
      <c r="B82">
        <v>66</v>
      </c>
      <c r="C82">
        <v>40</v>
      </c>
      <c r="D82">
        <v>465</v>
      </c>
      <c r="E82">
        <v>43</v>
      </c>
      <c r="F82">
        <v>5</v>
      </c>
      <c r="G82">
        <v>33</v>
      </c>
      <c r="H82">
        <v>1</v>
      </c>
      <c r="I82">
        <v>145</v>
      </c>
      <c r="J82">
        <v>38</v>
      </c>
      <c r="K82">
        <v>1</v>
      </c>
      <c r="L82">
        <v>0</v>
      </c>
      <c r="M82" t="s">
        <v>138</v>
      </c>
      <c r="N82">
        <v>709</v>
      </c>
      <c r="O82">
        <v>15</v>
      </c>
      <c r="P82">
        <v>251</v>
      </c>
      <c r="Q82">
        <v>40</v>
      </c>
      <c r="R82">
        <v>1</v>
      </c>
      <c r="S82">
        <v>20</v>
      </c>
      <c r="T82">
        <v>1</v>
      </c>
      <c r="U82">
        <v>98</v>
      </c>
      <c r="V82">
        <v>30</v>
      </c>
      <c r="W82">
        <v>1</v>
      </c>
      <c r="X82">
        <v>1</v>
      </c>
      <c r="Y82" t="s">
        <v>16</v>
      </c>
      <c r="Z82">
        <v>3</v>
      </c>
      <c r="AA82">
        <f>IF(AND(Table1[[#This Row],[Throw Out Pass Eff]]="N", Table1[[#This Row],[Against FCS Team]]="N"), ROUND(((5.45 * D82) + (150 * F82) + (100 * G82) - (300 * H82)) / E82, 2), " ")</f>
        <v>146.15</v>
      </c>
      <c r="AB82">
        <f>IF(AND(Table1[[#This Row],[Throw Out Pass Def Eff]]="N", Table1[[#This Row],[Against FCS Team]]="N"),200 - ROUND(((5.45 * P82) + (150 * R82) + (100 * S82) - (300 * T82)) / Q82, 2), " ")</f>
        <v>119.55</v>
      </c>
      <c r="AC82">
        <f>IF(AND(Table1[[#This Row],[Throw Out Rush Eff]]="N", Table1[[#This Row],[Against FCS Team]]="N"), ROUND(((23.2 * I82) + (150 * K82) - (300 * L82)) / J82, 2), " ")</f>
        <v>92.47</v>
      </c>
      <c r="AD82" s="3">
        <f>IF(AND(Table1[[#This Row],[Throw Out Rush Def Eff]]="N", Table1[[#This Row],[Against FCS Team]]="N"), 200 - ROUND(((23.2 * U82) + (150 * W82) - (300 * X82)) / V82, 2), " ")</f>
        <v>129.20999999999998</v>
      </c>
      <c r="AE82" s="3">
        <f>ROUND(Table1[[#This Row],[Opp Passing Attempts]]/(Table1[[#This Row],[Opp Passing Attempts]]+Table1[[#This Row],[Opp Rushing Attempts]]), 2)</f>
        <v>0.56999999999999995</v>
      </c>
      <c r="AF82" s="3">
        <f>1-Table1[[#This Row],[Passing Weight]]</f>
        <v>0.43000000000000005</v>
      </c>
      <c r="AG82" s="3" t="str">
        <f>IF(COUNTIF(A:A,Table1[[#This Row],[Opp Team Name]]) &gt; 0, "N", "Y")</f>
        <v>N</v>
      </c>
      <c r="AH82" s="3" t="str">
        <f>IF(Table1[[#This Row],[Passing Attempts]] &lt;15, "Y", "N")</f>
        <v>N</v>
      </c>
      <c r="AI82" s="3" t="str">
        <f>IF(Table1[[#This Row],[Rushing Attempts]] &lt; 15, "Y", "N")</f>
        <v>N</v>
      </c>
      <c r="AJ82" s="3" t="str">
        <f>IF(Table1[[#This Row],[Opp Passing Attempts]]&lt;15, "Y", "N")</f>
        <v>N</v>
      </c>
      <c r="AK82" s="3" t="str">
        <f>IF(Table1[[#This Row],[Opp Rushing Attempts]]&lt;15, "Y", "N")</f>
        <v>N</v>
      </c>
      <c r="AL8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148.41</v>
      </c>
      <c r="AM8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140.03</v>
      </c>
      <c r="AN8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122.71</v>
      </c>
      <c r="AO8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134.71</v>
      </c>
      <c r="AP82" s="3">
        <f>ABS(Table1[[#This Row],[Team Score]]-Table1[[#This Row],[Opp Team Score]])</f>
        <v>25</v>
      </c>
      <c r="AQ82" s="3">
        <f>SUM(Table1[[#This Row],[Team Score]], Table1[[#This Row],[Opp Team Score]])</f>
        <v>55</v>
      </c>
      <c r="AR8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87.38</v>
      </c>
      <c r="AS82" s="3">
        <f>IF(Table1[[#This Row],[Efficiency Difference]] = " ", " ", ROUND((Table1[[#This Row],[Winning Margin]]*100)/Table1[[#This Row],[Efficiency Difference]], 2))</f>
        <v>28.61</v>
      </c>
    </row>
    <row r="83" spans="1:45">
      <c r="A83" t="s">
        <v>38</v>
      </c>
      <c r="B83">
        <v>66</v>
      </c>
      <c r="C83">
        <v>41</v>
      </c>
      <c r="D83">
        <v>327</v>
      </c>
      <c r="E83">
        <v>37</v>
      </c>
      <c r="F83">
        <v>5</v>
      </c>
      <c r="G83">
        <v>28</v>
      </c>
      <c r="H83">
        <v>0</v>
      </c>
      <c r="I83">
        <v>131</v>
      </c>
      <c r="J83">
        <v>45</v>
      </c>
      <c r="K83">
        <v>1</v>
      </c>
      <c r="L83">
        <v>1</v>
      </c>
      <c r="M83" t="s">
        <v>117</v>
      </c>
      <c r="N83">
        <v>719</v>
      </c>
      <c r="O83">
        <v>21</v>
      </c>
      <c r="P83">
        <v>136</v>
      </c>
      <c r="Q83">
        <v>26</v>
      </c>
      <c r="R83">
        <v>2</v>
      </c>
      <c r="S83">
        <v>15</v>
      </c>
      <c r="T83">
        <v>4</v>
      </c>
      <c r="U83">
        <v>155</v>
      </c>
      <c r="V83">
        <v>30</v>
      </c>
      <c r="W83">
        <v>1</v>
      </c>
      <c r="X83">
        <v>0</v>
      </c>
      <c r="Y83" t="s">
        <v>16</v>
      </c>
      <c r="Z83">
        <v>4</v>
      </c>
      <c r="AA83">
        <f>IF(AND(Table1[[#This Row],[Throw Out Pass Eff]]="N", Table1[[#This Row],[Against FCS Team]]="N"), ROUND(((5.45 * D83) + (150 * F83) + (100 * G83) - (300 * H83)) / E83, 2), " ")</f>
        <v>144.11000000000001</v>
      </c>
      <c r="AB83">
        <f>IF(AND(Table1[[#This Row],[Throw Out Pass Def Eff]]="N", Table1[[#This Row],[Against FCS Team]]="N"),200 - ROUND(((5.45 * P83) + (150 * R83) + (100 * S83) - (300 * T83)) / Q83, 2), " ")</f>
        <v>148.42000000000002</v>
      </c>
      <c r="AC83">
        <f>IF(AND(Table1[[#This Row],[Throw Out Rush Eff]]="N", Table1[[#This Row],[Against FCS Team]]="N"), ROUND(((23.2 * I83) + (150 * K83) - (300 * L83)) / J83, 2), " ")</f>
        <v>64.2</v>
      </c>
      <c r="AD83" s="3">
        <f>IF(AND(Table1[[#This Row],[Throw Out Rush Def Eff]]="N", Table1[[#This Row],[Against FCS Team]]="N"), 200 - ROUND(((23.2 * U83) + (150 * W83) - (300 * X83)) / V83, 2), " ")</f>
        <v>75.13</v>
      </c>
      <c r="AE83" s="3">
        <f>ROUND(Table1[[#This Row],[Opp Passing Attempts]]/(Table1[[#This Row],[Opp Passing Attempts]]+Table1[[#This Row],[Opp Rushing Attempts]]), 2)</f>
        <v>0.46</v>
      </c>
      <c r="AF83" s="3">
        <f>1-Table1[[#This Row],[Passing Weight]]</f>
        <v>0.54</v>
      </c>
      <c r="AG83" s="3" t="str">
        <f>IF(COUNTIF(A:A,Table1[[#This Row],[Opp Team Name]]) &gt; 0, "N", "Y")</f>
        <v>N</v>
      </c>
      <c r="AH83" s="3" t="str">
        <f>IF(Table1[[#This Row],[Passing Attempts]] &lt;15, "Y", "N")</f>
        <v>N</v>
      </c>
      <c r="AI83" s="3" t="str">
        <f>IF(Table1[[#This Row],[Rushing Attempts]] &lt; 15, "Y", "N")</f>
        <v>N</v>
      </c>
      <c r="AJ83" s="3" t="str">
        <f>IF(Table1[[#This Row],[Opp Passing Attempts]]&lt;15, "Y", "N")</f>
        <v>N</v>
      </c>
      <c r="AK83" s="3" t="str">
        <f>IF(Table1[[#This Row],[Opp Rushing Attempts]]&lt;15, "Y", "N")</f>
        <v>N</v>
      </c>
      <c r="AL8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142.97999999999999</v>
      </c>
      <c r="AM8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138.31</v>
      </c>
      <c r="AN8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82.71</v>
      </c>
      <c r="AO8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76.47</v>
      </c>
      <c r="AP83" s="3">
        <f>ABS(Table1[[#This Row],[Team Score]]-Table1[[#This Row],[Opp Team Score]])</f>
        <v>20</v>
      </c>
      <c r="AQ83" s="3">
        <f>SUM(Table1[[#This Row],[Team Score]], Table1[[#This Row],[Opp Team Score]])</f>
        <v>62</v>
      </c>
      <c r="AR8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31.860000000000014</v>
      </c>
      <c r="AS83" s="3">
        <f>IF(Table1[[#This Row],[Efficiency Difference]] = " ", " ", ROUND((Table1[[#This Row],[Winning Margin]]*100)/Table1[[#This Row],[Efficiency Difference]], 2))</f>
        <v>62.77</v>
      </c>
    </row>
    <row r="84" spans="1:45">
      <c r="A84" t="s">
        <v>38</v>
      </c>
      <c r="B84">
        <v>66</v>
      </c>
      <c r="C84">
        <v>30</v>
      </c>
      <c r="D84">
        <v>160</v>
      </c>
      <c r="E84">
        <v>35</v>
      </c>
      <c r="F84">
        <v>2</v>
      </c>
      <c r="G84">
        <v>21</v>
      </c>
      <c r="H84">
        <v>2</v>
      </c>
      <c r="I84">
        <v>169</v>
      </c>
      <c r="J84">
        <v>36</v>
      </c>
      <c r="K84">
        <v>2</v>
      </c>
      <c r="L84">
        <v>0</v>
      </c>
      <c r="M84" t="s">
        <v>181</v>
      </c>
      <c r="N84">
        <v>466</v>
      </c>
      <c r="O84">
        <v>10</v>
      </c>
      <c r="P84">
        <v>123</v>
      </c>
      <c r="Q84">
        <v>20</v>
      </c>
      <c r="R84">
        <v>1</v>
      </c>
      <c r="S84">
        <v>9</v>
      </c>
      <c r="T84">
        <v>1</v>
      </c>
      <c r="U84">
        <v>59</v>
      </c>
      <c r="V84">
        <v>35</v>
      </c>
      <c r="W84">
        <v>0</v>
      </c>
      <c r="X84">
        <v>1</v>
      </c>
      <c r="Y84" t="s">
        <v>16</v>
      </c>
      <c r="Z84">
        <v>5</v>
      </c>
      <c r="AA84">
        <f>IF(AND(Table1[[#This Row],[Throw Out Pass Eff]]="N", Table1[[#This Row],[Against FCS Team]]="N"), ROUND(((5.45 * D84) + (150 * F84) + (100 * G84) - (300 * H84)) / E84, 2), " ")</f>
        <v>76.34</v>
      </c>
      <c r="AB84">
        <f>IF(AND(Table1[[#This Row],[Throw Out Pass Def Eff]]="N", Table1[[#This Row],[Against FCS Team]]="N"),200 - ROUND(((5.45 * P84) + (150 * R84) + (100 * S84) - (300 * T84)) / Q84, 2), " ")</f>
        <v>128.98000000000002</v>
      </c>
      <c r="AC84">
        <f>IF(AND(Table1[[#This Row],[Throw Out Rush Eff]]="N", Table1[[#This Row],[Against FCS Team]]="N"), ROUND(((23.2 * I84) + (150 * K84) - (300 * L84)) / J84, 2), " ")</f>
        <v>117.24</v>
      </c>
      <c r="AD84" s="3">
        <f>IF(AND(Table1[[#This Row],[Throw Out Rush Def Eff]]="N", Table1[[#This Row],[Against FCS Team]]="N"), 200 - ROUND(((23.2 * U84) + (150 * W84) - (300 * X84)) / V84, 2), " ")</f>
        <v>169.46</v>
      </c>
      <c r="AE84" s="3">
        <f>ROUND(Table1[[#This Row],[Opp Passing Attempts]]/(Table1[[#This Row],[Opp Passing Attempts]]+Table1[[#This Row],[Opp Rushing Attempts]]), 2)</f>
        <v>0.36</v>
      </c>
      <c r="AF84" s="3">
        <f>1-Table1[[#This Row],[Passing Weight]]</f>
        <v>0.64</v>
      </c>
      <c r="AG84" s="3" t="str">
        <f>IF(COUNTIF(A:A,Table1[[#This Row],[Opp Team Name]]) &gt; 0, "N", "Y")</f>
        <v>N</v>
      </c>
      <c r="AH84" s="3" t="str">
        <f>IF(Table1[[#This Row],[Passing Attempts]] &lt;15, "Y", "N")</f>
        <v>N</v>
      </c>
      <c r="AI84" s="3" t="str">
        <f>IF(Table1[[#This Row],[Rushing Attempts]] &lt; 15, "Y", "N")</f>
        <v>N</v>
      </c>
      <c r="AJ84" s="3" t="str">
        <f>IF(Table1[[#This Row],[Opp Passing Attempts]]&lt;15, "Y", "N")</f>
        <v>N</v>
      </c>
      <c r="AK84" s="3" t="str">
        <f>IF(Table1[[#This Row],[Opp Rushing Attempts]]&lt;15, "Y", "N")</f>
        <v>N</v>
      </c>
      <c r="AL8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81.12</v>
      </c>
      <c r="AM8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127.7</v>
      </c>
      <c r="AN8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101.2</v>
      </c>
      <c r="AO8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199.46</v>
      </c>
      <c r="AP84" s="3">
        <f>ABS(Table1[[#This Row],[Team Score]]-Table1[[#This Row],[Opp Team Score]])</f>
        <v>20</v>
      </c>
      <c r="AQ84" s="3">
        <f>SUM(Table1[[#This Row],[Team Score]], Table1[[#This Row],[Opp Team Score]])</f>
        <v>40</v>
      </c>
      <c r="AR8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92.020000000000039</v>
      </c>
      <c r="AS84" s="3">
        <f>IF(Table1[[#This Row],[Efficiency Difference]] = " ", " ", ROUND((Table1[[#This Row],[Winning Margin]]*100)/Table1[[#This Row],[Efficiency Difference]], 2))</f>
        <v>21.73</v>
      </c>
    </row>
    <row r="85" spans="1:45">
      <c r="A85" t="s">
        <v>38</v>
      </c>
      <c r="B85">
        <v>66</v>
      </c>
      <c r="C85">
        <v>57</v>
      </c>
      <c r="D85">
        <v>281</v>
      </c>
      <c r="E85">
        <v>37</v>
      </c>
      <c r="F85">
        <v>3</v>
      </c>
      <c r="G85">
        <v>26</v>
      </c>
      <c r="H85">
        <v>0</v>
      </c>
      <c r="I85">
        <v>183</v>
      </c>
      <c r="J85">
        <v>38</v>
      </c>
      <c r="K85">
        <v>5</v>
      </c>
      <c r="L85">
        <v>0</v>
      </c>
      <c r="M85" t="s">
        <v>49</v>
      </c>
      <c r="N85">
        <v>96</v>
      </c>
      <c r="O85">
        <v>7</v>
      </c>
      <c r="P85">
        <v>126</v>
      </c>
      <c r="Q85">
        <v>31</v>
      </c>
      <c r="R85">
        <v>0</v>
      </c>
      <c r="S85">
        <v>17</v>
      </c>
      <c r="T85">
        <v>2</v>
      </c>
      <c r="U85">
        <v>144</v>
      </c>
      <c r="V85">
        <v>26</v>
      </c>
      <c r="W85">
        <v>0</v>
      </c>
      <c r="X85">
        <v>2</v>
      </c>
      <c r="Y85" t="s">
        <v>16</v>
      </c>
      <c r="Z85">
        <v>6</v>
      </c>
      <c r="AA85">
        <f>IF(AND(Table1[[#This Row],[Throw Out Pass Eff]]="N", Table1[[#This Row],[Against FCS Team]]="N"), ROUND(((5.45 * D85) + (150 * F85) + (100 * G85) - (300 * H85)) / E85, 2), " ")</f>
        <v>123.82</v>
      </c>
      <c r="AB85">
        <f>IF(AND(Table1[[#This Row],[Throw Out Pass Def Eff]]="N", Table1[[#This Row],[Against FCS Team]]="N"),200 - ROUND(((5.45 * P85) + (150 * R85) + (100 * S85) - (300 * T85)) / Q85, 2), " ")</f>
        <v>142.36000000000001</v>
      </c>
      <c r="AC85">
        <f>IF(AND(Table1[[#This Row],[Throw Out Rush Eff]]="N", Table1[[#This Row],[Against FCS Team]]="N"), ROUND(((23.2 * I85) + (150 * K85) - (300 * L85)) / J85, 2), " ")</f>
        <v>131.46</v>
      </c>
      <c r="AD85" s="3">
        <f>IF(AND(Table1[[#This Row],[Throw Out Rush Def Eff]]="N", Table1[[#This Row],[Against FCS Team]]="N"), 200 - ROUND(((23.2 * U85) + (150 * W85) - (300 * X85)) / V85, 2), " ")</f>
        <v>94.58</v>
      </c>
      <c r="AE85" s="3">
        <f>ROUND(Table1[[#This Row],[Opp Passing Attempts]]/(Table1[[#This Row],[Opp Passing Attempts]]+Table1[[#This Row],[Opp Rushing Attempts]]), 2)</f>
        <v>0.54</v>
      </c>
      <c r="AF85" s="3">
        <f>1-Table1[[#This Row],[Passing Weight]]</f>
        <v>0.45999999999999996</v>
      </c>
      <c r="AG85" s="3" t="str">
        <f>IF(COUNTIF(A:A,Table1[[#This Row],[Opp Team Name]]) &gt; 0, "N", "Y")</f>
        <v>N</v>
      </c>
      <c r="AH85" s="3" t="str">
        <f>IF(Table1[[#This Row],[Passing Attempts]] &lt;15, "Y", "N")</f>
        <v>N</v>
      </c>
      <c r="AI85" s="3" t="str">
        <f>IF(Table1[[#This Row],[Rushing Attempts]] &lt; 15, "Y", "N")</f>
        <v>N</v>
      </c>
      <c r="AJ85" s="3" t="str">
        <f>IF(Table1[[#This Row],[Opp Passing Attempts]]&lt;15, "Y", "N")</f>
        <v>N</v>
      </c>
      <c r="AK85" s="3" t="str">
        <f>IF(Table1[[#This Row],[Opp Rushing Attempts]]&lt;15, "Y", "N")</f>
        <v>N</v>
      </c>
      <c r="AL8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118.36</v>
      </c>
      <c r="AM8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135.72</v>
      </c>
      <c r="AN8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106.12</v>
      </c>
      <c r="AO8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94.99</v>
      </c>
      <c r="AP85" s="3">
        <f>ABS(Table1[[#This Row],[Team Score]]-Table1[[#This Row],[Opp Team Score]])</f>
        <v>50</v>
      </c>
      <c r="AQ85" s="3">
        <f>SUM(Table1[[#This Row],[Team Score]], Table1[[#This Row],[Opp Team Score]])</f>
        <v>64</v>
      </c>
      <c r="AR8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92.22</v>
      </c>
      <c r="AS85" s="3">
        <f>IF(Table1[[#This Row],[Efficiency Difference]] = " ", " ", ROUND((Table1[[#This Row],[Winning Margin]]*100)/Table1[[#This Row],[Efficiency Difference]], 2))</f>
        <v>54.22</v>
      </c>
    </row>
    <row r="86" spans="1:45">
      <c r="A86" t="s">
        <v>38</v>
      </c>
      <c r="B86">
        <v>66</v>
      </c>
      <c r="C86">
        <v>63</v>
      </c>
      <c r="D86">
        <v>349</v>
      </c>
      <c r="E86">
        <v>32</v>
      </c>
      <c r="F86">
        <v>4</v>
      </c>
      <c r="G86">
        <v>27</v>
      </c>
      <c r="H86">
        <v>0</v>
      </c>
      <c r="I86">
        <v>393</v>
      </c>
      <c r="J86">
        <v>51</v>
      </c>
      <c r="K86">
        <v>5</v>
      </c>
      <c r="L86">
        <v>1</v>
      </c>
      <c r="M86" t="s">
        <v>58</v>
      </c>
      <c r="N86">
        <v>156</v>
      </c>
      <c r="O86">
        <v>13</v>
      </c>
      <c r="P86">
        <v>147</v>
      </c>
      <c r="Q86">
        <v>26</v>
      </c>
      <c r="R86">
        <v>2</v>
      </c>
      <c r="S86">
        <v>12</v>
      </c>
      <c r="T86">
        <v>1</v>
      </c>
      <c r="U86">
        <v>84</v>
      </c>
      <c r="V86">
        <v>27</v>
      </c>
      <c r="W86">
        <v>0</v>
      </c>
      <c r="X86">
        <v>1</v>
      </c>
      <c r="Y86" t="s">
        <v>16</v>
      </c>
      <c r="Z86">
        <v>7</v>
      </c>
      <c r="AA86">
        <f>IF(AND(Table1[[#This Row],[Throw Out Pass Eff]]="N", Table1[[#This Row],[Against FCS Team]]="N"), ROUND(((5.45 * D86) + (150 * F86) + (100 * G86) - (300 * H86)) / E86, 2), " ")</f>
        <v>162.56</v>
      </c>
      <c r="AB86">
        <f>IF(AND(Table1[[#This Row],[Throw Out Pass Def Eff]]="N", Table1[[#This Row],[Against FCS Team]]="N"),200 - ROUND(((5.45 * P86) + (150 * R86) + (100 * S86) - (300 * T86)) / Q86, 2), " ")</f>
        <v>123.03</v>
      </c>
      <c r="AC86">
        <f>IF(AND(Table1[[#This Row],[Throw Out Rush Eff]]="N", Table1[[#This Row],[Against FCS Team]]="N"), ROUND(((23.2 * I86) + (150 * K86) - (300 * L86)) / J86, 2), " ")</f>
        <v>187.6</v>
      </c>
      <c r="AD86" s="3">
        <f>IF(AND(Table1[[#This Row],[Throw Out Rush Def Eff]]="N", Table1[[#This Row],[Against FCS Team]]="N"), 200 - ROUND(((23.2 * U86) + (150 * W86) - (300 * X86)) / V86, 2), " ")</f>
        <v>138.93</v>
      </c>
      <c r="AE86" s="3">
        <f>ROUND(Table1[[#This Row],[Opp Passing Attempts]]/(Table1[[#This Row],[Opp Passing Attempts]]+Table1[[#This Row],[Opp Rushing Attempts]]), 2)</f>
        <v>0.49</v>
      </c>
      <c r="AF86" s="3">
        <f>1-Table1[[#This Row],[Passing Weight]]</f>
        <v>0.51</v>
      </c>
      <c r="AG86" s="3" t="str">
        <f>IF(COUNTIF(A:A,Table1[[#This Row],[Opp Team Name]]) &gt; 0, "N", "Y")</f>
        <v>N</v>
      </c>
      <c r="AH86" s="3" t="str">
        <f>IF(Table1[[#This Row],[Passing Attempts]] &lt;15, "Y", "N")</f>
        <v>N</v>
      </c>
      <c r="AI86" s="3" t="str">
        <f>IF(Table1[[#This Row],[Rushing Attempts]] &lt; 15, "Y", "N")</f>
        <v>N</v>
      </c>
      <c r="AJ86" s="3" t="str">
        <f>IF(Table1[[#This Row],[Opp Passing Attempts]]&lt;15, "Y", "N")</f>
        <v>N</v>
      </c>
      <c r="AK86" s="3" t="str">
        <f>IF(Table1[[#This Row],[Opp Rushing Attempts]]&lt;15, "Y", "N")</f>
        <v>N</v>
      </c>
      <c r="AL8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149.04</v>
      </c>
      <c r="AM8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118.47</v>
      </c>
      <c r="AN8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136.94</v>
      </c>
      <c r="AO8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81.88</v>
      </c>
      <c r="AP86" s="3">
        <f>ABS(Table1[[#This Row],[Team Score]]-Table1[[#This Row],[Opp Team Score]])</f>
        <v>50</v>
      </c>
      <c r="AQ86" s="3">
        <f>SUM(Table1[[#This Row],[Team Score]], Table1[[#This Row],[Opp Team Score]])</f>
        <v>76</v>
      </c>
      <c r="AR8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212.12</v>
      </c>
      <c r="AS86" s="3">
        <f>IF(Table1[[#This Row],[Efficiency Difference]] = " ", " ", ROUND((Table1[[#This Row],[Winning Margin]]*100)/Table1[[#This Row],[Efficiency Difference]], 2))</f>
        <v>23.57</v>
      </c>
    </row>
    <row r="87" spans="1:45">
      <c r="A87" t="s">
        <v>38</v>
      </c>
      <c r="B87">
        <v>66</v>
      </c>
      <c r="C87">
        <v>37</v>
      </c>
      <c r="D87">
        <v>281</v>
      </c>
      <c r="E87">
        <v>29</v>
      </c>
      <c r="F87">
        <v>3</v>
      </c>
      <c r="G87">
        <v>23</v>
      </c>
      <c r="H87">
        <v>1</v>
      </c>
      <c r="I87">
        <v>142</v>
      </c>
      <c r="J87">
        <v>26</v>
      </c>
      <c r="K87">
        <v>1</v>
      </c>
      <c r="L87">
        <v>1</v>
      </c>
      <c r="M87" t="s">
        <v>14</v>
      </c>
      <c r="N87">
        <v>721</v>
      </c>
      <c r="O87">
        <v>26</v>
      </c>
      <c r="P87">
        <v>144</v>
      </c>
      <c r="Q87">
        <v>17</v>
      </c>
      <c r="R87">
        <v>0</v>
      </c>
      <c r="S87">
        <v>8</v>
      </c>
      <c r="T87">
        <v>1</v>
      </c>
      <c r="U87">
        <v>264</v>
      </c>
      <c r="V87">
        <v>65</v>
      </c>
      <c r="W87">
        <v>3</v>
      </c>
      <c r="X87">
        <v>1</v>
      </c>
      <c r="Y87" t="s">
        <v>16</v>
      </c>
      <c r="Z87">
        <v>8</v>
      </c>
      <c r="AA87" s="3">
        <f>IF(AND(Table1[[#This Row],[Throw Out Pass Eff]]="N", Table1[[#This Row],[Against FCS Team]]="N"), ROUND(((5.45 * D87) + (150 * F87) + (100 * G87) - (300 * H87)) / E87, 2), " ")</f>
        <v>137.29</v>
      </c>
      <c r="AB87" s="3">
        <f>IF(AND(Table1[[#This Row],[Throw Out Pass Def Eff]]="N", Table1[[#This Row],[Against FCS Team]]="N"),200 - ROUND(((5.45 * P87) + (150 * R87) + (100 * S87) - (300 * T87)) / Q87, 2), " ")</f>
        <v>124.42</v>
      </c>
      <c r="AC87" s="3">
        <f>IF(AND(Table1[[#This Row],[Throw Out Rush Eff]]="N", Table1[[#This Row],[Against FCS Team]]="N"), ROUND(((23.2 * I87) + (150 * K87) - (300 * L87)) / J87, 2), " ")</f>
        <v>120.94</v>
      </c>
      <c r="AD87" s="3">
        <f>IF(AND(Table1[[#This Row],[Throw Out Rush Def Eff]]="N", Table1[[#This Row],[Against FCS Team]]="N"), 200 - ROUND(((23.2 * U87) + (150 * W87) - (300 * X87)) / V87, 2), " ")</f>
        <v>103.46</v>
      </c>
      <c r="AE87" s="3">
        <f>ROUND(Table1[[#This Row],[Opp Passing Attempts]]/(Table1[[#This Row],[Opp Passing Attempts]]+Table1[[#This Row],[Opp Rushing Attempts]]), 2)</f>
        <v>0.21</v>
      </c>
      <c r="AF87" s="3">
        <f>1-Table1[[#This Row],[Passing Weight]]</f>
        <v>0.79</v>
      </c>
      <c r="AG87" s="3" t="str">
        <f>IF(COUNTIF(A:A,Table1[[#This Row],[Opp Team Name]]) &gt; 0, "N", "Y")</f>
        <v>N</v>
      </c>
      <c r="AH87" s="3" t="str">
        <f>IF(Table1[[#This Row],[Passing Attempts]] &lt;15, "Y", "N")</f>
        <v>N</v>
      </c>
      <c r="AI87" s="3" t="str">
        <f>IF(Table1[[#This Row],[Rushing Attempts]] &lt; 15, "Y", "N")</f>
        <v>N</v>
      </c>
      <c r="AJ87" s="3" t="str">
        <f>IF(Table1[[#This Row],[Opp Passing Attempts]]&lt;15, "Y", "N")</f>
        <v>N</v>
      </c>
      <c r="AK87" s="3" t="str">
        <f>IF(Table1[[#This Row],[Opp Rushing Attempts]]&lt;15, "Y", "N")</f>
        <v>N</v>
      </c>
      <c r="AL8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101.84</v>
      </c>
      <c r="AM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113.23</v>
      </c>
      <c r="AN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72.290000000000006</v>
      </c>
      <c r="AO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121.53</v>
      </c>
      <c r="AP87" s="3">
        <f>ABS(Table1[[#This Row],[Team Score]]-Table1[[#This Row],[Opp Team Score]])</f>
        <v>11</v>
      </c>
      <c r="AQ87" s="3">
        <f>SUM(Table1[[#This Row],[Team Score]], Table1[[#This Row],[Opp Team Score]])</f>
        <v>63</v>
      </c>
      <c r="AR8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86.110000000000014</v>
      </c>
      <c r="AS87" s="3">
        <f>IF(Table1[[#This Row],[Efficiency Difference]] = " ", " ", ROUND((Table1[[#This Row],[Winning Margin]]*100)/Table1[[#This Row],[Efficiency Difference]], 2))</f>
        <v>12.77</v>
      </c>
    </row>
    <row r="88" spans="1:45">
      <c r="A88" t="s">
        <v>40</v>
      </c>
      <c r="B88">
        <v>67</v>
      </c>
      <c r="C88">
        <v>45</v>
      </c>
      <c r="D88">
        <v>196</v>
      </c>
      <c r="E88">
        <v>22</v>
      </c>
      <c r="F88">
        <v>3</v>
      </c>
      <c r="G88">
        <v>14</v>
      </c>
      <c r="H88">
        <v>0</v>
      </c>
      <c r="I88">
        <v>193</v>
      </c>
      <c r="J88">
        <v>49</v>
      </c>
      <c r="K88">
        <v>1</v>
      </c>
      <c r="L88">
        <v>1</v>
      </c>
      <c r="M88" t="s">
        <v>204</v>
      </c>
      <c r="N88">
        <v>400</v>
      </c>
      <c r="O88">
        <v>17</v>
      </c>
      <c r="P88">
        <v>195</v>
      </c>
      <c r="Q88">
        <v>37</v>
      </c>
      <c r="R88">
        <v>0</v>
      </c>
      <c r="S88">
        <v>18</v>
      </c>
      <c r="T88">
        <v>2</v>
      </c>
      <c r="U88">
        <v>118</v>
      </c>
      <c r="V88">
        <v>30</v>
      </c>
      <c r="W88">
        <v>1</v>
      </c>
      <c r="X88">
        <v>2</v>
      </c>
      <c r="Y88" t="s">
        <v>16</v>
      </c>
      <c r="Z88">
        <v>4</v>
      </c>
      <c r="AA88" t="str">
        <f>IF(AND(Table1[[#This Row],[Throw Out Pass Eff]]="N", Table1[[#This Row],[Against FCS Team]]="N"), ROUND(((5.45 * D88) + (150 * F88) + (100 * G88) - (300 * H88)) / E88, 2), " ")</f>
        <v xml:space="preserve"> </v>
      </c>
      <c r="AB88" t="str">
        <f>IF(AND(Table1[[#This Row],[Throw Out Pass Def Eff]]="N", Table1[[#This Row],[Against FCS Team]]="N"),200 - ROUND(((5.45 * P88) + (150 * R88) + (100 * S88) - (300 * T88)) / Q88, 2), " ")</f>
        <v xml:space="preserve"> </v>
      </c>
      <c r="AC88" t="str">
        <f>IF(AND(Table1[[#This Row],[Throw Out Rush Eff]]="N", Table1[[#This Row],[Against FCS Team]]="N"), ROUND(((23.2 * I88) + (150 * K88) - (300 * L88)) / J88, 2), " ")</f>
        <v xml:space="preserve"> </v>
      </c>
      <c r="AD88" s="3" t="str">
        <f>IF(AND(Table1[[#This Row],[Throw Out Rush Def Eff]]="N", Table1[[#This Row],[Against FCS Team]]="N"), 200 - ROUND(((23.2 * U88) + (150 * W88) - (300 * X88)) / V88, 2), " ")</f>
        <v xml:space="preserve"> </v>
      </c>
      <c r="AE88" s="3">
        <f>ROUND(Table1[[#This Row],[Opp Passing Attempts]]/(Table1[[#This Row],[Opp Passing Attempts]]+Table1[[#This Row],[Opp Rushing Attempts]]), 2)</f>
        <v>0.55000000000000004</v>
      </c>
      <c r="AF88" s="3">
        <f>1-Table1[[#This Row],[Passing Weight]]</f>
        <v>0.44999999999999996</v>
      </c>
      <c r="AG88" s="3" t="str">
        <f>IF(COUNTIF(A:A,Table1[[#This Row],[Opp Team Name]]) &gt; 0, "N", "Y")</f>
        <v>Y</v>
      </c>
      <c r="AH88" s="3" t="str">
        <f>IF(Table1[[#This Row],[Passing Attempts]] &lt;15, "Y", "N")</f>
        <v>N</v>
      </c>
      <c r="AI88" s="3" t="str">
        <f>IF(Table1[[#This Row],[Rushing Attempts]] &lt; 15, "Y", "N")</f>
        <v>N</v>
      </c>
      <c r="AJ88" s="3" t="str">
        <f>IF(Table1[[#This Row],[Opp Passing Attempts]]&lt;15, "Y", "N")</f>
        <v>N</v>
      </c>
      <c r="AK88" s="3" t="str">
        <f>IF(Table1[[#This Row],[Opp Rushing Attempts]]&lt;15, "Y", "N")</f>
        <v>N</v>
      </c>
      <c r="AL8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8" s="3">
        <f>ABS(Table1[[#This Row],[Team Score]]-Table1[[#This Row],[Opp Team Score]])</f>
        <v>28</v>
      </c>
      <c r="AQ88" s="3">
        <f>SUM(Table1[[#This Row],[Team Score]], Table1[[#This Row],[Opp Team Score]])</f>
        <v>62</v>
      </c>
      <c r="AR8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8" s="3" t="str">
        <f>IF(Table1[[#This Row],[Efficiency Difference]] = " ", " ", ROUND((Table1[[#This Row],[Winning Margin]]*100)/Table1[[#This Row],[Efficiency Difference]], 2))</f>
        <v xml:space="preserve"> </v>
      </c>
    </row>
    <row r="89" spans="1:45">
      <c r="A89" t="s">
        <v>40</v>
      </c>
      <c r="B89">
        <v>67</v>
      </c>
      <c r="C89">
        <v>17</v>
      </c>
      <c r="D89">
        <v>351</v>
      </c>
      <c r="E89">
        <v>44</v>
      </c>
      <c r="F89">
        <v>0</v>
      </c>
      <c r="G89">
        <v>24</v>
      </c>
      <c r="H89">
        <v>1</v>
      </c>
      <c r="I89">
        <v>104</v>
      </c>
      <c r="J89">
        <v>30</v>
      </c>
      <c r="K89">
        <v>2</v>
      </c>
      <c r="L89">
        <v>0</v>
      </c>
      <c r="M89" t="s">
        <v>41</v>
      </c>
      <c r="N89">
        <v>509</v>
      </c>
      <c r="O89">
        <v>24</v>
      </c>
      <c r="P89">
        <v>197</v>
      </c>
      <c r="Q89">
        <v>24</v>
      </c>
      <c r="R89">
        <v>0</v>
      </c>
      <c r="S89">
        <v>17</v>
      </c>
      <c r="T89">
        <v>1</v>
      </c>
      <c r="U89">
        <v>227</v>
      </c>
      <c r="V89">
        <v>54</v>
      </c>
      <c r="W89">
        <v>3</v>
      </c>
      <c r="X89">
        <v>0</v>
      </c>
      <c r="Y89" t="s">
        <v>19</v>
      </c>
      <c r="Z89">
        <v>1</v>
      </c>
      <c r="AA89">
        <f>IF(AND(Table1[[#This Row],[Throw Out Pass Eff]]="N", Table1[[#This Row],[Against FCS Team]]="N"), ROUND(((5.45 * D89) + (150 * F89) + (100 * G89) - (300 * H89)) / E89, 2), " ")</f>
        <v>91.2</v>
      </c>
      <c r="AB89">
        <f>IF(AND(Table1[[#This Row],[Throw Out Pass Def Eff]]="N", Table1[[#This Row],[Against FCS Team]]="N"),200 - ROUND(((5.45 * P89) + (150 * R89) + (100 * S89) - (300 * T89)) / Q89, 2), " ")</f>
        <v>96.93</v>
      </c>
      <c r="AC89">
        <f>IF(AND(Table1[[#This Row],[Throw Out Rush Eff]]="N", Table1[[#This Row],[Against FCS Team]]="N"), ROUND(((23.2 * I89) + (150 * K89) - (300 * L89)) / J89, 2), " ")</f>
        <v>90.43</v>
      </c>
      <c r="AD89" s="3">
        <f>IF(AND(Table1[[#This Row],[Throw Out Rush Def Eff]]="N", Table1[[#This Row],[Against FCS Team]]="N"), 200 - ROUND(((23.2 * U89) + (150 * W89) - (300 * X89)) / V89, 2), " ")</f>
        <v>94.14</v>
      </c>
      <c r="AE89" s="3">
        <f>ROUND(Table1[[#This Row],[Opp Passing Attempts]]/(Table1[[#This Row],[Opp Passing Attempts]]+Table1[[#This Row],[Opp Rushing Attempts]]), 2)</f>
        <v>0.31</v>
      </c>
      <c r="AF89" s="3">
        <f>1-Table1[[#This Row],[Passing Weight]]</f>
        <v>0.69</v>
      </c>
      <c r="AG89" s="3" t="str">
        <f>IF(COUNTIF(A:A,Table1[[#This Row],[Opp Team Name]]) &gt; 0, "N", "Y")</f>
        <v>N</v>
      </c>
      <c r="AH89" s="3" t="str">
        <f>IF(Table1[[#This Row],[Passing Attempts]] &lt;15, "Y", "N")</f>
        <v>N</v>
      </c>
      <c r="AI89" s="3" t="str">
        <f>IF(Table1[[#This Row],[Rushing Attempts]] &lt; 15, "Y", "N")</f>
        <v>N</v>
      </c>
      <c r="AJ89" s="3" t="str">
        <f>IF(Table1[[#This Row],[Opp Passing Attempts]]&lt;15, "Y", "N")</f>
        <v>N</v>
      </c>
      <c r="AK89" s="3" t="str">
        <f>IF(Table1[[#This Row],[Opp Rushing Attempts]]&lt;15, "Y", "N")</f>
        <v>N</v>
      </c>
      <c r="AL8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77.16</v>
      </c>
      <c r="AM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113.1</v>
      </c>
      <c r="AN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89.39</v>
      </c>
      <c r="AO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83.77</v>
      </c>
      <c r="AP89" s="3">
        <f>ABS(Table1[[#This Row],[Team Score]]-Table1[[#This Row],[Opp Team Score]])</f>
        <v>7</v>
      </c>
      <c r="AQ89" s="3">
        <f>SUM(Table1[[#This Row],[Team Score]], Table1[[#This Row],[Opp Team Score]])</f>
        <v>41</v>
      </c>
      <c r="AR8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27.300000000000011</v>
      </c>
      <c r="AS89" s="3">
        <f>IF(Table1[[#This Row],[Efficiency Difference]] = " ", " ", ROUND((Table1[[#This Row],[Winning Margin]]*100)/Table1[[#This Row],[Efficiency Difference]], 2))</f>
        <v>25.64</v>
      </c>
    </row>
    <row r="90" spans="1:45">
      <c r="A90" t="s">
        <v>40</v>
      </c>
      <c r="B90">
        <v>67</v>
      </c>
      <c r="C90">
        <v>3</v>
      </c>
      <c r="D90">
        <v>84</v>
      </c>
      <c r="E90">
        <v>24</v>
      </c>
      <c r="F90">
        <v>0</v>
      </c>
      <c r="G90">
        <v>11</v>
      </c>
      <c r="H90">
        <v>2</v>
      </c>
      <c r="I90">
        <v>57</v>
      </c>
      <c r="J90">
        <v>23</v>
      </c>
      <c r="K90">
        <v>0</v>
      </c>
      <c r="L90">
        <v>0</v>
      </c>
      <c r="M90" t="s">
        <v>142</v>
      </c>
      <c r="N90">
        <v>128</v>
      </c>
      <c r="O90">
        <v>30</v>
      </c>
      <c r="P90">
        <v>187</v>
      </c>
      <c r="Q90">
        <v>25</v>
      </c>
      <c r="R90">
        <v>0</v>
      </c>
      <c r="S90">
        <v>20</v>
      </c>
      <c r="T90">
        <v>0</v>
      </c>
      <c r="U90">
        <v>235</v>
      </c>
      <c r="V90">
        <v>45</v>
      </c>
      <c r="W90">
        <v>3</v>
      </c>
      <c r="X90">
        <v>0</v>
      </c>
      <c r="Y90" t="s">
        <v>19</v>
      </c>
      <c r="Z90">
        <v>2</v>
      </c>
      <c r="AA90">
        <f>IF(AND(Table1[[#This Row],[Throw Out Pass Eff]]="N", Table1[[#This Row],[Against FCS Team]]="N"), ROUND(((5.45 * D90) + (150 * F90) + (100 * G90) - (300 * H90)) / E90, 2), " ")</f>
        <v>39.909999999999997</v>
      </c>
      <c r="AB90">
        <f>IF(AND(Table1[[#This Row],[Throw Out Pass Def Eff]]="N", Table1[[#This Row],[Against FCS Team]]="N"),200 - ROUND(((5.45 * P90) + (150 * R90) + (100 * S90) - (300 * T90)) / Q90, 2), " ")</f>
        <v>79.23</v>
      </c>
      <c r="AC90">
        <f>IF(AND(Table1[[#This Row],[Throw Out Rush Eff]]="N", Table1[[#This Row],[Against FCS Team]]="N"), ROUND(((23.2 * I90) + (150 * K90) - (300 * L90)) / J90, 2), " ")</f>
        <v>57.5</v>
      </c>
      <c r="AD90" s="3">
        <f>IF(AND(Table1[[#This Row],[Throw Out Rush Def Eff]]="N", Table1[[#This Row],[Against FCS Team]]="N"), 200 - ROUND(((23.2 * U90) + (150 * W90) - (300 * X90)) / V90, 2), " ")</f>
        <v>68.84</v>
      </c>
      <c r="AE90" s="3">
        <f>ROUND(Table1[[#This Row],[Opp Passing Attempts]]/(Table1[[#This Row],[Opp Passing Attempts]]+Table1[[#This Row],[Opp Rushing Attempts]]), 2)</f>
        <v>0.36</v>
      </c>
      <c r="AF90" s="3">
        <f>1-Table1[[#This Row],[Passing Weight]]</f>
        <v>0.64</v>
      </c>
      <c r="AG90" s="3" t="str">
        <f>IF(COUNTIF(A:A,Table1[[#This Row],[Opp Team Name]]) &gt; 0, "N", "Y")</f>
        <v>N</v>
      </c>
      <c r="AH90" s="3" t="str">
        <f>IF(Table1[[#This Row],[Passing Attempts]] &lt;15, "Y", "N")</f>
        <v>N</v>
      </c>
      <c r="AI90" s="3" t="str">
        <f>IF(Table1[[#This Row],[Rushing Attempts]] &lt; 15, "Y", "N")</f>
        <v>N</v>
      </c>
      <c r="AJ90" s="3" t="str">
        <f>IF(Table1[[#This Row],[Opp Passing Attempts]]&lt;15, "Y", "N")</f>
        <v>N</v>
      </c>
      <c r="AK90" s="3" t="str">
        <f>IF(Table1[[#This Row],[Opp Rushing Attempts]]&lt;15, "Y", "N")</f>
        <v>N</v>
      </c>
      <c r="AL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48.94</v>
      </c>
      <c r="AM9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82.71</v>
      </c>
      <c r="AN9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63.54</v>
      </c>
      <c r="AO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59.45</v>
      </c>
      <c r="AP90" s="3">
        <f>ABS(Table1[[#This Row],[Team Score]]-Table1[[#This Row],[Opp Team Score]])</f>
        <v>27</v>
      </c>
      <c r="AQ90" s="3">
        <f>SUM(Table1[[#This Row],[Team Score]], Table1[[#This Row],[Opp Team Score]])</f>
        <v>33</v>
      </c>
      <c r="AR9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154.52000000000001</v>
      </c>
      <c r="AS90" s="3">
        <f>IF(Table1[[#This Row],[Efficiency Difference]] = " ", " ", ROUND((Table1[[#This Row],[Winning Margin]]*100)/Table1[[#This Row],[Efficiency Difference]], 2))</f>
        <v>17.47</v>
      </c>
    </row>
    <row r="91" spans="1:45">
      <c r="A91" t="s">
        <v>40</v>
      </c>
      <c r="B91">
        <v>67</v>
      </c>
      <c r="C91">
        <v>19</v>
      </c>
      <c r="D91">
        <v>247</v>
      </c>
      <c r="E91">
        <v>34</v>
      </c>
      <c r="F91">
        <v>1</v>
      </c>
      <c r="G91">
        <v>17</v>
      </c>
      <c r="H91">
        <v>0</v>
      </c>
      <c r="I91">
        <v>81</v>
      </c>
      <c r="J91">
        <v>25</v>
      </c>
      <c r="K91">
        <v>1</v>
      </c>
      <c r="L91">
        <v>0</v>
      </c>
      <c r="M91" t="s">
        <v>62</v>
      </c>
      <c r="N91">
        <v>193</v>
      </c>
      <c r="O91">
        <v>20</v>
      </c>
      <c r="P91">
        <v>384</v>
      </c>
      <c r="Q91">
        <v>55</v>
      </c>
      <c r="R91">
        <v>2</v>
      </c>
      <c r="S91">
        <v>43</v>
      </c>
      <c r="T91">
        <v>1</v>
      </c>
      <c r="U91">
        <v>81</v>
      </c>
      <c r="V91">
        <v>26</v>
      </c>
      <c r="W91">
        <v>1</v>
      </c>
      <c r="X91">
        <v>0</v>
      </c>
      <c r="Y91" t="s">
        <v>19</v>
      </c>
      <c r="Z91">
        <v>3</v>
      </c>
      <c r="AA91">
        <f>IF(AND(Table1[[#This Row],[Throw Out Pass Eff]]="N", Table1[[#This Row],[Against FCS Team]]="N"), ROUND(((5.45 * D91) + (150 * F91) + (100 * G91) - (300 * H91)) / E91, 2), " ")</f>
        <v>94</v>
      </c>
      <c r="AB91">
        <f>IF(AND(Table1[[#This Row],[Throw Out Pass Def Eff]]="N", Table1[[#This Row],[Against FCS Team]]="N"),200 - ROUND(((5.45 * P91) + (150 * R91) + (100 * S91) - (300 * T91)) / Q91, 2), " ")</f>
        <v>83.77</v>
      </c>
      <c r="AC91">
        <f>IF(AND(Table1[[#This Row],[Throw Out Rush Eff]]="N", Table1[[#This Row],[Against FCS Team]]="N"), ROUND(((23.2 * I91) + (150 * K91) - (300 * L91)) / J91, 2), " ")</f>
        <v>81.17</v>
      </c>
      <c r="AD91" s="3">
        <f>IF(AND(Table1[[#This Row],[Throw Out Rush Def Eff]]="N", Table1[[#This Row],[Against FCS Team]]="N"), 200 - ROUND(((23.2 * U91) + (150 * W91) - (300 * X91)) / V91, 2), " ")</f>
        <v>121.95</v>
      </c>
      <c r="AE91" s="3">
        <f>ROUND(Table1[[#This Row],[Opp Passing Attempts]]/(Table1[[#This Row],[Opp Passing Attempts]]+Table1[[#This Row],[Opp Rushing Attempts]]), 2)</f>
        <v>0.68</v>
      </c>
      <c r="AF91" s="3">
        <f>1-Table1[[#This Row],[Passing Weight]]</f>
        <v>0.31999999999999995</v>
      </c>
      <c r="AG91" s="3" t="str">
        <f>IF(COUNTIF(A:A,Table1[[#This Row],[Opp Team Name]]) &gt; 0, "N", "Y")</f>
        <v>N</v>
      </c>
      <c r="AH91" s="3" t="str">
        <f>IF(Table1[[#This Row],[Passing Attempts]] &lt;15, "Y", "N")</f>
        <v>N</v>
      </c>
      <c r="AI91" s="3" t="str">
        <f>IF(Table1[[#This Row],[Rushing Attempts]] &lt; 15, "Y", "N")</f>
        <v>N</v>
      </c>
      <c r="AJ91" s="3" t="str">
        <f>IF(Table1[[#This Row],[Opp Passing Attempts]]&lt;15, "Y", "N")</f>
        <v>N</v>
      </c>
      <c r="AK91" s="3" t="str">
        <f>IF(Table1[[#This Row],[Opp Rushing Attempts]]&lt;15, "Y", "N")</f>
        <v>N</v>
      </c>
      <c r="AL9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83.28</v>
      </c>
      <c r="AM9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87.26</v>
      </c>
      <c r="AN9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79.239999999999995</v>
      </c>
      <c r="AO9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78.31</v>
      </c>
      <c r="AP91" s="3">
        <f>ABS(Table1[[#This Row],[Team Score]]-Table1[[#This Row],[Opp Team Score]])</f>
        <v>1</v>
      </c>
      <c r="AQ91" s="3">
        <f>SUM(Table1[[#This Row],[Team Score]], Table1[[#This Row],[Opp Team Score]])</f>
        <v>39</v>
      </c>
      <c r="AR9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19.109999999999985</v>
      </c>
      <c r="AS91" s="3">
        <f>IF(Table1[[#This Row],[Efficiency Difference]] = " ", " ", ROUND((Table1[[#This Row],[Winning Margin]]*100)/Table1[[#This Row],[Efficiency Difference]], 2))</f>
        <v>5.23</v>
      </c>
    </row>
    <row r="92" spans="1:45">
      <c r="A92" t="s">
        <v>40</v>
      </c>
      <c r="B92">
        <v>67</v>
      </c>
      <c r="C92">
        <v>19</v>
      </c>
      <c r="D92">
        <v>188</v>
      </c>
      <c r="E92">
        <v>48</v>
      </c>
      <c r="F92">
        <v>1</v>
      </c>
      <c r="G92">
        <v>23</v>
      </c>
      <c r="H92">
        <v>1</v>
      </c>
      <c r="I92">
        <v>148</v>
      </c>
      <c r="J92">
        <v>34</v>
      </c>
      <c r="K92">
        <v>0</v>
      </c>
      <c r="L92">
        <v>1</v>
      </c>
      <c r="M92" t="s">
        <v>131</v>
      </c>
      <c r="N92">
        <v>749</v>
      </c>
      <c r="O92">
        <v>27</v>
      </c>
      <c r="P92">
        <v>288</v>
      </c>
      <c r="Q92">
        <v>30</v>
      </c>
      <c r="R92">
        <v>1</v>
      </c>
      <c r="S92">
        <v>20</v>
      </c>
      <c r="T92">
        <v>1</v>
      </c>
      <c r="U92">
        <v>104</v>
      </c>
      <c r="V92">
        <v>33</v>
      </c>
      <c r="W92">
        <v>2</v>
      </c>
      <c r="X92">
        <v>0</v>
      </c>
      <c r="Y92" t="s">
        <v>19</v>
      </c>
      <c r="Z92">
        <v>5</v>
      </c>
      <c r="AA92">
        <f>IF(AND(Table1[[#This Row],[Throw Out Pass Eff]]="N", Table1[[#This Row],[Against FCS Team]]="N"), ROUND(((5.45 * D92) + (150 * F92) + (100 * G92) - (300 * H92)) / E92, 2), " ")</f>
        <v>66.14</v>
      </c>
      <c r="AB92">
        <f>IF(AND(Table1[[#This Row],[Throw Out Pass Def Eff]]="N", Table1[[#This Row],[Against FCS Team]]="N"),200 - ROUND(((5.45 * P92) + (150 * R92) + (100 * S92) - (300 * T92)) / Q92, 2), " ")</f>
        <v>86.01</v>
      </c>
      <c r="AC92">
        <f>IF(AND(Table1[[#This Row],[Throw Out Rush Eff]]="N", Table1[[#This Row],[Against FCS Team]]="N"), ROUND(((23.2 * I92) + (150 * K92) - (300 * L92)) / J92, 2), " ")</f>
        <v>92.16</v>
      </c>
      <c r="AD92" s="3">
        <f>IF(AND(Table1[[#This Row],[Throw Out Rush Def Eff]]="N", Table1[[#This Row],[Against FCS Team]]="N"), 200 - ROUND(((23.2 * U92) + (150 * W92) - (300 * X92)) / V92, 2), " ")</f>
        <v>117.79</v>
      </c>
      <c r="AE92" s="3">
        <f>ROUND(Table1[[#This Row],[Opp Passing Attempts]]/(Table1[[#This Row],[Opp Passing Attempts]]+Table1[[#This Row],[Opp Rushing Attempts]]), 2)</f>
        <v>0.48</v>
      </c>
      <c r="AF92" s="3">
        <f>1-Table1[[#This Row],[Passing Weight]]</f>
        <v>0.52</v>
      </c>
      <c r="AG92" s="3" t="str">
        <f>IF(COUNTIF(A:A,Table1[[#This Row],[Opp Team Name]]) &gt; 0, "N", "Y")</f>
        <v>N</v>
      </c>
      <c r="AH92" s="3" t="str">
        <f>IF(Table1[[#This Row],[Passing Attempts]] &lt;15, "Y", "N")</f>
        <v>N</v>
      </c>
      <c r="AI92" s="3" t="str">
        <f>IF(Table1[[#This Row],[Rushing Attempts]] &lt; 15, "Y", "N")</f>
        <v>N</v>
      </c>
      <c r="AJ92" s="3" t="str">
        <f>IF(Table1[[#This Row],[Opp Passing Attempts]]&lt;15, "Y", "N")</f>
        <v>N</v>
      </c>
      <c r="AK92" s="3" t="str">
        <f>IF(Table1[[#This Row],[Opp Rushing Attempts]]&lt;15, "Y", "N")</f>
        <v>N</v>
      </c>
      <c r="AL9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71</v>
      </c>
      <c r="AM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95.47</v>
      </c>
      <c r="AN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94.38</v>
      </c>
      <c r="AO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80.78</v>
      </c>
      <c r="AP92" s="3">
        <f>ABS(Table1[[#This Row],[Team Score]]-Table1[[#This Row],[Opp Team Score]])</f>
        <v>8</v>
      </c>
      <c r="AQ92" s="3">
        <f>SUM(Table1[[#This Row],[Team Score]], Table1[[#This Row],[Opp Team Score]])</f>
        <v>46</v>
      </c>
      <c r="AR9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37.899999999999977</v>
      </c>
      <c r="AS92" s="3">
        <f>IF(Table1[[#This Row],[Efficiency Difference]] = " ", " ", ROUND((Table1[[#This Row],[Winning Margin]]*100)/Table1[[#This Row],[Efficiency Difference]], 2))</f>
        <v>21.11</v>
      </c>
    </row>
    <row r="93" spans="1:45">
      <c r="A93" t="s">
        <v>40</v>
      </c>
      <c r="B93">
        <v>67</v>
      </c>
      <c r="C93">
        <v>14</v>
      </c>
      <c r="D93">
        <v>132</v>
      </c>
      <c r="E93">
        <v>22</v>
      </c>
      <c r="F93">
        <v>1</v>
      </c>
      <c r="G93">
        <v>14</v>
      </c>
      <c r="H93">
        <v>1</v>
      </c>
      <c r="I93">
        <v>126</v>
      </c>
      <c r="J93">
        <v>35</v>
      </c>
      <c r="K93">
        <v>1</v>
      </c>
      <c r="L93">
        <v>1</v>
      </c>
      <c r="M93" t="s">
        <v>54</v>
      </c>
      <c r="N93">
        <v>147</v>
      </c>
      <c r="O93">
        <v>36</v>
      </c>
      <c r="P93">
        <v>320</v>
      </c>
      <c r="Q93">
        <v>37</v>
      </c>
      <c r="R93">
        <v>1</v>
      </c>
      <c r="S93">
        <v>22</v>
      </c>
      <c r="T93">
        <v>0</v>
      </c>
      <c r="U93">
        <v>180</v>
      </c>
      <c r="V93">
        <v>41</v>
      </c>
      <c r="W93">
        <v>2</v>
      </c>
      <c r="X93">
        <v>0</v>
      </c>
      <c r="Y93" t="s">
        <v>19</v>
      </c>
      <c r="Z93">
        <v>6</v>
      </c>
      <c r="AA93">
        <f>IF(AND(Table1[[#This Row],[Throw Out Pass Eff]]="N", Table1[[#This Row],[Against FCS Team]]="N"), ROUND(((5.45 * D93) + (150 * F93) + (100 * G93) - (300 * H93)) / E93, 2), " ")</f>
        <v>89.52</v>
      </c>
      <c r="AB93">
        <f>IF(AND(Table1[[#This Row],[Throw Out Pass Def Eff]]="N", Table1[[#This Row],[Against FCS Team]]="N"),200 - ROUND(((5.45 * P93) + (150 * R93) + (100 * S93) - (300 * T93)) / Q93, 2), " ")</f>
        <v>89.35</v>
      </c>
      <c r="AC93">
        <f>IF(AND(Table1[[#This Row],[Throw Out Rush Eff]]="N", Table1[[#This Row],[Against FCS Team]]="N"), ROUND(((23.2 * I93) + (150 * K93) - (300 * L93)) / J93, 2), " ")</f>
        <v>79.23</v>
      </c>
      <c r="AD93" s="3">
        <f>IF(AND(Table1[[#This Row],[Throw Out Rush Def Eff]]="N", Table1[[#This Row],[Against FCS Team]]="N"), 200 - ROUND(((23.2 * U93) + (150 * W93) - (300 * X93)) / V93, 2), " ")</f>
        <v>90.83</v>
      </c>
      <c r="AE93" s="3">
        <f>ROUND(Table1[[#This Row],[Opp Passing Attempts]]/(Table1[[#This Row],[Opp Passing Attempts]]+Table1[[#This Row],[Opp Rushing Attempts]]), 2)</f>
        <v>0.47</v>
      </c>
      <c r="AF93" s="3">
        <f>1-Table1[[#This Row],[Passing Weight]]</f>
        <v>0.53</v>
      </c>
      <c r="AG93" s="3" t="str">
        <f>IF(COUNTIF(A:A,Table1[[#This Row],[Opp Team Name]]) &gt; 0, "N", "Y")</f>
        <v>N</v>
      </c>
      <c r="AH93" s="3" t="str">
        <f>IF(Table1[[#This Row],[Passing Attempts]] &lt;15, "Y", "N")</f>
        <v>N</v>
      </c>
      <c r="AI93" s="3" t="str">
        <f>IF(Table1[[#This Row],[Rushing Attempts]] &lt; 15, "Y", "N")</f>
        <v>N</v>
      </c>
      <c r="AJ93" s="3" t="str">
        <f>IF(Table1[[#This Row],[Opp Passing Attempts]]&lt;15, "Y", "N")</f>
        <v>N</v>
      </c>
      <c r="AK93" s="3" t="str">
        <f>IF(Table1[[#This Row],[Opp Rushing Attempts]]&lt;15, "Y", "N")</f>
        <v>N</v>
      </c>
      <c r="AL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100.22</v>
      </c>
      <c r="AM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101.86</v>
      </c>
      <c r="AN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84.87</v>
      </c>
      <c r="AO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89.88</v>
      </c>
      <c r="AP93" s="3">
        <f>ABS(Table1[[#This Row],[Team Score]]-Table1[[#This Row],[Opp Team Score]])</f>
        <v>22</v>
      </c>
      <c r="AQ93" s="3">
        <f>SUM(Table1[[#This Row],[Team Score]], Table1[[#This Row],[Opp Team Score]])</f>
        <v>50</v>
      </c>
      <c r="AR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51.069999999999993</v>
      </c>
      <c r="AS93" s="3">
        <f>IF(Table1[[#This Row],[Efficiency Difference]] = " ", " ", ROUND((Table1[[#This Row],[Winning Margin]]*100)/Table1[[#This Row],[Efficiency Difference]], 2))</f>
        <v>43.08</v>
      </c>
    </row>
    <row r="94" spans="1:45">
      <c r="A94" t="s">
        <v>40</v>
      </c>
      <c r="B94">
        <v>67</v>
      </c>
      <c r="C94">
        <v>14</v>
      </c>
      <c r="D94">
        <v>181</v>
      </c>
      <c r="E94">
        <v>30</v>
      </c>
      <c r="F94">
        <v>1</v>
      </c>
      <c r="G94">
        <v>13</v>
      </c>
      <c r="H94">
        <v>1</v>
      </c>
      <c r="I94">
        <v>91</v>
      </c>
      <c r="J94">
        <v>29</v>
      </c>
      <c r="K94">
        <v>1</v>
      </c>
      <c r="L94">
        <v>1</v>
      </c>
      <c r="M94" t="s">
        <v>156</v>
      </c>
      <c r="N94">
        <v>742</v>
      </c>
      <c r="O94">
        <v>30</v>
      </c>
      <c r="P94">
        <v>268</v>
      </c>
      <c r="Q94">
        <v>36</v>
      </c>
      <c r="R94">
        <v>1</v>
      </c>
      <c r="S94">
        <v>22</v>
      </c>
      <c r="T94">
        <v>0</v>
      </c>
      <c r="U94">
        <v>214</v>
      </c>
      <c r="V94">
        <v>40</v>
      </c>
      <c r="W94">
        <v>2</v>
      </c>
      <c r="X94">
        <v>0</v>
      </c>
      <c r="Y94" t="s">
        <v>19</v>
      </c>
      <c r="Z94">
        <v>8</v>
      </c>
      <c r="AA94" s="3">
        <f>IF(AND(Table1[[#This Row],[Throw Out Pass Eff]]="N", Table1[[#This Row],[Against FCS Team]]="N"), ROUND(((5.45 * D94) + (150 * F94) + (100 * G94) - (300 * H94)) / E94, 2), " ")</f>
        <v>71.22</v>
      </c>
      <c r="AB94" s="3">
        <f>IF(AND(Table1[[#This Row],[Throw Out Pass Def Eff]]="N", Table1[[#This Row],[Against FCS Team]]="N"),200 - ROUND(((5.45 * P94) + (150 * R94) + (100 * S94) - (300 * T94)) / Q94, 2), " ")</f>
        <v>94.15</v>
      </c>
      <c r="AC94" s="3">
        <f>IF(AND(Table1[[#This Row],[Throw Out Rush Eff]]="N", Table1[[#This Row],[Against FCS Team]]="N"), ROUND(((23.2 * I94) + (150 * K94) - (300 * L94)) / J94, 2), " ")</f>
        <v>67.63</v>
      </c>
      <c r="AD94" s="3">
        <f>IF(AND(Table1[[#This Row],[Throw Out Rush Def Eff]]="N", Table1[[#This Row],[Against FCS Team]]="N"), 200 - ROUND(((23.2 * U94) + (150 * W94) - (300 * X94)) / V94, 2), " ")</f>
        <v>68.38</v>
      </c>
      <c r="AE94" s="3">
        <f>ROUND(Table1[[#This Row],[Opp Passing Attempts]]/(Table1[[#This Row],[Opp Passing Attempts]]+Table1[[#This Row],[Opp Rushing Attempts]]), 2)</f>
        <v>0.47</v>
      </c>
      <c r="AF94" s="3">
        <f>1-Table1[[#This Row],[Passing Weight]]</f>
        <v>0.53</v>
      </c>
      <c r="AG94" s="3" t="str">
        <f>IF(COUNTIF(A:A,Table1[[#This Row],[Opp Team Name]]) &gt; 0, "N", "Y")</f>
        <v>N</v>
      </c>
      <c r="AH94" s="3" t="str">
        <f>IF(Table1[[#This Row],[Passing Attempts]] &lt;15, "Y", "N")</f>
        <v>N</v>
      </c>
      <c r="AI94" s="3" t="str">
        <f>IF(Table1[[#This Row],[Rushing Attempts]] &lt; 15, "Y", "N")</f>
        <v>N</v>
      </c>
      <c r="AJ94" s="3" t="str">
        <f>IF(Table1[[#This Row],[Opp Passing Attempts]]&lt;15, "Y", "N")</f>
        <v>N</v>
      </c>
      <c r="AK94" s="3" t="str">
        <f>IF(Table1[[#This Row],[Opp Rushing Attempts]]&lt;15, "Y", "N")</f>
        <v>N</v>
      </c>
      <c r="AL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80.66</v>
      </c>
      <c r="AM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95.67</v>
      </c>
      <c r="AN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98.46</v>
      </c>
      <c r="AO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73.489999999999995</v>
      </c>
      <c r="AP94" s="3">
        <f>ABS(Table1[[#This Row],[Team Score]]-Table1[[#This Row],[Opp Team Score]])</f>
        <v>16</v>
      </c>
      <c r="AQ94" s="3">
        <f>SUM(Table1[[#This Row],[Team Score]], Table1[[#This Row],[Opp Team Score]])</f>
        <v>44</v>
      </c>
      <c r="AR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98.62</v>
      </c>
      <c r="AS94" s="3">
        <f>IF(Table1[[#This Row],[Efficiency Difference]] = " ", " ", ROUND((Table1[[#This Row],[Winning Margin]]*100)/Table1[[#This Row],[Efficiency Difference]], 2))</f>
        <v>16.22</v>
      </c>
    </row>
    <row r="95" spans="1:45">
      <c r="A95" t="s">
        <v>42</v>
      </c>
      <c r="B95">
        <v>71</v>
      </c>
      <c r="C95">
        <v>58</v>
      </c>
      <c r="D95">
        <v>304</v>
      </c>
      <c r="E95">
        <v>27</v>
      </c>
      <c r="F95">
        <v>5</v>
      </c>
      <c r="G95">
        <v>19</v>
      </c>
      <c r="H95">
        <v>1</v>
      </c>
      <c r="I95">
        <v>268</v>
      </c>
      <c r="J95">
        <v>49</v>
      </c>
      <c r="K95">
        <v>3</v>
      </c>
      <c r="L95">
        <v>2</v>
      </c>
      <c r="M95" t="s">
        <v>164</v>
      </c>
      <c r="N95">
        <v>446</v>
      </c>
      <c r="O95">
        <v>13</v>
      </c>
      <c r="P95">
        <v>37</v>
      </c>
      <c r="Q95">
        <v>29</v>
      </c>
      <c r="R95">
        <v>0</v>
      </c>
      <c r="S95">
        <v>8</v>
      </c>
      <c r="T95">
        <v>1</v>
      </c>
      <c r="U95">
        <v>156</v>
      </c>
      <c r="V95">
        <v>34</v>
      </c>
      <c r="W95">
        <v>1</v>
      </c>
      <c r="X95">
        <v>1</v>
      </c>
      <c r="Y95" t="s">
        <v>16</v>
      </c>
      <c r="Z95">
        <v>2</v>
      </c>
      <c r="AA95" t="str">
        <f>IF(AND(Table1[[#This Row],[Throw Out Pass Eff]]="N", Table1[[#This Row],[Against FCS Team]]="N"), ROUND(((5.45 * D95) + (150 * F95) + (100 * G95) - (300 * H95)) / E95, 2), " ")</f>
        <v xml:space="preserve"> </v>
      </c>
      <c r="AB95" t="str">
        <f>IF(AND(Table1[[#This Row],[Throw Out Pass Def Eff]]="N", Table1[[#This Row],[Against FCS Team]]="N"),200 - ROUND(((5.45 * P95) + (150 * R95) + (100 * S95) - (300 * T95)) / Q95, 2), " ")</f>
        <v xml:space="preserve"> </v>
      </c>
      <c r="AC95" t="str">
        <f>IF(AND(Table1[[#This Row],[Throw Out Rush Eff]]="N", Table1[[#This Row],[Against FCS Team]]="N"), ROUND(((23.2 * I95) + (150 * K95) - (300 * L95)) / J95, 2), " ")</f>
        <v xml:space="preserve"> </v>
      </c>
      <c r="AD95" s="3" t="str">
        <f>IF(AND(Table1[[#This Row],[Throw Out Rush Def Eff]]="N", Table1[[#This Row],[Against FCS Team]]="N"), 200 - ROUND(((23.2 * U95) + (150 * W95) - (300 * X95)) / V95, 2), " ")</f>
        <v xml:space="preserve"> </v>
      </c>
      <c r="AE95" s="3">
        <f>ROUND(Table1[[#This Row],[Opp Passing Attempts]]/(Table1[[#This Row],[Opp Passing Attempts]]+Table1[[#This Row],[Opp Rushing Attempts]]), 2)</f>
        <v>0.46</v>
      </c>
      <c r="AF95" s="3">
        <f>1-Table1[[#This Row],[Passing Weight]]</f>
        <v>0.54</v>
      </c>
      <c r="AG95" s="3" t="str">
        <f>IF(COUNTIF(A:A,Table1[[#This Row],[Opp Team Name]]) &gt; 0, "N", "Y")</f>
        <v>Y</v>
      </c>
      <c r="AH95" s="3" t="str">
        <f>IF(Table1[[#This Row],[Passing Attempts]] &lt;15, "Y", "N")</f>
        <v>N</v>
      </c>
      <c r="AI95" s="3" t="str">
        <f>IF(Table1[[#This Row],[Rushing Attempts]] &lt; 15, "Y", "N")</f>
        <v>N</v>
      </c>
      <c r="AJ95" s="3" t="str">
        <f>IF(Table1[[#This Row],[Opp Passing Attempts]]&lt;15, "Y", "N")</f>
        <v>N</v>
      </c>
      <c r="AK95" s="3" t="str">
        <f>IF(Table1[[#This Row],[Opp Rushing Attempts]]&lt;15, "Y", "N")</f>
        <v>N</v>
      </c>
      <c r="AL9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9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9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9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95" s="3">
        <f>ABS(Table1[[#This Row],[Team Score]]-Table1[[#This Row],[Opp Team Score]])</f>
        <v>45</v>
      </c>
      <c r="AQ95" s="3">
        <f>SUM(Table1[[#This Row],[Team Score]], Table1[[#This Row],[Opp Team Score]])</f>
        <v>71</v>
      </c>
      <c r="AR9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95" s="3" t="str">
        <f>IF(Table1[[#This Row],[Efficiency Difference]] = " ", " ", ROUND((Table1[[#This Row],[Winning Margin]]*100)/Table1[[#This Row],[Efficiency Difference]], 2))</f>
        <v xml:space="preserve"> </v>
      </c>
    </row>
    <row r="96" spans="1:45">
      <c r="A96" t="s">
        <v>42</v>
      </c>
      <c r="B96">
        <v>71</v>
      </c>
      <c r="C96">
        <v>32</v>
      </c>
      <c r="D96">
        <v>291</v>
      </c>
      <c r="E96">
        <v>31</v>
      </c>
      <c r="F96">
        <v>2</v>
      </c>
      <c r="G96">
        <v>19</v>
      </c>
      <c r="H96">
        <v>0</v>
      </c>
      <c r="I96">
        <v>187</v>
      </c>
      <c r="J96">
        <v>48</v>
      </c>
      <c r="K96">
        <v>2</v>
      </c>
      <c r="L96">
        <v>0</v>
      </c>
      <c r="M96" t="s">
        <v>43</v>
      </c>
      <c r="N96">
        <v>295</v>
      </c>
      <c r="O96">
        <v>15</v>
      </c>
      <c r="P96">
        <v>228</v>
      </c>
      <c r="Q96">
        <v>44</v>
      </c>
      <c r="R96">
        <v>2</v>
      </c>
      <c r="S96">
        <v>20</v>
      </c>
      <c r="T96">
        <v>1</v>
      </c>
      <c r="U96">
        <v>52</v>
      </c>
      <c r="V96">
        <v>21</v>
      </c>
      <c r="W96">
        <v>0</v>
      </c>
      <c r="X96">
        <v>2</v>
      </c>
      <c r="Y96" t="s">
        <v>16</v>
      </c>
      <c r="Z96">
        <v>1</v>
      </c>
      <c r="AA96">
        <f>IF(AND(Table1[[#This Row],[Throw Out Pass Eff]]="N", Table1[[#This Row],[Against FCS Team]]="N"), ROUND(((5.45 * D96) + (150 * F96) + (100 * G96) - (300 * H96)) / E96, 2), " ")</f>
        <v>122.13</v>
      </c>
      <c r="AB96">
        <f>IF(AND(Table1[[#This Row],[Throw Out Pass Def Eff]]="N", Table1[[#This Row],[Against FCS Team]]="N"),200 - ROUND(((5.45 * P96) + (150 * R96) + (100 * S96) - (300 * T96)) / Q96, 2), " ")</f>
        <v>126.3</v>
      </c>
      <c r="AC96">
        <f>IF(AND(Table1[[#This Row],[Throw Out Rush Eff]]="N", Table1[[#This Row],[Against FCS Team]]="N"), ROUND(((23.2 * I96) + (150 * K96) - (300 * L96)) / J96, 2), " ")</f>
        <v>96.63</v>
      </c>
      <c r="AD96" s="3">
        <f>IF(AND(Table1[[#This Row],[Throw Out Rush Def Eff]]="N", Table1[[#This Row],[Against FCS Team]]="N"), 200 - ROUND(((23.2 * U96) + (150 * W96) - (300 * X96)) / V96, 2), " ")</f>
        <v>171.12</v>
      </c>
      <c r="AE96" s="3">
        <f>ROUND(Table1[[#This Row],[Opp Passing Attempts]]/(Table1[[#This Row],[Opp Passing Attempts]]+Table1[[#This Row],[Opp Rushing Attempts]]), 2)</f>
        <v>0.68</v>
      </c>
      <c r="AF96" s="3">
        <f>1-Table1[[#This Row],[Passing Weight]]</f>
        <v>0.31999999999999995</v>
      </c>
      <c r="AG96" s="3" t="str">
        <f>IF(COUNTIF(A:A,Table1[[#This Row],[Opp Team Name]]) &gt; 0, "N", "Y")</f>
        <v>N</v>
      </c>
      <c r="AH96" s="3" t="str">
        <f>IF(Table1[[#This Row],[Passing Attempts]] &lt;15, "Y", "N")</f>
        <v>N</v>
      </c>
      <c r="AI96" s="3" t="str">
        <f>IF(Table1[[#This Row],[Rushing Attempts]] &lt; 15, "Y", "N")</f>
        <v>N</v>
      </c>
      <c r="AJ96" s="3" t="str">
        <f>IF(Table1[[#This Row],[Opp Passing Attempts]]&lt;15, "Y", "N")</f>
        <v>N</v>
      </c>
      <c r="AK96" s="3" t="str">
        <f>IF(Table1[[#This Row],[Opp Rushing Attempts]]&lt;15, "Y", "N")</f>
        <v>N</v>
      </c>
      <c r="AL9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106.53</v>
      </c>
      <c r="AM9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91.29</v>
      </c>
      <c r="AN9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103.22</v>
      </c>
      <c r="AO9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83.7</v>
      </c>
      <c r="AP96" s="3">
        <f>ABS(Table1[[#This Row],[Team Score]]-Table1[[#This Row],[Opp Team Score]])</f>
        <v>17</v>
      </c>
      <c r="AQ96" s="3">
        <f>SUM(Table1[[#This Row],[Team Score]], Table1[[#This Row],[Opp Team Score]])</f>
        <v>47</v>
      </c>
      <c r="AR9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116.18</v>
      </c>
      <c r="AS96" s="3">
        <f>IF(Table1[[#This Row],[Efficiency Difference]] = " ", " ", ROUND((Table1[[#This Row],[Winning Margin]]*100)/Table1[[#This Row],[Efficiency Difference]], 2))</f>
        <v>14.63</v>
      </c>
    </row>
    <row r="97" spans="1:45">
      <c r="A97" t="s">
        <v>42</v>
      </c>
      <c r="B97">
        <v>71</v>
      </c>
      <c r="C97">
        <v>27</v>
      </c>
      <c r="D97">
        <v>437</v>
      </c>
      <c r="E97">
        <v>55</v>
      </c>
      <c r="F97">
        <v>4</v>
      </c>
      <c r="G97">
        <v>34</v>
      </c>
      <c r="H97">
        <v>2</v>
      </c>
      <c r="I97">
        <v>77</v>
      </c>
      <c r="J97">
        <v>33</v>
      </c>
      <c r="K97">
        <v>0</v>
      </c>
      <c r="L97">
        <v>4</v>
      </c>
      <c r="M97" t="s">
        <v>162</v>
      </c>
      <c r="N97">
        <v>811</v>
      </c>
      <c r="O97">
        <v>28</v>
      </c>
      <c r="P97">
        <v>267</v>
      </c>
      <c r="Q97">
        <v>39</v>
      </c>
      <c r="R97">
        <v>1</v>
      </c>
      <c r="S97">
        <v>25</v>
      </c>
      <c r="T97">
        <v>0</v>
      </c>
      <c r="U97">
        <v>129</v>
      </c>
      <c r="V97">
        <v>34</v>
      </c>
      <c r="W97">
        <v>2</v>
      </c>
      <c r="X97">
        <v>1</v>
      </c>
      <c r="Y97" t="s">
        <v>19</v>
      </c>
      <c r="Z97">
        <v>3</v>
      </c>
      <c r="AA97">
        <f>IF(AND(Table1[[#This Row],[Throw Out Pass Eff]]="N", Table1[[#This Row],[Against FCS Team]]="N"), ROUND(((5.45 * D97) + (150 * F97) + (100 * G97) - (300 * H97)) / E97, 2), " ")</f>
        <v>105.12</v>
      </c>
      <c r="AB97">
        <f>IF(AND(Table1[[#This Row],[Throw Out Pass Def Eff]]="N", Table1[[#This Row],[Against FCS Team]]="N"),200 - ROUND(((5.45 * P97) + (150 * R97) + (100 * S97) - (300 * T97)) / Q97, 2), " ")</f>
        <v>94.74</v>
      </c>
      <c r="AC97">
        <f>IF(AND(Table1[[#This Row],[Throw Out Rush Eff]]="N", Table1[[#This Row],[Against FCS Team]]="N"), ROUND(((23.2 * I97) + (150 * K97) - (300 * L97)) / J97, 2), " ")</f>
        <v>17.77</v>
      </c>
      <c r="AD97" s="3">
        <f>IF(AND(Table1[[#This Row],[Throw Out Rush Def Eff]]="N", Table1[[#This Row],[Against FCS Team]]="N"), 200 - ROUND(((23.2 * U97) + (150 * W97) - (300 * X97)) / V97, 2), " ")</f>
        <v>111.98</v>
      </c>
      <c r="AE97" s="3">
        <f>ROUND(Table1[[#This Row],[Opp Passing Attempts]]/(Table1[[#This Row],[Opp Passing Attempts]]+Table1[[#This Row],[Opp Rushing Attempts]]), 2)</f>
        <v>0.53</v>
      </c>
      <c r="AF97" s="3">
        <f>1-Table1[[#This Row],[Passing Weight]]</f>
        <v>0.47</v>
      </c>
      <c r="AG97" s="3" t="str">
        <f>IF(COUNTIF(A:A,Table1[[#This Row],[Opp Team Name]]) &gt; 0, "N", "Y")</f>
        <v>N</v>
      </c>
      <c r="AH97" s="3" t="str">
        <f>IF(Table1[[#This Row],[Passing Attempts]] &lt;15, "Y", "N")</f>
        <v>N</v>
      </c>
      <c r="AI97" s="3" t="str">
        <f>IF(Table1[[#This Row],[Rushing Attempts]] &lt; 15, "Y", "N")</f>
        <v>N</v>
      </c>
      <c r="AJ97" s="3" t="str">
        <f>IF(Table1[[#This Row],[Opp Passing Attempts]]&lt;15, "Y", "N")</f>
        <v>N</v>
      </c>
      <c r="AK97" s="3" t="str">
        <f>IF(Table1[[#This Row],[Opp Rushing Attempts]]&lt;15, "Y", "N")</f>
        <v>N</v>
      </c>
      <c r="AL9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109.28</v>
      </c>
      <c r="AM9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87.3</v>
      </c>
      <c r="AN9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19.739999999999998</v>
      </c>
      <c r="AO9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131.69999999999999</v>
      </c>
      <c r="AP97" s="3">
        <f>ABS(Table1[[#This Row],[Team Score]]-Table1[[#This Row],[Opp Team Score]])</f>
        <v>1</v>
      </c>
      <c r="AQ97" s="3">
        <f>SUM(Table1[[#This Row],[Team Score]], Table1[[#This Row],[Opp Team Score]])</f>
        <v>55</v>
      </c>
      <c r="AR9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70.39</v>
      </c>
      <c r="AS97" s="3">
        <f>IF(Table1[[#This Row],[Efficiency Difference]] = " ", " ", ROUND((Table1[[#This Row],[Winning Margin]]*100)/Table1[[#This Row],[Efficiency Difference]], 2))</f>
        <v>1.42</v>
      </c>
    </row>
    <row r="98" spans="1:45">
      <c r="A98" t="s">
        <v>42</v>
      </c>
      <c r="B98">
        <v>71</v>
      </c>
      <c r="C98">
        <v>37</v>
      </c>
      <c r="D98">
        <v>183</v>
      </c>
      <c r="E98">
        <v>24</v>
      </c>
      <c r="F98">
        <v>3</v>
      </c>
      <c r="G98">
        <v>19</v>
      </c>
      <c r="H98">
        <v>1</v>
      </c>
      <c r="I98">
        <v>127</v>
      </c>
      <c r="J98">
        <v>38</v>
      </c>
      <c r="K98">
        <v>2</v>
      </c>
      <c r="L98">
        <v>1</v>
      </c>
      <c r="M98" t="s">
        <v>96</v>
      </c>
      <c r="N98">
        <v>414</v>
      </c>
      <c r="O98">
        <v>23</v>
      </c>
      <c r="P98">
        <v>265</v>
      </c>
      <c r="Q98">
        <v>40</v>
      </c>
      <c r="R98">
        <v>0</v>
      </c>
      <c r="S98">
        <v>25</v>
      </c>
      <c r="T98">
        <v>2</v>
      </c>
      <c r="U98">
        <v>43</v>
      </c>
      <c r="V98">
        <v>31</v>
      </c>
      <c r="W98">
        <v>2</v>
      </c>
      <c r="X98">
        <v>1</v>
      </c>
      <c r="Y98" t="s">
        <v>16</v>
      </c>
      <c r="Z98">
        <v>4</v>
      </c>
      <c r="AA98">
        <f>IF(AND(Table1[[#This Row],[Throw Out Pass Eff]]="N", Table1[[#This Row],[Against FCS Team]]="N"), ROUND(((5.45 * D98) + (150 * F98) + (100 * G98) - (300 * H98)) / E98, 2), " ")</f>
        <v>126.97</v>
      </c>
      <c r="AB98">
        <f>IF(AND(Table1[[#This Row],[Throw Out Pass Def Eff]]="N", Table1[[#This Row],[Against FCS Team]]="N"),200 - ROUND(((5.45 * P98) + (150 * R98) + (100 * S98) - (300 * T98)) / Q98, 2), " ")</f>
        <v>116.39</v>
      </c>
      <c r="AC98">
        <f>IF(AND(Table1[[#This Row],[Throw Out Rush Eff]]="N", Table1[[#This Row],[Against FCS Team]]="N"), ROUND(((23.2 * I98) + (150 * K98) - (300 * L98)) / J98, 2), " ")</f>
        <v>77.540000000000006</v>
      </c>
      <c r="AD98" s="3">
        <f>IF(AND(Table1[[#This Row],[Throw Out Rush Def Eff]]="N", Table1[[#This Row],[Against FCS Team]]="N"), 200 - ROUND(((23.2 * U98) + (150 * W98) - (300 * X98)) / V98, 2), " ")</f>
        <v>167.82</v>
      </c>
      <c r="AE98" s="3">
        <f>ROUND(Table1[[#This Row],[Opp Passing Attempts]]/(Table1[[#This Row],[Opp Passing Attempts]]+Table1[[#This Row],[Opp Rushing Attempts]]), 2)</f>
        <v>0.56000000000000005</v>
      </c>
      <c r="AF98" s="3">
        <f>1-Table1[[#This Row],[Passing Weight]]</f>
        <v>0.43999999999999995</v>
      </c>
      <c r="AG98" s="3" t="str">
        <f>IF(COUNTIF(A:A,Table1[[#This Row],[Opp Team Name]]) &gt; 0, "N", "Y")</f>
        <v>N</v>
      </c>
      <c r="AH98" s="3" t="str">
        <f>IF(Table1[[#This Row],[Passing Attempts]] &lt;15, "Y", "N")</f>
        <v>N</v>
      </c>
      <c r="AI98" s="3" t="str">
        <f>IF(Table1[[#This Row],[Rushing Attempts]] &lt; 15, "Y", "N")</f>
        <v>N</v>
      </c>
      <c r="AJ98" s="3" t="str">
        <f>IF(Table1[[#This Row],[Opp Passing Attempts]]&lt;15, "Y", "N")</f>
        <v>N</v>
      </c>
      <c r="AK98" s="3" t="str">
        <f>IF(Table1[[#This Row],[Opp Rushing Attempts]]&lt;15, "Y", "N")</f>
        <v>N</v>
      </c>
      <c r="AL9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129</v>
      </c>
      <c r="AM9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112.7</v>
      </c>
      <c r="AN9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78.09</v>
      </c>
      <c r="AO9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69.540000000000006</v>
      </c>
      <c r="AP98" s="3">
        <f>ABS(Table1[[#This Row],[Team Score]]-Table1[[#This Row],[Opp Team Score]])</f>
        <v>14</v>
      </c>
      <c r="AQ98" s="3">
        <f>SUM(Table1[[#This Row],[Team Score]], Table1[[#This Row],[Opp Team Score]])</f>
        <v>60</v>
      </c>
      <c r="AR9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88.71999999999997</v>
      </c>
      <c r="AS98" s="3">
        <f>IF(Table1[[#This Row],[Efficiency Difference]] = " ", " ", ROUND((Table1[[#This Row],[Winning Margin]]*100)/Table1[[#This Row],[Efficiency Difference]], 2))</f>
        <v>15.78</v>
      </c>
    </row>
    <row r="99" spans="1:45">
      <c r="A99" t="s">
        <v>42</v>
      </c>
      <c r="B99">
        <v>71</v>
      </c>
      <c r="C99">
        <v>10</v>
      </c>
      <c r="D99">
        <v>114</v>
      </c>
      <c r="E99">
        <v>26</v>
      </c>
      <c r="F99">
        <v>1</v>
      </c>
      <c r="G99">
        <v>13</v>
      </c>
      <c r="H99">
        <v>3</v>
      </c>
      <c r="I99">
        <v>103</v>
      </c>
      <c r="J99">
        <v>36</v>
      </c>
      <c r="K99">
        <v>0</v>
      </c>
      <c r="L99">
        <v>2</v>
      </c>
      <c r="M99" t="s">
        <v>177</v>
      </c>
      <c r="N99">
        <v>768</v>
      </c>
      <c r="O99">
        <v>55</v>
      </c>
      <c r="P99">
        <v>283</v>
      </c>
      <c r="Q99">
        <v>33</v>
      </c>
      <c r="R99">
        <v>3</v>
      </c>
      <c r="S99">
        <v>19</v>
      </c>
      <c r="T99">
        <v>0</v>
      </c>
      <c r="U99">
        <v>360</v>
      </c>
      <c r="V99">
        <v>46</v>
      </c>
      <c r="W99">
        <v>4</v>
      </c>
      <c r="X99">
        <v>0</v>
      </c>
      <c r="Y99" t="s">
        <v>19</v>
      </c>
      <c r="Z99">
        <v>5</v>
      </c>
      <c r="AA99">
        <f>IF(AND(Table1[[#This Row],[Throw Out Pass Eff]]="N", Table1[[#This Row],[Against FCS Team]]="N"), ROUND(((5.45 * D99) + (150 * F99) + (100 * G99) - (300 * H99)) / E99, 2), " ")</f>
        <v>45.05</v>
      </c>
      <c r="AB99">
        <f>IF(AND(Table1[[#This Row],[Throw Out Pass Def Eff]]="N", Table1[[#This Row],[Against FCS Team]]="N"),200 - ROUND(((5.45 * P99) + (150 * R99) + (100 * S99) - (300 * T99)) / Q99, 2), " ")</f>
        <v>82.05</v>
      </c>
      <c r="AC99">
        <f>IF(AND(Table1[[#This Row],[Throw Out Rush Eff]]="N", Table1[[#This Row],[Against FCS Team]]="N"), ROUND(((23.2 * I99) + (150 * K99) - (300 * L99)) / J99, 2), " ")</f>
        <v>49.71</v>
      </c>
      <c r="AD99" s="3">
        <f>IF(AND(Table1[[#This Row],[Throw Out Rush Def Eff]]="N", Table1[[#This Row],[Against FCS Team]]="N"), 200 - ROUND(((23.2 * U99) + (150 * W99) - (300 * X99)) / V99, 2), " ")</f>
        <v>5.3899999999999864</v>
      </c>
      <c r="AE99" s="3">
        <f>ROUND(Table1[[#This Row],[Opp Passing Attempts]]/(Table1[[#This Row],[Opp Passing Attempts]]+Table1[[#This Row],[Opp Rushing Attempts]]), 2)</f>
        <v>0.42</v>
      </c>
      <c r="AF99" s="3">
        <f>1-Table1[[#This Row],[Passing Weight]]</f>
        <v>0.58000000000000007</v>
      </c>
      <c r="AG99" s="3" t="str">
        <f>IF(COUNTIF(A:A,Table1[[#This Row],[Opp Team Name]]) &gt; 0, "N", "Y")</f>
        <v>N</v>
      </c>
      <c r="AH99" s="3" t="str">
        <f>IF(Table1[[#This Row],[Passing Attempts]] &lt;15, "Y", "N")</f>
        <v>N</v>
      </c>
      <c r="AI99" s="3" t="str">
        <f>IF(Table1[[#This Row],[Rushing Attempts]] &lt; 15, "Y", "N")</f>
        <v>N</v>
      </c>
      <c r="AJ99" s="3" t="str">
        <f>IF(Table1[[#This Row],[Opp Passing Attempts]]&lt;15, "Y", "N")</f>
        <v>N</v>
      </c>
      <c r="AK99" s="3" t="str">
        <f>IF(Table1[[#This Row],[Opp Rushing Attempts]]&lt;15, "Y", "N")</f>
        <v>N</v>
      </c>
      <c r="AL9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48.35</v>
      </c>
      <c r="AM9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90.23</v>
      </c>
      <c r="AN9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54.77</v>
      </c>
      <c r="AO9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4.28</v>
      </c>
      <c r="AP99" s="3">
        <f>ABS(Table1[[#This Row],[Team Score]]-Table1[[#This Row],[Opp Team Score]])</f>
        <v>45</v>
      </c>
      <c r="AQ99" s="3">
        <f>SUM(Table1[[#This Row],[Team Score]], Table1[[#This Row],[Opp Team Score]])</f>
        <v>65</v>
      </c>
      <c r="AR9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217.8</v>
      </c>
      <c r="AS99" s="3">
        <f>IF(Table1[[#This Row],[Efficiency Difference]] = " ", " ", ROUND((Table1[[#This Row],[Winning Margin]]*100)/Table1[[#This Row],[Efficiency Difference]], 2))</f>
        <v>20.66</v>
      </c>
    </row>
    <row r="100" spans="1:45">
      <c r="A100" t="s">
        <v>42</v>
      </c>
      <c r="B100">
        <v>71</v>
      </c>
      <c r="C100">
        <v>21</v>
      </c>
      <c r="D100">
        <v>263</v>
      </c>
      <c r="E100">
        <v>35</v>
      </c>
      <c r="F100">
        <v>1</v>
      </c>
      <c r="G100">
        <v>21</v>
      </c>
      <c r="H100">
        <v>1</v>
      </c>
      <c r="I100">
        <v>118</v>
      </c>
      <c r="J100">
        <v>26</v>
      </c>
      <c r="K100">
        <v>2</v>
      </c>
      <c r="L100">
        <v>0</v>
      </c>
      <c r="M100" t="s">
        <v>191</v>
      </c>
      <c r="N100">
        <v>774</v>
      </c>
      <c r="O100">
        <v>45</v>
      </c>
      <c r="P100">
        <v>227</v>
      </c>
      <c r="Q100">
        <v>29</v>
      </c>
      <c r="R100">
        <v>3</v>
      </c>
      <c r="S100">
        <v>21</v>
      </c>
      <c r="T100">
        <v>1</v>
      </c>
      <c r="U100">
        <v>351</v>
      </c>
      <c r="V100">
        <v>47</v>
      </c>
      <c r="W100">
        <v>3</v>
      </c>
      <c r="X100">
        <v>0</v>
      </c>
      <c r="Y100" t="s">
        <v>19</v>
      </c>
      <c r="Z100">
        <v>6</v>
      </c>
      <c r="AA100">
        <f>IF(AND(Table1[[#This Row],[Throw Out Pass Eff]]="N", Table1[[#This Row],[Against FCS Team]]="N"), ROUND(((5.45 * D100) + (150 * F100) + (100 * G100) - (300 * H100)) / E100, 2), " ")</f>
        <v>96.67</v>
      </c>
      <c r="AB100">
        <f>IF(AND(Table1[[#This Row],[Throw Out Pass Def Eff]]="N", Table1[[#This Row],[Against FCS Team]]="N"),200 - ROUND(((5.45 * P100) + (150 * R100) + (100 * S100) - (300 * T100)) / Q100, 2), " ")</f>
        <v>79.75</v>
      </c>
      <c r="AC100">
        <f>IF(AND(Table1[[#This Row],[Throw Out Rush Eff]]="N", Table1[[#This Row],[Against FCS Team]]="N"), ROUND(((23.2 * I100) + (150 * K100) - (300 * L100)) / J100, 2), " ")</f>
        <v>116.83</v>
      </c>
      <c r="AD100" s="3">
        <f>IF(AND(Table1[[#This Row],[Throw Out Rush Def Eff]]="N", Table1[[#This Row],[Against FCS Team]]="N"), 200 - ROUND(((23.2 * U100) + (150 * W100) - (300 * X100)) / V100, 2), " ")</f>
        <v>17.169999999999987</v>
      </c>
      <c r="AE100" s="3">
        <f>ROUND(Table1[[#This Row],[Opp Passing Attempts]]/(Table1[[#This Row],[Opp Passing Attempts]]+Table1[[#This Row],[Opp Rushing Attempts]]), 2)</f>
        <v>0.38</v>
      </c>
      <c r="AF100" s="3">
        <f>1-Table1[[#This Row],[Passing Weight]]</f>
        <v>0.62</v>
      </c>
      <c r="AG100" s="3" t="str">
        <f>IF(COUNTIF(A:A,Table1[[#This Row],[Opp Team Name]]) &gt; 0, "N", "Y")</f>
        <v>N</v>
      </c>
      <c r="AH100" s="3" t="str">
        <f>IF(Table1[[#This Row],[Passing Attempts]] &lt;15, "Y", "N")</f>
        <v>N</v>
      </c>
      <c r="AI100" s="3" t="str">
        <f>IF(Table1[[#This Row],[Rushing Attempts]] &lt; 15, "Y", "N")</f>
        <v>N</v>
      </c>
      <c r="AJ100" s="3" t="str">
        <f>IF(Table1[[#This Row],[Opp Passing Attempts]]&lt;15, "Y", "N")</f>
        <v>N</v>
      </c>
      <c r="AK100" s="3" t="str">
        <f>IF(Table1[[#This Row],[Opp Rushing Attempts]]&lt;15, "Y", "N")</f>
        <v>N</v>
      </c>
      <c r="AL10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102.1</v>
      </c>
      <c r="AM10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88.7</v>
      </c>
      <c r="AN10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85.55</v>
      </c>
      <c r="AO10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12.63</v>
      </c>
      <c r="AP100" s="3">
        <f>ABS(Table1[[#This Row],[Team Score]]-Table1[[#This Row],[Opp Team Score]])</f>
        <v>24</v>
      </c>
      <c r="AQ100" s="3">
        <f>SUM(Table1[[#This Row],[Team Score]], Table1[[#This Row],[Opp Team Score]])</f>
        <v>66</v>
      </c>
      <c r="AR10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89.580000000000041</v>
      </c>
      <c r="AS100" s="3">
        <f>IF(Table1[[#This Row],[Efficiency Difference]] = " ", " ", ROUND((Table1[[#This Row],[Winning Margin]]*100)/Table1[[#This Row],[Efficiency Difference]], 2))</f>
        <v>26.79</v>
      </c>
    </row>
    <row r="101" spans="1:45">
      <c r="A101" t="s">
        <v>42</v>
      </c>
      <c r="B101">
        <v>71</v>
      </c>
      <c r="C101">
        <v>21</v>
      </c>
      <c r="D101">
        <v>220</v>
      </c>
      <c r="E101">
        <v>42</v>
      </c>
      <c r="F101">
        <v>1</v>
      </c>
      <c r="G101">
        <v>21</v>
      </c>
      <c r="H101">
        <v>1</v>
      </c>
      <c r="I101">
        <v>123</v>
      </c>
      <c r="J101">
        <v>33</v>
      </c>
      <c r="K101">
        <v>1</v>
      </c>
      <c r="L101">
        <v>0</v>
      </c>
      <c r="M101" t="s">
        <v>138</v>
      </c>
      <c r="N101">
        <v>709</v>
      </c>
      <c r="O101">
        <v>28</v>
      </c>
      <c r="P101">
        <v>188</v>
      </c>
      <c r="Q101">
        <v>22</v>
      </c>
      <c r="R101">
        <v>0</v>
      </c>
      <c r="S101">
        <v>14</v>
      </c>
      <c r="T101">
        <v>0</v>
      </c>
      <c r="U101">
        <v>268</v>
      </c>
      <c r="V101">
        <v>47</v>
      </c>
      <c r="W101">
        <v>4</v>
      </c>
      <c r="X101">
        <v>0</v>
      </c>
      <c r="Y101" t="s">
        <v>19</v>
      </c>
      <c r="Z101">
        <v>7</v>
      </c>
      <c r="AA101">
        <f>IF(AND(Table1[[#This Row],[Throw Out Pass Eff]]="N", Table1[[#This Row],[Against FCS Team]]="N"), ROUND(((5.45 * D101) + (150 * F101) + (100 * G101) - (300 * H101)) / E101, 2), " ")</f>
        <v>74.98</v>
      </c>
      <c r="AB101">
        <f>IF(AND(Table1[[#This Row],[Throw Out Pass Def Eff]]="N", Table1[[#This Row],[Against FCS Team]]="N"),200 - ROUND(((5.45 * P101) + (150 * R101) + (100 * S101) - (300 * T101)) / Q101, 2), " ")</f>
        <v>89.79</v>
      </c>
      <c r="AC101">
        <f>IF(AND(Table1[[#This Row],[Throw Out Rush Eff]]="N", Table1[[#This Row],[Against FCS Team]]="N"), ROUND(((23.2 * I101) + (150 * K101) - (300 * L101)) / J101, 2), " ")</f>
        <v>91.02</v>
      </c>
      <c r="AD101" s="3">
        <f>IF(AND(Table1[[#This Row],[Throw Out Rush Def Eff]]="N", Table1[[#This Row],[Against FCS Team]]="N"), 200 - ROUND(((23.2 * U101) + (150 * W101) - (300 * X101)) / V101, 2), " ")</f>
        <v>54.94</v>
      </c>
      <c r="AE101" s="3">
        <f>ROUND(Table1[[#This Row],[Opp Passing Attempts]]/(Table1[[#This Row],[Opp Passing Attempts]]+Table1[[#This Row],[Opp Rushing Attempts]]), 2)</f>
        <v>0.32</v>
      </c>
      <c r="AF101" s="3">
        <f>1-Table1[[#This Row],[Passing Weight]]</f>
        <v>0.67999999999999994</v>
      </c>
      <c r="AG101" s="3" t="str">
        <f>IF(COUNTIF(A:A,Table1[[#This Row],[Opp Team Name]]) &gt; 0, "N", "Y")</f>
        <v>N</v>
      </c>
      <c r="AH101" s="3" t="str">
        <f>IF(Table1[[#This Row],[Passing Attempts]] &lt;15, "Y", "N")</f>
        <v>N</v>
      </c>
      <c r="AI101" s="3" t="str">
        <f>IF(Table1[[#This Row],[Rushing Attempts]] &lt; 15, "Y", "N")</f>
        <v>N</v>
      </c>
      <c r="AJ101" s="3" t="str">
        <f>IF(Table1[[#This Row],[Opp Passing Attempts]]&lt;15, "Y", "N")</f>
        <v>N</v>
      </c>
      <c r="AK101" s="3" t="str">
        <f>IF(Table1[[#This Row],[Opp Rushing Attempts]]&lt;15, "Y", "N")</f>
        <v>N</v>
      </c>
      <c r="AL10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76.14</v>
      </c>
      <c r="AM10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105.17</v>
      </c>
      <c r="AN10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120.79</v>
      </c>
      <c r="AO10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57.28</v>
      </c>
      <c r="AP101" s="3">
        <f>ABS(Table1[[#This Row],[Team Score]]-Table1[[#This Row],[Opp Team Score]])</f>
        <v>7</v>
      </c>
      <c r="AQ101" s="3">
        <f>SUM(Table1[[#This Row],[Team Score]], Table1[[#This Row],[Opp Team Score]])</f>
        <v>49</v>
      </c>
      <c r="AR10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89.269999999999982</v>
      </c>
      <c r="AS101" s="3">
        <f>IF(Table1[[#This Row],[Efficiency Difference]] = " ", " ", ROUND((Table1[[#This Row],[Winning Margin]]*100)/Table1[[#This Row],[Efficiency Difference]], 2))</f>
        <v>7.84</v>
      </c>
    </row>
    <row r="102" spans="1:45">
      <c r="A102" t="s">
        <v>42</v>
      </c>
      <c r="B102">
        <v>71</v>
      </c>
      <c r="C102">
        <v>13</v>
      </c>
      <c r="D102">
        <v>204</v>
      </c>
      <c r="E102">
        <v>34</v>
      </c>
      <c r="F102">
        <v>1</v>
      </c>
      <c r="G102">
        <v>20</v>
      </c>
      <c r="H102">
        <v>0</v>
      </c>
      <c r="I102">
        <v>114</v>
      </c>
      <c r="J102">
        <v>34</v>
      </c>
      <c r="K102">
        <v>0</v>
      </c>
      <c r="L102">
        <v>0</v>
      </c>
      <c r="M102" t="s">
        <v>132</v>
      </c>
      <c r="N102">
        <v>690</v>
      </c>
      <c r="O102">
        <v>10</v>
      </c>
      <c r="P102">
        <v>66</v>
      </c>
      <c r="Q102">
        <v>13</v>
      </c>
      <c r="R102">
        <v>0</v>
      </c>
      <c r="S102">
        <v>7</v>
      </c>
      <c r="T102">
        <v>0</v>
      </c>
      <c r="U102">
        <v>218</v>
      </c>
      <c r="V102">
        <v>49</v>
      </c>
      <c r="W102">
        <v>1</v>
      </c>
      <c r="X102">
        <v>0</v>
      </c>
      <c r="Y102" t="s">
        <v>16</v>
      </c>
      <c r="Z102">
        <v>8</v>
      </c>
      <c r="AA102" s="3">
        <f>IF(AND(Table1[[#This Row],[Throw Out Pass Eff]]="N", Table1[[#This Row],[Against FCS Team]]="N"), ROUND(((5.45 * D102) + (150 * F102) + (100 * G102) - (300 * H102)) / E102, 2), " ")</f>
        <v>95.94</v>
      </c>
      <c r="AB102" s="3" t="str">
        <f>IF(AND(Table1[[#This Row],[Throw Out Pass Def Eff]]="N", Table1[[#This Row],[Against FCS Team]]="N"),200 - ROUND(((5.45 * P102) + (150 * R102) + (100 * S102) - (300 * T102)) / Q102, 2), " ")</f>
        <v xml:space="preserve"> </v>
      </c>
      <c r="AC102" s="3">
        <f>IF(AND(Table1[[#This Row],[Throw Out Rush Eff]]="N", Table1[[#This Row],[Against FCS Team]]="N"), ROUND(((23.2 * I102) + (150 * K102) - (300 * L102)) / J102, 2), " ")</f>
        <v>77.790000000000006</v>
      </c>
      <c r="AD102" s="3">
        <f>IF(AND(Table1[[#This Row],[Throw Out Rush Def Eff]]="N", Table1[[#This Row],[Against FCS Team]]="N"), 200 - ROUND(((23.2 * U102) + (150 * W102) - (300 * X102)) / V102, 2), " ")</f>
        <v>93.72</v>
      </c>
      <c r="AE102" s="3">
        <f>ROUND(Table1[[#This Row],[Opp Passing Attempts]]/(Table1[[#This Row],[Opp Passing Attempts]]+Table1[[#This Row],[Opp Rushing Attempts]]), 2)</f>
        <v>0.21</v>
      </c>
      <c r="AF102" s="3">
        <f>1-Table1[[#This Row],[Passing Weight]]</f>
        <v>0.79</v>
      </c>
      <c r="AG102" s="3" t="str">
        <f>IF(COUNTIF(A:A,Table1[[#This Row],[Opp Team Name]]) &gt; 0, "N", "Y")</f>
        <v>N</v>
      </c>
      <c r="AH102" s="3" t="str">
        <f>IF(Table1[[#This Row],[Passing Attempts]] &lt;15, "Y", "N")</f>
        <v>N</v>
      </c>
      <c r="AI102" s="3" t="str">
        <f>IF(Table1[[#This Row],[Rushing Attempts]] &lt; 15, "Y", "N")</f>
        <v>N</v>
      </c>
      <c r="AJ102" s="3" t="str">
        <f>IF(Table1[[#This Row],[Opp Passing Attempts]]&lt;15, "Y", "N")</f>
        <v>Y</v>
      </c>
      <c r="AK102" s="3" t="str">
        <f>IF(Table1[[#This Row],[Opp Rushing Attempts]]&lt;15, "Y", "N")</f>
        <v>N</v>
      </c>
      <c r="AL10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109.73</v>
      </c>
      <c r="AM10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0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107.34</v>
      </c>
      <c r="AO10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104.18</v>
      </c>
      <c r="AP102" s="3">
        <f>ABS(Table1[[#This Row],[Team Score]]-Table1[[#This Row],[Opp Team Score]])</f>
        <v>3</v>
      </c>
      <c r="AQ102" s="3">
        <f>SUM(Table1[[#This Row],[Team Score]], Table1[[#This Row],[Opp Team Score]])</f>
        <v>23</v>
      </c>
      <c r="AR10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02" s="3" t="str">
        <f>IF(Table1[[#This Row],[Efficiency Difference]] = " ", " ", ROUND((Table1[[#This Row],[Winning Margin]]*100)/Table1[[#This Row],[Efficiency Difference]], 2))</f>
        <v xml:space="preserve"> </v>
      </c>
    </row>
    <row r="103" spans="1:45">
      <c r="A103" t="s">
        <v>44</v>
      </c>
      <c r="B103">
        <v>86</v>
      </c>
      <c r="C103">
        <v>35</v>
      </c>
      <c r="D103">
        <v>177</v>
      </c>
      <c r="E103">
        <v>24</v>
      </c>
      <c r="F103">
        <v>2</v>
      </c>
      <c r="G103">
        <v>17</v>
      </c>
      <c r="H103">
        <v>1</v>
      </c>
      <c r="I103">
        <v>165</v>
      </c>
      <c r="J103">
        <v>24</v>
      </c>
      <c r="K103">
        <v>3</v>
      </c>
      <c r="L103">
        <v>0</v>
      </c>
      <c r="M103" t="s">
        <v>149</v>
      </c>
      <c r="N103">
        <v>683</v>
      </c>
      <c r="O103">
        <v>7</v>
      </c>
      <c r="P103">
        <v>119</v>
      </c>
      <c r="Q103">
        <v>22</v>
      </c>
      <c r="R103">
        <v>1</v>
      </c>
      <c r="S103">
        <v>14</v>
      </c>
      <c r="T103">
        <v>1</v>
      </c>
      <c r="U103">
        <v>179</v>
      </c>
      <c r="V103">
        <v>50</v>
      </c>
      <c r="W103">
        <v>0</v>
      </c>
      <c r="X103">
        <v>2</v>
      </c>
      <c r="Y103" t="s">
        <v>16</v>
      </c>
      <c r="Z103">
        <v>2</v>
      </c>
      <c r="AA103" t="str">
        <f>IF(AND(Table1[[#This Row],[Throw Out Pass Eff]]="N", Table1[[#This Row],[Against FCS Team]]="N"), ROUND(((5.45 * D103) + (150 * F103) + (100 * G103) - (300 * H103)) / E103, 2), " ")</f>
        <v xml:space="preserve"> </v>
      </c>
      <c r="AB103" t="str">
        <f>IF(AND(Table1[[#This Row],[Throw Out Pass Def Eff]]="N", Table1[[#This Row],[Against FCS Team]]="N"),200 - ROUND(((5.45 * P103) + (150 * R103) + (100 * S103) - (300 * T103)) / Q103, 2), " ")</f>
        <v xml:space="preserve"> </v>
      </c>
      <c r="AC103" t="str">
        <f>IF(AND(Table1[[#This Row],[Throw Out Rush Eff]]="N", Table1[[#This Row],[Against FCS Team]]="N"), ROUND(((23.2 * I103) + (150 * K103) - (300 * L103)) / J103, 2), " ")</f>
        <v xml:space="preserve"> </v>
      </c>
      <c r="AD103" s="3" t="str">
        <f>IF(AND(Table1[[#This Row],[Throw Out Rush Def Eff]]="N", Table1[[#This Row],[Against FCS Team]]="N"), 200 - ROUND(((23.2 * U103) + (150 * W103) - (300 * X103)) / V103, 2), " ")</f>
        <v xml:space="preserve"> </v>
      </c>
      <c r="AE103" s="3">
        <f>ROUND(Table1[[#This Row],[Opp Passing Attempts]]/(Table1[[#This Row],[Opp Passing Attempts]]+Table1[[#This Row],[Opp Rushing Attempts]]), 2)</f>
        <v>0.31</v>
      </c>
      <c r="AF103" s="3">
        <f>1-Table1[[#This Row],[Passing Weight]]</f>
        <v>0.69</v>
      </c>
      <c r="AG103" s="3" t="str">
        <f>IF(COUNTIF(A:A,Table1[[#This Row],[Opp Team Name]]) &gt; 0, "N", "Y")</f>
        <v>Y</v>
      </c>
      <c r="AH103" s="3" t="str">
        <f>IF(Table1[[#This Row],[Passing Attempts]] &lt;15, "Y", "N")</f>
        <v>N</v>
      </c>
      <c r="AI103" s="3" t="str">
        <f>IF(Table1[[#This Row],[Rushing Attempts]] &lt; 15, "Y", "N")</f>
        <v>N</v>
      </c>
      <c r="AJ103" s="3" t="str">
        <f>IF(Table1[[#This Row],[Opp Passing Attempts]]&lt;15, "Y", "N")</f>
        <v>N</v>
      </c>
      <c r="AK103" s="3" t="str">
        <f>IF(Table1[[#This Row],[Opp Rushing Attempts]]&lt;15, "Y", "N")</f>
        <v>N</v>
      </c>
      <c r="AL10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03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03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03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03" s="3">
        <f>ABS(Table1[[#This Row],[Team Score]]-Table1[[#This Row],[Opp Team Score]])</f>
        <v>28</v>
      </c>
      <c r="AQ103" s="3">
        <f>SUM(Table1[[#This Row],[Team Score]], Table1[[#This Row],[Opp Team Score]])</f>
        <v>42</v>
      </c>
      <c r="AR10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03" s="3" t="str">
        <f>IF(Table1[[#This Row],[Efficiency Difference]] = " ", " ", ROUND((Table1[[#This Row],[Winning Margin]]*100)/Table1[[#This Row],[Efficiency Difference]], 2))</f>
        <v xml:space="preserve"> </v>
      </c>
    </row>
    <row r="104" spans="1:45">
      <c r="A104" t="s">
        <v>44</v>
      </c>
      <c r="B104">
        <v>86</v>
      </c>
      <c r="C104">
        <v>16</v>
      </c>
      <c r="D104">
        <v>276</v>
      </c>
      <c r="E104">
        <v>49</v>
      </c>
      <c r="F104">
        <v>0</v>
      </c>
      <c r="G104">
        <v>32</v>
      </c>
      <c r="H104">
        <v>1</v>
      </c>
      <c r="I104">
        <v>127</v>
      </c>
      <c r="J104">
        <v>44</v>
      </c>
      <c r="K104">
        <v>2</v>
      </c>
      <c r="L104">
        <v>0</v>
      </c>
      <c r="M104" t="s">
        <v>45</v>
      </c>
      <c r="N104">
        <v>545</v>
      </c>
      <c r="O104">
        <v>35</v>
      </c>
      <c r="P104">
        <v>179</v>
      </c>
      <c r="Q104">
        <v>28</v>
      </c>
      <c r="R104">
        <v>1</v>
      </c>
      <c r="S104">
        <v>16</v>
      </c>
      <c r="T104">
        <v>0</v>
      </c>
      <c r="U104">
        <v>231</v>
      </c>
      <c r="V104">
        <v>38</v>
      </c>
      <c r="W104">
        <v>4</v>
      </c>
      <c r="X104">
        <v>1</v>
      </c>
      <c r="Y104" t="s">
        <v>19</v>
      </c>
      <c r="Z104">
        <v>1</v>
      </c>
      <c r="AA104">
        <f>IF(AND(Table1[[#This Row],[Throw Out Pass Eff]]="N", Table1[[#This Row],[Against FCS Team]]="N"), ROUND(((5.45 * D104) + (150 * F104) + (100 * G104) - (300 * H104)) / E104, 2), " ")</f>
        <v>89.88</v>
      </c>
      <c r="AB104">
        <f>IF(AND(Table1[[#This Row],[Throw Out Pass Def Eff]]="N", Table1[[#This Row],[Against FCS Team]]="N"),200 - ROUND(((5.45 * P104) + (150 * R104) + (100 * S104) - (300 * T104)) / Q104, 2), " ")</f>
        <v>102.66</v>
      </c>
      <c r="AC104">
        <f>IF(AND(Table1[[#This Row],[Throw Out Rush Eff]]="N", Table1[[#This Row],[Against FCS Team]]="N"), ROUND(((23.2 * I104) + (150 * K104) - (300 * L104)) / J104, 2), " ")</f>
        <v>73.78</v>
      </c>
      <c r="AD104" s="3">
        <f>IF(AND(Table1[[#This Row],[Throw Out Rush Def Eff]]="N", Table1[[#This Row],[Against FCS Team]]="N"), 200 - ROUND(((23.2 * U104) + (150 * W104) - (300 * X104)) / V104, 2), " ")</f>
        <v>51.069999999999993</v>
      </c>
      <c r="AE104" s="3">
        <f>ROUND(Table1[[#This Row],[Opp Passing Attempts]]/(Table1[[#This Row],[Opp Passing Attempts]]+Table1[[#This Row],[Opp Rushing Attempts]]), 2)</f>
        <v>0.42</v>
      </c>
      <c r="AF104" s="3">
        <f>1-Table1[[#This Row],[Passing Weight]]</f>
        <v>0.58000000000000007</v>
      </c>
      <c r="AG104" s="3" t="str">
        <f>IF(COUNTIF(A:A,Table1[[#This Row],[Opp Team Name]]) &gt; 0, "N", "Y")</f>
        <v>N</v>
      </c>
      <c r="AH104" s="3" t="str">
        <f>IF(Table1[[#This Row],[Passing Attempts]] &lt;15, "Y", "N")</f>
        <v>N</v>
      </c>
      <c r="AI104" s="3" t="str">
        <f>IF(Table1[[#This Row],[Rushing Attempts]] &lt; 15, "Y", "N")</f>
        <v>N</v>
      </c>
      <c r="AJ104" s="3" t="str">
        <f>IF(Table1[[#This Row],[Opp Passing Attempts]]&lt;15, "Y", "N")</f>
        <v>N</v>
      </c>
      <c r="AK104" s="3" t="str">
        <f>IF(Table1[[#This Row],[Opp Rushing Attempts]]&lt;15, "Y", "N")</f>
        <v>N</v>
      </c>
      <c r="AL10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95.04</v>
      </c>
      <c r="AM10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80.67</v>
      </c>
      <c r="AN10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88.56</v>
      </c>
      <c r="AO10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47.1</v>
      </c>
      <c r="AP104" s="3">
        <f>ABS(Table1[[#This Row],[Team Score]]-Table1[[#This Row],[Opp Team Score]])</f>
        <v>19</v>
      </c>
      <c r="AQ104" s="3">
        <f>SUM(Table1[[#This Row],[Team Score]], Table1[[#This Row],[Opp Team Score]])</f>
        <v>51</v>
      </c>
      <c r="AR10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82.610000000000014</v>
      </c>
      <c r="AS104" s="3">
        <f>IF(Table1[[#This Row],[Efficiency Difference]] = " ", " ", ROUND((Table1[[#This Row],[Winning Margin]]*100)/Table1[[#This Row],[Efficiency Difference]], 2))</f>
        <v>23</v>
      </c>
    </row>
    <row r="105" spans="1:45">
      <c r="A105" t="s">
        <v>44</v>
      </c>
      <c r="B105">
        <v>86</v>
      </c>
      <c r="C105">
        <v>25</v>
      </c>
      <c r="D105">
        <v>176</v>
      </c>
      <c r="E105">
        <v>24</v>
      </c>
      <c r="F105">
        <v>2</v>
      </c>
      <c r="G105">
        <v>14</v>
      </c>
      <c r="H105">
        <v>0</v>
      </c>
      <c r="I105">
        <v>177</v>
      </c>
      <c r="J105">
        <v>37</v>
      </c>
      <c r="K105">
        <v>2</v>
      </c>
      <c r="L105">
        <v>0</v>
      </c>
      <c r="M105" t="s">
        <v>34</v>
      </c>
      <c r="N105">
        <v>47</v>
      </c>
      <c r="O105">
        <v>28</v>
      </c>
      <c r="P105">
        <v>226</v>
      </c>
      <c r="Q105">
        <v>36</v>
      </c>
      <c r="R105">
        <v>2</v>
      </c>
      <c r="S105">
        <v>24</v>
      </c>
      <c r="T105">
        <v>0</v>
      </c>
      <c r="U105">
        <v>174</v>
      </c>
      <c r="V105">
        <v>39</v>
      </c>
      <c r="W105">
        <v>2</v>
      </c>
      <c r="X105">
        <v>0</v>
      </c>
      <c r="Y105" t="s">
        <v>19</v>
      </c>
      <c r="Z105">
        <v>3</v>
      </c>
      <c r="AA105">
        <f>IF(AND(Table1[[#This Row],[Throw Out Pass Eff]]="N", Table1[[#This Row],[Against FCS Team]]="N"), ROUND(((5.45 * D105) + (150 * F105) + (100 * G105) - (300 * H105)) / E105, 2), " ")</f>
        <v>110.8</v>
      </c>
      <c r="AB105">
        <f>IF(AND(Table1[[#This Row],[Throw Out Pass Def Eff]]="N", Table1[[#This Row],[Against FCS Team]]="N"),200 - ROUND(((5.45 * P105) + (150 * R105) + (100 * S105) - (300 * T105)) / Q105, 2), " ")</f>
        <v>90.79</v>
      </c>
      <c r="AC105">
        <f>IF(AND(Table1[[#This Row],[Throw Out Rush Eff]]="N", Table1[[#This Row],[Against FCS Team]]="N"), ROUND(((23.2 * I105) + (150 * K105) - (300 * L105)) / J105, 2), " ")</f>
        <v>119.09</v>
      </c>
      <c r="AD105" s="3">
        <f>IF(AND(Table1[[#This Row],[Throw Out Rush Def Eff]]="N", Table1[[#This Row],[Against FCS Team]]="N"), 200 - ROUND(((23.2 * U105) + (150 * W105) - (300 * X105)) / V105, 2), " ")</f>
        <v>88.8</v>
      </c>
      <c r="AE105" s="3">
        <f>ROUND(Table1[[#This Row],[Opp Passing Attempts]]/(Table1[[#This Row],[Opp Passing Attempts]]+Table1[[#This Row],[Opp Rushing Attempts]]), 2)</f>
        <v>0.48</v>
      </c>
      <c r="AF105" s="3">
        <f>1-Table1[[#This Row],[Passing Weight]]</f>
        <v>0.52</v>
      </c>
      <c r="AG105" s="3" t="str">
        <f>IF(COUNTIF(A:A,Table1[[#This Row],[Opp Team Name]]) &gt; 0, "N", "Y")</f>
        <v>N</v>
      </c>
      <c r="AH105" s="3" t="str">
        <f>IF(Table1[[#This Row],[Passing Attempts]] &lt;15, "Y", "N")</f>
        <v>N</v>
      </c>
      <c r="AI105" s="3" t="str">
        <f>IF(Table1[[#This Row],[Rushing Attempts]] &lt; 15, "Y", "N")</f>
        <v>N</v>
      </c>
      <c r="AJ105" s="3" t="str">
        <f>IF(Table1[[#This Row],[Opp Passing Attempts]]&lt;15, "Y", "N")</f>
        <v>N</v>
      </c>
      <c r="AK105" s="3" t="str">
        <f>IF(Table1[[#This Row],[Opp Rushing Attempts]]&lt;15, "Y", "N")</f>
        <v>N</v>
      </c>
      <c r="AL10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94.16</v>
      </c>
      <c r="AM10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88.38</v>
      </c>
      <c r="AN10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</v>
      </c>
      <c r="AO10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76.459999999999994</v>
      </c>
      <c r="AP105" s="3">
        <f>ABS(Table1[[#This Row],[Team Score]]-Table1[[#This Row],[Opp Team Score]])</f>
        <v>3</v>
      </c>
      <c r="AQ105" s="3">
        <f>SUM(Table1[[#This Row],[Team Score]], Table1[[#This Row],[Opp Team Score]])</f>
        <v>53</v>
      </c>
      <c r="AR10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9.4799999999999898</v>
      </c>
      <c r="AS105" s="3">
        <f>IF(Table1[[#This Row],[Efficiency Difference]] = " ", " ", ROUND((Table1[[#This Row],[Winning Margin]]*100)/Table1[[#This Row],[Efficiency Difference]], 2))</f>
        <v>31.65</v>
      </c>
    </row>
    <row r="106" spans="1:45">
      <c r="A106" t="s">
        <v>44</v>
      </c>
      <c r="B106">
        <v>86</v>
      </c>
      <c r="C106">
        <v>3</v>
      </c>
      <c r="D106">
        <v>193</v>
      </c>
      <c r="E106">
        <v>40</v>
      </c>
      <c r="F106">
        <v>0</v>
      </c>
      <c r="G106">
        <v>18</v>
      </c>
      <c r="H106">
        <v>1</v>
      </c>
      <c r="I106">
        <v>126</v>
      </c>
      <c r="J106">
        <v>31</v>
      </c>
      <c r="K106">
        <v>0</v>
      </c>
      <c r="L106">
        <v>0</v>
      </c>
      <c r="M106" t="s">
        <v>60</v>
      </c>
      <c r="N106">
        <v>164</v>
      </c>
      <c r="O106">
        <v>17</v>
      </c>
      <c r="P106">
        <v>213</v>
      </c>
      <c r="Q106">
        <v>22</v>
      </c>
      <c r="R106">
        <v>2</v>
      </c>
      <c r="S106">
        <v>12</v>
      </c>
      <c r="T106">
        <v>0</v>
      </c>
      <c r="U106">
        <v>80</v>
      </c>
      <c r="V106">
        <v>42</v>
      </c>
      <c r="W106">
        <v>0</v>
      </c>
      <c r="X106">
        <v>0</v>
      </c>
      <c r="Y106" t="s">
        <v>19</v>
      </c>
      <c r="Z106">
        <v>4</v>
      </c>
      <c r="AA106">
        <f>IF(AND(Table1[[#This Row],[Throw Out Pass Eff]]="N", Table1[[#This Row],[Against FCS Team]]="N"), ROUND(((5.45 * D106) + (150 * F106) + (100 * G106) - (300 * H106)) / E106, 2), " ")</f>
        <v>63.8</v>
      </c>
      <c r="AB106">
        <f>IF(AND(Table1[[#This Row],[Throw Out Pass Def Eff]]="N", Table1[[#This Row],[Against FCS Team]]="N"),200 - ROUND(((5.45 * P106) + (150 * R106) + (100 * S106) - (300 * T106)) / Q106, 2), " ")</f>
        <v>79.05</v>
      </c>
      <c r="AC106">
        <f>IF(AND(Table1[[#This Row],[Throw Out Rush Eff]]="N", Table1[[#This Row],[Against FCS Team]]="N"), ROUND(((23.2 * I106) + (150 * K106) - (300 * L106)) / J106, 2), " ")</f>
        <v>94.3</v>
      </c>
      <c r="AD106" s="3">
        <f>IF(AND(Table1[[#This Row],[Throw Out Rush Def Eff]]="N", Table1[[#This Row],[Against FCS Team]]="N"), 200 - ROUND(((23.2 * U106) + (150 * W106) - (300 * X106)) / V106, 2), " ")</f>
        <v>155.81</v>
      </c>
      <c r="AE106" s="3">
        <f>ROUND(Table1[[#This Row],[Opp Passing Attempts]]/(Table1[[#This Row],[Opp Passing Attempts]]+Table1[[#This Row],[Opp Rushing Attempts]]), 2)</f>
        <v>0.34</v>
      </c>
      <c r="AF106" s="3">
        <f>1-Table1[[#This Row],[Passing Weight]]</f>
        <v>0.65999999999999992</v>
      </c>
      <c r="AG106" s="3" t="str">
        <f>IF(COUNTIF(A:A,Table1[[#This Row],[Opp Team Name]]) &gt; 0, "N", "Y")</f>
        <v>N</v>
      </c>
      <c r="AH106" s="3" t="str">
        <f>IF(Table1[[#This Row],[Passing Attempts]] &lt;15, "Y", "N")</f>
        <v>N</v>
      </c>
      <c r="AI106" s="3" t="str">
        <f>IF(Table1[[#This Row],[Rushing Attempts]] &lt; 15, "Y", "N")</f>
        <v>N</v>
      </c>
      <c r="AJ106" s="3" t="str">
        <f>IF(Table1[[#This Row],[Opp Passing Attempts]]&lt;15, "Y", "N")</f>
        <v>N</v>
      </c>
      <c r="AK106" s="3" t="str">
        <f>IF(Table1[[#This Row],[Opp Rushing Attempts]]&lt;15, "Y", "N")</f>
        <v>N</v>
      </c>
      <c r="AL10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70.88</v>
      </c>
      <c r="AM10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66.430000000000007</v>
      </c>
      <c r="AN10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128.01</v>
      </c>
      <c r="AO10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86.15</v>
      </c>
      <c r="AP106" s="3">
        <f>ABS(Table1[[#This Row],[Team Score]]-Table1[[#This Row],[Opp Team Score]])</f>
        <v>14</v>
      </c>
      <c r="AQ106" s="3">
        <f>SUM(Table1[[#This Row],[Team Score]], Table1[[#This Row],[Opp Team Score]])</f>
        <v>20</v>
      </c>
      <c r="AR10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7.039999999999992</v>
      </c>
      <c r="AS106" s="3">
        <f>IF(Table1[[#This Row],[Efficiency Difference]] = " ", " ", ROUND((Table1[[#This Row],[Winning Margin]]*100)/Table1[[#This Row],[Efficiency Difference]], 2))</f>
        <v>198.86</v>
      </c>
    </row>
    <row r="107" spans="1:45">
      <c r="A107" t="s">
        <v>44</v>
      </c>
      <c r="B107">
        <v>86</v>
      </c>
      <c r="C107">
        <v>10</v>
      </c>
      <c r="D107">
        <v>116</v>
      </c>
      <c r="E107">
        <v>25</v>
      </c>
      <c r="F107">
        <v>0</v>
      </c>
      <c r="G107">
        <v>10</v>
      </c>
      <c r="H107">
        <v>0</v>
      </c>
      <c r="I107">
        <v>148</v>
      </c>
      <c r="J107">
        <v>28</v>
      </c>
      <c r="K107">
        <v>1</v>
      </c>
      <c r="L107">
        <v>1</v>
      </c>
      <c r="M107" t="s">
        <v>134</v>
      </c>
      <c r="N107">
        <v>694</v>
      </c>
      <c r="O107">
        <v>41</v>
      </c>
      <c r="P107">
        <v>342</v>
      </c>
      <c r="Q107">
        <v>31</v>
      </c>
      <c r="R107">
        <v>4</v>
      </c>
      <c r="S107">
        <v>21</v>
      </c>
      <c r="T107">
        <v>0</v>
      </c>
      <c r="U107">
        <v>199</v>
      </c>
      <c r="V107">
        <v>44</v>
      </c>
      <c r="W107">
        <v>1</v>
      </c>
      <c r="X107">
        <v>2</v>
      </c>
      <c r="Y107" t="s">
        <v>19</v>
      </c>
      <c r="Z107">
        <v>5</v>
      </c>
      <c r="AA107">
        <f>IF(AND(Table1[[#This Row],[Throw Out Pass Eff]]="N", Table1[[#This Row],[Against FCS Team]]="N"), ROUND(((5.45 * D107) + (150 * F107) + (100 * G107) - (300 * H107)) / E107, 2), " ")</f>
        <v>65.290000000000006</v>
      </c>
      <c r="AB107">
        <f>IF(AND(Table1[[#This Row],[Throw Out Pass Def Eff]]="N", Table1[[#This Row],[Against FCS Team]]="N"),200 - ROUND(((5.45 * P107) + (150 * R107) + (100 * S107) - (300 * T107)) / Q107, 2), " ")</f>
        <v>52.78</v>
      </c>
      <c r="AC107">
        <f>IF(AND(Table1[[#This Row],[Throw Out Rush Eff]]="N", Table1[[#This Row],[Against FCS Team]]="N"), ROUND(((23.2 * I107) + (150 * K107) - (300 * L107)) / J107, 2), " ")</f>
        <v>117.27</v>
      </c>
      <c r="AD107" s="3">
        <f>IF(AND(Table1[[#This Row],[Throw Out Rush Def Eff]]="N", Table1[[#This Row],[Against FCS Team]]="N"), 200 - ROUND(((23.2 * U107) + (150 * W107) - (300 * X107)) / V107, 2), " ")</f>
        <v>105.3</v>
      </c>
      <c r="AE107" s="3">
        <f>ROUND(Table1[[#This Row],[Opp Passing Attempts]]/(Table1[[#This Row],[Opp Passing Attempts]]+Table1[[#This Row],[Opp Rushing Attempts]]), 2)</f>
        <v>0.41</v>
      </c>
      <c r="AF107" s="3">
        <f>1-Table1[[#This Row],[Passing Weight]]</f>
        <v>0.59000000000000008</v>
      </c>
      <c r="AG107" s="3" t="str">
        <f>IF(COUNTIF(A:A,Table1[[#This Row],[Opp Team Name]]) &gt; 0, "N", "Y")</f>
        <v>N</v>
      </c>
      <c r="AH107" s="3" t="str">
        <f>IF(Table1[[#This Row],[Passing Attempts]] &lt;15, "Y", "N")</f>
        <v>N</v>
      </c>
      <c r="AI107" s="3" t="str">
        <f>IF(Table1[[#This Row],[Rushing Attempts]] &lt; 15, "Y", "N")</f>
        <v>N</v>
      </c>
      <c r="AJ107" s="3" t="str">
        <f>IF(Table1[[#This Row],[Opp Passing Attempts]]&lt;15, "Y", "N")</f>
        <v>N</v>
      </c>
      <c r="AK107" s="3" t="str">
        <f>IF(Table1[[#This Row],[Opp Rushing Attempts]]&lt;15, "Y", "N")</f>
        <v>N</v>
      </c>
      <c r="AL10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59.3</v>
      </c>
      <c r="AM10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49.63</v>
      </c>
      <c r="AN10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106.45</v>
      </c>
      <c r="AO10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52.01</v>
      </c>
      <c r="AP107" s="3">
        <f>ABS(Table1[[#This Row],[Team Score]]-Table1[[#This Row],[Opp Team Score]])</f>
        <v>31</v>
      </c>
      <c r="AQ107" s="3">
        <f>SUM(Table1[[#This Row],[Team Score]], Table1[[#This Row],[Opp Team Score]])</f>
        <v>51</v>
      </c>
      <c r="AR10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59.360000000000014</v>
      </c>
      <c r="AS107" s="3">
        <f>IF(Table1[[#This Row],[Efficiency Difference]] = " ", " ", ROUND((Table1[[#This Row],[Winning Margin]]*100)/Table1[[#This Row],[Efficiency Difference]], 2))</f>
        <v>52.22</v>
      </c>
    </row>
    <row r="108" spans="1:45">
      <c r="A108" t="s">
        <v>44</v>
      </c>
      <c r="B108">
        <v>86</v>
      </c>
      <c r="C108">
        <v>38</v>
      </c>
      <c r="D108">
        <v>343</v>
      </c>
      <c r="E108">
        <v>39</v>
      </c>
      <c r="F108">
        <v>2</v>
      </c>
      <c r="G108">
        <v>23</v>
      </c>
      <c r="H108">
        <v>0</v>
      </c>
      <c r="I108">
        <v>167</v>
      </c>
      <c r="J108">
        <v>41</v>
      </c>
      <c r="K108">
        <v>3</v>
      </c>
      <c r="L108">
        <v>0</v>
      </c>
      <c r="M108" t="s">
        <v>109</v>
      </c>
      <c r="N108">
        <v>519</v>
      </c>
      <c r="O108">
        <v>37</v>
      </c>
      <c r="P108">
        <v>203</v>
      </c>
      <c r="Q108">
        <v>37</v>
      </c>
      <c r="R108">
        <v>1</v>
      </c>
      <c r="S108">
        <v>23</v>
      </c>
      <c r="T108">
        <v>1</v>
      </c>
      <c r="U108">
        <v>239</v>
      </c>
      <c r="V108">
        <v>35</v>
      </c>
      <c r="W108">
        <v>3</v>
      </c>
      <c r="X108">
        <v>0</v>
      </c>
      <c r="Y108" t="s">
        <v>16</v>
      </c>
      <c r="Z108">
        <v>6</v>
      </c>
      <c r="AA108">
        <f>IF(AND(Table1[[#This Row],[Throw Out Pass Eff]]="N", Table1[[#This Row],[Against FCS Team]]="N"), ROUND(((5.45 * D108) + (150 * F108) + (100 * G108) - (300 * H108)) / E108, 2), " ")</f>
        <v>114.6</v>
      </c>
      <c r="AB108">
        <f>IF(AND(Table1[[#This Row],[Throw Out Pass Def Eff]]="N", Table1[[#This Row],[Against FCS Team]]="N"),200 - ROUND(((5.45 * P108) + (150 * R108) + (100 * S108) - (300 * T108)) / Q108, 2), " ")</f>
        <v>111.99</v>
      </c>
      <c r="AC108">
        <f>IF(AND(Table1[[#This Row],[Throw Out Rush Eff]]="N", Table1[[#This Row],[Against FCS Team]]="N"), ROUND(((23.2 * I108) + (150 * K108) - (300 * L108)) / J108, 2), " ")</f>
        <v>105.47</v>
      </c>
      <c r="AD108" s="3">
        <f>IF(AND(Table1[[#This Row],[Throw Out Rush Def Eff]]="N", Table1[[#This Row],[Against FCS Team]]="N"), 200 - ROUND(((23.2 * U108) + (150 * W108) - (300 * X108)) / V108, 2), " ")</f>
        <v>28.72</v>
      </c>
      <c r="AE108" s="3">
        <f>ROUND(Table1[[#This Row],[Opp Passing Attempts]]/(Table1[[#This Row],[Opp Passing Attempts]]+Table1[[#This Row],[Opp Rushing Attempts]]), 2)</f>
        <v>0.51</v>
      </c>
      <c r="AF108" s="3">
        <f>1-Table1[[#This Row],[Passing Weight]]</f>
        <v>0.49</v>
      </c>
      <c r="AG108" s="3" t="str">
        <f>IF(COUNTIF(A:A,Table1[[#This Row],[Opp Team Name]]) &gt; 0, "N", "Y")</f>
        <v>N</v>
      </c>
      <c r="AH108" s="3" t="str">
        <f>IF(Table1[[#This Row],[Passing Attempts]] &lt;15, "Y", "N")</f>
        <v>N</v>
      </c>
      <c r="AI108" s="3" t="str">
        <f>IF(Table1[[#This Row],[Rushing Attempts]] &lt; 15, "Y", "N")</f>
        <v>N</v>
      </c>
      <c r="AJ108" s="3" t="str">
        <f>IF(Table1[[#This Row],[Opp Passing Attempts]]&lt;15, "Y", "N")</f>
        <v>N</v>
      </c>
      <c r="AK108" s="3" t="str">
        <f>IF(Table1[[#This Row],[Opp Rushing Attempts]]&lt;15, "Y", "N")</f>
        <v>N</v>
      </c>
      <c r="AL10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136.86000000000001</v>
      </c>
      <c r="AM10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127.75</v>
      </c>
      <c r="AN10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136.30000000000001</v>
      </c>
      <c r="AO10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28.58</v>
      </c>
      <c r="AP108" s="3">
        <f>ABS(Table1[[#This Row],[Team Score]]-Table1[[#This Row],[Opp Team Score]])</f>
        <v>1</v>
      </c>
      <c r="AQ108" s="3">
        <f>SUM(Table1[[#This Row],[Team Score]], Table1[[#This Row],[Opp Team Score]])</f>
        <v>75</v>
      </c>
      <c r="AR10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39.220000000000027</v>
      </c>
      <c r="AS108" s="3">
        <f>IF(Table1[[#This Row],[Efficiency Difference]] = " ", " ", ROUND((Table1[[#This Row],[Winning Margin]]*100)/Table1[[#This Row],[Efficiency Difference]], 2))</f>
        <v>2.5499999999999998</v>
      </c>
    </row>
    <row r="109" spans="1:45">
      <c r="A109" t="s">
        <v>44</v>
      </c>
      <c r="B109">
        <v>86</v>
      </c>
      <c r="C109">
        <v>0</v>
      </c>
      <c r="D109">
        <v>84</v>
      </c>
      <c r="E109">
        <v>26</v>
      </c>
      <c r="F109">
        <v>0</v>
      </c>
      <c r="G109">
        <v>9</v>
      </c>
      <c r="H109">
        <v>1</v>
      </c>
      <c r="I109">
        <v>71</v>
      </c>
      <c r="J109">
        <v>28</v>
      </c>
      <c r="K109">
        <v>0</v>
      </c>
      <c r="L109">
        <v>0</v>
      </c>
      <c r="M109" t="s">
        <v>132</v>
      </c>
      <c r="N109">
        <v>690</v>
      </c>
      <c r="O109">
        <v>34</v>
      </c>
      <c r="P109">
        <v>58</v>
      </c>
      <c r="Q109">
        <v>11</v>
      </c>
      <c r="R109">
        <v>0</v>
      </c>
      <c r="S109">
        <v>7</v>
      </c>
      <c r="T109">
        <v>0</v>
      </c>
      <c r="U109">
        <v>400</v>
      </c>
      <c r="V109">
        <v>65</v>
      </c>
      <c r="W109">
        <v>4</v>
      </c>
      <c r="X109">
        <v>0</v>
      </c>
      <c r="Y109" t="s">
        <v>19</v>
      </c>
      <c r="Z109">
        <v>7</v>
      </c>
      <c r="AA109">
        <f>IF(AND(Table1[[#This Row],[Throw Out Pass Eff]]="N", Table1[[#This Row],[Against FCS Team]]="N"), ROUND(((5.45 * D109) + (150 * F109) + (100 * G109) - (300 * H109)) / E109, 2), " ")</f>
        <v>40.68</v>
      </c>
      <c r="AB109" t="str">
        <f>IF(AND(Table1[[#This Row],[Throw Out Pass Def Eff]]="N", Table1[[#This Row],[Against FCS Team]]="N"),200 - ROUND(((5.45 * P109) + (150 * R109) + (100 * S109) - (300 * T109)) / Q109, 2), " ")</f>
        <v xml:space="preserve"> </v>
      </c>
      <c r="AC109">
        <f>IF(AND(Table1[[#This Row],[Throw Out Rush Eff]]="N", Table1[[#This Row],[Against FCS Team]]="N"), ROUND(((23.2 * I109) + (150 * K109) - (300 * L109)) / J109, 2), " ")</f>
        <v>58.83</v>
      </c>
      <c r="AD109" s="3">
        <f>IF(AND(Table1[[#This Row],[Throw Out Rush Def Eff]]="N", Table1[[#This Row],[Against FCS Team]]="N"), 200 - ROUND(((23.2 * U109) + (150 * W109) - (300 * X109)) / V109, 2), " ")</f>
        <v>48</v>
      </c>
      <c r="AE109" s="3">
        <f>ROUND(Table1[[#This Row],[Opp Passing Attempts]]/(Table1[[#This Row],[Opp Passing Attempts]]+Table1[[#This Row],[Opp Rushing Attempts]]), 2)</f>
        <v>0.14000000000000001</v>
      </c>
      <c r="AF109" s="3">
        <f>1-Table1[[#This Row],[Passing Weight]]</f>
        <v>0.86</v>
      </c>
      <c r="AG109" s="3" t="str">
        <f>IF(COUNTIF(A:A,Table1[[#This Row],[Opp Team Name]]) &gt; 0, "N", "Y")</f>
        <v>N</v>
      </c>
      <c r="AH109" s="3" t="str">
        <f>IF(Table1[[#This Row],[Passing Attempts]] &lt;15, "Y", "N")</f>
        <v>N</v>
      </c>
      <c r="AI109" s="3" t="str">
        <f>IF(Table1[[#This Row],[Rushing Attempts]] &lt; 15, "Y", "N")</f>
        <v>N</v>
      </c>
      <c r="AJ109" s="3" t="str">
        <f>IF(Table1[[#This Row],[Opp Passing Attempts]]&lt;15, "Y", "N")</f>
        <v>Y</v>
      </c>
      <c r="AK109" s="3" t="str">
        <f>IF(Table1[[#This Row],[Opp Rushing Attempts]]&lt;15, "Y", "N")</f>
        <v>N</v>
      </c>
      <c r="AL10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46.53</v>
      </c>
      <c r="AM109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0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81.17</v>
      </c>
      <c r="AO10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53.35</v>
      </c>
      <c r="AP109" s="3">
        <f>ABS(Table1[[#This Row],[Team Score]]-Table1[[#This Row],[Opp Team Score]])</f>
        <v>34</v>
      </c>
      <c r="AQ109" s="3">
        <f>SUM(Table1[[#This Row],[Team Score]], Table1[[#This Row],[Opp Team Score]])</f>
        <v>34</v>
      </c>
      <c r="AR10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09" s="3" t="str">
        <f>IF(Table1[[#This Row],[Efficiency Difference]] = " ", " ", ROUND((Table1[[#This Row],[Winning Margin]]*100)/Table1[[#This Row],[Efficiency Difference]], 2))</f>
        <v xml:space="preserve"> </v>
      </c>
    </row>
    <row r="110" spans="1:45">
      <c r="A110" t="s">
        <v>44</v>
      </c>
      <c r="B110">
        <v>86</v>
      </c>
      <c r="C110">
        <v>30</v>
      </c>
      <c r="D110">
        <v>404</v>
      </c>
      <c r="E110">
        <v>54</v>
      </c>
      <c r="F110">
        <v>3</v>
      </c>
      <c r="G110">
        <v>35</v>
      </c>
      <c r="H110">
        <v>2</v>
      </c>
      <c r="I110">
        <v>168</v>
      </c>
      <c r="J110">
        <v>38</v>
      </c>
      <c r="K110">
        <v>1</v>
      </c>
      <c r="L110">
        <v>3</v>
      </c>
      <c r="M110" t="s">
        <v>31</v>
      </c>
      <c r="N110">
        <v>503</v>
      </c>
      <c r="O110">
        <v>31</v>
      </c>
      <c r="P110">
        <v>150</v>
      </c>
      <c r="Q110">
        <v>26</v>
      </c>
      <c r="R110">
        <v>0</v>
      </c>
      <c r="S110">
        <v>11</v>
      </c>
      <c r="T110">
        <v>0</v>
      </c>
      <c r="U110">
        <v>178</v>
      </c>
      <c r="V110">
        <v>47</v>
      </c>
      <c r="W110">
        <v>4</v>
      </c>
      <c r="X110">
        <v>0</v>
      </c>
      <c r="Y110" t="s">
        <v>19</v>
      </c>
      <c r="Z110">
        <v>8</v>
      </c>
      <c r="AA110" s="3">
        <f>IF(AND(Table1[[#This Row],[Throw Out Pass Eff]]="N", Table1[[#This Row],[Against FCS Team]]="N"), ROUND(((5.45 * D110) + (150 * F110) + (100 * G110) - (300 * H110)) / E110, 2), " ")</f>
        <v>102.81</v>
      </c>
      <c r="AB110" s="3">
        <f>IF(AND(Table1[[#This Row],[Throw Out Pass Def Eff]]="N", Table1[[#This Row],[Against FCS Team]]="N"),200 - ROUND(((5.45 * P110) + (150 * R110) + (100 * S110) - (300 * T110)) / Q110, 2), " ")</f>
        <v>126.25</v>
      </c>
      <c r="AC110" s="3">
        <f>IF(AND(Table1[[#This Row],[Throw Out Rush Eff]]="N", Table1[[#This Row],[Against FCS Team]]="N"), ROUND(((23.2 * I110) + (150 * K110) - (300 * L110)) / J110, 2), " ")</f>
        <v>82.83</v>
      </c>
      <c r="AD110" s="3">
        <f>IF(AND(Table1[[#This Row],[Throw Out Rush Def Eff]]="N", Table1[[#This Row],[Against FCS Team]]="N"), 200 - ROUND(((23.2 * U110) + (150 * W110) - (300 * X110)) / V110, 2), " ")</f>
        <v>99.37</v>
      </c>
      <c r="AE110" s="3">
        <f>ROUND(Table1[[#This Row],[Opp Passing Attempts]]/(Table1[[#This Row],[Opp Passing Attempts]]+Table1[[#This Row],[Opp Rushing Attempts]]), 2)</f>
        <v>0.36</v>
      </c>
      <c r="AF110" s="3">
        <f>1-Table1[[#This Row],[Passing Weight]]</f>
        <v>0.64</v>
      </c>
      <c r="AG110" s="3" t="str">
        <f>IF(COUNTIF(A:A,Table1[[#This Row],[Opp Team Name]]) &gt; 0, "N", "Y")</f>
        <v>N</v>
      </c>
      <c r="AH110" s="3" t="str">
        <f>IF(Table1[[#This Row],[Passing Attempts]] &lt;15, "Y", "N")</f>
        <v>N</v>
      </c>
      <c r="AI110" s="3" t="str">
        <f>IF(Table1[[#This Row],[Rushing Attempts]] &lt; 15, "Y", "N")</f>
        <v>N</v>
      </c>
      <c r="AJ110" s="3" t="str">
        <f>IF(Table1[[#This Row],[Opp Passing Attempts]]&lt;15, "Y", "N")</f>
        <v>N</v>
      </c>
      <c r="AK110" s="3" t="str">
        <f>IF(Table1[[#This Row],[Opp Rushing Attempts]]&lt;15, "Y", "N")</f>
        <v>N</v>
      </c>
      <c r="AL1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101.91</v>
      </c>
      <c r="AM1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132.88</v>
      </c>
      <c r="AN1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91.55</v>
      </c>
      <c r="AO1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125.94</v>
      </c>
      <c r="AP110" s="3">
        <f>ABS(Table1[[#This Row],[Team Score]]-Table1[[#This Row],[Opp Team Score]])</f>
        <v>1</v>
      </c>
      <c r="AQ110" s="3">
        <f>SUM(Table1[[#This Row],[Team Score]], Table1[[#This Row],[Opp Team Score]])</f>
        <v>61</v>
      </c>
      <c r="AR1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11.259999999999991</v>
      </c>
      <c r="AS110" s="3">
        <f>IF(Table1[[#This Row],[Efficiency Difference]] = " ", " ", ROUND((Table1[[#This Row],[Winning Margin]]*100)/Table1[[#This Row],[Efficiency Difference]], 2))</f>
        <v>8.8800000000000008</v>
      </c>
    </row>
    <row r="111" spans="1:45">
      <c r="A111" t="s">
        <v>46</v>
      </c>
      <c r="B111">
        <v>77</v>
      </c>
      <c r="C111">
        <v>14</v>
      </c>
      <c r="D111">
        <v>225</v>
      </c>
      <c r="E111">
        <v>38</v>
      </c>
      <c r="F111">
        <v>1</v>
      </c>
      <c r="G111">
        <v>24</v>
      </c>
      <c r="H111">
        <v>1</v>
      </c>
      <c r="I111">
        <v>91</v>
      </c>
      <c r="J111">
        <v>31</v>
      </c>
      <c r="K111">
        <v>0</v>
      </c>
      <c r="L111">
        <v>0</v>
      </c>
      <c r="M111" t="s">
        <v>47</v>
      </c>
      <c r="N111">
        <v>433</v>
      </c>
      <c r="O111">
        <v>13</v>
      </c>
      <c r="P111">
        <v>144</v>
      </c>
      <c r="Q111">
        <v>28</v>
      </c>
      <c r="R111">
        <v>0</v>
      </c>
      <c r="S111">
        <v>15</v>
      </c>
      <c r="T111">
        <v>0</v>
      </c>
      <c r="U111">
        <v>64</v>
      </c>
      <c r="V111">
        <v>29</v>
      </c>
      <c r="W111">
        <v>0</v>
      </c>
      <c r="X111">
        <v>2</v>
      </c>
      <c r="Y111" t="s">
        <v>16</v>
      </c>
      <c r="Z111">
        <v>1</v>
      </c>
      <c r="AA111">
        <f>IF(AND(Table1[[#This Row],[Throw Out Pass Eff]]="N", Table1[[#This Row],[Against FCS Team]]="N"), ROUND(((5.45 * D111) + (150 * F111) + (100 * G111) - (300 * H111)) / E111, 2), " ")</f>
        <v>91.48</v>
      </c>
      <c r="AB111">
        <f>IF(AND(Table1[[#This Row],[Throw Out Pass Def Eff]]="N", Table1[[#This Row],[Against FCS Team]]="N"),200 - ROUND(((5.45 * P111) + (150 * R111) + (100 * S111) - (300 * T111)) / Q111, 2), " ")</f>
        <v>118.4</v>
      </c>
      <c r="AC111">
        <f>IF(AND(Table1[[#This Row],[Throw Out Rush Eff]]="N", Table1[[#This Row],[Against FCS Team]]="N"), ROUND(((23.2 * I111) + (150 * K111) - (300 * L111)) / J111, 2), " ")</f>
        <v>68.099999999999994</v>
      </c>
      <c r="AD111" s="3">
        <f>IF(AND(Table1[[#This Row],[Throw Out Rush Def Eff]]="N", Table1[[#This Row],[Against FCS Team]]="N"), 200 - ROUND(((23.2 * U111) + (150 * W111) - (300 * X111)) / V111, 2), " ")</f>
        <v>169.49</v>
      </c>
      <c r="AE111" s="3">
        <f>ROUND(Table1[[#This Row],[Opp Passing Attempts]]/(Table1[[#This Row],[Opp Passing Attempts]]+Table1[[#This Row],[Opp Rushing Attempts]]), 2)</f>
        <v>0.49</v>
      </c>
      <c r="AF111" s="3">
        <f>1-Table1[[#This Row],[Passing Weight]]</f>
        <v>0.51</v>
      </c>
      <c r="AG111" s="3" t="str">
        <f>IF(COUNTIF(A:A,Table1[[#This Row],[Opp Team Name]]) &gt; 0, "N", "Y")</f>
        <v>N</v>
      </c>
      <c r="AH111" s="3" t="str">
        <f>IF(Table1[[#This Row],[Passing Attempts]] &lt;15, "Y", "N")</f>
        <v>N</v>
      </c>
      <c r="AI111" s="3" t="str">
        <f>IF(Table1[[#This Row],[Rushing Attempts]] &lt; 15, "Y", "N")</f>
        <v>N</v>
      </c>
      <c r="AJ111" s="3" t="str">
        <f>IF(Table1[[#This Row],[Opp Passing Attempts]]&lt;15, "Y", "N")</f>
        <v>N</v>
      </c>
      <c r="AK111" s="3" t="str">
        <f>IF(Table1[[#This Row],[Opp Rushing Attempts]]&lt;15, "Y", "N")</f>
        <v>N</v>
      </c>
      <c r="AL11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88.69</v>
      </c>
      <c r="AM11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87.96</v>
      </c>
      <c r="AN11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45.17</v>
      </c>
      <c r="AO1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97.61</v>
      </c>
      <c r="AP111" s="3">
        <f>ABS(Table1[[#This Row],[Team Score]]-Table1[[#This Row],[Opp Team Score]])</f>
        <v>1</v>
      </c>
      <c r="AQ111" s="3">
        <f>SUM(Table1[[#This Row],[Team Score]], Table1[[#This Row],[Opp Team Score]])</f>
        <v>27</v>
      </c>
      <c r="AR11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47.46999999999997</v>
      </c>
      <c r="AS111" s="3">
        <f>IF(Table1[[#This Row],[Efficiency Difference]] = " ", " ", ROUND((Table1[[#This Row],[Winning Margin]]*100)/Table1[[#This Row],[Efficiency Difference]], 2))</f>
        <v>2.11</v>
      </c>
    </row>
    <row r="112" spans="1:45">
      <c r="A112" t="s">
        <v>46</v>
      </c>
      <c r="B112">
        <v>77</v>
      </c>
      <c r="C112">
        <v>16</v>
      </c>
      <c r="D112">
        <v>192</v>
      </c>
      <c r="E112">
        <v>38</v>
      </c>
      <c r="F112">
        <v>1</v>
      </c>
      <c r="G112">
        <v>22</v>
      </c>
      <c r="H112">
        <v>2</v>
      </c>
      <c r="I112">
        <v>43</v>
      </c>
      <c r="J112">
        <v>23</v>
      </c>
      <c r="K112">
        <v>0</v>
      </c>
      <c r="L112">
        <v>0</v>
      </c>
      <c r="M112" t="s">
        <v>123</v>
      </c>
      <c r="N112">
        <v>703</v>
      </c>
      <c r="O112">
        <v>17</v>
      </c>
      <c r="P112">
        <v>123</v>
      </c>
      <c r="Q112">
        <v>20</v>
      </c>
      <c r="R112">
        <v>0</v>
      </c>
      <c r="S112">
        <v>12</v>
      </c>
      <c r="T112">
        <v>2</v>
      </c>
      <c r="U112">
        <v>166</v>
      </c>
      <c r="V112">
        <v>43</v>
      </c>
      <c r="W112">
        <v>2</v>
      </c>
      <c r="X112">
        <v>0</v>
      </c>
      <c r="Y112" t="s">
        <v>19</v>
      </c>
      <c r="Z112">
        <v>2</v>
      </c>
      <c r="AA112">
        <f>IF(AND(Table1[[#This Row],[Throw Out Pass Eff]]="N", Table1[[#This Row],[Against FCS Team]]="N"), ROUND(((5.45 * D112) + (150 * F112) + (100 * G112) - (300 * H112)) / E112, 2), " ")</f>
        <v>73.59</v>
      </c>
      <c r="AB112">
        <f>IF(AND(Table1[[#This Row],[Throw Out Pass Def Eff]]="N", Table1[[#This Row],[Against FCS Team]]="N"),200 - ROUND(((5.45 * P112) + (150 * R112) + (100 * S112) - (300 * T112)) / Q112, 2), " ")</f>
        <v>136.47999999999999</v>
      </c>
      <c r="AC112">
        <f>IF(AND(Table1[[#This Row],[Throw Out Rush Eff]]="N", Table1[[#This Row],[Against FCS Team]]="N"), ROUND(((23.2 * I112) + (150 * K112) - (300 * L112)) / J112, 2), " ")</f>
        <v>43.37</v>
      </c>
      <c r="AD112" s="3">
        <f>IF(AND(Table1[[#This Row],[Throw Out Rush Def Eff]]="N", Table1[[#This Row],[Against FCS Team]]="N"), 200 - ROUND(((23.2 * U112) + (150 * W112) - (300 * X112)) / V112, 2), " ")</f>
        <v>103.46</v>
      </c>
      <c r="AE112" s="3">
        <f>ROUND(Table1[[#This Row],[Opp Passing Attempts]]/(Table1[[#This Row],[Opp Passing Attempts]]+Table1[[#This Row],[Opp Rushing Attempts]]), 2)</f>
        <v>0.32</v>
      </c>
      <c r="AF112" s="3">
        <f>1-Table1[[#This Row],[Passing Weight]]</f>
        <v>0.67999999999999994</v>
      </c>
      <c r="AG112" s="3" t="str">
        <f>IF(COUNTIF(A:A,Table1[[#This Row],[Opp Team Name]]) &gt; 0, "N", "Y")</f>
        <v>N</v>
      </c>
      <c r="AH112" s="3" t="str">
        <f>IF(Table1[[#This Row],[Passing Attempts]] &lt;15, "Y", "N")</f>
        <v>N</v>
      </c>
      <c r="AI112" s="3" t="str">
        <f>IF(Table1[[#This Row],[Rushing Attempts]] &lt; 15, "Y", "N")</f>
        <v>N</v>
      </c>
      <c r="AJ112" s="3" t="str">
        <f>IF(Table1[[#This Row],[Opp Passing Attempts]]&lt;15, "Y", "N")</f>
        <v>N</v>
      </c>
      <c r="AK112" s="3" t="str">
        <f>IF(Table1[[#This Row],[Opp Rushing Attempts]]&lt;15, "Y", "N")</f>
        <v>N</v>
      </c>
      <c r="AL1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90.82</v>
      </c>
      <c r="AM11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138.46</v>
      </c>
      <c r="AN1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46.02</v>
      </c>
      <c r="AO1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92.21</v>
      </c>
      <c r="AP112" s="3">
        <f>ABS(Table1[[#This Row],[Team Score]]-Table1[[#This Row],[Opp Team Score]])</f>
        <v>1</v>
      </c>
      <c r="AQ112" s="3">
        <f>SUM(Table1[[#This Row],[Team Score]], Table1[[#This Row],[Opp Team Score]])</f>
        <v>33</v>
      </c>
      <c r="AR11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43.099999999999994</v>
      </c>
      <c r="AS112" s="3">
        <f>IF(Table1[[#This Row],[Efficiency Difference]] = " ", " ", ROUND((Table1[[#This Row],[Winning Margin]]*100)/Table1[[#This Row],[Efficiency Difference]], 2))</f>
        <v>2.3199999999999998</v>
      </c>
    </row>
    <row r="113" spans="1:45">
      <c r="A113" t="s">
        <v>46</v>
      </c>
      <c r="B113">
        <v>77</v>
      </c>
      <c r="C113">
        <v>10</v>
      </c>
      <c r="D113">
        <v>343</v>
      </c>
      <c r="E113">
        <v>56</v>
      </c>
      <c r="F113">
        <v>1</v>
      </c>
      <c r="G113">
        <v>30</v>
      </c>
      <c r="H113">
        <v>1</v>
      </c>
      <c r="I113">
        <v>11</v>
      </c>
      <c r="J113">
        <v>22</v>
      </c>
      <c r="K113">
        <v>0</v>
      </c>
      <c r="L113">
        <v>6</v>
      </c>
      <c r="M113" t="s">
        <v>146</v>
      </c>
      <c r="N113">
        <v>732</v>
      </c>
      <c r="O113">
        <v>54</v>
      </c>
      <c r="P113">
        <v>239</v>
      </c>
      <c r="Q113">
        <v>31</v>
      </c>
      <c r="R113">
        <v>2</v>
      </c>
      <c r="S113">
        <v>16</v>
      </c>
      <c r="T113">
        <v>1</v>
      </c>
      <c r="U113">
        <v>242</v>
      </c>
      <c r="V113">
        <v>38</v>
      </c>
      <c r="W113">
        <v>3</v>
      </c>
      <c r="X113">
        <v>1</v>
      </c>
      <c r="Y113" t="s">
        <v>19</v>
      </c>
      <c r="Z113">
        <v>3</v>
      </c>
      <c r="AA113">
        <f>IF(AND(Table1[[#This Row],[Throw Out Pass Eff]]="N", Table1[[#This Row],[Against FCS Team]]="N"), ROUND(((5.45 * D113) + (150 * F113) + (100 * G113) - (300 * H113)) / E113, 2), " ")</f>
        <v>84.27</v>
      </c>
      <c r="AB113">
        <f>IF(AND(Table1[[#This Row],[Throw Out Pass Def Eff]]="N", Table1[[#This Row],[Against FCS Team]]="N"),200 - ROUND(((5.45 * P113) + (150 * R113) + (100 * S113) - (300 * T113)) / Q113, 2), " ")</f>
        <v>106.37</v>
      </c>
      <c r="AC113">
        <f>IF(AND(Table1[[#This Row],[Throw Out Rush Eff]]="N", Table1[[#This Row],[Against FCS Team]]="N"), ROUND(((23.2 * I113) + (150 * K113) - (300 * L113)) / J113, 2), " ")</f>
        <v>-70.22</v>
      </c>
      <c r="AD113" s="3">
        <f>IF(AND(Table1[[#This Row],[Throw Out Rush Def Eff]]="N", Table1[[#This Row],[Against FCS Team]]="N"), 200 - ROUND(((23.2 * U113) + (150 * W113) - (300 * X113)) / V113, 2), " ")</f>
        <v>48.31</v>
      </c>
      <c r="AE113" s="3">
        <f>ROUND(Table1[[#This Row],[Opp Passing Attempts]]/(Table1[[#This Row],[Opp Passing Attempts]]+Table1[[#This Row],[Opp Rushing Attempts]]), 2)</f>
        <v>0.45</v>
      </c>
      <c r="AF113" s="3">
        <f>1-Table1[[#This Row],[Passing Weight]]</f>
        <v>0.55000000000000004</v>
      </c>
      <c r="AG113" s="3" t="str">
        <f>IF(COUNTIF(A:A,Table1[[#This Row],[Opp Team Name]]) &gt; 0, "N", "Y")</f>
        <v>N</v>
      </c>
      <c r="AH113" s="3" t="str">
        <f>IF(Table1[[#This Row],[Passing Attempts]] &lt;15, "Y", "N")</f>
        <v>N</v>
      </c>
      <c r="AI113" s="3" t="str">
        <f>IF(Table1[[#This Row],[Rushing Attempts]] &lt; 15, "Y", "N")</f>
        <v>N</v>
      </c>
      <c r="AJ113" s="3" t="str">
        <f>IF(Table1[[#This Row],[Opp Passing Attempts]]&lt;15, "Y", "N")</f>
        <v>N</v>
      </c>
      <c r="AK113" s="3" t="str">
        <f>IF(Table1[[#This Row],[Opp Rushing Attempts]]&lt;15, "Y", "N")</f>
        <v>N</v>
      </c>
      <c r="AL1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89.99</v>
      </c>
      <c r="AM1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88.93</v>
      </c>
      <c r="AN1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-107.54</v>
      </c>
      <c r="AO1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27.26</v>
      </c>
      <c r="AP113" s="3">
        <f>ABS(Table1[[#This Row],[Team Score]]-Table1[[#This Row],[Opp Team Score]])</f>
        <v>44</v>
      </c>
      <c r="AQ113" s="3">
        <f>SUM(Table1[[#This Row],[Team Score]], Table1[[#This Row],[Opp Team Score]])</f>
        <v>64</v>
      </c>
      <c r="AR1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231.26999999999998</v>
      </c>
      <c r="AS113" s="3">
        <f>IF(Table1[[#This Row],[Efficiency Difference]] = " ", " ", ROUND((Table1[[#This Row],[Winning Margin]]*100)/Table1[[#This Row],[Efficiency Difference]], 2))</f>
        <v>19.03</v>
      </c>
    </row>
    <row r="114" spans="1:45">
      <c r="A114" t="s">
        <v>46</v>
      </c>
      <c r="B114">
        <v>77</v>
      </c>
      <c r="C114">
        <v>24</v>
      </c>
      <c r="D114">
        <v>133</v>
      </c>
      <c r="E114">
        <v>35</v>
      </c>
      <c r="F114">
        <v>0</v>
      </c>
      <c r="G114">
        <v>16</v>
      </c>
      <c r="H114">
        <v>1</v>
      </c>
      <c r="I114">
        <v>127</v>
      </c>
      <c r="J114">
        <v>32</v>
      </c>
      <c r="K114">
        <v>2</v>
      </c>
      <c r="L114">
        <v>0</v>
      </c>
      <c r="M114" t="s">
        <v>142</v>
      </c>
      <c r="N114">
        <v>128</v>
      </c>
      <c r="O114">
        <v>17</v>
      </c>
      <c r="P114">
        <v>318</v>
      </c>
      <c r="Q114">
        <v>31</v>
      </c>
      <c r="R114">
        <v>0</v>
      </c>
      <c r="S114">
        <v>21</v>
      </c>
      <c r="T114">
        <v>1</v>
      </c>
      <c r="U114">
        <v>81</v>
      </c>
      <c r="V114">
        <v>34</v>
      </c>
      <c r="W114">
        <v>2</v>
      </c>
      <c r="X114">
        <v>2</v>
      </c>
      <c r="Y114" t="s">
        <v>16</v>
      </c>
      <c r="Z114">
        <v>4</v>
      </c>
      <c r="AA114">
        <f>IF(AND(Table1[[#This Row],[Throw Out Pass Eff]]="N", Table1[[#This Row],[Against FCS Team]]="N"), ROUND(((5.45 * D114) + (150 * F114) + (100 * G114) - (300 * H114)) / E114, 2), " ")</f>
        <v>57.85</v>
      </c>
      <c r="AB114">
        <f>IF(AND(Table1[[#This Row],[Throw Out Pass Def Eff]]="N", Table1[[#This Row],[Against FCS Team]]="N"),200 - ROUND(((5.45 * P114) + (150 * R114) + (100 * S114) - (300 * T114)) / Q114, 2), " ")</f>
        <v>86.03</v>
      </c>
      <c r="AC114">
        <f>IF(AND(Table1[[#This Row],[Throw Out Rush Eff]]="N", Table1[[#This Row],[Against FCS Team]]="N"), ROUND(((23.2 * I114) + (150 * K114) - (300 * L114)) / J114, 2), " ")</f>
        <v>101.45</v>
      </c>
      <c r="AD114" s="3">
        <f>IF(AND(Table1[[#This Row],[Throw Out Rush Def Eff]]="N", Table1[[#This Row],[Against FCS Team]]="N"), 200 - ROUND(((23.2 * U114) + (150 * W114) - (300 * X114)) / V114, 2), " ")</f>
        <v>153.55000000000001</v>
      </c>
      <c r="AE114" s="3">
        <f>ROUND(Table1[[#This Row],[Opp Passing Attempts]]/(Table1[[#This Row],[Opp Passing Attempts]]+Table1[[#This Row],[Opp Rushing Attempts]]), 2)</f>
        <v>0.48</v>
      </c>
      <c r="AF114" s="3">
        <f>1-Table1[[#This Row],[Passing Weight]]</f>
        <v>0.52</v>
      </c>
      <c r="AG114" s="3" t="str">
        <f>IF(COUNTIF(A:A,Table1[[#This Row],[Opp Team Name]]) &gt; 0, "N", "Y")</f>
        <v>N</v>
      </c>
      <c r="AH114" s="3" t="str">
        <f>IF(Table1[[#This Row],[Passing Attempts]] &lt;15, "Y", "N")</f>
        <v>N</v>
      </c>
      <c r="AI114" s="3" t="str">
        <f>IF(Table1[[#This Row],[Rushing Attempts]] &lt; 15, "Y", "N")</f>
        <v>N</v>
      </c>
      <c r="AJ114" s="3" t="str">
        <f>IF(Table1[[#This Row],[Opp Passing Attempts]]&lt;15, "Y", "N")</f>
        <v>N</v>
      </c>
      <c r="AK114" s="3" t="str">
        <f>IF(Table1[[#This Row],[Opp Rushing Attempts]]&lt;15, "Y", "N")</f>
        <v>N</v>
      </c>
      <c r="AL1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70.95</v>
      </c>
      <c r="AM1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89.81</v>
      </c>
      <c r="AN1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112.11</v>
      </c>
      <c r="AO1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132.61000000000001</v>
      </c>
      <c r="AP114" s="3">
        <f>ABS(Table1[[#This Row],[Team Score]]-Table1[[#This Row],[Opp Team Score]])</f>
        <v>7</v>
      </c>
      <c r="AQ114" s="3">
        <f>SUM(Table1[[#This Row],[Team Score]], Table1[[#This Row],[Opp Team Score]])</f>
        <v>41</v>
      </c>
      <c r="AR1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1.1199999999999761</v>
      </c>
      <c r="AS114" s="3">
        <f>IF(Table1[[#This Row],[Efficiency Difference]] = " ", " ", ROUND((Table1[[#This Row],[Winning Margin]]*100)/Table1[[#This Row],[Efficiency Difference]], 2))</f>
        <v>625</v>
      </c>
    </row>
    <row r="115" spans="1:45">
      <c r="A115" t="s">
        <v>46</v>
      </c>
      <c r="B115">
        <v>77</v>
      </c>
      <c r="C115">
        <v>27</v>
      </c>
      <c r="D115">
        <v>251</v>
      </c>
      <c r="E115">
        <v>39</v>
      </c>
      <c r="F115">
        <v>2</v>
      </c>
      <c r="G115">
        <v>21</v>
      </c>
      <c r="H115">
        <v>0</v>
      </c>
      <c r="I115">
        <v>200</v>
      </c>
      <c r="J115">
        <v>46</v>
      </c>
      <c r="K115">
        <v>1</v>
      </c>
      <c r="L115">
        <v>1</v>
      </c>
      <c r="M115" t="s">
        <v>33</v>
      </c>
      <c r="N115">
        <v>731</v>
      </c>
      <c r="O115">
        <v>24</v>
      </c>
      <c r="P115">
        <v>122</v>
      </c>
      <c r="Q115">
        <v>26</v>
      </c>
      <c r="R115">
        <v>2</v>
      </c>
      <c r="S115">
        <v>13</v>
      </c>
      <c r="T115">
        <v>0</v>
      </c>
      <c r="U115">
        <v>284</v>
      </c>
      <c r="V115">
        <v>37</v>
      </c>
      <c r="W115">
        <v>1</v>
      </c>
      <c r="X115">
        <v>0</v>
      </c>
      <c r="Y115" t="s">
        <v>16</v>
      </c>
      <c r="Z115">
        <v>5</v>
      </c>
      <c r="AA115">
        <f>IF(AND(Table1[[#This Row],[Throw Out Pass Eff]]="N", Table1[[#This Row],[Against FCS Team]]="N"), ROUND(((5.45 * D115) + (150 * F115) + (100 * G115) - (300 * H115)) / E115, 2), " ")</f>
        <v>96.61</v>
      </c>
      <c r="AB115">
        <f>IF(AND(Table1[[#This Row],[Throw Out Pass Def Eff]]="N", Table1[[#This Row],[Against FCS Team]]="N"),200 - ROUND(((5.45 * P115) + (150 * R115) + (100 * S115) - (300 * T115)) / Q115, 2), " ")</f>
        <v>112.89</v>
      </c>
      <c r="AC115">
        <f>IF(AND(Table1[[#This Row],[Throw Out Rush Eff]]="N", Table1[[#This Row],[Against FCS Team]]="N"), ROUND(((23.2 * I115) + (150 * K115) - (300 * L115)) / J115, 2), " ")</f>
        <v>97.61</v>
      </c>
      <c r="AD115" s="3">
        <f>IF(AND(Table1[[#This Row],[Throw Out Rush Def Eff]]="N", Table1[[#This Row],[Against FCS Team]]="N"), 200 - ROUND(((23.2 * U115) + (150 * W115) - (300 * X115)) / V115, 2), " ")</f>
        <v>17.870000000000005</v>
      </c>
      <c r="AE115" s="3">
        <f>ROUND(Table1[[#This Row],[Opp Passing Attempts]]/(Table1[[#This Row],[Opp Passing Attempts]]+Table1[[#This Row],[Opp Rushing Attempts]]), 2)</f>
        <v>0.41</v>
      </c>
      <c r="AF115" s="3">
        <f>1-Table1[[#This Row],[Passing Weight]]</f>
        <v>0.59000000000000008</v>
      </c>
      <c r="AG115" s="3" t="str">
        <f>IF(COUNTIF(A:A,Table1[[#This Row],[Opp Team Name]]) &gt; 0, "N", "Y")</f>
        <v>N</v>
      </c>
      <c r="AH115" s="3" t="str">
        <f>IF(Table1[[#This Row],[Passing Attempts]] &lt;15, "Y", "N")</f>
        <v>N</v>
      </c>
      <c r="AI115" s="3" t="str">
        <f>IF(Table1[[#This Row],[Rushing Attempts]] &lt; 15, "Y", "N")</f>
        <v>N</v>
      </c>
      <c r="AJ115" s="3" t="str">
        <f>IF(Table1[[#This Row],[Opp Passing Attempts]]&lt;15, "Y", "N")</f>
        <v>N</v>
      </c>
      <c r="AK115" s="3" t="str">
        <f>IF(Table1[[#This Row],[Opp Rushing Attempts]]&lt;15, "Y", "N")</f>
        <v>N</v>
      </c>
      <c r="AL1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95.8</v>
      </c>
      <c r="AM1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117.17</v>
      </c>
      <c r="AN1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119.15</v>
      </c>
      <c r="AO1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23.35</v>
      </c>
      <c r="AP115" s="3">
        <f>ABS(Table1[[#This Row],[Team Score]]-Table1[[#This Row],[Opp Team Score]])</f>
        <v>3</v>
      </c>
      <c r="AQ115" s="3">
        <f>SUM(Table1[[#This Row],[Team Score]], Table1[[#This Row],[Opp Team Score]])</f>
        <v>51</v>
      </c>
      <c r="AR1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75.02000000000001</v>
      </c>
      <c r="AS115" s="3">
        <f>IF(Table1[[#This Row],[Efficiency Difference]] = " ", " ", ROUND((Table1[[#This Row],[Winning Margin]]*100)/Table1[[#This Row],[Efficiency Difference]], 2))</f>
        <v>4</v>
      </c>
    </row>
    <row r="116" spans="1:45">
      <c r="A116" t="s">
        <v>46</v>
      </c>
      <c r="B116">
        <v>77</v>
      </c>
      <c r="C116">
        <v>29</v>
      </c>
      <c r="D116">
        <v>219</v>
      </c>
      <c r="E116">
        <v>24</v>
      </c>
      <c r="F116">
        <v>3</v>
      </c>
      <c r="G116">
        <v>14</v>
      </c>
      <c r="H116">
        <v>2</v>
      </c>
      <c r="I116">
        <v>224</v>
      </c>
      <c r="J116">
        <v>44</v>
      </c>
      <c r="K116">
        <v>0</v>
      </c>
      <c r="L116">
        <v>1</v>
      </c>
      <c r="M116" t="s">
        <v>128</v>
      </c>
      <c r="N116">
        <v>630</v>
      </c>
      <c r="O116">
        <v>16</v>
      </c>
      <c r="P116">
        <v>255</v>
      </c>
      <c r="Q116">
        <v>35</v>
      </c>
      <c r="R116">
        <v>0</v>
      </c>
      <c r="S116">
        <v>25</v>
      </c>
      <c r="T116">
        <v>2</v>
      </c>
      <c r="U116">
        <v>70</v>
      </c>
      <c r="V116">
        <v>26</v>
      </c>
      <c r="W116">
        <v>1</v>
      </c>
      <c r="X116">
        <v>0</v>
      </c>
      <c r="Y116" t="s">
        <v>16</v>
      </c>
      <c r="Z116">
        <v>6</v>
      </c>
      <c r="AA116">
        <f>IF(AND(Table1[[#This Row],[Throw Out Pass Eff]]="N", Table1[[#This Row],[Against FCS Team]]="N"), ROUND(((5.45 * D116) + (150 * F116) + (100 * G116) - (300 * H116)) / E116, 2), " ")</f>
        <v>101.81</v>
      </c>
      <c r="AB116">
        <f>IF(AND(Table1[[#This Row],[Throw Out Pass Def Eff]]="N", Table1[[#This Row],[Against FCS Team]]="N"),200 - ROUND(((5.45 * P116) + (150 * R116) + (100 * S116) - (300 * T116)) / Q116, 2), " ")</f>
        <v>106.01</v>
      </c>
      <c r="AC116">
        <f>IF(AND(Table1[[#This Row],[Throw Out Rush Eff]]="N", Table1[[#This Row],[Against FCS Team]]="N"), ROUND(((23.2 * I116) + (150 * K116) - (300 * L116)) / J116, 2), " ")</f>
        <v>111.29</v>
      </c>
      <c r="AD116" s="3">
        <f>IF(AND(Table1[[#This Row],[Throw Out Rush Def Eff]]="N", Table1[[#This Row],[Against FCS Team]]="N"), 200 - ROUND(((23.2 * U116) + (150 * W116) - (300 * X116)) / V116, 2), " ")</f>
        <v>131.76999999999998</v>
      </c>
      <c r="AE116" s="3">
        <f>ROUND(Table1[[#This Row],[Opp Passing Attempts]]/(Table1[[#This Row],[Opp Passing Attempts]]+Table1[[#This Row],[Opp Rushing Attempts]]), 2)</f>
        <v>0.56999999999999995</v>
      </c>
      <c r="AF116" s="3">
        <f>1-Table1[[#This Row],[Passing Weight]]</f>
        <v>0.43000000000000005</v>
      </c>
      <c r="AG116" s="3" t="str">
        <f>IF(COUNTIF(A:A,Table1[[#This Row],[Opp Team Name]]) &gt; 0, "N", "Y")</f>
        <v>N</v>
      </c>
      <c r="AH116" s="3" t="str">
        <f>IF(Table1[[#This Row],[Passing Attempts]] &lt;15, "Y", "N")</f>
        <v>N</v>
      </c>
      <c r="AI116" s="3" t="str">
        <f>IF(Table1[[#This Row],[Rushing Attempts]] &lt; 15, "Y", "N")</f>
        <v>N</v>
      </c>
      <c r="AJ116" s="3" t="str">
        <f>IF(Table1[[#This Row],[Opp Passing Attempts]]&lt;15, "Y", "N")</f>
        <v>N</v>
      </c>
      <c r="AK116" s="3" t="str">
        <f>IF(Table1[[#This Row],[Opp Rushing Attempts]]&lt;15, "Y", "N")</f>
        <v>N</v>
      </c>
      <c r="AL1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107.46</v>
      </c>
      <c r="AM1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90.14</v>
      </c>
      <c r="AN1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94.33</v>
      </c>
      <c r="AO1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107.29</v>
      </c>
      <c r="AP116" s="3">
        <f>ABS(Table1[[#This Row],[Team Score]]-Table1[[#This Row],[Opp Team Score]])</f>
        <v>13</v>
      </c>
      <c r="AQ116" s="3">
        <f>SUM(Table1[[#This Row],[Team Score]], Table1[[#This Row],[Opp Team Score]])</f>
        <v>45</v>
      </c>
      <c r="AR1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50.879999999999995</v>
      </c>
      <c r="AS116" s="3">
        <f>IF(Table1[[#This Row],[Efficiency Difference]] = " ", " ", ROUND((Table1[[#This Row],[Winning Margin]]*100)/Table1[[#This Row],[Efficiency Difference]], 2))</f>
        <v>25.55</v>
      </c>
    </row>
    <row r="117" spans="1:45">
      <c r="A117" t="s">
        <v>46</v>
      </c>
      <c r="B117">
        <v>77</v>
      </c>
      <c r="C117">
        <v>38</v>
      </c>
      <c r="D117">
        <v>217</v>
      </c>
      <c r="E117">
        <v>29</v>
      </c>
      <c r="F117">
        <v>3</v>
      </c>
      <c r="G117">
        <v>17</v>
      </c>
      <c r="H117">
        <v>1</v>
      </c>
      <c r="I117">
        <v>282</v>
      </c>
      <c r="J117">
        <v>48</v>
      </c>
      <c r="K117">
        <v>2</v>
      </c>
      <c r="L117">
        <v>1</v>
      </c>
      <c r="M117" t="s">
        <v>118</v>
      </c>
      <c r="N117">
        <v>528</v>
      </c>
      <c r="O117">
        <v>28</v>
      </c>
      <c r="P117">
        <v>306</v>
      </c>
      <c r="Q117">
        <v>43</v>
      </c>
      <c r="R117">
        <v>1</v>
      </c>
      <c r="S117">
        <v>27</v>
      </c>
      <c r="T117">
        <v>2</v>
      </c>
      <c r="U117">
        <v>59</v>
      </c>
      <c r="V117">
        <v>23</v>
      </c>
      <c r="W117">
        <v>2</v>
      </c>
      <c r="X117">
        <v>2</v>
      </c>
      <c r="Y117" t="s">
        <v>16</v>
      </c>
      <c r="Z117">
        <v>7</v>
      </c>
      <c r="AA117">
        <f>IF(AND(Table1[[#This Row],[Throw Out Pass Eff]]="N", Table1[[#This Row],[Against FCS Team]]="N"), ROUND(((5.45 * D117) + (150 * F117) + (100 * G117) - (300 * H117)) / E117, 2), " ")</f>
        <v>104.57</v>
      </c>
      <c r="AB117">
        <f>IF(AND(Table1[[#This Row],[Throw Out Pass Def Eff]]="N", Table1[[#This Row],[Against FCS Team]]="N"),200 - ROUND(((5.45 * P117) + (150 * R117) + (100 * S117) - (300 * T117)) / Q117, 2), " ")</f>
        <v>108.89</v>
      </c>
      <c r="AC117">
        <f>IF(AND(Table1[[#This Row],[Throw Out Rush Eff]]="N", Table1[[#This Row],[Against FCS Team]]="N"), ROUND(((23.2 * I117) + (150 * K117) - (300 * L117)) / J117, 2), " ")</f>
        <v>136.30000000000001</v>
      </c>
      <c r="AD117" s="3">
        <f>IF(AND(Table1[[#This Row],[Throw Out Rush Def Eff]]="N", Table1[[#This Row],[Against FCS Team]]="N"), 200 - ROUND(((23.2 * U117) + (150 * W117) - (300 * X117)) / V117, 2), " ")</f>
        <v>153.53</v>
      </c>
      <c r="AE117" s="3">
        <f>ROUND(Table1[[#This Row],[Opp Passing Attempts]]/(Table1[[#This Row],[Opp Passing Attempts]]+Table1[[#This Row],[Opp Rushing Attempts]]), 2)</f>
        <v>0.65</v>
      </c>
      <c r="AF117" s="3">
        <f>1-Table1[[#This Row],[Passing Weight]]</f>
        <v>0.35</v>
      </c>
      <c r="AG117" s="3" t="str">
        <f>IF(COUNTIF(A:A,Table1[[#This Row],[Opp Team Name]]) &gt; 0, "N", "Y")</f>
        <v>N</v>
      </c>
      <c r="AH117" s="3" t="str">
        <f>IF(Table1[[#This Row],[Passing Attempts]] &lt;15, "Y", "N")</f>
        <v>N</v>
      </c>
      <c r="AI117" s="3" t="str">
        <f>IF(Table1[[#This Row],[Rushing Attempts]] &lt; 15, "Y", "N")</f>
        <v>N</v>
      </c>
      <c r="AJ117" s="3" t="str">
        <f>IF(Table1[[#This Row],[Opp Passing Attempts]]&lt;15, "Y", "N")</f>
        <v>N</v>
      </c>
      <c r="AK117" s="3" t="str">
        <f>IF(Table1[[#This Row],[Opp Rushing Attempts]]&lt;15, "Y", "N")</f>
        <v>N</v>
      </c>
      <c r="AL1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96.65</v>
      </c>
      <c r="AM11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110.83</v>
      </c>
      <c r="AN11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149.19</v>
      </c>
      <c r="AO1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101.09</v>
      </c>
      <c r="AP117" s="3">
        <f>ABS(Table1[[#This Row],[Team Score]]-Table1[[#This Row],[Opp Team Score]])</f>
        <v>10</v>
      </c>
      <c r="AQ117" s="3">
        <f>SUM(Table1[[#This Row],[Team Score]], Table1[[#This Row],[Opp Team Score]])</f>
        <v>66</v>
      </c>
      <c r="AR11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103.29000000000002</v>
      </c>
      <c r="AS117" s="3">
        <f>IF(Table1[[#This Row],[Efficiency Difference]] = " ", " ", ROUND((Table1[[#This Row],[Winning Margin]]*100)/Table1[[#This Row],[Efficiency Difference]], 2))</f>
        <v>9.68</v>
      </c>
    </row>
    <row r="118" spans="1:45">
      <c r="A118" t="s">
        <v>46</v>
      </c>
      <c r="B118">
        <v>77</v>
      </c>
      <c r="C118">
        <v>56</v>
      </c>
      <c r="D118">
        <v>282</v>
      </c>
      <c r="E118">
        <v>27</v>
      </c>
      <c r="F118">
        <v>3</v>
      </c>
      <c r="G118">
        <v>19</v>
      </c>
      <c r="H118">
        <v>1</v>
      </c>
      <c r="I118">
        <v>290</v>
      </c>
      <c r="J118">
        <v>44</v>
      </c>
      <c r="K118">
        <v>4</v>
      </c>
      <c r="L118">
        <v>2</v>
      </c>
      <c r="M118" t="s">
        <v>161</v>
      </c>
      <c r="N118">
        <v>294</v>
      </c>
      <c r="O118">
        <v>3</v>
      </c>
      <c r="P118">
        <v>231</v>
      </c>
      <c r="Q118">
        <v>60</v>
      </c>
      <c r="R118">
        <v>0</v>
      </c>
      <c r="S118">
        <v>34</v>
      </c>
      <c r="T118">
        <v>3</v>
      </c>
      <c r="U118">
        <v>20</v>
      </c>
      <c r="V118">
        <v>19</v>
      </c>
      <c r="W118">
        <v>0</v>
      </c>
      <c r="X118">
        <v>0</v>
      </c>
      <c r="Y118" t="s">
        <v>16</v>
      </c>
      <c r="Z118">
        <v>8</v>
      </c>
      <c r="AA118" s="3" t="str">
        <f>IF(AND(Table1[[#This Row],[Throw Out Pass Eff]]="N", Table1[[#This Row],[Against FCS Team]]="N"), ROUND(((5.45 * D118) + (150 * F118) + (100 * G118) - (300 * H118)) / E118, 2), " ")</f>
        <v xml:space="preserve"> </v>
      </c>
      <c r="AB118" s="3" t="str">
        <f>IF(AND(Table1[[#This Row],[Throw Out Pass Def Eff]]="N", Table1[[#This Row],[Against FCS Team]]="N"),200 - ROUND(((5.45 * P118) + (150 * R118) + (100 * S118) - (300 * T118)) / Q118, 2), " ")</f>
        <v xml:space="preserve"> </v>
      </c>
      <c r="AC118" s="3" t="str">
        <f>IF(AND(Table1[[#This Row],[Throw Out Rush Eff]]="N", Table1[[#This Row],[Against FCS Team]]="N"), ROUND(((23.2 * I118) + (150 * K118) - (300 * L118)) / J118, 2), " ")</f>
        <v xml:space="preserve"> </v>
      </c>
      <c r="AD118" s="3" t="str">
        <f>IF(AND(Table1[[#This Row],[Throw Out Rush Def Eff]]="N", Table1[[#This Row],[Against FCS Team]]="N"), 200 - ROUND(((23.2 * U118) + (150 * W118) - (300 * X118)) / V118, 2), " ")</f>
        <v xml:space="preserve"> </v>
      </c>
      <c r="AE118" s="3">
        <f>ROUND(Table1[[#This Row],[Opp Passing Attempts]]/(Table1[[#This Row],[Opp Passing Attempts]]+Table1[[#This Row],[Opp Rushing Attempts]]), 2)</f>
        <v>0.76</v>
      </c>
      <c r="AF118" s="3">
        <f>1-Table1[[#This Row],[Passing Weight]]</f>
        <v>0.24</v>
      </c>
      <c r="AG118" s="3" t="str">
        <f>IF(COUNTIF(A:A,Table1[[#This Row],[Opp Team Name]]) &gt; 0, "N", "Y")</f>
        <v>Y</v>
      </c>
      <c r="AH118" s="3" t="str">
        <f>IF(Table1[[#This Row],[Passing Attempts]] &lt;15, "Y", "N")</f>
        <v>N</v>
      </c>
      <c r="AI118" s="3" t="str">
        <f>IF(Table1[[#This Row],[Rushing Attempts]] &lt; 15, "Y", "N")</f>
        <v>N</v>
      </c>
      <c r="AJ118" s="3" t="str">
        <f>IF(Table1[[#This Row],[Opp Passing Attempts]]&lt;15, "Y", "N")</f>
        <v>N</v>
      </c>
      <c r="AK118" s="3" t="str">
        <f>IF(Table1[[#This Row],[Opp Rushing Attempts]]&lt;15, "Y", "N")</f>
        <v>N</v>
      </c>
      <c r="AL11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1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1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1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18" s="3">
        <f>ABS(Table1[[#This Row],[Team Score]]-Table1[[#This Row],[Opp Team Score]])</f>
        <v>53</v>
      </c>
      <c r="AQ118" s="3">
        <f>SUM(Table1[[#This Row],[Team Score]], Table1[[#This Row],[Opp Team Score]])</f>
        <v>59</v>
      </c>
      <c r="AR11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18" s="3" t="str">
        <f>IF(Table1[[#This Row],[Efficiency Difference]] = " ", " ", ROUND((Table1[[#This Row],[Winning Margin]]*100)/Table1[[#This Row],[Efficiency Difference]], 2))</f>
        <v xml:space="preserve"> </v>
      </c>
    </row>
    <row r="119" spans="1:45">
      <c r="A119" t="s">
        <v>48</v>
      </c>
      <c r="B119">
        <v>107</v>
      </c>
      <c r="C119">
        <v>63</v>
      </c>
      <c r="D119">
        <v>296</v>
      </c>
      <c r="E119">
        <v>37</v>
      </c>
      <c r="F119">
        <v>3</v>
      </c>
      <c r="G119">
        <v>20</v>
      </c>
      <c r="H119">
        <v>1</v>
      </c>
      <c r="I119">
        <v>285</v>
      </c>
      <c r="J119">
        <v>52</v>
      </c>
      <c r="K119">
        <v>5</v>
      </c>
      <c r="L119">
        <v>0</v>
      </c>
      <c r="M119" t="s">
        <v>194</v>
      </c>
      <c r="N119">
        <v>1320</v>
      </c>
      <c r="O119">
        <v>12</v>
      </c>
      <c r="P119">
        <v>28</v>
      </c>
      <c r="Q119">
        <v>20</v>
      </c>
      <c r="R119">
        <v>0</v>
      </c>
      <c r="S119">
        <v>6</v>
      </c>
      <c r="T119">
        <v>2</v>
      </c>
      <c r="U119">
        <v>20</v>
      </c>
      <c r="V119">
        <v>26</v>
      </c>
      <c r="W119">
        <v>0</v>
      </c>
      <c r="X119">
        <v>0</v>
      </c>
      <c r="Y119" t="s">
        <v>16</v>
      </c>
      <c r="Z119">
        <v>3</v>
      </c>
      <c r="AA119" t="str">
        <f>IF(AND(Table1[[#This Row],[Throw Out Pass Eff]]="N", Table1[[#This Row],[Against FCS Team]]="N"), ROUND(((5.45 * D119) + (150 * F119) + (100 * G119) - (300 * H119)) / E119, 2), " ")</f>
        <v xml:space="preserve"> </v>
      </c>
      <c r="AB119" t="str">
        <f>IF(AND(Table1[[#This Row],[Throw Out Pass Def Eff]]="N", Table1[[#This Row],[Against FCS Team]]="N"),200 - ROUND(((5.45 * P119) + (150 * R119) + (100 * S119) - (300 * T119)) / Q119, 2), " ")</f>
        <v xml:space="preserve"> </v>
      </c>
      <c r="AC119" t="str">
        <f>IF(AND(Table1[[#This Row],[Throw Out Rush Eff]]="N", Table1[[#This Row],[Against FCS Team]]="N"), ROUND(((23.2 * I119) + (150 * K119) - (300 * L119)) / J119, 2), " ")</f>
        <v xml:space="preserve"> </v>
      </c>
      <c r="AD119" s="3" t="str">
        <f>IF(AND(Table1[[#This Row],[Throw Out Rush Def Eff]]="N", Table1[[#This Row],[Against FCS Team]]="N"), 200 - ROUND(((23.2 * U119) + (150 * W119) - (300 * X119)) / V119, 2), " ")</f>
        <v xml:space="preserve"> </v>
      </c>
      <c r="AE119" s="3">
        <f>ROUND(Table1[[#This Row],[Opp Passing Attempts]]/(Table1[[#This Row],[Opp Passing Attempts]]+Table1[[#This Row],[Opp Rushing Attempts]]), 2)</f>
        <v>0.43</v>
      </c>
      <c r="AF119" s="3">
        <f>1-Table1[[#This Row],[Passing Weight]]</f>
        <v>0.57000000000000006</v>
      </c>
      <c r="AG119" s="3" t="str">
        <f>IF(COUNTIF(A:A,Table1[[#This Row],[Opp Team Name]]) &gt; 0, "N", "Y")</f>
        <v>Y</v>
      </c>
      <c r="AH119" s="3" t="str">
        <f>IF(Table1[[#This Row],[Passing Attempts]] &lt;15, "Y", "N")</f>
        <v>N</v>
      </c>
      <c r="AI119" s="3" t="str">
        <f>IF(Table1[[#This Row],[Rushing Attempts]] &lt; 15, "Y", "N")</f>
        <v>N</v>
      </c>
      <c r="AJ119" s="3" t="str">
        <f>IF(Table1[[#This Row],[Opp Passing Attempts]]&lt;15, "Y", "N")</f>
        <v>N</v>
      </c>
      <c r="AK119" s="3" t="str">
        <f>IF(Table1[[#This Row],[Opp Rushing Attempts]]&lt;15, "Y", "N")</f>
        <v>N</v>
      </c>
      <c r="AL11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19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19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19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19" s="3">
        <f>ABS(Table1[[#This Row],[Team Score]]-Table1[[#This Row],[Opp Team Score]])</f>
        <v>51</v>
      </c>
      <c r="AQ119" s="3">
        <f>SUM(Table1[[#This Row],[Team Score]], Table1[[#This Row],[Opp Team Score]])</f>
        <v>75</v>
      </c>
      <c r="AR11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19" s="3" t="str">
        <f>IF(Table1[[#This Row],[Efficiency Difference]] = " ", " ", ROUND((Table1[[#This Row],[Winning Margin]]*100)/Table1[[#This Row],[Efficiency Difference]], 2))</f>
        <v xml:space="preserve"> </v>
      </c>
    </row>
    <row r="120" spans="1:45">
      <c r="A120" t="s">
        <v>48</v>
      </c>
      <c r="B120">
        <v>107</v>
      </c>
      <c r="C120">
        <v>36</v>
      </c>
      <c r="D120">
        <v>266</v>
      </c>
      <c r="E120">
        <v>35</v>
      </c>
      <c r="F120">
        <v>2</v>
      </c>
      <c r="G120">
        <v>16</v>
      </c>
      <c r="H120">
        <v>1</v>
      </c>
      <c r="I120">
        <v>151</v>
      </c>
      <c r="J120">
        <v>35</v>
      </c>
      <c r="K120">
        <v>2</v>
      </c>
      <c r="L120">
        <v>1</v>
      </c>
      <c r="M120" t="s">
        <v>49</v>
      </c>
      <c r="N120">
        <v>96</v>
      </c>
      <c r="O120">
        <v>21</v>
      </c>
      <c r="P120">
        <v>150</v>
      </c>
      <c r="Q120">
        <v>33</v>
      </c>
      <c r="R120">
        <v>1</v>
      </c>
      <c r="S120">
        <v>21</v>
      </c>
      <c r="T120">
        <v>1</v>
      </c>
      <c r="U120">
        <v>68</v>
      </c>
      <c r="V120">
        <v>25</v>
      </c>
      <c r="W120">
        <v>1</v>
      </c>
      <c r="X120">
        <v>1</v>
      </c>
      <c r="Y120" t="s">
        <v>16</v>
      </c>
      <c r="Z120">
        <v>1</v>
      </c>
      <c r="AA120">
        <f>IF(AND(Table1[[#This Row],[Throw Out Pass Eff]]="N", Table1[[#This Row],[Against FCS Team]]="N"), ROUND(((5.45 * D120) + (150 * F120) + (100 * G120) - (300 * H120)) / E120, 2), " ")</f>
        <v>87.13</v>
      </c>
      <c r="AB120">
        <f>IF(AND(Table1[[#This Row],[Throw Out Pass Def Eff]]="N", Table1[[#This Row],[Against FCS Team]]="N"),200 - ROUND(((5.45 * P120) + (150 * R120) + (100 * S120) - (300 * T120)) / Q120, 2), " ")</f>
        <v>116.14</v>
      </c>
      <c r="AC120">
        <f>IF(AND(Table1[[#This Row],[Throw Out Rush Eff]]="N", Table1[[#This Row],[Against FCS Team]]="N"), ROUND(((23.2 * I120) + (150 * K120) - (300 * L120)) / J120, 2), " ")</f>
        <v>100.09</v>
      </c>
      <c r="AD120" s="3">
        <f>IF(AND(Table1[[#This Row],[Throw Out Rush Def Eff]]="N", Table1[[#This Row],[Against FCS Team]]="N"), 200 - ROUND(((23.2 * U120) + (150 * W120) - (300 * X120)) / V120, 2), " ")</f>
        <v>142.9</v>
      </c>
      <c r="AE120" s="3">
        <f>ROUND(Table1[[#This Row],[Opp Passing Attempts]]/(Table1[[#This Row],[Opp Passing Attempts]]+Table1[[#This Row],[Opp Rushing Attempts]]), 2)</f>
        <v>0.56999999999999995</v>
      </c>
      <c r="AF120" s="3">
        <f>1-Table1[[#This Row],[Passing Weight]]</f>
        <v>0.43000000000000005</v>
      </c>
      <c r="AG120" s="3" t="str">
        <f>IF(COUNTIF(A:A,Table1[[#This Row],[Opp Team Name]]) &gt; 0, "N", "Y")</f>
        <v>N</v>
      </c>
      <c r="AH120" s="3" t="str">
        <f>IF(Table1[[#This Row],[Passing Attempts]] &lt;15, "Y", "N")</f>
        <v>N</v>
      </c>
      <c r="AI120" s="3" t="str">
        <f>IF(Table1[[#This Row],[Rushing Attempts]] &lt; 15, "Y", "N")</f>
        <v>N</v>
      </c>
      <c r="AJ120" s="3" t="str">
        <f>IF(Table1[[#This Row],[Opp Passing Attempts]]&lt;15, "Y", "N")</f>
        <v>N</v>
      </c>
      <c r="AK120" s="3" t="str">
        <f>IF(Table1[[#This Row],[Opp Rushing Attempts]]&lt;15, "Y", "N")</f>
        <v>N</v>
      </c>
      <c r="AL1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83.29</v>
      </c>
      <c r="AM1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110.72</v>
      </c>
      <c r="AN1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80.8</v>
      </c>
      <c r="AO1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143.53</v>
      </c>
      <c r="AP120" s="3">
        <f>ABS(Table1[[#This Row],[Team Score]]-Table1[[#This Row],[Opp Team Score]])</f>
        <v>15</v>
      </c>
      <c r="AQ120" s="3">
        <f>SUM(Table1[[#This Row],[Team Score]], Table1[[#This Row],[Opp Team Score]])</f>
        <v>57</v>
      </c>
      <c r="AR1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46.260000000000019</v>
      </c>
      <c r="AS120" s="3">
        <f>IF(Table1[[#This Row],[Efficiency Difference]] = " ", " ", ROUND((Table1[[#This Row],[Winning Margin]]*100)/Table1[[#This Row],[Efficiency Difference]], 2))</f>
        <v>32.43</v>
      </c>
    </row>
    <row r="121" spans="1:45">
      <c r="A121" t="s">
        <v>48</v>
      </c>
      <c r="B121">
        <v>107</v>
      </c>
      <c r="C121">
        <v>36</v>
      </c>
      <c r="D121">
        <v>270</v>
      </c>
      <c r="E121">
        <v>36</v>
      </c>
      <c r="F121">
        <v>4</v>
      </c>
      <c r="G121">
        <v>19</v>
      </c>
      <c r="H121">
        <v>1</v>
      </c>
      <c r="I121">
        <v>100</v>
      </c>
      <c r="J121">
        <v>31</v>
      </c>
      <c r="K121">
        <v>1</v>
      </c>
      <c r="L121">
        <v>0</v>
      </c>
      <c r="M121" t="s">
        <v>56</v>
      </c>
      <c r="N121">
        <v>157</v>
      </c>
      <c r="O121">
        <v>33</v>
      </c>
      <c r="P121">
        <v>474</v>
      </c>
      <c r="Q121">
        <v>50</v>
      </c>
      <c r="R121">
        <v>3</v>
      </c>
      <c r="S121">
        <v>28</v>
      </c>
      <c r="T121">
        <v>0</v>
      </c>
      <c r="U121">
        <v>108</v>
      </c>
      <c r="V121">
        <v>32</v>
      </c>
      <c r="W121">
        <v>0</v>
      </c>
      <c r="X121">
        <v>0</v>
      </c>
      <c r="Y121" t="s">
        <v>16</v>
      </c>
      <c r="Z121">
        <v>2</v>
      </c>
      <c r="AA121">
        <f>IF(AND(Table1[[#This Row],[Throw Out Pass Eff]]="N", Table1[[#This Row],[Against FCS Team]]="N"), ROUND(((5.45 * D121) + (150 * F121) + (100 * G121) - (300 * H121)) / E121, 2), " ")</f>
        <v>101.99</v>
      </c>
      <c r="AB121">
        <f>IF(AND(Table1[[#This Row],[Throw Out Pass Def Eff]]="N", Table1[[#This Row],[Against FCS Team]]="N"),200 - ROUND(((5.45 * P121) + (150 * R121) + (100 * S121) - (300 * T121)) / Q121, 2), " ")</f>
        <v>83.33</v>
      </c>
      <c r="AC121">
        <f>IF(AND(Table1[[#This Row],[Throw Out Rush Eff]]="N", Table1[[#This Row],[Against FCS Team]]="N"), ROUND(((23.2 * I121) + (150 * K121) - (300 * L121)) / J121, 2), " ")</f>
        <v>79.680000000000007</v>
      </c>
      <c r="AD121" s="3">
        <f>IF(AND(Table1[[#This Row],[Throw Out Rush Def Eff]]="N", Table1[[#This Row],[Against FCS Team]]="N"), 200 - ROUND(((23.2 * U121) + (150 * W121) - (300 * X121)) / V121, 2), " ")</f>
        <v>121.7</v>
      </c>
      <c r="AE121" s="3">
        <f>ROUND(Table1[[#This Row],[Opp Passing Attempts]]/(Table1[[#This Row],[Opp Passing Attempts]]+Table1[[#This Row],[Opp Rushing Attempts]]), 2)</f>
        <v>0.61</v>
      </c>
      <c r="AF121" s="3">
        <f>1-Table1[[#This Row],[Passing Weight]]</f>
        <v>0.39</v>
      </c>
      <c r="AG121" s="3" t="str">
        <f>IF(COUNTIF(A:A,Table1[[#This Row],[Opp Team Name]]) &gt; 0, "N", "Y")</f>
        <v>N</v>
      </c>
      <c r="AH121" s="3" t="str">
        <f>IF(Table1[[#This Row],[Passing Attempts]] &lt;15, "Y", "N")</f>
        <v>N</v>
      </c>
      <c r="AI121" s="3" t="str">
        <f>IF(Table1[[#This Row],[Rushing Attempts]] &lt; 15, "Y", "N")</f>
        <v>N</v>
      </c>
      <c r="AJ121" s="3" t="str">
        <f>IF(Table1[[#This Row],[Opp Passing Attempts]]&lt;15, "Y", "N")</f>
        <v>N</v>
      </c>
      <c r="AK121" s="3" t="str">
        <f>IF(Table1[[#This Row],[Opp Rushing Attempts]]&lt;15, "Y", "N")</f>
        <v>N</v>
      </c>
      <c r="AL1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87.74</v>
      </c>
      <c r="AM1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77.55</v>
      </c>
      <c r="AN1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67.12</v>
      </c>
      <c r="AO1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82.37</v>
      </c>
      <c r="AP121" s="3">
        <f>ABS(Table1[[#This Row],[Team Score]]-Table1[[#This Row],[Opp Team Score]])</f>
        <v>3</v>
      </c>
      <c r="AQ121" s="3">
        <f>SUM(Table1[[#This Row],[Team Score]], Table1[[#This Row],[Opp Team Score]])</f>
        <v>69</v>
      </c>
      <c r="AR1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13.299999999999983</v>
      </c>
      <c r="AS121" s="3">
        <f>IF(Table1[[#This Row],[Efficiency Difference]] = " ", " ", ROUND((Table1[[#This Row],[Winning Margin]]*100)/Table1[[#This Row],[Efficiency Difference]], 2))</f>
        <v>22.56</v>
      </c>
    </row>
    <row r="122" spans="1:45">
      <c r="A122" t="s">
        <v>48</v>
      </c>
      <c r="B122">
        <v>107</v>
      </c>
      <c r="C122">
        <v>23</v>
      </c>
      <c r="D122">
        <v>349</v>
      </c>
      <c r="E122">
        <v>43</v>
      </c>
      <c r="F122">
        <v>1</v>
      </c>
      <c r="G122">
        <v>23</v>
      </c>
      <c r="H122">
        <v>0</v>
      </c>
      <c r="I122">
        <v>108</v>
      </c>
      <c r="J122">
        <v>33</v>
      </c>
      <c r="K122">
        <v>1</v>
      </c>
      <c r="L122">
        <v>0</v>
      </c>
      <c r="M122" t="s">
        <v>158</v>
      </c>
      <c r="N122">
        <v>756</v>
      </c>
      <c r="O122">
        <v>31</v>
      </c>
      <c r="P122">
        <v>292</v>
      </c>
      <c r="Q122">
        <v>25</v>
      </c>
      <c r="R122">
        <v>3</v>
      </c>
      <c r="S122">
        <v>19</v>
      </c>
      <c r="T122">
        <v>0</v>
      </c>
      <c r="U122">
        <v>117</v>
      </c>
      <c r="V122">
        <v>34</v>
      </c>
      <c r="W122">
        <v>1</v>
      </c>
      <c r="X122">
        <v>2</v>
      </c>
      <c r="Y122" t="s">
        <v>19</v>
      </c>
      <c r="Z122">
        <v>4</v>
      </c>
      <c r="AA122">
        <f>IF(AND(Table1[[#This Row],[Throw Out Pass Eff]]="N", Table1[[#This Row],[Against FCS Team]]="N"), ROUND(((5.45 * D122) + (150 * F122) + (100 * G122) - (300 * H122)) / E122, 2), " ")</f>
        <v>101.21</v>
      </c>
      <c r="AB122">
        <f>IF(AND(Table1[[#This Row],[Throw Out Pass Def Eff]]="N", Table1[[#This Row],[Against FCS Team]]="N"),200 - ROUND(((5.45 * P122) + (150 * R122) + (100 * S122) - (300 * T122)) / Q122, 2), " ")</f>
        <v>42.34</v>
      </c>
      <c r="AC122">
        <f>IF(AND(Table1[[#This Row],[Throw Out Rush Eff]]="N", Table1[[#This Row],[Against FCS Team]]="N"), ROUND(((23.2 * I122) + (150 * K122) - (300 * L122)) / J122, 2), " ")</f>
        <v>80.47</v>
      </c>
      <c r="AD122" s="3">
        <f>IF(AND(Table1[[#This Row],[Throw Out Rush Def Eff]]="N", Table1[[#This Row],[Against FCS Team]]="N"), 200 - ROUND(((23.2 * U122) + (150 * W122) - (300 * X122)) / V122, 2), " ")</f>
        <v>133.4</v>
      </c>
      <c r="AE122" s="3">
        <f>ROUND(Table1[[#This Row],[Opp Passing Attempts]]/(Table1[[#This Row],[Opp Passing Attempts]]+Table1[[#This Row],[Opp Rushing Attempts]]), 2)</f>
        <v>0.42</v>
      </c>
      <c r="AF122" s="3">
        <f>1-Table1[[#This Row],[Passing Weight]]</f>
        <v>0.58000000000000007</v>
      </c>
      <c r="AG122" s="3" t="str">
        <f>IF(COUNTIF(A:A,Table1[[#This Row],[Opp Team Name]]) &gt; 0, "N", "Y")</f>
        <v>N</v>
      </c>
      <c r="AH122" s="3" t="str">
        <f>IF(Table1[[#This Row],[Passing Attempts]] &lt;15, "Y", "N")</f>
        <v>N</v>
      </c>
      <c r="AI122" s="3" t="str">
        <f>IF(Table1[[#This Row],[Rushing Attempts]] &lt; 15, "Y", "N")</f>
        <v>N</v>
      </c>
      <c r="AJ122" s="3" t="str">
        <f>IF(Table1[[#This Row],[Opp Passing Attempts]]&lt;15, "Y", "N")</f>
        <v>N</v>
      </c>
      <c r="AK122" s="3" t="str">
        <f>IF(Table1[[#This Row],[Opp Rushing Attempts]]&lt;15, "Y", "N")</f>
        <v>N</v>
      </c>
      <c r="AL1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94.98</v>
      </c>
      <c r="AM1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53.24</v>
      </c>
      <c r="AN1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83.73</v>
      </c>
      <c r="AO1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157.63</v>
      </c>
      <c r="AP122" s="3">
        <f>ABS(Table1[[#This Row],[Team Score]]-Table1[[#This Row],[Opp Team Score]])</f>
        <v>8</v>
      </c>
      <c r="AQ122" s="3">
        <f>SUM(Table1[[#This Row],[Team Score]], Table1[[#This Row],[Opp Team Score]])</f>
        <v>54</v>
      </c>
      <c r="AR1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42.579999999999984</v>
      </c>
      <c r="AS122" s="3">
        <f>IF(Table1[[#This Row],[Efficiency Difference]] = " ", " ", ROUND((Table1[[#This Row],[Winning Margin]]*100)/Table1[[#This Row],[Efficiency Difference]], 2))</f>
        <v>18.79</v>
      </c>
    </row>
    <row r="123" spans="1:45">
      <c r="A123" t="s">
        <v>48</v>
      </c>
      <c r="B123">
        <v>107</v>
      </c>
      <c r="C123">
        <v>15</v>
      </c>
      <c r="D123">
        <v>321</v>
      </c>
      <c r="E123">
        <v>60</v>
      </c>
      <c r="F123">
        <v>1</v>
      </c>
      <c r="G123">
        <v>28</v>
      </c>
      <c r="H123">
        <v>0</v>
      </c>
      <c r="I123">
        <v>144</v>
      </c>
      <c r="J123">
        <v>27</v>
      </c>
      <c r="K123">
        <v>0</v>
      </c>
      <c r="L123">
        <v>0</v>
      </c>
      <c r="M123" t="s">
        <v>93</v>
      </c>
      <c r="N123">
        <v>529</v>
      </c>
      <c r="O123">
        <v>43</v>
      </c>
      <c r="P123">
        <v>198</v>
      </c>
      <c r="Q123">
        <v>25</v>
      </c>
      <c r="R123">
        <v>3</v>
      </c>
      <c r="S123">
        <v>13</v>
      </c>
      <c r="T123">
        <v>1</v>
      </c>
      <c r="U123">
        <v>365</v>
      </c>
      <c r="V123">
        <v>51</v>
      </c>
      <c r="W123">
        <v>3</v>
      </c>
      <c r="X123">
        <v>0</v>
      </c>
      <c r="Y123" t="s">
        <v>19</v>
      </c>
      <c r="Z123">
        <v>6</v>
      </c>
      <c r="AA123">
        <f>IF(AND(Table1[[#This Row],[Throw Out Pass Eff]]="N", Table1[[#This Row],[Against FCS Team]]="N"), ROUND(((5.45 * D123) + (150 * F123) + (100 * G123) - (300 * H123)) / E123, 2), " ")</f>
        <v>78.319999999999993</v>
      </c>
      <c r="AB123">
        <f>IF(AND(Table1[[#This Row],[Throw Out Pass Def Eff]]="N", Table1[[#This Row],[Against FCS Team]]="N"),200 - ROUND(((5.45 * P123) + (150 * R123) + (100 * S123) - (300 * T123)) / Q123, 2), " ")</f>
        <v>98.84</v>
      </c>
      <c r="AC123">
        <f>IF(AND(Table1[[#This Row],[Throw Out Rush Eff]]="N", Table1[[#This Row],[Against FCS Team]]="N"), ROUND(((23.2 * I123) + (150 * K123) - (300 * L123)) / J123, 2), " ")</f>
        <v>123.73</v>
      </c>
      <c r="AD123" s="3">
        <f>IF(AND(Table1[[#This Row],[Throw Out Rush Def Eff]]="N", Table1[[#This Row],[Against FCS Team]]="N"), 200 - ROUND(((23.2 * U123) + (150 * W123) - (300 * X123)) / V123, 2), " ")</f>
        <v>25.139999999999986</v>
      </c>
      <c r="AE123" s="3">
        <f>ROUND(Table1[[#This Row],[Opp Passing Attempts]]/(Table1[[#This Row],[Opp Passing Attempts]]+Table1[[#This Row],[Opp Rushing Attempts]]), 2)</f>
        <v>0.33</v>
      </c>
      <c r="AF123" s="3">
        <f>1-Table1[[#This Row],[Passing Weight]]</f>
        <v>0.66999999999999993</v>
      </c>
      <c r="AG123" s="3" t="str">
        <f>IF(COUNTIF(A:A,Table1[[#This Row],[Opp Team Name]]) &gt; 0, "N", "Y")</f>
        <v>N</v>
      </c>
      <c r="AH123" s="3" t="str">
        <f>IF(Table1[[#This Row],[Passing Attempts]] &lt;15, "Y", "N")</f>
        <v>N</v>
      </c>
      <c r="AI123" s="3" t="str">
        <f>IF(Table1[[#This Row],[Rushing Attempts]] &lt; 15, "Y", "N")</f>
        <v>N</v>
      </c>
      <c r="AJ123" s="3" t="str">
        <f>IF(Table1[[#This Row],[Opp Passing Attempts]]&lt;15, "Y", "N")</f>
        <v>N</v>
      </c>
      <c r="AK123" s="3" t="str">
        <f>IF(Table1[[#This Row],[Opp Rushing Attempts]]&lt;15, "Y", "N")</f>
        <v>N</v>
      </c>
      <c r="AL1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93.71</v>
      </c>
      <c r="AM1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109.77</v>
      </c>
      <c r="AN1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</v>
      </c>
      <c r="AO1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40.08</v>
      </c>
      <c r="AP123" s="3">
        <f>ABS(Table1[[#This Row],[Team Score]]-Table1[[#This Row],[Opp Team Score]])</f>
        <v>28</v>
      </c>
      <c r="AQ123" s="3">
        <f>SUM(Table1[[#This Row],[Team Score]], Table1[[#This Row],[Opp Team Score]])</f>
        <v>58</v>
      </c>
      <c r="AR1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73.96999999999997</v>
      </c>
      <c r="AS123" s="3">
        <f>IF(Table1[[#This Row],[Efficiency Difference]] = " ", " ", ROUND((Table1[[#This Row],[Winning Margin]]*100)/Table1[[#This Row],[Efficiency Difference]], 2))</f>
        <v>37.85</v>
      </c>
    </row>
    <row r="124" spans="1:45">
      <c r="A124" t="s">
        <v>48</v>
      </c>
      <c r="B124">
        <v>107</v>
      </c>
      <c r="C124">
        <v>9</v>
      </c>
      <c r="D124">
        <v>294</v>
      </c>
      <c r="E124">
        <v>43</v>
      </c>
      <c r="F124">
        <v>0</v>
      </c>
      <c r="G124">
        <v>25</v>
      </c>
      <c r="H124">
        <v>3</v>
      </c>
      <c r="I124">
        <v>35</v>
      </c>
      <c r="J124">
        <v>26</v>
      </c>
      <c r="K124">
        <v>1</v>
      </c>
      <c r="L124">
        <v>2</v>
      </c>
      <c r="M124" t="s">
        <v>103</v>
      </c>
      <c r="N124">
        <v>657</v>
      </c>
      <c r="O124">
        <v>30</v>
      </c>
      <c r="P124">
        <v>195</v>
      </c>
      <c r="Q124">
        <v>35</v>
      </c>
      <c r="R124">
        <v>2</v>
      </c>
      <c r="S124">
        <v>19</v>
      </c>
      <c r="T124">
        <v>0</v>
      </c>
      <c r="U124">
        <v>118</v>
      </c>
      <c r="V124">
        <v>37</v>
      </c>
      <c r="W124">
        <v>1</v>
      </c>
      <c r="X124">
        <v>2</v>
      </c>
      <c r="Y124" t="s">
        <v>19</v>
      </c>
      <c r="Z124">
        <v>7</v>
      </c>
      <c r="AA124">
        <f>IF(AND(Table1[[#This Row],[Throw Out Pass Eff]]="N", Table1[[#This Row],[Against FCS Team]]="N"), ROUND(((5.45 * D124) + (150 * F124) + (100 * G124) - (300 * H124)) / E124, 2), " ")</f>
        <v>74.47</v>
      </c>
      <c r="AB124">
        <f>IF(AND(Table1[[#This Row],[Throw Out Pass Def Eff]]="N", Table1[[#This Row],[Against FCS Team]]="N"),200 - ROUND(((5.45 * P124) + (150 * R124) + (100 * S124) - (300 * T124)) / Q124, 2), " ")</f>
        <v>106.78</v>
      </c>
      <c r="AC124">
        <f>IF(AND(Table1[[#This Row],[Throw Out Rush Eff]]="N", Table1[[#This Row],[Against FCS Team]]="N"), ROUND(((23.2 * I124) + (150 * K124) - (300 * L124)) / J124, 2), " ")</f>
        <v>13.92</v>
      </c>
      <c r="AD124" s="3">
        <f>IF(AND(Table1[[#This Row],[Throw Out Rush Def Eff]]="N", Table1[[#This Row],[Against FCS Team]]="N"), 200 - ROUND(((23.2 * U124) + (150 * W124) - (300 * X124)) / V124, 2), " ")</f>
        <v>138.17000000000002</v>
      </c>
      <c r="AE124" s="3">
        <f>ROUND(Table1[[#This Row],[Opp Passing Attempts]]/(Table1[[#This Row],[Opp Passing Attempts]]+Table1[[#This Row],[Opp Rushing Attempts]]), 2)</f>
        <v>0.49</v>
      </c>
      <c r="AF124" s="3">
        <f>1-Table1[[#This Row],[Passing Weight]]</f>
        <v>0.51</v>
      </c>
      <c r="AG124" s="3" t="str">
        <f>IF(COUNTIF(A:A,Table1[[#This Row],[Opp Team Name]]) &gt; 0, "N", "Y")</f>
        <v>N</v>
      </c>
      <c r="AH124" s="3" t="str">
        <f>IF(Table1[[#This Row],[Passing Attempts]] &lt;15, "Y", "N")</f>
        <v>N</v>
      </c>
      <c r="AI124" s="3" t="str">
        <f>IF(Table1[[#This Row],[Rushing Attempts]] &lt; 15, "Y", "N")</f>
        <v>N</v>
      </c>
      <c r="AJ124" s="3" t="str">
        <f>IF(Table1[[#This Row],[Opp Passing Attempts]]&lt;15, "Y", "N")</f>
        <v>N</v>
      </c>
      <c r="AK124" s="3" t="str">
        <f>IF(Table1[[#This Row],[Opp Rushing Attempts]]&lt;15, "Y", "N")</f>
        <v>N</v>
      </c>
      <c r="AL1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75.69</v>
      </c>
      <c r="AM1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123.25</v>
      </c>
      <c r="AN1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17.399999999999999</v>
      </c>
      <c r="AO1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126.74</v>
      </c>
      <c r="AP124" s="3">
        <f>ABS(Table1[[#This Row],[Team Score]]-Table1[[#This Row],[Opp Team Score]])</f>
        <v>21</v>
      </c>
      <c r="AQ124" s="3">
        <f>SUM(Table1[[#This Row],[Team Score]], Table1[[#This Row],[Opp Team Score]])</f>
        <v>39</v>
      </c>
      <c r="AR1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66.659999999999982</v>
      </c>
      <c r="AS124" s="3">
        <f>IF(Table1[[#This Row],[Efficiency Difference]] = " ", " ", ROUND((Table1[[#This Row],[Winning Margin]]*100)/Table1[[#This Row],[Efficiency Difference]], 2))</f>
        <v>31.5</v>
      </c>
    </row>
    <row r="125" spans="1:45">
      <c r="A125" t="s">
        <v>48</v>
      </c>
      <c r="B125">
        <v>107</v>
      </c>
      <c r="C125">
        <v>34</v>
      </c>
      <c r="D125">
        <v>255</v>
      </c>
      <c r="E125">
        <v>29</v>
      </c>
      <c r="F125">
        <v>1</v>
      </c>
      <c r="G125">
        <v>19</v>
      </c>
      <c r="H125">
        <v>0</v>
      </c>
      <c r="I125">
        <v>129</v>
      </c>
      <c r="J125">
        <v>42</v>
      </c>
      <c r="K125">
        <v>2</v>
      </c>
      <c r="L125">
        <v>0</v>
      </c>
      <c r="M125" t="s">
        <v>146</v>
      </c>
      <c r="N125">
        <v>732</v>
      </c>
      <c r="O125">
        <v>10</v>
      </c>
      <c r="P125">
        <v>165</v>
      </c>
      <c r="Q125">
        <v>24</v>
      </c>
      <c r="R125">
        <v>0</v>
      </c>
      <c r="S125">
        <v>12</v>
      </c>
      <c r="T125">
        <v>3</v>
      </c>
      <c r="U125">
        <v>13</v>
      </c>
      <c r="V125">
        <v>26</v>
      </c>
      <c r="W125">
        <v>1</v>
      </c>
      <c r="X125">
        <v>1</v>
      </c>
      <c r="Y125" t="s">
        <v>16</v>
      </c>
      <c r="Z125">
        <v>8</v>
      </c>
      <c r="AA125" s="3">
        <f>IF(AND(Table1[[#This Row],[Throw Out Pass Eff]]="N", Table1[[#This Row],[Against FCS Team]]="N"), ROUND(((5.45 * D125) + (150 * F125) + (100 * G125) - (300 * H125)) / E125, 2), " ")</f>
        <v>118.61</v>
      </c>
      <c r="AB125" s="3">
        <f>IF(AND(Table1[[#This Row],[Throw Out Pass Def Eff]]="N", Table1[[#This Row],[Against FCS Team]]="N"),200 - ROUND(((5.45 * P125) + (150 * R125) + (100 * S125) - (300 * T125)) / Q125, 2), " ")</f>
        <v>150.03</v>
      </c>
      <c r="AC125" s="3">
        <f>IF(AND(Table1[[#This Row],[Throw Out Rush Eff]]="N", Table1[[#This Row],[Against FCS Team]]="N"), ROUND(((23.2 * I125) + (150 * K125) - (300 * L125)) / J125, 2), " ")</f>
        <v>78.400000000000006</v>
      </c>
      <c r="AD125" s="3">
        <f>IF(AND(Table1[[#This Row],[Throw Out Rush Def Eff]]="N", Table1[[#This Row],[Against FCS Team]]="N"), 200 - ROUND(((23.2 * U125) + (150 * W125) - (300 * X125)) / V125, 2), " ")</f>
        <v>194.17</v>
      </c>
      <c r="AE125" s="3">
        <f>ROUND(Table1[[#This Row],[Opp Passing Attempts]]/(Table1[[#This Row],[Opp Passing Attempts]]+Table1[[#This Row],[Opp Rushing Attempts]]), 2)</f>
        <v>0.48</v>
      </c>
      <c r="AF125" s="3">
        <f>1-Table1[[#This Row],[Passing Weight]]</f>
        <v>0.52</v>
      </c>
      <c r="AG125" s="3" t="str">
        <f>IF(COUNTIF(A:A,Table1[[#This Row],[Opp Team Name]]) &gt; 0, "N", "Y")</f>
        <v>N</v>
      </c>
      <c r="AH125" s="3" t="str">
        <f>IF(Table1[[#This Row],[Passing Attempts]] &lt;15, "Y", "N")</f>
        <v>N</v>
      </c>
      <c r="AI125" s="3" t="str">
        <f>IF(Table1[[#This Row],[Rushing Attempts]] &lt; 15, "Y", "N")</f>
        <v>N</v>
      </c>
      <c r="AJ125" s="3" t="str">
        <f>IF(Table1[[#This Row],[Opp Passing Attempts]]&lt;15, "Y", "N")</f>
        <v>N</v>
      </c>
      <c r="AK125" s="3" t="str">
        <f>IF(Table1[[#This Row],[Opp Rushing Attempts]]&lt;15, "Y", "N")</f>
        <v>N</v>
      </c>
      <c r="AL1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126.66</v>
      </c>
      <c r="AM1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125.44</v>
      </c>
      <c r="AN1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120.07</v>
      </c>
      <c r="AO1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109.58</v>
      </c>
      <c r="AP125" s="3">
        <f>ABS(Table1[[#This Row],[Team Score]]-Table1[[#This Row],[Opp Team Score]])</f>
        <v>24</v>
      </c>
      <c r="AQ125" s="3">
        <f>SUM(Table1[[#This Row],[Team Score]], Table1[[#This Row],[Opp Team Score]])</f>
        <v>44</v>
      </c>
      <c r="AR1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141.20999999999998</v>
      </c>
      <c r="AS125" s="3">
        <f>IF(Table1[[#This Row],[Efficiency Difference]] = " ", " ", ROUND((Table1[[#This Row],[Winning Margin]]*100)/Table1[[#This Row],[Efficiency Difference]], 2))</f>
        <v>17</v>
      </c>
    </row>
    <row r="126" spans="1:45">
      <c r="A126" t="s">
        <v>50</v>
      </c>
      <c r="B126">
        <v>129</v>
      </c>
      <c r="C126">
        <v>21</v>
      </c>
      <c r="D126">
        <v>168</v>
      </c>
      <c r="E126">
        <v>27</v>
      </c>
      <c r="F126">
        <v>2</v>
      </c>
      <c r="G126">
        <v>14</v>
      </c>
      <c r="H126">
        <v>2</v>
      </c>
      <c r="I126">
        <v>88</v>
      </c>
      <c r="J126">
        <v>35</v>
      </c>
      <c r="K126">
        <v>1</v>
      </c>
      <c r="L126">
        <v>0</v>
      </c>
      <c r="M126" t="s">
        <v>51</v>
      </c>
      <c r="N126">
        <v>647</v>
      </c>
      <c r="O126">
        <v>6</v>
      </c>
      <c r="P126">
        <v>78</v>
      </c>
      <c r="Q126">
        <v>26</v>
      </c>
      <c r="R126">
        <v>0</v>
      </c>
      <c r="S126">
        <v>12</v>
      </c>
      <c r="T126">
        <v>0</v>
      </c>
      <c r="U126">
        <v>59</v>
      </c>
      <c r="V126">
        <v>43</v>
      </c>
      <c r="W126">
        <v>0</v>
      </c>
      <c r="X126">
        <v>0</v>
      </c>
      <c r="Y126" t="s">
        <v>16</v>
      </c>
      <c r="Z126">
        <v>1</v>
      </c>
      <c r="AA126" t="str">
        <f>IF(AND(Table1[[#This Row],[Throw Out Pass Eff]]="N", Table1[[#This Row],[Against FCS Team]]="N"), ROUND(((5.45 * D126) + (150 * F126) + (100 * G126) - (300 * H126)) / E126, 2), " ")</f>
        <v xml:space="preserve"> </v>
      </c>
      <c r="AB126" t="str">
        <f>IF(AND(Table1[[#This Row],[Throw Out Pass Def Eff]]="N", Table1[[#This Row],[Against FCS Team]]="N"),200 - ROUND(((5.45 * P126) + (150 * R126) + (100 * S126) - (300 * T126)) / Q126, 2), " ")</f>
        <v xml:space="preserve"> </v>
      </c>
      <c r="AC126" t="str">
        <f>IF(AND(Table1[[#This Row],[Throw Out Rush Eff]]="N", Table1[[#This Row],[Against FCS Team]]="N"), ROUND(((23.2 * I126) + (150 * K126) - (300 * L126)) / J126, 2), " ")</f>
        <v xml:space="preserve"> </v>
      </c>
      <c r="AD126" s="3" t="str">
        <f>IF(AND(Table1[[#This Row],[Throw Out Rush Def Eff]]="N", Table1[[#This Row],[Against FCS Team]]="N"), 200 - ROUND(((23.2 * U126) + (150 * W126) - (300 * X126)) / V126, 2), " ")</f>
        <v xml:space="preserve"> </v>
      </c>
      <c r="AE126" s="3">
        <f>ROUND(Table1[[#This Row],[Opp Passing Attempts]]/(Table1[[#This Row],[Opp Passing Attempts]]+Table1[[#This Row],[Opp Rushing Attempts]]), 2)</f>
        <v>0.38</v>
      </c>
      <c r="AF126" s="3">
        <f>1-Table1[[#This Row],[Passing Weight]]</f>
        <v>0.62</v>
      </c>
      <c r="AG126" s="3" t="str">
        <f>IF(COUNTIF(A:A,Table1[[#This Row],[Opp Team Name]]) &gt; 0, "N", "Y")</f>
        <v>Y</v>
      </c>
      <c r="AH126" s="3" t="str">
        <f>IF(Table1[[#This Row],[Passing Attempts]] &lt;15, "Y", "N")</f>
        <v>N</v>
      </c>
      <c r="AI126" s="3" t="str">
        <f>IF(Table1[[#This Row],[Rushing Attempts]] &lt; 15, "Y", "N")</f>
        <v>N</v>
      </c>
      <c r="AJ126" s="3" t="str">
        <f>IF(Table1[[#This Row],[Opp Passing Attempts]]&lt;15, "Y", "N")</f>
        <v>N</v>
      </c>
      <c r="AK126" s="3" t="str">
        <f>IF(Table1[[#This Row],[Opp Rushing Attempts]]&lt;15, "Y", "N")</f>
        <v>N</v>
      </c>
      <c r="AL126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2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26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2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26" s="3">
        <f>ABS(Table1[[#This Row],[Team Score]]-Table1[[#This Row],[Opp Team Score]])</f>
        <v>15</v>
      </c>
      <c r="AQ126" s="3">
        <f>SUM(Table1[[#This Row],[Team Score]], Table1[[#This Row],[Opp Team Score]])</f>
        <v>27</v>
      </c>
      <c r="AR12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26" s="3" t="str">
        <f>IF(Table1[[#This Row],[Efficiency Difference]] = " ", " ", ROUND((Table1[[#This Row],[Winning Margin]]*100)/Table1[[#This Row],[Efficiency Difference]], 2))</f>
        <v xml:space="preserve"> </v>
      </c>
    </row>
    <row r="127" spans="1:45">
      <c r="A127" t="s">
        <v>50</v>
      </c>
      <c r="B127">
        <v>129</v>
      </c>
      <c r="C127">
        <v>13</v>
      </c>
      <c r="D127">
        <v>295</v>
      </c>
      <c r="E127">
        <v>45</v>
      </c>
      <c r="F127">
        <v>1</v>
      </c>
      <c r="G127">
        <v>24</v>
      </c>
      <c r="H127">
        <v>2</v>
      </c>
      <c r="I127">
        <v>88</v>
      </c>
      <c r="J127">
        <v>32</v>
      </c>
      <c r="K127">
        <v>0</v>
      </c>
      <c r="L127">
        <v>0</v>
      </c>
      <c r="M127" t="s">
        <v>84</v>
      </c>
      <c r="N127">
        <v>334</v>
      </c>
      <c r="O127">
        <v>27</v>
      </c>
      <c r="P127">
        <v>114</v>
      </c>
      <c r="Q127">
        <v>18</v>
      </c>
      <c r="R127">
        <v>1</v>
      </c>
      <c r="S127">
        <v>9</v>
      </c>
      <c r="T127">
        <v>1</v>
      </c>
      <c r="U127">
        <v>230</v>
      </c>
      <c r="V127">
        <v>37</v>
      </c>
      <c r="W127">
        <v>2</v>
      </c>
      <c r="X127">
        <v>1</v>
      </c>
      <c r="Y127" t="s">
        <v>19</v>
      </c>
      <c r="Z127">
        <v>2</v>
      </c>
      <c r="AA127">
        <f>IF(AND(Table1[[#This Row],[Throw Out Pass Eff]]="N", Table1[[#This Row],[Against FCS Team]]="N"), ROUND(((5.45 * D127) + (150 * F127) + (100 * G127) - (300 * H127)) / E127, 2), " ")</f>
        <v>79.06</v>
      </c>
      <c r="AB127">
        <f>IF(AND(Table1[[#This Row],[Throw Out Pass Def Eff]]="N", Table1[[#This Row],[Against FCS Team]]="N"),200 - ROUND(((5.45 * P127) + (150 * R127) + (100 * S127) - (300 * T127)) / Q127, 2), " ")</f>
        <v>123.82</v>
      </c>
      <c r="AC127">
        <f>IF(AND(Table1[[#This Row],[Throw Out Rush Eff]]="N", Table1[[#This Row],[Against FCS Team]]="N"), ROUND(((23.2 * I127) + (150 * K127) - (300 * L127)) / J127, 2), " ")</f>
        <v>63.8</v>
      </c>
      <c r="AD127" s="3">
        <f>IF(AND(Table1[[#This Row],[Throw Out Rush Def Eff]]="N", Table1[[#This Row],[Against FCS Team]]="N"), 200 - ROUND(((23.2 * U127) + (150 * W127) - (300 * X127)) / V127, 2), " ")</f>
        <v>55.78</v>
      </c>
      <c r="AE127" s="3">
        <f>ROUND(Table1[[#This Row],[Opp Passing Attempts]]/(Table1[[#This Row],[Opp Passing Attempts]]+Table1[[#This Row],[Opp Rushing Attempts]]), 2)</f>
        <v>0.33</v>
      </c>
      <c r="AF127" s="3">
        <f>1-Table1[[#This Row],[Passing Weight]]</f>
        <v>0.66999999999999993</v>
      </c>
      <c r="AG127" s="3" t="str">
        <f>IF(COUNTIF(A:A,Table1[[#This Row],[Opp Team Name]]) &gt; 0, "N", "Y")</f>
        <v>N</v>
      </c>
      <c r="AH127" s="3" t="str">
        <f>IF(Table1[[#This Row],[Passing Attempts]] &lt;15, "Y", "N")</f>
        <v>N</v>
      </c>
      <c r="AI127" s="3" t="str">
        <f>IF(Table1[[#This Row],[Rushing Attempts]] &lt; 15, "Y", "N")</f>
        <v>N</v>
      </c>
      <c r="AJ127" s="3" t="str">
        <f>IF(Table1[[#This Row],[Opp Passing Attempts]]&lt;15, "Y", "N")</f>
        <v>N</v>
      </c>
      <c r="AK127" s="3" t="str">
        <f>IF(Table1[[#This Row],[Opp Rushing Attempts]]&lt;15, "Y", "N")</f>
        <v>N</v>
      </c>
      <c r="AL1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93.6</v>
      </c>
      <c r="AM12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59.57</v>
      </c>
      <c r="AN1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54.21</v>
      </c>
      <c r="AO1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36.33</v>
      </c>
      <c r="AP127" s="3">
        <f>ABS(Table1[[#This Row],[Team Score]]-Table1[[#This Row],[Opp Team Score]])</f>
        <v>14</v>
      </c>
      <c r="AQ127" s="3">
        <f>SUM(Table1[[#This Row],[Team Score]], Table1[[#This Row],[Opp Team Score]])</f>
        <v>40</v>
      </c>
      <c r="AR12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77.539999999999992</v>
      </c>
      <c r="AS127" s="3">
        <f>IF(Table1[[#This Row],[Efficiency Difference]] = " ", " ", ROUND((Table1[[#This Row],[Winning Margin]]*100)/Table1[[#This Row],[Efficiency Difference]], 2))</f>
        <v>18.059999999999999</v>
      </c>
    </row>
    <row r="128" spans="1:45">
      <c r="A128" t="s">
        <v>50</v>
      </c>
      <c r="B128">
        <v>129</v>
      </c>
      <c r="C128">
        <v>14</v>
      </c>
      <c r="D128">
        <v>215</v>
      </c>
      <c r="E128">
        <v>36</v>
      </c>
      <c r="F128">
        <v>0</v>
      </c>
      <c r="G128">
        <v>20</v>
      </c>
      <c r="H128">
        <v>0</v>
      </c>
      <c r="I128">
        <v>147</v>
      </c>
      <c r="J128">
        <v>29</v>
      </c>
      <c r="K128">
        <v>1</v>
      </c>
      <c r="L128">
        <v>2</v>
      </c>
      <c r="M128" t="s">
        <v>191</v>
      </c>
      <c r="N128">
        <v>774</v>
      </c>
      <c r="O128">
        <v>44</v>
      </c>
      <c r="P128">
        <v>355</v>
      </c>
      <c r="Q128">
        <v>38</v>
      </c>
      <c r="R128">
        <v>3</v>
      </c>
      <c r="S128">
        <v>28</v>
      </c>
      <c r="T128">
        <v>1</v>
      </c>
      <c r="U128">
        <v>87</v>
      </c>
      <c r="V128">
        <v>33</v>
      </c>
      <c r="W128">
        <v>2</v>
      </c>
      <c r="X128">
        <v>1</v>
      </c>
      <c r="Y128" t="s">
        <v>19</v>
      </c>
      <c r="Z128">
        <v>3</v>
      </c>
      <c r="AA128">
        <f>IF(AND(Table1[[#This Row],[Throw Out Pass Eff]]="N", Table1[[#This Row],[Against FCS Team]]="N"), ROUND(((5.45 * D128) + (150 * F128) + (100 * G128) - (300 * H128)) / E128, 2), " ")</f>
        <v>88.1</v>
      </c>
      <c r="AB128">
        <f>IF(AND(Table1[[#This Row],[Throw Out Pass Def Eff]]="N", Table1[[#This Row],[Against FCS Team]]="N"),200 - ROUND(((5.45 * P128) + (150 * R128) + (100 * S128) - (300 * T128)) / Q128, 2), " ")</f>
        <v>71.449999999999989</v>
      </c>
      <c r="AC128">
        <f>IF(AND(Table1[[#This Row],[Throw Out Rush Eff]]="N", Table1[[#This Row],[Against FCS Team]]="N"), ROUND(((23.2 * I128) + (150 * K128) - (300 * L128)) / J128, 2), " ")</f>
        <v>102.08</v>
      </c>
      <c r="AD128" s="3">
        <f>IF(AND(Table1[[#This Row],[Throw Out Rush Def Eff]]="N", Table1[[#This Row],[Against FCS Team]]="N"), 200 - ROUND(((23.2 * U128) + (150 * W128) - (300 * X128)) / V128, 2), " ")</f>
        <v>138.84</v>
      </c>
      <c r="AE128" s="3">
        <f>ROUND(Table1[[#This Row],[Opp Passing Attempts]]/(Table1[[#This Row],[Opp Passing Attempts]]+Table1[[#This Row],[Opp Rushing Attempts]]), 2)</f>
        <v>0.54</v>
      </c>
      <c r="AF128" s="3">
        <f>1-Table1[[#This Row],[Passing Weight]]</f>
        <v>0.45999999999999996</v>
      </c>
      <c r="AG128" s="3" t="str">
        <f>IF(COUNTIF(A:A,Table1[[#This Row],[Opp Team Name]]) &gt; 0, "N", "Y")</f>
        <v>N</v>
      </c>
      <c r="AH128" s="3" t="str">
        <f>IF(Table1[[#This Row],[Passing Attempts]] &lt;15, "Y", "N")</f>
        <v>N</v>
      </c>
      <c r="AI128" s="3" t="str">
        <f>IF(Table1[[#This Row],[Rushing Attempts]] &lt; 15, "Y", "N")</f>
        <v>N</v>
      </c>
      <c r="AJ128" s="3" t="str">
        <f>IF(Table1[[#This Row],[Opp Passing Attempts]]&lt;15, "Y", "N")</f>
        <v>N</v>
      </c>
      <c r="AK128" s="3" t="str">
        <f>IF(Table1[[#This Row],[Opp Rushing Attempts]]&lt;15, "Y", "N")</f>
        <v>N</v>
      </c>
      <c r="AL1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93.05</v>
      </c>
      <c r="AM1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79.47</v>
      </c>
      <c r="AN1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74.75</v>
      </c>
      <c r="AO1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102.14</v>
      </c>
      <c r="AP128" s="3">
        <f>ABS(Table1[[#This Row],[Team Score]]-Table1[[#This Row],[Opp Team Score]])</f>
        <v>30</v>
      </c>
      <c r="AQ128" s="3">
        <f>SUM(Table1[[#This Row],[Team Score]], Table1[[#This Row],[Opp Team Score]])</f>
        <v>58</v>
      </c>
      <c r="AR1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0.46999999999999886</v>
      </c>
      <c r="AS128" s="3">
        <f>IF(Table1[[#This Row],[Efficiency Difference]] = " ", " ", ROUND((Table1[[#This Row],[Winning Margin]]*100)/Table1[[#This Row],[Efficiency Difference]], 2))</f>
        <v>6382.98</v>
      </c>
    </row>
    <row r="129" spans="1:45">
      <c r="A129" t="s">
        <v>50</v>
      </c>
      <c r="B129">
        <v>129</v>
      </c>
      <c r="C129">
        <v>7</v>
      </c>
      <c r="D129">
        <v>91</v>
      </c>
      <c r="E129">
        <v>33</v>
      </c>
      <c r="F129">
        <v>1</v>
      </c>
      <c r="G129">
        <v>12</v>
      </c>
      <c r="H129">
        <v>4</v>
      </c>
      <c r="I129">
        <v>21</v>
      </c>
      <c r="J129">
        <v>18</v>
      </c>
      <c r="K129">
        <v>0</v>
      </c>
      <c r="L129">
        <v>0</v>
      </c>
      <c r="M129" t="s">
        <v>98</v>
      </c>
      <c r="N129">
        <v>416</v>
      </c>
      <c r="O129">
        <v>45</v>
      </c>
      <c r="P129">
        <v>284</v>
      </c>
      <c r="Q129">
        <v>30</v>
      </c>
      <c r="R129">
        <v>2</v>
      </c>
      <c r="S129">
        <v>20</v>
      </c>
      <c r="T129">
        <v>1</v>
      </c>
      <c r="U129">
        <v>197</v>
      </c>
      <c r="V129">
        <v>47</v>
      </c>
      <c r="W129">
        <v>3</v>
      </c>
      <c r="X129">
        <v>0</v>
      </c>
      <c r="Y129" t="s">
        <v>19</v>
      </c>
      <c r="Z129">
        <v>4</v>
      </c>
      <c r="AA129">
        <f>IF(AND(Table1[[#This Row],[Throw Out Pass Eff]]="N", Table1[[#This Row],[Against FCS Team]]="N"), ROUND(((5.45 * D129) + (150 * F129) + (100 * G129) - (300 * H129)) / E129, 2), " ")</f>
        <v>19.57</v>
      </c>
      <c r="AB129">
        <f>IF(AND(Table1[[#This Row],[Throw Out Pass Def Eff]]="N", Table1[[#This Row],[Against FCS Team]]="N"),200 - ROUND(((5.45 * P129) + (150 * R129) + (100 * S129) - (300 * T129)) / Q129, 2), " ")</f>
        <v>81.739999999999995</v>
      </c>
      <c r="AC129">
        <f>IF(AND(Table1[[#This Row],[Throw Out Rush Eff]]="N", Table1[[#This Row],[Against FCS Team]]="N"), ROUND(((23.2 * I129) + (150 * K129) - (300 * L129)) / J129, 2), " ")</f>
        <v>27.07</v>
      </c>
      <c r="AD129" s="3">
        <f>IF(AND(Table1[[#This Row],[Throw Out Rush Def Eff]]="N", Table1[[#This Row],[Against FCS Team]]="N"), 200 - ROUND(((23.2 * U129) + (150 * W129) - (300 * X129)) / V129, 2), " ")</f>
        <v>93.18</v>
      </c>
      <c r="AE129" s="3">
        <f>ROUND(Table1[[#This Row],[Opp Passing Attempts]]/(Table1[[#This Row],[Opp Passing Attempts]]+Table1[[#This Row],[Opp Rushing Attempts]]), 2)</f>
        <v>0.39</v>
      </c>
      <c r="AF129" s="3">
        <f>1-Table1[[#This Row],[Passing Weight]]</f>
        <v>0.61</v>
      </c>
      <c r="AG129" s="3" t="str">
        <f>IF(COUNTIF(A:A,Table1[[#This Row],[Opp Team Name]]) &gt; 0, "N", "Y")</f>
        <v>N</v>
      </c>
      <c r="AH129" s="3" t="str">
        <f>IF(Table1[[#This Row],[Passing Attempts]] &lt;15, "Y", "N")</f>
        <v>N</v>
      </c>
      <c r="AI129" s="3" t="str">
        <f>IF(Table1[[#This Row],[Rushing Attempts]] &lt; 15, "Y", "N")</f>
        <v>N</v>
      </c>
      <c r="AJ129" s="3" t="str">
        <f>IF(Table1[[#This Row],[Opp Passing Attempts]]&lt;15, "Y", "N")</f>
        <v>N</v>
      </c>
      <c r="AK129" s="3" t="str">
        <f>IF(Table1[[#This Row],[Opp Rushing Attempts]]&lt;15, "Y", "N")</f>
        <v>N</v>
      </c>
      <c r="AL1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24.91</v>
      </c>
      <c r="AM1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88.97</v>
      </c>
      <c r="AN1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39.68</v>
      </c>
      <c r="AO1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69.48</v>
      </c>
      <c r="AP129" s="3">
        <f>ABS(Table1[[#This Row],[Team Score]]-Table1[[#This Row],[Opp Team Score]])</f>
        <v>38</v>
      </c>
      <c r="AQ129" s="3">
        <f>SUM(Table1[[#This Row],[Team Score]], Table1[[#This Row],[Opp Team Score]])</f>
        <v>52</v>
      </c>
      <c r="AR1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178.44</v>
      </c>
      <c r="AS129" s="3">
        <f>IF(Table1[[#This Row],[Efficiency Difference]] = " ", " ", ROUND((Table1[[#This Row],[Winning Margin]]*100)/Table1[[#This Row],[Efficiency Difference]], 2))</f>
        <v>21.3</v>
      </c>
    </row>
    <row r="130" spans="1:45">
      <c r="A130" t="s">
        <v>50</v>
      </c>
      <c r="B130">
        <v>129</v>
      </c>
      <c r="C130">
        <v>48</v>
      </c>
      <c r="D130">
        <v>387</v>
      </c>
      <c r="E130">
        <v>28</v>
      </c>
      <c r="F130">
        <v>4</v>
      </c>
      <c r="G130">
        <v>17</v>
      </c>
      <c r="H130">
        <v>0</v>
      </c>
      <c r="I130">
        <v>176</v>
      </c>
      <c r="J130">
        <v>32</v>
      </c>
      <c r="K130">
        <v>2</v>
      </c>
      <c r="L130">
        <v>0</v>
      </c>
      <c r="M130" t="s">
        <v>31</v>
      </c>
      <c r="N130">
        <v>503</v>
      </c>
      <c r="O130">
        <v>41</v>
      </c>
      <c r="P130">
        <v>370</v>
      </c>
      <c r="Q130">
        <v>51</v>
      </c>
      <c r="R130">
        <v>2</v>
      </c>
      <c r="S130">
        <v>27</v>
      </c>
      <c r="T130">
        <v>2</v>
      </c>
      <c r="U130">
        <v>217</v>
      </c>
      <c r="V130">
        <v>44</v>
      </c>
      <c r="W130">
        <v>2</v>
      </c>
      <c r="X130">
        <v>0</v>
      </c>
      <c r="Y130" t="s">
        <v>16</v>
      </c>
      <c r="Z130">
        <v>5</v>
      </c>
      <c r="AA130">
        <f>IF(AND(Table1[[#This Row],[Throw Out Pass Eff]]="N", Table1[[#This Row],[Against FCS Team]]="N"), ROUND(((5.45 * D130) + (150 * F130) + (100 * G130) - (300 * H130)) / E130, 2), " ")</f>
        <v>157.47</v>
      </c>
      <c r="AB130">
        <f>IF(AND(Table1[[#This Row],[Throw Out Pass Def Eff]]="N", Table1[[#This Row],[Against FCS Team]]="N"),200 - ROUND(((5.45 * P130) + (150 * R130) + (100 * S130) - (300 * T130)) / Q130, 2), " ")</f>
        <v>113.4</v>
      </c>
      <c r="AC130">
        <f>IF(AND(Table1[[#This Row],[Throw Out Rush Eff]]="N", Table1[[#This Row],[Against FCS Team]]="N"), ROUND(((23.2 * I130) + (150 * K130) - (300 * L130)) / J130, 2), " ")</f>
        <v>136.97999999999999</v>
      </c>
      <c r="AD130" s="3">
        <f>IF(AND(Table1[[#This Row],[Throw Out Rush Def Eff]]="N", Table1[[#This Row],[Against FCS Team]]="N"), 200 - ROUND(((23.2 * U130) + (150 * W130) - (300 * X130)) / V130, 2), " ")</f>
        <v>78.760000000000005</v>
      </c>
      <c r="AE130" s="3">
        <f>ROUND(Table1[[#This Row],[Opp Passing Attempts]]/(Table1[[#This Row],[Opp Passing Attempts]]+Table1[[#This Row],[Opp Rushing Attempts]]), 2)</f>
        <v>0.54</v>
      </c>
      <c r="AF130" s="3">
        <f>1-Table1[[#This Row],[Passing Weight]]</f>
        <v>0.45999999999999996</v>
      </c>
      <c r="AG130" s="3" t="str">
        <f>IF(COUNTIF(A:A,Table1[[#This Row],[Opp Team Name]]) &gt; 0, "N", "Y")</f>
        <v>N</v>
      </c>
      <c r="AH130" s="3" t="str">
        <f>IF(Table1[[#This Row],[Passing Attempts]] &lt;15, "Y", "N")</f>
        <v>N</v>
      </c>
      <c r="AI130" s="3" t="str">
        <f>IF(Table1[[#This Row],[Rushing Attempts]] &lt; 15, "Y", "N")</f>
        <v>N</v>
      </c>
      <c r="AJ130" s="3" t="str">
        <f>IF(Table1[[#This Row],[Opp Passing Attempts]]&lt;15, "Y", "N")</f>
        <v>N</v>
      </c>
      <c r="AK130" s="3" t="str">
        <f>IF(Table1[[#This Row],[Opp Rushing Attempts]]&lt;15, "Y", "N")</f>
        <v>N</v>
      </c>
      <c r="AL1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156.09</v>
      </c>
      <c r="AM1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119.35</v>
      </c>
      <c r="AN1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151.4</v>
      </c>
      <c r="AO1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99.82</v>
      </c>
      <c r="AP130" s="3">
        <f>ABS(Table1[[#This Row],[Team Score]]-Table1[[#This Row],[Opp Team Score]])</f>
        <v>7</v>
      </c>
      <c r="AQ130" s="3">
        <f>SUM(Table1[[#This Row],[Team Score]], Table1[[#This Row],[Opp Team Score]])</f>
        <v>89</v>
      </c>
      <c r="AR1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86.610000000000014</v>
      </c>
      <c r="AS130" s="3">
        <f>IF(Table1[[#This Row],[Efficiency Difference]] = " ", " ", ROUND((Table1[[#This Row],[Winning Margin]]*100)/Table1[[#This Row],[Efficiency Difference]], 2))</f>
        <v>8.08</v>
      </c>
    </row>
    <row r="131" spans="1:45">
      <c r="A131" t="s">
        <v>50</v>
      </c>
      <c r="B131">
        <v>129</v>
      </c>
      <c r="C131">
        <v>24</v>
      </c>
      <c r="D131">
        <v>245</v>
      </c>
      <c r="E131">
        <v>32</v>
      </c>
      <c r="F131">
        <v>2</v>
      </c>
      <c r="G131">
        <v>19</v>
      </c>
      <c r="H131">
        <v>4</v>
      </c>
      <c r="I131">
        <v>182</v>
      </c>
      <c r="J131">
        <v>25</v>
      </c>
      <c r="K131">
        <v>1</v>
      </c>
      <c r="L131">
        <v>1</v>
      </c>
      <c r="M131" t="s">
        <v>112</v>
      </c>
      <c r="N131">
        <v>490</v>
      </c>
      <c r="O131">
        <v>38</v>
      </c>
      <c r="P131">
        <v>244</v>
      </c>
      <c r="Q131">
        <v>36</v>
      </c>
      <c r="R131">
        <v>4</v>
      </c>
      <c r="S131">
        <v>20</v>
      </c>
      <c r="T131">
        <v>0</v>
      </c>
      <c r="U131">
        <v>162</v>
      </c>
      <c r="V131">
        <v>45</v>
      </c>
      <c r="W131">
        <v>1</v>
      </c>
      <c r="X131">
        <v>1</v>
      </c>
      <c r="Y131" t="s">
        <v>19</v>
      </c>
      <c r="Z131">
        <v>6</v>
      </c>
      <c r="AA131">
        <f>IF(AND(Table1[[#This Row],[Throw Out Pass Eff]]="N", Table1[[#This Row],[Against FCS Team]]="N"), ROUND(((5.45 * D131) + (150 * F131) + (100 * G131) - (300 * H131)) / E131, 2), " ")</f>
        <v>72.98</v>
      </c>
      <c r="AB131">
        <f>IF(AND(Table1[[#This Row],[Throw Out Pass Def Eff]]="N", Table1[[#This Row],[Against FCS Team]]="N"),200 - ROUND(((5.45 * P131) + (150 * R131) + (100 * S131) - (300 * T131)) / Q131, 2), " ")</f>
        <v>90.84</v>
      </c>
      <c r="AC131">
        <f>IF(AND(Table1[[#This Row],[Throw Out Rush Eff]]="N", Table1[[#This Row],[Against FCS Team]]="N"), ROUND(((23.2 * I131) + (150 * K131) - (300 * L131)) / J131, 2), " ")</f>
        <v>162.9</v>
      </c>
      <c r="AD131" s="3">
        <f>IF(AND(Table1[[#This Row],[Throw Out Rush Def Eff]]="N", Table1[[#This Row],[Against FCS Team]]="N"), 200 - ROUND(((23.2 * U131) + (150 * W131) - (300 * X131)) / V131, 2), " ")</f>
        <v>119.81</v>
      </c>
      <c r="AE131" s="3">
        <f>ROUND(Table1[[#This Row],[Opp Passing Attempts]]/(Table1[[#This Row],[Opp Passing Attempts]]+Table1[[#This Row],[Opp Rushing Attempts]]), 2)</f>
        <v>0.44</v>
      </c>
      <c r="AF131" s="3">
        <f>1-Table1[[#This Row],[Passing Weight]]</f>
        <v>0.56000000000000005</v>
      </c>
      <c r="AG131" s="3" t="str">
        <f>IF(COUNTIF(A:A,Table1[[#This Row],[Opp Team Name]]) &gt; 0, "N", "Y")</f>
        <v>N</v>
      </c>
      <c r="AH131" s="3" t="str">
        <f>IF(Table1[[#This Row],[Passing Attempts]] &lt;15, "Y", "N")</f>
        <v>N</v>
      </c>
      <c r="AI131" s="3" t="str">
        <f>IF(Table1[[#This Row],[Rushing Attempts]] &lt; 15, "Y", "N")</f>
        <v>N</v>
      </c>
      <c r="AJ131" s="3" t="str">
        <f>IF(Table1[[#This Row],[Opp Passing Attempts]]&lt;15, "Y", "N")</f>
        <v>N</v>
      </c>
      <c r="AK131" s="3" t="str">
        <f>IF(Table1[[#This Row],[Opp Rushing Attempts]]&lt;15, "Y", "N")</f>
        <v>N</v>
      </c>
      <c r="AL13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84.41</v>
      </c>
      <c r="AM13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92.04</v>
      </c>
      <c r="AN13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135.37</v>
      </c>
      <c r="AO13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78.83</v>
      </c>
      <c r="AP131" s="3">
        <f>ABS(Table1[[#This Row],[Team Score]]-Table1[[#This Row],[Opp Team Score]])</f>
        <v>14</v>
      </c>
      <c r="AQ131" s="3">
        <f>SUM(Table1[[#This Row],[Team Score]], Table1[[#This Row],[Opp Team Score]])</f>
        <v>62</v>
      </c>
      <c r="AR13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46.53</v>
      </c>
      <c r="AS131" s="3">
        <f>IF(Table1[[#This Row],[Efficiency Difference]] = " ", " ", ROUND((Table1[[#This Row],[Winning Margin]]*100)/Table1[[#This Row],[Efficiency Difference]], 2))</f>
        <v>30.09</v>
      </c>
    </row>
    <row r="132" spans="1:45">
      <c r="A132" t="s">
        <v>50</v>
      </c>
      <c r="B132">
        <v>129</v>
      </c>
      <c r="C132">
        <v>28</v>
      </c>
      <c r="D132">
        <v>351</v>
      </c>
      <c r="E132">
        <v>50</v>
      </c>
      <c r="F132">
        <v>3</v>
      </c>
      <c r="G132">
        <v>33</v>
      </c>
      <c r="H132">
        <v>1</v>
      </c>
      <c r="I132">
        <v>98</v>
      </c>
      <c r="J132">
        <v>32</v>
      </c>
      <c r="K132">
        <v>0</v>
      </c>
      <c r="L132">
        <v>0</v>
      </c>
      <c r="M132" t="s">
        <v>167</v>
      </c>
      <c r="N132">
        <v>204</v>
      </c>
      <c r="O132">
        <v>35</v>
      </c>
      <c r="P132">
        <v>76</v>
      </c>
      <c r="Q132">
        <v>8</v>
      </c>
      <c r="R132">
        <v>0</v>
      </c>
      <c r="S132">
        <v>6</v>
      </c>
      <c r="T132">
        <v>0</v>
      </c>
      <c r="U132">
        <v>350</v>
      </c>
      <c r="V132">
        <v>50</v>
      </c>
      <c r="W132">
        <v>5</v>
      </c>
      <c r="X132">
        <v>0</v>
      </c>
      <c r="Y132" t="s">
        <v>19</v>
      </c>
      <c r="Z132">
        <v>7</v>
      </c>
      <c r="AA132">
        <f>IF(AND(Table1[[#This Row],[Throw Out Pass Eff]]="N", Table1[[#This Row],[Against FCS Team]]="N"), ROUND(((5.45 * D132) + (150 * F132) + (100 * G132) - (300 * H132)) / E132, 2), " ")</f>
        <v>107.26</v>
      </c>
      <c r="AB132" t="str">
        <f>IF(AND(Table1[[#This Row],[Throw Out Pass Def Eff]]="N", Table1[[#This Row],[Against FCS Team]]="N"),200 - ROUND(((5.45 * P132) + (150 * R132) + (100 * S132) - (300 * T132)) / Q132, 2), " ")</f>
        <v xml:space="preserve"> </v>
      </c>
      <c r="AC132">
        <f>IF(AND(Table1[[#This Row],[Throw Out Rush Eff]]="N", Table1[[#This Row],[Against FCS Team]]="N"), ROUND(((23.2 * I132) + (150 * K132) - (300 * L132)) / J132, 2), " ")</f>
        <v>71.05</v>
      </c>
      <c r="AD132" s="3">
        <f>IF(AND(Table1[[#This Row],[Throw Out Rush Def Eff]]="N", Table1[[#This Row],[Against FCS Team]]="N"), 200 - ROUND(((23.2 * U132) + (150 * W132) - (300 * X132)) / V132, 2), " ")</f>
        <v>22.599999999999994</v>
      </c>
      <c r="AE132" s="3">
        <f>ROUND(Table1[[#This Row],[Opp Passing Attempts]]/(Table1[[#This Row],[Opp Passing Attempts]]+Table1[[#This Row],[Opp Rushing Attempts]]), 2)</f>
        <v>0.14000000000000001</v>
      </c>
      <c r="AF132" s="3">
        <f>1-Table1[[#This Row],[Passing Weight]]</f>
        <v>0.86</v>
      </c>
      <c r="AG132" s="3" t="str">
        <f>IF(COUNTIF(A:A,Table1[[#This Row],[Opp Team Name]]) &gt; 0, "N", "Y")</f>
        <v>N</v>
      </c>
      <c r="AH132" s="3" t="str">
        <f>IF(Table1[[#This Row],[Passing Attempts]] &lt;15, "Y", "N")</f>
        <v>N</v>
      </c>
      <c r="AI132" s="3" t="str">
        <f>IF(Table1[[#This Row],[Rushing Attempts]] &lt; 15, "Y", "N")</f>
        <v>N</v>
      </c>
      <c r="AJ132" s="3" t="str">
        <f>IF(Table1[[#This Row],[Opp Passing Attempts]]&lt;15, "Y", "N")</f>
        <v>Y</v>
      </c>
      <c r="AK132" s="3" t="str">
        <f>IF(Table1[[#This Row],[Opp Rushing Attempts]]&lt;15, "Y", "N")</f>
        <v>N</v>
      </c>
      <c r="AL13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96.46</v>
      </c>
      <c r="AM13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3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65.099999999999994</v>
      </c>
      <c r="AO1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20.71</v>
      </c>
      <c r="AP132" s="3">
        <f>ABS(Table1[[#This Row],[Team Score]]-Table1[[#This Row],[Opp Team Score]])</f>
        <v>7</v>
      </c>
      <c r="AQ132" s="3">
        <f>SUM(Table1[[#This Row],[Team Score]], Table1[[#This Row],[Opp Team Score]])</f>
        <v>63</v>
      </c>
      <c r="AR13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32" s="3" t="str">
        <f>IF(Table1[[#This Row],[Efficiency Difference]] = " ", " ", ROUND((Table1[[#This Row],[Winning Margin]]*100)/Table1[[#This Row],[Efficiency Difference]], 2))</f>
        <v xml:space="preserve"> </v>
      </c>
    </row>
    <row r="133" spans="1:45">
      <c r="A133" t="s">
        <v>50</v>
      </c>
      <c r="B133">
        <v>129</v>
      </c>
      <c r="C133">
        <v>27</v>
      </c>
      <c r="D133">
        <v>436</v>
      </c>
      <c r="E133">
        <v>45</v>
      </c>
      <c r="F133">
        <v>3</v>
      </c>
      <c r="G133">
        <v>30</v>
      </c>
      <c r="H133">
        <v>1</v>
      </c>
      <c r="I133">
        <v>133</v>
      </c>
      <c r="J133">
        <v>29</v>
      </c>
      <c r="K133">
        <v>0</v>
      </c>
      <c r="L133">
        <v>2</v>
      </c>
      <c r="M133" t="s">
        <v>34</v>
      </c>
      <c r="N133">
        <v>47</v>
      </c>
      <c r="O133">
        <v>31</v>
      </c>
      <c r="P133">
        <v>325</v>
      </c>
      <c r="Q133">
        <v>38</v>
      </c>
      <c r="R133">
        <v>3</v>
      </c>
      <c r="S133">
        <v>27</v>
      </c>
      <c r="T133">
        <v>1</v>
      </c>
      <c r="U133">
        <v>130</v>
      </c>
      <c r="V133">
        <v>31</v>
      </c>
      <c r="W133">
        <v>1</v>
      </c>
      <c r="X133">
        <v>0</v>
      </c>
      <c r="Y133" t="s">
        <v>19</v>
      </c>
      <c r="Z133">
        <v>8</v>
      </c>
      <c r="AA133" s="3">
        <f>IF(AND(Table1[[#This Row],[Throw Out Pass Eff]]="N", Table1[[#This Row],[Against FCS Team]]="N"), ROUND(((5.45 * D133) + (150 * F133) + (100 * G133) - (300 * H133)) / E133, 2), " ")</f>
        <v>122.8</v>
      </c>
      <c r="AB133" s="3">
        <f>IF(AND(Table1[[#This Row],[Throw Out Pass Def Eff]]="N", Table1[[#This Row],[Against FCS Team]]="N"),200 - ROUND(((5.45 * P133) + (150 * R133) + (100 * S133) - (300 * T133)) / Q133, 2), " ")</f>
        <v>78.39</v>
      </c>
      <c r="AC133" s="3">
        <f>IF(AND(Table1[[#This Row],[Throw Out Rush Eff]]="N", Table1[[#This Row],[Against FCS Team]]="N"), ROUND(((23.2 * I133) + (150 * K133) - (300 * L133)) / J133, 2), " ")</f>
        <v>85.71</v>
      </c>
      <c r="AD133" s="3">
        <f>IF(AND(Table1[[#This Row],[Throw Out Rush Def Eff]]="N", Table1[[#This Row],[Against FCS Team]]="N"), 200 - ROUND(((23.2 * U133) + (150 * W133) - (300 * X133)) / V133, 2), " ")</f>
        <v>97.87</v>
      </c>
      <c r="AE133" s="3">
        <f>ROUND(Table1[[#This Row],[Opp Passing Attempts]]/(Table1[[#This Row],[Opp Passing Attempts]]+Table1[[#This Row],[Opp Rushing Attempts]]), 2)</f>
        <v>0.55000000000000004</v>
      </c>
      <c r="AF133" s="3">
        <f>1-Table1[[#This Row],[Passing Weight]]</f>
        <v>0.44999999999999996</v>
      </c>
      <c r="AG133" s="3" t="str">
        <f>IF(COUNTIF(A:A,Table1[[#This Row],[Opp Team Name]]) &gt; 0, "N", "Y")</f>
        <v>N</v>
      </c>
      <c r="AH133" s="3" t="str">
        <f>IF(Table1[[#This Row],[Passing Attempts]] &lt;15, "Y", "N")</f>
        <v>N</v>
      </c>
      <c r="AI133" s="3" t="str">
        <f>IF(Table1[[#This Row],[Rushing Attempts]] &lt; 15, "Y", "N")</f>
        <v>N</v>
      </c>
      <c r="AJ133" s="3" t="str">
        <f>IF(Table1[[#This Row],[Opp Passing Attempts]]&lt;15, "Y", "N")</f>
        <v>N</v>
      </c>
      <c r="AK133" s="3" t="str">
        <f>IF(Table1[[#This Row],[Opp Rushing Attempts]]&lt;15, "Y", "N")</f>
        <v>N</v>
      </c>
      <c r="AL1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104.36</v>
      </c>
      <c r="AM1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76.31</v>
      </c>
      <c r="AN1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74.13</v>
      </c>
      <c r="AO1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84.27</v>
      </c>
      <c r="AP133" s="3">
        <f>ABS(Table1[[#This Row],[Team Score]]-Table1[[#This Row],[Opp Team Score]])</f>
        <v>4</v>
      </c>
      <c r="AQ133" s="3">
        <f>SUM(Table1[[#This Row],[Team Score]], Table1[[#This Row],[Opp Team Score]])</f>
        <v>58</v>
      </c>
      <c r="AR1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15.230000000000018</v>
      </c>
      <c r="AS133" s="3">
        <f>IF(Table1[[#This Row],[Efficiency Difference]] = " ", " ", ROUND((Table1[[#This Row],[Winning Margin]]*100)/Table1[[#This Row],[Efficiency Difference]], 2))</f>
        <v>26.26</v>
      </c>
    </row>
    <row r="134" spans="1:45">
      <c r="A134" t="s">
        <v>52</v>
      </c>
      <c r="B134">
        <v>140</v>
      </c>
      <c r="C134">
        <v>72</v>
      </c>
      <c r="D134">
        <v>174</v>
      </c>
      <c r="E134">
        <v>22</v>
      </c>
      <c r="F134">
        <v>4</v>
      </c>
      <c r="G134">
        <v>14</v>
      </c>
      <c r="H134">
        <v>0</v>
      </c>
      <c r="I134">
        <v>387</v>
      </c>
      <c r="J134">
        <v>49</v>
      </c>
      <c r="K134">
        <v>6</v>
      </c>
      <c r="L134">
        <v>0</v>
      </c>
      <c r="M134" t="s">
        <v>53</v>
      </c>
      <c r="N134">
        <v>43</v>
      </c>
      <c r="O134">
        <v>10</v>
      </c>
      <c r="P134">
        <v>150</v>
      </c>
      <c r="Q134">
        <v>23</v>
      </c>
      <c r="R134">
        <v>0</v>
      </c>
      <c r="S134">
        <v>16</v>
      </c>
      <c r="T134">
        <v>2</v>
      </c>
      <c r="U134">
        <v>127</v>
      </c>
      <c r="V134">
        <v>35</v>
      </c>
      <c r="W134">
        <v>1</v>
      </c>
      <c r="X134">
        <v>3</v>
      </c>
      <c r="Y134" t="s">
        <v>16</v>
      </c>
      <c r="Z134">
        <v>1</v>
      </c>
      <c r="AA134" t="str">
        <f>IF(AND(Table1[[#This Row],[Throw Out Pass Eff]]="N", Table1[[#This Row],[Against FCS Team]]="N"), ROUND(((5.45 * D134) + (150 * F134) + (100 * G134) - (300 * H134)) / E134, 2), " ")</f>
        <v xml:space="preserve"> </v>
      </c>
      <c r="AB134" t="str">
        <f>IF(AND(Table1[[#This Row],[Throw Out Pass Def Eff]]="N", Table1[[#This Row],[Against FCS Team]]="N"),200 - ROUND(((5.45 * P134) + (150 * R134) + (100 * S134) - (300 * T134)) / Q134, 2), " ")</f>
        <v xml:space="preserve"> </v>
      </c>
      <c r="AC134" t="str">
        <f>IF(AND(Table1[[#This Row],[Throw Out Rush Eff]]="N", Table1[[#This Row],[Against FCS Team]]="N"), ROUND(((23.2 * I134) + (150 * K134) - (300 * L134)) / J134, 2), " ")</f>
        <v xml:space="preserve"> </v>
      </c>
      <c r="AD134" s="3" t="str">
        <f>IF(AND(Table1[[#This Row],[Throw Out Rush Def Eff]]="N", Table1[[#This Row],[Against FCS Team]]="N"), 200 - ROUND(((23.2 * U134) + (150 * W134) - (300 * X134)) / V134, 2), " ")</f>
        <v xml:space="preserve"> </v>
      </c>
      <c r="AE134" s="3">
        <f>ROUND(Table1[[#This Row],[Opp Passing Attempts]]/(Table1[[#This Row],[Opp Passing Attempts]]+Table1[[#This Row],[Opp Rushing Attempts]]), 2)</f>
        <v>0.4</v>
      </c>
      <c r="AF134" s="3">
        <f>1-Table1[[#This Row],[Passing Weight]]</f>
        <v>0.6</v>
      </c>
      <c r="AG134" s="3" t="str">
        <f>IF(COUNTIF(A:A,Table1[[#This Row],[Opp Team Name]]) &gt; 0, "N", "Y")</f>
        <v>Y</v>
      </c>
      <c r="AH134" s="3" t="str">
        <f>IF(Table1[[#This Row],[Passing Attempts]] &lt;15, "Y", "N")</f>
        <v>N</v>
      </c>
      <c r="AI134" s="3" t="str">
        <f>IF(Table1[[#This Row],[Rushing Attempts]] &lt; 15, "Y", "N")</f>
        <v>N</v>
      </c>
      <c r="AJ134" s="3" t="str">
        <f>IF(Table1[[#This Row],[Opp Passing Attempts]]&lt;15, "Y", "N")</f>
        <v>N</v>
      </c>
      <c r="AK134" s="3" t="str">
        <f>IF(Table1[[#This Row],[Opp Rushing Attempts]]&lt;15, "Y", "N")</f>
        <v>N</v>
      </c>
      <c r="AL13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3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3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3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34" s="3">
        <f>ABS(Table1[[#This Row],[Team Score]]-Table1[[#This Row],[Opp Team Score]])</f>
        <v>62</v>
      </c>
      <c r="AQ134" s="3">
        <f>SUM(Table1[[#This Row],[Team Score]], Table1[[#This Row],[Opp Team Score]])</f>
        <v>82</v>
      </c>
      <c r="AR13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34" s="3" t="str">
        <f>IF(Table1[[#This Row],[Efficiency Difference]] = " ", " ", ROUND((Table1[[#This Row],[Winning Margin]]*100)/Table1[[#This Row],[Efficiency Difference]], 2))</f>
        <v xml:space="preserve"> </v>
      </c>
    </row>
    <row r="135" spans="1:45">
      <c r="A135" t="s">
        <v>52</v>
      </c>
      <c r="B135">
        <v>140</v>
      </c>
      <c r="C135">
        <v>23</v>
      </c>
      <c r="D135">
        <v>230</v>
      </c>
      <c r="E135">
        <v>34</v>
      </c>
      <c r="F135">
        <v>2</v>
      </c>
      <c r="G135">
        <v>21</v>
      </c>
      <c r="H135">
        <v>0</v>
      </c>
      <c r="I135">
        <v>166</v>
      </c>
      <c r="J135">
        <v>26</v>
      </c>
      <c r="K135">
        <v>1</v>
      </c>
      <c r="L135">
        <v>0</v>
      </c>
      <c r="M135" t="s">
        <v>134</v>
      </c>
      <c r="N135">
        <v>694</v>
      </c>
      <c r="O135">
        <v>45</v>
      </c>
      <c r="P135">
        <v>405</v>
      </c>
      <c r="Q135">
        <v>41</v>
      </c>
      <c r="R135">
        <v>4</v>
      </c>
      <c r="S135">
        <v>34</v>
      </c>
      <c r="T135">
        <v>0</v>
      </c>
      <c r="U135">
        <v>126</v>
      </c>
      <c r="V135">
        <v>35</v>
      </c>
      <c r="W135">
        <v>2</v>
      </c>
      <c r="X135">
        <v>2</v>
      </c>
      <c r="Y135" t="s">
        <v>19</v>
      </c>
      <c r="Z135">
        <v>2</v>
      </c>
      <c r="AA135">
        <f>IF(AND(Table1[[#This Row],[Throw Out Pass Eff]]="N", Table1[[#This Row],[Against FCS Team]]="N"), ROUND(((5.45 * D135) + (150 * F135) + (100 * G135) - (300 * H135)) / E135, 2), " ")</f>
        <v>107.46</v>
      </c>
      <c r="AB135">
        <f>IF(AND(Table1[[#This Row],[Throw Out Pass Def Eff]]="N", Table1[[#This Row],[Against FCS Team]]="N"),200 - ROUND(((5.45 * P135) + (150 * R135) + (100 * S135) - (300 * T135)) / Q135, 2), " ")</f>
        <v>48.599999999999994</v>
      </c>
      <c r="AC135">
        <f>IF(AND(Table1[[#This Row],[Throw Out Rush Eff]]="N", Table1[[#This Row],[Against FCS Team]]="N"), ROUND(((23.2 * I135) + (150 * K135) - (300 * L135)) / J135, 2), " ")</f>
        <v>153.88999999999999</v>
      </c>
      <c r="AD135" s="3">
        <f>IF(AND(Table1[[#This Row],[Throw Out Rush Def Eff]]="N", Table1[[#This Row],[Against FCS Team]]="N"), 200 - ROUND(((23.2 * U135) + (150 * W135) - (300 * X135)) / V135, 2), " ")</f>
        <v>125.05</v>
      </c>
      <c r="AE135" s="3">
        <f>ROUND(Table1[[#This Row],[Opp Passing Attempts]]/(Table1[[#This Row],[Opp Passing Attempts]]+Table1[[#This Row],[Opp Rushing Attempts]]), 2)</f>
        <v>0.54</v>
      </c>
      <c r="AF135" s="3">
        <f>1-Table1[[#This Row],[Passing Weight]]</f>
        <v>0.45999999999999996</v>
      </c>
      <c r="AG135" s="3" t="str">
        <f>IF(COUNTIF(A:A,Table1[[#This Row],[Opp Team Name]]) &gt; 0, "N", "Y")</f>
        <v>N</v>
      </c>
      <c r="AH135" s="3" t="str">
        <f>IF(Table1[[#This Row],[Passing Attempts]] &lt;15, "Y", "N")</f>
        <v>N</v>
      </c>
      <c r="AI135" s="3" t="str">
        <f>IF(Table1[[#This Row],[Rushing Attempts]] &lt; 15, "Y", "N")</f>
        <v>N</v>
      </c>
      <c r="AJ135" s="3" t="str">
        <f>IF(Table1[[#This Row],[Opp Passing Attempts]]&lt;15, "Y", "N")</f>
        <v>N</v>
      </c>
      <c r="AK135" s="3" t="str">
        <f>IF(Table1[[#This Row],[Opp Rushing Attempts]]&lt;15, "Y", "N")</f>
        <v>N</v>
      </c>
      <c r="AL1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97.6</v>
      </c>
      <c r="AM1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45.7</v>
      </c>
      <c r="AN1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139.69</v>
      </c>
      <c r="AO1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61.76</v>
      </c>
      <c r="AP135" s="3">
        <f>ABS(Table1[[#This Row],[Team Score]]-Table1[[#This Row],[Opp Team Score]])</f>
        <v>22</v>
      </c>
      <c r="AQ135" s="3">
        <f>SUM(Table1[[#This Row],[Team Score]], Table1[[#This Row],[Opp Team Score]])</f>
        <v>68</v>
      </c>
      <c r="AR13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34.999999999999943</v>
      </c>
      <c r="AS135" s="3">
        <f>IF(Table1[[#This Row],[Efficiency Difference]] = " ", " ", ROUND((Table1[[#This Row],[Winning Margin]]*100)/Table1[[#This Row],[Efficiency Difference]], 2))</f>
        <v>62.86</v>
      </c>
    </row>
    <row r="136" spans="1:45">
      <c r="A136" t="s">
        <v>52</v>
      </c>
      <c r="B136">
        <v>140</v>
      </c>
      <c r="C136">
        <v>59</v>
      </c>
      <c r="D136">
        <v>178</v>
      </c>
      <c r="E136">
        <v>21</v>
      </c>
      <c r="F136">
        <v>1</v>
      </c>
      <c r="G136">
        <v>13</v>
      </c>
      <c r="H136">
        <v>0</v>
      </c>
      <c r="I136">
        <v>164</v>
      </c>
      <c r="J136">
        <v>45</v>
      </c>
      <c r="K136">
        <v>4</v>
      </c>
      <c r="L136">
        <v>1</v>
      </c>
      <c r="M136" t="s">
        <v>17</v>
      </c>
      <c r="N136">
        <v>5</v>
      </c>
      <c r="O136">
        <v>14</v>
      </c>
      <c r="P136">
        <v>220</v>
      </c>
      <c r="Q136">
        <v>36</v>
      </c>
      <c r="R136">
        <v>2</v>
      </c>
      <c r="S136">
        <v>17</v>
      </c>
      <c r="T136">
        <v>4</v>
      </c>
      <c r="U136">
        <v>129</v>
      </c>
      <c r="V136">
        <v>34</v>
      </c>
      <c r="W136">
        <v>0</v>
      </c>
      <c r="X136">
        <v>2</v>
      </c>
      <c r="Y136" t="s">
        <v>16</v>
      </c>
      <c r="Z136">
        <v>3</v>
      </c>
      <c r="AA136">
        <f>IF(AND(Table1[[#This Row],[Throw Out Pass Eff]]="N", Table1[[#This Row],[Against FCS Team]]="N"), ROUND(((5.45 * D136) + (150 * F136) + (100 * G136) - (300 * H136)) / E136, 2), " ")</f>
        <v>115.24</v>
      </c>
      <c r="AB136">
        <f>IF(AND(Table1[[#This Row],[Throw Out Pass Def Eff]]="N", Table1[[#This Row],[Against FCS Team]]="N"),200 - ROUND(((5.45 * P136) + (150 * R136) + (100 * S136) - (300 * T136)) / Q136, 2), " ")</f>
        <v>144.47</v>
      </c>
      <c r="AC136">
        <f>IF(AND(Table1[[#This Row],[Throw Out Rush Eff]]="N", Table1[[#This Row],[Against FCS Team]]="N"), ROUND(((23.2 * I136) + (150 * K136) - (300 * L136)) / J136, 2), " ")</f>
        <v>91.22</v>
      </c>
      <c r="AD136" s="3">
        <f>IF(AND(Table1[[#This Row],[Throw Out Rush Def Eff]]="N", Table1[[#This Row],[Against FCS Team]]="N"), 200 - ROUND(((23.2 * U136) + (150 * W136) - (300 * X136)) / V136, 2), " ")</f>
        <v>129.62</v>
      </c>
      <c r="AE136" s="3">
        <f>ROUND(Table1[[#This Row],[Opp Passing Attempts]]/(Table1[[#This Row],[Opp Passing Attempts]]+Table1[[#This Row],[Opp Rushing Attempts]]), 2)</f>
        <v>0.51</v>
      </c>
      <c r="AF136" s="3">
        <f>1-Table1[[#This Row],[Passing Weight]]</f>
        <v>0.49</v>
      </c>
      <c r="AG136" s="3" t="str">
        <f>IF(COUNTIF(A:A,Table1[[#This Row],[Opp Team Name]]) &gt; 0, "N", "Y")</f>
        <v>N</v>
      </c>
      <c r="AH136" s="3" t="str">
        <f>IF(Table1[[#This Row],[Passing Attempts]] &lt;15, "Y", "N")</f>
        <v>N</v>
      </c>
      <c r="AI136" s="3" t="str">
        <f>IF(Table1[[#This Row],[Rushing Attempts]] &lt; 15, "Y", "N")</f>
        <v>N</v>
      </c>
      <c r="AJ136" s="3" t="str">
        <f>IF(Table1[[#This Row],[Opp Passing Attempts]]&lt;15, "Y", "N")</f>
        <v>N</v>
      </c>
      <c r="AK136" s="3" t="str">
        <f>IF(Table1[[#This Row],[Opp Rushing Attempts]]&lt;15, "Y", "N")</f>
        <v>N</v>
      </c>
      <c r="AL1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95.34</v>
      </c>
      <c r="AM1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101.13</v>
      </c>
      <c r="AN1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84.4</v>
      </c>
      <c r="AO1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73.17</v>
      </c>
      <c r="AP136" s="3">
        <f>ABS(Table1[[#This Row],[Team Score]]-Table1[[#This Row],[Opp Team Score]])</f>
        <v>45</v>
      </c>
      <c r="AQ136" s="3">
        <f>SUM(Table1[[#This Row],[Team Score]], Table1[[#This Row],[Opp Team Score]])</f>
        <v>73</v>
      </c>
      <c r="AR1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80.550000000000011</v>
      </c>
      <c r="AS136" s="3">
        <f>IF(Table1[[#This Row],[Efficiency Difference]] = " ", " ", ROUND((Table1[[#This Row],[Winning Margin]]*100)/Table1[[#This Row],[Efficiency Difference]], 2))</f>
        <v>55.87</v>
      </c>
    </row>
    <row r="137" spans="1:45">
      <c r="A137" t="s">
        <v>52</v>
      </c>
      <c r="B137">
        <v>140</v>
      </c>
      <c r="C137">
        <v>44</v>
      </c>
      <c r="D137">
        <v>263</v>
      </c>
      <c r="E137">
        <v>34</v>
      </c>
      <c r="F137">
        <v>2</v>
      </c>
      <c r="G137">
        <v>25</v>
      </c>
      <c r="H137">
        <v>1</v>
      </c>
      <c r="I137">
        <v>240</v>
      </c>
      <c r="J137">
        <v>46</v>
      </c>
      <c r="K137">
        <v>3</v>
      </c>
      <c r="L137">
        <v>0</v>
      </c>
      <c r="M137" t="s">
        <v>112</v>
      </c>
      <c r="N137">
        <v>490</v>
      </c>
      <c r="O137">
        <v>14</v>
      </c>
      <c r="P137">
        <v>348</v>
      </c>
      <c r="Q137">
        <v>40</v>
      </c>
      <c r="R137">
        <v>2</v>
      </c>
      <c r="S137">
        <v>28</v>
      </c>
      <c r="T137">
        <v>2</v>
      </c>
      <c r="U137">
        <v>-26</v>
      </c>
      <c r="V137">
        <v>22</v>
      </c>
      <c r="W137">
        <v>0</v>
      </c>
      <c r="X137">
        <v>1</v>
      </c>
      <c r="Y137" t="s">
        <v>16</v>
      </c>
      <c r="Z137">
        <v>4</v>
      </c>
      <c r="AA137">
        <f>IF(AND(Table1[[#This Row],[Throw Out Pass Eff]]="N", Table1[[#This Row],[Against FCS Team]]="N"), ROUND(((5.45 * D137) + (150 * F137) + (100 * G137) - (300 * H137)) / E137, 2), " ")</f>
        <v>115.69</v>
      </c>
      <c r="AB137">
        <f>IF(AND(Table1[[#This Row],[Throw Out Pass Def Eff]]="N", Table1[[#This Row],[Against FCS Team]]="N"),200 - ROUND(((5.45 * P137) + (150 * R137) + (100 * S137) - (300 * T137)) / Q137, 2), " ")</f>
        <v>90.08</v>
      </c>
      <c r="AC137">
        <f>IF(AND(Table1[[#This Row],[Throw Out Rush Eff]]="N", Table1[[#This Row],[Against FCS Team]]="N"), ROUND(((23.2 * I137) + (150 * K137) - (300 * L137)) / J137, 2), " ")</f>
        <v>130.83000000000001</v>
      </c>
      <c r="AD137" s="3">
        <f>IF(AND(Table1[[#This Row],[Throw Out Rush Def Eff]]="N", Table1[[#This Row],[Against FCS Team]]="N"), 200 - ROUND(((23.2 * U137) + (150 * W137) - (300 * X137)) / V137, 2), " ")</f>
        <v>241.05</v>
      </c>
      <c r="AE137" s="3">
        <f>ROUND(Table1[[#This Row],[Opp Passing Attempts]]/(Table1[[#This Row],[Opp Passing Attempts]]+Table1[[#This Row],[Opp Rushing Attempts]]), 2)</f>
        <v>0.65</v>
      </c>
      <c r="AF137" s="3">
        <f>1-Table1[[#This Row],[Passing Weight]]</f>
        <v>0.35</v>
      </c>
      <c r="AG137" s="3" t="str">
        <f>IF(COUNTIF(A:A,Table1[[#This Row],[Opp Team Name]]) &gt; 0, "N", "Y")</f>
        <v>N</v>
      </c>
      <c r="AH137" s="3" t="str">
        <f>IF(Table1[[#This Row],[Passing Attempts]] &lt;15, "Y", "N")</f>
        <v>N</v>
      </c>
      <c r="AI137" s="3" t="str">
        <f>IF(Table1[[#This Row],[Rushing Attempts]] &lt; 15, "Y", "N")</f>
        <v>N</v>
      </c>
      <c r="AJ137" s="3" t="str">
        <f>IF(Table1[[#This Row],[Opp Passing Attempts]]&lt;15, "Y", "N")</f>
        <v>N</v>
      </c>
      <c r="AK137" s="3" t="str">
        <f>IF(Table1[[#This Row],[Opp Rushing Attempts]]&lt;15, "Y", "N")</f>
        <v>N</v>
      </c>
      <c r="AL1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133.82</v>
      </c>
      <c r="AM1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91.27</v>
      </c>
      <c r="AN1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108.72</v>
      </c>
      <c r="AO1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158.61000000000001</v>
      </c>
      <c r="AP137" s="3">
        <f>ABS(Table1[[#This Row],[Team Score]]-Table1[[#This Row],[Opp Team Score]])</f>
        <v>30</v>
      </c>
      <c r="AQ137" s="3">
        <f>SUM(Table1[[#This Row],[Team Score]], Table1[[#This Row],[Opp Team Score]])</f>
        <v>58</v>
      </c>
      <c r="AR1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177.65</v>
      </c>
      <c r="AS137" s="3">
        <f>IF(Table1[[#This Row],[Efficiency Difference]] = " ", " ", ROUND((Table1[[#This Row],[Winning Margin]]*100)/Table1[[#This Row],[Efficiency Difference]], 2))</f>
        <v>16.89</v>
      </c>
    </row>
    <row r="138" spans="1:45">
      <c r="A138" t="s">
        <v>52</v>
      </c>
      <c r="B138">
        <v>140</v>
      </c>
      <c r="C138">
        <v>27</v>
      </c>
      <c r="D138">
        <v>251</v>
      </c>
      <c r="E138">
        <v>30</v>
      </c>
      <c r="F138">
        <v>1</v>
      </c>
      <c r="G138">
        <v>16</v>
      </c>
      <c r="H138">
        <v>2</v>
      </c>
      <c r="I138">
        <v>147</v>
      </c>
      <c r="J138">
        <v>40</v>
      </c>
      <c r="K138">
        <v>2</v>
      </c>
      <c r="L138">
        <v>2</v>
      </c>
      <c r="M138" t="s">
        <v>96</v>
      </c>
      <c r="N138">
        <v>414</v>
      </c>
      <c r="O138">
        <v>0</v>
      </c>
      <c r="P138">
        <v>267</v>
      </c>
      <c r="Q138">
        <v>35</v>
      </c>
      <c r="R138">
        <v>0</v>
      </c>
      <c r="S138">
        <v>21</v>
      </c>
      <c r="T138">
        <v>1</v>
      </c>
      <c r="U138">
        <v>-3</v>
      </c>
      <c r="V138">
        <v>38</v>
      </c>
      <c r="W138">
        <v>0</v>
      </c>
      <c r="X138">
        <v>1</v>
      </c>
      <c r="Y138" t="s">
        <v>16</v>
      </c>
      <c r="Z138">
        <v>5</v>
      </c>
      <c r="AA138">
        <f>IF(AND(Table1[[#This Row],[Throw Out Pass Eff]]="N", Table1[[#This Row],[Against FCS Team]]="N"), ROUND(((5.45 * D138) + (150 * F138) + (100 * G138) - (300 * H138)) / E138, 2), " ")</f>
        <v>83.93</v>
      </c>
      <c r="AB138">
        <f>IF(AND(Table1[[#This Row],[Throw Out Pass Def Eff]]="N", Table1[[#This Row],[Against FCS Team]]="N"),200 - ROUND(((5.45 * P138) + (150 * R138) + (100 * S138) - (300 * T138)) / Q138, 2), " ")</f>
        <v>107</v>
      </c>
      <c r="AC138">
        <f>IF(AND(Table1[[#This Row],[Throw Out Rush Eff]]="N", Table1[[#This Row],[Against FCS Team]]="N"), ROUND(((23.2 * I138) + (150 * K138) - (300 * L138)) / J138, 2), " ")</f>
        <v>77.760000000000005</v>
      </c>
      <c r="AD138" s="3">
        <f>IF(AND(Table1[[#This Row],[Throw Out Rush Def Eff]]="N", Table1[[#This Row],[Against FCS Team]]="N"), 200 - ROUND(((23.2 * U138) + (150 * W138) - (300 * X138)) / V138, 2), " ")</f>
        <v>209.73</v>
      </c>
      <c r="AE138" s="3">
        <f>ROUND(Table1[[#This Row],[Opp Passing Attempts]]/(Table1[[#This Row],[Opp Passing Attempts]]+Table1[[#This Row],[Opp Rushing Attempts]]), 2)</f>
        <v>0.48</v>
      </c>
      <c r="AF138" s="3">
        <f>1-Table1[[#This Row],[Passing Weight]]</f>
        <v>0.52</v>
      </c>
      <c r="AG138" s="3" t="str">
        <f>IF(COUNTIF(A:A,Table1[[#This Row],[Opp Team Name]]) &gt; 0, "N", "Y")</f>
        <v>N</v>
      </c>
      <c r="AH138" s="3" t="str">
        <f>IF(Table1[[#This Row],[Passing Attempts]] &lt;15, "Y", "N")</f>
        <v>N</v>
      </c>
      <c r="AI138" s="3" t="str">
        <f>IF(Table1[[#This Row],[Rushing Attempts]] &lt; 15, "Y", "N")</f>
        <v>N</v>
      </c>
      <c r="AJ138" s="3" t="str">
        <f>IF(Table1[[#This Row],[Opp Passing Attempts]]&lt;15, "Y", "N")</f>
        <v>N</v>
      </c>
      <c r="AK138" s="3" t="str">
        <f>IF(Table1[[#This Row],[Opp Rushing Attempts]]&lt;15, "Y", "N")</f>
        <v>N</v>
      </c>
      <c r="AL13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85.27</v>
      </c>
      <c r="AM13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103.61</v>
      </c>
      <c r="AN13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78.31</v>
      </c>
      <c r="AO13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86.91</v>
      </c>
      <c r="AP138" s="3">
        <f>ABS(Table1[[#This Row],[Team Score]]-Table1[[#This Row],[Opp Team Score]])</f>
        <v>27</v>
      </c>
      <c r="AQ138" s="3">
        <f>SUM(Table1[[#This Row],[Team Score]], Table1[[#This Row],[Opp Team Score]])</f>
        <v>27</v>
      </c>
      <c r="AR13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78.420000000000016</v>
      </c>
      <c r="AS138" s="3">
        <f>IF(Table1[[#This Row],[Efficiency Difference]] = " ", " ", ROUND((Table1[[#This Row],[Winning Margin]]*100)/Table1[[#This Row],[Efficiency Difference]], 2))</f>
        <v>34.43</v>
      </c>
    </row>
    <row r="139" spans="1:45">
      <c r="A139" t="s">
        <v>52</v>
      </c>
      <c r="B139">
        <v>140</v>
      </c>
      <c r="C139">
        <v>25</v>
      </c>
      <c r="D139">
        <v>152</v>
      </c>
      <c r="E139">
        <v>26</v>
      </c>
      <c r="F139">
        <v>1</v>
      </c>
      <c r="G139">
        <v>18</v>
      </c>
      <c r="H139">
        <v>1</v>
      </c>
      <c r="I139">
        <v>178</v>
      </c>
      <c r="J139">
        <v>36</v>
      </c>
      <c r="K139">
        <v>2</v>
      </c>
      <c r="L139">
        <v>0</v>
      </c>
      <c r="M139" t="s">
        <v>90</v>
      </c>
      <c r="N139">
        <v>367</v>
      </c>
      <c r="O139">
        <v>16</v>
      </c>
      <c r="P139">
        <v>201</v>
      </c>
      <c r="Q139">
        <v>32</v>
      </c>
      <c r="R139">
        <v>0</v>
      </c>
      <c r="S139">
        <v>19</v>
      </c>
      <c r="T139">
        <v>1</v>
      </c>
      <c r="U139">
        <v>70</v>
      </c>
      <c r="V139">
        <v>33</v>
      </c>
      <c r="W139">
        <v>0</v>
      </c>
      <c r="X139">
        <v>0</v>
      </c>
      <c r="Y139" t="s">
        <v>16</v>
      </c>
      <c r="Z139">
        <v>7</v>
      </c>
      <c r="AA139">
        <f>IF(AND(Table1[[#This Row],[Throw Out Pass Eff]]="N", Table1[[#This Row],[Against FCS Team]]="N"), ROUND(((5.45 * D139) + (150 * F139) + (100 * G139) - (300 * H139)) / E139, 2), " ")</f>
        <v>95.32</v>
      </c>
      <c r="AB139">
        <f>IF(AND(Table1[[#This Row],[Throw Out Pass Def Eff]]="N", Table1[[#This Row],[Against FCS Team]]="N"),200 - ROUND(((5.45 * P139) + (150 * R139) + (100 * S139) - (300 * T139)) / Q139, 2), " ")</f>
        <v>115.77</v>
      </c>
      <c r="AC139">
        <f>IF(AND(Table1[[#This Row],[Throw Out Rush Eff]]="N", Table1[[#This Row],[Against FCS Team]]="N"), ROUND(((23.2 * I139) + (150 * K139) - (300 * L139)) / J139, 2), " ")</f>
        <v>123.04</v>
      </c>
      <c r="AD139" s="3">
        <f>IF(AND(Table1[[#This Row],[Throw Out Rush Def Eff]]="N", Table1[[#This Row],[Against FCS Team]]="N"), 200 - ROUND(((23.2 * U139) + (150 * W139) - (300 * X139)) / V139, 2), " ")</f>
        <v>150.79</v>
      </c>
      <c r="AE139" s="3">
        <f>ROUND(Table1[[#This Row],[Opp Passing Attempts]]/(Table1[[#This Row],[Opp Passing Attempts]]+Table1[[#This Row],[Opp Rushing Attempts]]), 2)</f>
        <v>0.49</v>
      </c>
      <c r="AF139" s="3">
        <f>1-Table1[[#This Row],[Passing Weight]]</f>
        <v>0.51</v>
      </c>
      <c r="AG139" s="3" t="str">
        <f>IF(COUNTIF(A:A,Table1[[#This Row],[Opp Team Name]]) &gt; 0, "N", "Y")</f>
        <v>N</v>
      </c>
      <c r="AH139" s="3" t="str">
        <f>IF(Table1[[#This Row],[Passing Attempts]] &lt;15, "Y", "N")</f>
        <v>N</v>
      </c>
      <c r="AI139" s="3" t="str">
        <f>IF(Table1[[#This Row],[Rushing Attempts]] &lt; 15, "Y", "N")</f>
        <v>N</v>
      </c>
      <c r="AJ139" s="3" t="str">
        <f>IF(Table1[[#This Row],[Opp Passing Attempts]]&lt;15, "Y", "N")</f>
        <v>N</v>
      </c>
      <c r="AK139" s="3" t="str">
        <f>IF(Table1[[#This Row],[Opp Rushing Attempts]]&lt;15, "Y", "N")</f>
        <v>N</v>
      </c>
      <c r="AL13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87.99</v>
      </c>
      <c r="AM1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111.23</v>
      </c>
      <c r="AN1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169.68</v>
      </c>
      <c r="AO1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110.6</v>
      </c>
      <c r="AP139" s="3">
        <f>ABS(Table1[[#This Row],[Team Score]]-Table1[[#This Row],[Opp Team Score]])</f>
        <v>9</v>
      </c>
      <c r="AQ139" s="3">
        <f>SUM(Table1[[#This Row],[Team Score]], Table1[[#This Row],[Opp Team Score]])</f>
        <v>41</v>
      </c>
      <c r="AR13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84.920000000000016</v>
      </c>
      <c r="AS139" s="3">
        <f>IF(Table1[[#This Row],[Efficiency Difference]] = " ", " ", ROUND((Table1[[#This Row],[Winning Margin]]*100)/Table1[[#This Row],[Efficiency Difference]], 2))</f>
        <v>10.6</v>
      </c>
    </row>
    <row r="140" spans="1:45">
      <c r="A140" t="s">
        <v>52</v>
      </c>
      <c r="B140">
        <v>140</v>
      </c>
      <c r="C140">
        <v>37</v>
      </c>
      <c r="D140">
        <v>389</v>
      </c>
      <c r="E140">
        <v>41</v>
      </c>
      <c r="F140">
        <v>3</v>
      </c>
      <c r="G140">
        <v>26</v>
      </c>
      <c r="H140">
        <v>2</v>
      </c>
      <c r="I140">
        <v>118</v>
      </c>
      <c r="J140">
        <v>34</v>
      </c>
      <c r="K140">
        <v>2</v>
      </c>
      <c r="L140">
        <v>1</v>
      </c>
      <c r="M140" t="s">
        <v>115</v>
      </c>
      <c r="N140">
        <v>651</v>
      </c>
      <c r="O140">
        <v>34</v>
      </c>
      <c r="P140">
        <v>409</v>
      </c>
      <c r="Q140">
        <v>48</v>
      </c>
      <c r="R140">
        <v>3</v>
      </c>
      <c r="S140">
        <v>31</v>
      </c>
      <c r="T140">
        <v>1</v>
      </c>
      <c r="U140">
        <v>86</v>
      </c>
      <c r="V140">
        <v>36</v>
      </c>
      <c r="W140">
        <v>1</v>
      </c>
      <c r="X140">
        <v>3</v>
      </c>
      <c r="Y140" t="s">
        <v>16</v>
      </c>
      <c r="Z140">
        <v>8</v>
      </c>
      <c r="AA140" s="3">
        <f>IF(AND(Table1[[#This Row],[Throw Out Pass Eff]]="N", Table1[[#This Row],[Against FCS Team]]="N"), ROUND(((5.45 * D140) + (150 * F140) + (100 * G140) - (300 * H140)) / E140, 2), " ")</f>
        <v>111.46</v>
      </c>
      <c r="AB140" s="3">
        <f>IF(AND(Table1[[#This Row],[Throw Out Pass Def Eff]]="N", Table1[[#This Row],[Against FCS Team]]="N"),200 - ROUND(((5.45 * P140) + (150 * R140) + (100 * S140) - (300 * T140)) / Q140, 2), " ")</f>
        <v>85.85</v>
      </c>
      <c r="AC140" s="3">
        <f>IF(AND(Table1[[#This Row],[Throw Out Rush Eff]]="N", Table1[[#This Row],[Against FCS Team]]="N"), ROUND(((23.2 * I140) + (150 * K140) - (300 * L140)) / J140, 2), " ")</f>
        <v>80.52</v>
      </c>
      <c r="AD140" s="3">
        <f>IF(AND(Table1[[#This Row],[Throw Out Rush Def Eff]]="N", Table1[[#This Row],[Against FCS Team]]="N"), 200 - ROUND(((23.2 * U140) + (150 * W140) - (300 * X140)) / V140, 2), " ")</f>
        <v>165.41</v>
      </c>
      <c r="AE140" s="3">
        <f>ROUND(Table1[[#This Row],[Opp Passing Attempts]]/(Table1[[#This Row],[Opp Passing Attempts]]+Table1[[#This Row],[Opp Rushing Attempts]]), 2)</f>
        <v>0.56999999999999995</v>
      </c>
      <c r="AF140" s="3">
        <f>1-Table1[[#This Row],[Passing Weight]]</f>
        <v>0.43000000000000005</v>
      </c>
      <c r="AG140" s="3" t="str">
        <f>IF(COUNTIF(A:A,Table1[[#This Row],[Opp Team Name]]) &gt; 0, "N", "Y")</f>
        <v>N</v>
      </c>
      <c r="AH140" s="3" t="str">
        <f>IF(Table1[[#This Row],[Passing Attempts]] &lt;15, "Y", "N")</f>
        <v>N</v>
      </c>
      <c r="AI140" s="3" t="str">
        <f>IF(Table1[[#This Row],[Rushing Attempts]] &lt; 15, "Y", "N")</f>
        <v>N</v>
      </c>
      <c r="AJ140" s="3" t="str">
        <f>IF(Table1[[#This Row],[Opp Passing Attempts]]&lt;15, "Y", "N")</f>
        <v>N</v>
      </c>
      <c r="AK140" s="3" t="str">
        <f>IF(Table1[[#This Row],[Opp Rushing Attempts]]&lt;15, "Y", "N")</f>
        <v>N</v>
      </c>
      <c r="AL14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116.74</v>
      </c>
      <c r="AM1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81.13</v>
      </c>
      <c r="AN1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102.52</v>
      </c>
      <c r="AO1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171.8</v>
      </c>
      <c r="AP140" s="3">
        <f>ABS(Table1[[#This Row],[Team Score]]-Table1[[#This Row],[Opp Team Score]])</f>
        <v>3</v>
      </c>
      <c r="AQ140" s="3">
        <f>SUM(Table1[[#This Row],[Team Score]], Table1[[#This Row],[Opp Team Score]])</f>
        <v>71</v>
      </c>
      <c r="AR14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43.239999999999981</v>
      </c>
      <c r="AS140" s="3">
        <f>IF(Table1[[#This Row],[Efficiency Difference]] = " ", " ", ROUND((Table1[[#This Row],[Winning Margin]]*100)/Table1[[#This Row],[Efficiency Difference]], 2))</f>
        <v>6.94</v>
      </c>
    </row>
    <row r="141" spans="1:45">
      <c r="A141" t="s">
        <v>54</v>
      </c>
      <c r="B141">
        <v>147</v>
      </c>
      <c r="C141">
        <v>35</v>
      </c>
      <c r="D141">
        <v>261</v>
      </c>
      <c r="E141">
        <v>29</v>
      </c>
      <c r="F141">
        <v>3</v>
      </c>
      <c r="G141">
        <v>18</v>
      </c>
      <c r="H141">
        <v>0</v>
      </c>
      <c r="I141">
        <v>215</v>
      </c>
      <c r="J141">
        <v>42</v>
      </c>
      <c r="K141">
        <v>2</v>
      </c>
      <c r="L141">
        <v>1</v>
      </c>
      <c r="M141" t="s">
        <v>165</v>
      </c>
      <c r="N141">
        <v>2915</v>
      </c>
      <c r="O141">
        <v>27</v>
      </c>
      <c r="P141">
        <v>127</v>
      </c>
      <c r="Q141">
        <v>8</v>
      </c>
      <c r="R141">
        <v>1</v>
      </c>
      <c r="S141">
        <v>2</v>
      </c>
      <c r="T141">
        <v>1</v>
      </c>
      <c r="U141">
        <v>272</v>
      </c>
      <c r="V141">
        <v>57</v>
      </c>
      <c r="W141">
        <v>2</v>
      </c>
      <c r="X141">
        <v>0</v>
      </c>
      <c r="Y141" t="s">
        <v>16</v>
      </c>
      <c r="Z141">
        <v>2</v>
      </c>
      <c r="AA141" t="str">
        <f>IF(AND(Table1[[#This Row],[Throw Out Pass Eff]]="N", Table1[[#This Row],[Against FCS Team]]="N"), ROUND(((5.45 * D141) + (150 * F141) + (100 * G141) - (300 * H141)) / E141, 2), " ")</f>
        <v xml:space="preserve"> </v>
      </c>
      <c r="AB141" t="str">
        <f>IF(AND(Table1[[#This Row],[Throw Out Pass Def Eff]]="N", Table1[[#This Row],[Against FCS Team]]="N"),200 - ROUND(((5.45 * P141) + (150 * R141) + (100 * S141) - (300 * T141)) / Q141, 2), " ")</f>
        <v xml:space="preserve"> </v>
      </c>
      <c r="AC141" t="str">
        <f>IF(AND(Table1[[#This Row],[Throw Out Rush Eff]]="N", Table1[[#This Row],[Against FCS Team]]="N"), ROUND(((23.2 * I141) + (150 * K141) - (300 * L141)) / J141, 2), " ")</f>
        <v xml:space="preserve"> </v>
      </c>
      <c r="AD141" s="3" t="str">
        <f>IF(AND(Table1[[#This Row],[Throw Out Rush Def Eff]]="N", Table1[[#This Row],[Against FCS Team]]="N"), 200 - ROUND(((23.2 * U141) + (150 * W141) - (300 * X141)) / V141, 2), " ")</f>
        <v xml:space="preserve"> </v>
      </c>
      <c r="AE141" s="3">
        <f>ROUND(Table1[[#This Row],[Opp Passing Attempts]]/(Table1[[#This Row],[Opp Passing Attempts]]+Table1[[#This Row],[Opp Rushing Attempts]]), 2)</f>
        <v>0.12</v>
      </c>
      <c r="AF141" s="3">
        <f>1-Table1[[#This Row],[Passing Weight]]</f>
        <v>0.88</v>
      </c>
      <c r="AG141" s="3" t="str">
        <f>IF(COUNTIF(A:A,Table1[[#This Row],[Opp Team Name]]) &gt; 0, "N", "Y")</f>
        <v>Y</v>
      </c>
      <c r="AH141" s="3" t="str">
        <f>IF(Table1[[#This Row],[Passing Attempts]] &lt;15, "Y", "N")</f>
        <v>N</v>
      </c>
      <c r="AI141" s="3" t="str">
        <f>IF(Table1[[#This Row],[Rushing Attempts]] &lt; 15, "Y", "N")</f>
        <v>N</v>
      </c>
      <c r="AJ141" s="3" t="str">
        <f>IF(Table1[[#This Row],[Opp Passing Attempts]]&lt;15, "Y", "N")</f>
        <v>Y</v>
      </c>
      <c r="AK141" s="3" t="str">
        <f>IF(Table1[[#This Row],[Opp Rushing Attempts]]&lt;15, "Y", "N")</f>
        <v>N</v>
      </c>
      <c r="AL14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4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4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4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41" s="3">
        <f>ABS(Table1[[#This Row],[Team Score]]-Table1[[#This Row],[Opp Team Score]])</f>
        <v>8</v>
      </c>
      <c r="AQ141" s="3">
        <f>SUM(Table1[[#This Row],[Team Score]], Table1[[#This Row],[Opp Team Score]])</f>
        <v>62</v>
      </c>
      <c r="AR14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41" s="3" t="str">
        <f>IF(Table1[[#This Row],[Efficiency Difference]] = " ", " ", ROUND((Table1[[#This Row],[Winning Margin]]*100)/Table1[[#This Row],[Efficiency Difference]], 2))</f>
        <v xml:space="preserve"> </v>
      </c>
    </row>
    <row r="142" spans="1:45">
      <c r="A142" t="s">
        <v>54</v>
      </c>
      <c r="B142">
        <v>147</v>
      </c>
      <c r="C142">
        <v>43</v>
      </c>
      <c r="D142">
        <v>271</v>
      </c>
      <c r="E142">
        <v>31</v>
      </c>
      <c r="F142">
        <v>3</v>
      </c>
      <c r="G142">
        <v>21</v>
      </c>
      <c r="H142">
        <v>1</v>
      </c>
      <c r="I142">
        <v>197</v>
      </c>
      <c r="J142">
        <v>38</v>
      </c>
      <c r="K142">
        <v>2</v>
      </c>
      <c r="L142">
        <v>0</v>
      </c>
      <c r="M142" t="s">
        <v>55</v>
      </c>
      <c r="N142">
        <v>716</v>
      </c>
      <c r="O142">
        <v>19</v>
      </c>
      <c r="P142">
        <v>258</v>
      </c>
      <c r="Q142">
        <v>42</v>
      </c>
      <c r="R142">
        <v>1</v>
      </c>
      <c r="S142">
        <v>24</v>
      </c>
      <c r="T142">
        <v>1</v>
      </c>
      <c r="U142">
        <v>165</v>
      </c>
      <c r="V142">
        <v>36</v>
      </c>
      <c r="W142">
        <v>1</v>
      </c>
      <c r="X142">
        <v>2</v>
      </c>
      <c r="Y142" t="s">
        <v>16</v>
      </c>
      <c r="Z142">
        <v>1</v>
      </c>
      <c r="AA142">
        <f>IF(AND(Table1[[#This Row],[Throw Out Pass Eff]]="N", Table1[[#This Row],[Against FCS Team]]="N"), ROUND(((5.45 * D142) + (150 * F142) + (100 * G142) - (300 * H142)) / E142, 2), " ")</f>
        <v>120.22</v>
      </c>
      <c r="AB142">
        <f>IF(AND(Table1[[#This Row],[Throw Out Pass Def Eff]]="N", Table1[[#This Row],[Against FCS Team]]="N"),200 - ROUND(((5.45 * P142) + (150 * R142) + (100 * S142) - (300 * T142)) / Q142, 2), " ")</f>
        <v>112.95</v>
      </c>
      <c r="AC142">
        <f>IF(AND(Table1[[#This Row],[Throw Out Rush Eff]]="N", Table1[[#This Row],[Against FCS Team]]="N"), ROUND(((23.2 * I142) + (150 * K142) - (300 * L142)) / J142, 2), " ")</f>
        <v>128.16999999999999</v>
      </c>
      <c r="AD142" s="3">
        <f>IF(AND(Table1[[#This Row],[Throw Out Rush Def Eff]]="N", Table1[[#This Row],[Against FCS Team]]="N"), 200 - ROUND(((23.2 * U142) + (150 * W142) - (300 * X142)) / V142, 2), " ")</f>
        <v>106.17</v>
      </c>
      <c r="AE142" s="3">
        <f>ROUND(Table1[[#This Row],[Opp Passing Attempts]]/(Table1[[#This Row],[Opp Passing Attempts]]+Table1[[#This Row],[Opp Rushing Attempts]]), 2)</f>
        <v>0.54</v>
      </c>
      <c r="AF142" s="3">
        <f>1-Table1[[#This Row],[Passing Weight]]</f>
        <v>0.45999999999999996</v>
      </c>
      <c r="AG142" s="3" t="str">
        <f>IF(COUNTIF(A:A,Table1[[#This Row],[Opp Team Name]]) &gt; 0, "N", "Y")</f>
        <v>N</v>
      </c>
      <c r="AH142" s="3" t="str">
        <f>IF(Table1[[#This Row],[Passing Attempts]] &lt;15, "Y", "N")</f>
        <v>N</v>
      </c>
      <c r="AI142" s="3" t="str">
        <f>IF(Table1[[#This Row],[Rushing Attempts]] &lt; 15, "Y", "N")</f>
        <v>N</v>
      </c>
      <c r="AJ142" s="3" t="str">
        <f>IF(Table1[[#This Row],[Opp Passing Attempts]]&lt;15, "Y", "N")</f>
        <v>N</v>
      </c>
      <c r="AK142" s="3" t="str">
        <f>IF(Table1[[#This Row],[Opp Rushing Attempts]]&lt;15, "Y", "N")</f>
        <v>N</v>
      </c>
      <c r="AL14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106.52</v>
      </c>
      <c r="AM1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102.96</v>
      </c>
      <c r="AN1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131.55000000000001</v>
      </c>
      <c r="AO1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72.27</v>
      </c>
      <c r="AP142" s="3">
        <f>ABS(Table1[[#This Row],[Team Score]]-Table1[[#This Row],[Opp Team Score]])</f>
        <v>24</v>
      </c>
      <c r="AQ142" s="3">
        <f>SUM(Table1[[#This Row],[Team Score]], Table1[[#This Row],[Opp Team Score]])</f>
        <v>62</v>
      </c>
      <c r="AR14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67.509999999999991</v>
      </c>
      <c r="AS142" s="3">
        <f>IF(Table1[[#This Row],[Efficiency Difference]] = " ", " ", ROUND((Table1[[#This Row],[Winning Margin]]*100)/Table1[[#This Row],[Efficiency Difference]], 2))</f>
        <v>35.549999999999997</v>
      </c>
    </row>
    <row r="143" spans="1:45">
      <c r="A143" t="s">
        <v>54</v>
      </c>
      <c r="B143">
        <v>147</v>
      </c>
      <c r="C143">
        <v>38</v>
      </c>
      <c r="D143">
        <v>386</v>
      </c>
      <c r="E143">
        <v>42</v>
      </c>
      <c r="F143">
        <v>4</v>
      </c>
      <c r="G143">
        <v>30</v>
      </c>
      <c r="H143">
        <v>0</v>
      </c>
      <c r="I143">
        <v>238</v>
      </c>
      <c r="J143">
        <v>50</v>
      </c>
      <c r="K143">
        <v>1</v>
      </c>
      <c r="L143">
        <v>1</v>
      </c>
      <c r="M143" t="s">
        <v>32</v>
      </c>
      <c r="N143">
        <v>37</v>
      </c>
      <c r="O143">
        <v>24</v>
      </c>
      <c r="P143">
        <v>198</v>
      </c>
      <c r="Q143">
        <v>25</v>
      </c>
      <c r="R143">
        <v>1</v>
      </c>
      <c r="S143">
        <v>12</v>
      </c>
      <c r="T143">
        <v>1</v>
      </c>
      <c r="U143">
        <v>237</v>
      </c>
      <c r="V143">
        <v>38</v>
      </c>
      <c r="W143">
        <v>2</v>
      </c>
      <c r="X143">
        <v>0</v>
      </c>
      <c r="Y143" t="s">
        <v>16</v>
      </c>
      <c r="Z143">
        <v>3</v>
      </c>
      <c r="AA143">
        <f>IF(AND(Table1[[#This Row],[Throw Out Pass Eff]]="N", Table1[[#This Row],[Against FCS Team]]="N"), ROUND(((5.45 * D143) + (150 * F143) + (100 * G143) - (300 * H143)) / E143, 2), " ")</f>
        <v>135.80000000000001</v>
      </c>
      <c r="AB143">
        <f>IF(AND(Table1[[#This Row],[Throw Out Pass Def Eff]]="N", Table1[[#This Row],[Against FCS Team]]="N"),200 - ROUND(((5.45 * P143) + (150 * R143) + (100 * S143) - (300 * T143)) / Q143, 2), " ")</f>
        <v>114.84</v>
      </c>
      <c r="AC143">
        <f>IF(AND(Table1[[#This Row],[Throw Out Rush Eff]]="N", Table1[[#This Row],[Against FCS Team]]="N"), ROUND(((23.2 * I143) + (150 * K143) - (300 * L143)) / J143, 2), " ")</f>
        <v>107.43</v>
      </c>
      <c r="AD143" s="3">
        <f>IF(AND(Table1[[#This Row],[Throw Out Rush Def Eff]]="N", Table1[[#This Row],[Against FCS Team]]="N"), 200 - ROUND(((23.2 * U143) + (150 * W143) - (300 * X143)) / V143, 2), " ")</f>
        <v>47.41</v>
      </c>
      <c r="AE143" s="3">
        <f>ROUND(Table1[[#This Row],[Opp Passing Attempts]]/(Table1[[#This Row],[Opp Passing Attempts]]+Table1[[#This Row],[Opp Rushing Attempts]]), 2)</f>
        <v>0.4</v>
      </c>
      <c r="AF143" s="3">
        <f>1-Table1[[#This Row],[Passing Weight]]</f>
        <v>0.6</v>
      </c>
      <c r="AG143" s="3" t="str">
        <f>IF(COUNTIF(A:A,Table1[[#This Row],[Opp Team Name]]) &gt; 0, "N", "Y")</f>
        <v>N</v>
      </c>
      <c r="AH143" s="3" t="str">
        <f>IF(Table1[[#This Row],[Passing Attempts]] &lt;15, "Y", "N")</f>
        <v>N</v>
      </c>
      <c r="AI143" s="3" t="str">
        <f>IF(Table1[[#This Row],[Rushing Attempts]] &lt; 15, "Y", "N")</f>
        <v>N</v>
      </c>
      <c r="AJ143" s="3" t="str">
        <f>IF(Table1[[#This Row],[Opp Passing Attempts]]&lt;15, "Y", "N")</f>
        <v>N</v>
      </c>
      <c r="AK143" s="3" t="str">
        <f>IF(Table1[[#This Row],[Opp Rushing Attempts]]&lt;15, "Y", "N")</f>
        <v>N</v>
      </c>
      <c r="AL14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137.6</v>
      </c>
      <c r="AM1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95.77</v>
      </c>
      <c r="AN1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107.73</v>
      </c>
      <c r="AO1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50.02</v>
      </c>
      <c r="AP143" s="3">
        <f>ABS(Table1[[#This Row],[Team Score]]-Table1[[#This Row],[Opp Team Score]])</f>
        <v>14</v>
      </c>
      <c r="AQ143" s="3">
        <f>SUM(Table1[[#This Row],[Team Score]], Table1[[#This Row],[Opp Team Score]])</f>
        <v>62</v>
      </c>
      <c r="AR14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5.4800000000000182</v>
      </c>
      <c r="AS143" s="3">
        <f>IF(Table1[[#This Row],[Efficiency Difference]] = " ", " ", ROUND((Table1[[#This Row],[Winning Margin]]*100)/Table1[[#This Row],[Efficiency Difference]], 2))</f>
        <v>255.47</v>
      </c>
    </row>
    <row r="144" spans="1:45">
      <c r="A144" t="s">
        <v>54</v>
      </c>
      <c r="B144">
        <v>147</v>
      </c>
      <c r="C144">
        <v>35</v>
      </c>
      <c r="D144">
        <v>344</v>
      </c>
      <c r="E144">
        <v>35</v>
      </c>
      <c r="F144">
        <v>3</v>
      </c>
      <c r="G144">
        <v>22</v>
      </c>
      <c r="H144">
        <v>0</v>
      </c>
      <c r="I144">
        <v>99</v>
      </c>
      <c r="J144">
        <v>50</v>
      </c>
      <c r="K144">
        <v>2</v>
      </c>
      <c r="L144">
        <v>1</v>
      </c>
      <c r="M144" t="s">
        <v>70</v>
      </c>
      <c r="N144">
        <v>234</v>
      </c>
      <c r="O144">
        <v>30</v>
      </c>
      <c r="P144">
        <v>336</v>
      </c>
      <c r="Q144">
        <v>38</v>
      </c>
      <c r="R144">
        <v>3</v>
      </c>
      <c r="S144">
        <v>24</v>
      </c>
      <c r="T144">
        <v>1</v>
      </c>
      <c r="U144">
        <v>29</v>
      </c>
      <c r="V144">
        <v>15</v>
      </c>
      <c r="W144">
        <v>0</v>
      </c>
      <c r="X144">
        <v>0</v>
      </c>
      <c r="Y144" t="s">
        <v>16</v>
      </c>
      <c r="Z144">
        <v>4</v>
      </c>
      <c r="AA144">
        <f>IF(AND(Table1[[#This Row],[Throw Out Pass Eff]]="N", Table1[[#This Row],[Against FCS Team]]="N"), ROUND(((5.45 * D144) + (150 * F144) + (100 * G144) - (300 * H144)) / E144, 2), " ")</f>
        <v>129.28</v>
      </c>
      <c r="AB144">
        <f>IF(AND(Table1[[#This Row],[Throw Out Pass Def Eff]]="N", Table1[[#This Row],[Against FCS Team]]="N"),200 - ROUND(((5.45 * P144) + (150 * R144) + (100 * S144) - (300 * T144)) / Q144, 2), " ")</f>
        <v>84.71</v>
      </c>
      <c r="AC144">
        <f>IF(AND(Table1[[#This Row],[Throw Out Rush Eff]]="N", Table1[[#This Row],[Against FCS Team]]="N"), ROUND(((23.2 * I144) + (150 * K144) - (300 * L144)) / J144, 2), " ")</f>
        <v>45.94</v>
      </c>
      <c r="AD144" s="3">
        <f>IF(AND(Table1[[#This Row],[Throw Out Rush Def Eff]]="N", Table1[[#This Row],[Against FCS Team]]="N"), 200 - ROUND(((23.2 * U144) + (150 * W144) - (300 * X144)) / V144, 2), " ")</f>
        <v>155.15</v>
      </c>
      <c r="AE144" s="3">
        <f>ROUND(Table1[[#This Row],[Opp Passing Attempts]]/(Table1[[#This Row],[Opp Passing Attempts]]+Table1[[#This Row],[Opp Rushing Attempts]]), 2)</f>
        <v>0.72</v>
      </c>
      <c r="AF144" s="3">
        <f>1-Table1[[#This Row],[Passing Weight]]</f>
        <v>0.28000000000000003</v>
      </c>
      <c r="AG144" s="3" t="str">
        <f>IF(COUNTIF(A:A,Table1[[#This Row],[Opp Team Name]]) &gt; 0, "N", "Y")</f>
        <v>N</v>
      </c>
      <c r="AH144" s="3" t="str">
        <f>IF(Table1[[#This Row],[Passing Attempts]] &lt;15, "Y", "N")</f>
        <v>N</v>
      </c>
      <c r="AI144" s="3" t="str">
        <f>IF(Table1[[#This Row],[Rushing Attempts]] &lt; 15, "Y", "N")</f>
        <v>N</v>
      </c>
      <c r="AJ144" s="3" t="str">
        <f>IF(Table1[[#This Row],[Opp Passing Attempts]]&lt;15, "Y", "N")</f>
        <v>N</v>
      </c>
      <c r="AK144" s="3" t="str">
        <f>IF(Table1[[#This Row],[Opp Rushing Attempts]]&lt;15, "Y", "N")</f>
        <v>N</v>
      </c>
      <c r="AL1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133.16999999999999</v>
      </c>
      <c r="AM1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83.3</v>
      </c>
      <c r="AN1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65.66</v>
      </c>
      <c r="AO1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128.01</v>
      </c>
      <c r="AP144" s="3">
        <f>ABS(Table1[[#This Row],[Team Score]]-Table1[[#This Row],[Opp Team Score]])</f>
        <v>5</v>
      </c>
      <c r="AQ144" s="3">
        <f>SUM(Table1[[#This Row],[Team Score]], Table1[[#This Row],[Opp Team Score]])</f>
        <v>65</v>
      </c>
      <c r="AR1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15.080000000000013</v>
      </c>
      <c r="AS144" s="3">
        <f>IF(Table1[[#This Row],[Efficiency Difference]] = " ", " ", ROUND((Table1[[#This Row],[Winning Margin]]*100)/Table1[[#This Row],[Efficiency Difference]], 2))</f>
        <v>33.159999999999997</v>
      </c>
    </row>
    <row r="145" spans="1:45">
      <c r="A145" t="s">
        <v>54</v>
      </c>
      <c r="B145">
        <v>147</v>
      </c>
      <c r="C145">
        <v>23</v>
      </c>
      <c r="D145">
        <v>204</v>
      </c>
      <c r="E145">
        <v>32</v>
      </c>
      <c r="F145">
        <v>1</v>
      </c>
      <c r="G145">
        <v>13</v>
      </c>
      <c r="H145">
        <v>1</v>
      </c>
      <c r="I145">
        <v>119</v>
      </c>
      <c r="J145">
        <v>35</v>
      </c>
      <c r="K145">
        <v>2</v>
      </c>
      <c r="L145">
        <v>0</v>
      </c>
      <c r="M145" t="s">
        <v>156</v>
      </c>
      <c r="N145">
        <v>742</v>
      </c>
      <c r="O145">
        <v>3</v>
      </c>
      <c r="P145">
        <v>125</v>
      </c>
      <c r="Q145">
        <v>27</v>
      </c>
      <c r="R145">
        <v>0</v>
      </c>
      <c r="S145">
        <v>15</v>
      </c>
      <c r="T145">
        <v>1</v>
      </c>
      <c r="U145">
        <v>133</v>
      </c>
      <c r="V145">
        <v>40</v>
      </c>
      <c r="W145">
        <v>0</v>
      </c>
      <c r="X145">
        <v>1</v>
      </c>
      <c r="Y145" t="s">
        <v>16</v>
      </c>
      <c r="Z145">
        <v>5</v>
      </c>
      <c r="AA145">
        <f>IF(AND(Table1[[#This Row],[Throw Out Pass Eff]]="N", Table1[[#This Row],[Against FCS Team]]="N"), ROUND(((5.45 * D145) + (150 * F145) + (100 * G145) - (300 * H145)) / E145, 2), " ")</f>
        <v>70.680000000000007</v>
      </c>
      <c r="AB145">
        <f>IF(AND(Table1[[#This Row],[Throw Out Pass Def Eff]]="N", Table1[[#This Row],[Against FCS Team]]="N"),200 - ROUND(((5.45 * P145) + (150 * R145) + (100 * S145) - (300 * T145)) / Q145, 2), " ")</f>
        <v>130.32</v>
      </c>
      <c r="AC145">
        <f>IF(AND(Table1[[#This Row],[Throw Out Rush Eff]]="N", Table1[[#This Row],[Against FCS Team]]="N"), ROUND(((23.2 * I145) + (150 * K145) - (300 * L145)) / J145, 2), " ")</f>
        <v>87.45</v>
      </c>
      <c r="AD145" s="3">
        <f>IF(AND(Table1[[#This Row],[Throw Out Rush Def Eff]]="N", Table1[[#This Row],[Against FCS Team]]="N"), 200 - ROUND(((23.2 * U145) + (150 * W145) - (300 * X145)) / V145, 2), " ")</f>
        <v>130.36000000000001</v>
      </c>
      <c r="AE145" s="3">
        <f>ROUND(Table1[[#This Row],[Opp Passing Attempts]]/(Table1[[#This Row],[Opp Passing Attempts]]+Table1[[#This Row],[Opp Rushing Attempts]]), 2)</f>
        <v>0.4</v>
      </c>
      <c r="AF145" s="3">
        <f>1-Table1[[#This Row],[Passing Weight]]</f>
        <v>0.6</v>
      </c>
      <c r="AG145" s="3" t="str">
        <f>IF(COUNTIF(A:A,Table1[[#This Row],[Opp Team Name]]) &gt; 0, "N", "Y")</f>
        <v>N</v>
      </c>
      <c r="AH145" s="3" t="str">
        <f>IF(Table1[[#This Row],[Passing Attempts]] &lt;15, "Y", "N")</f>
        <v>N</v>
      </c>
      <c r="AI145" s="3" t="str">
        <f>IF(Table1[[#This Row],[Rushing Attempts]] &lt; 15, "Y", "N")</f>
        <v>N</v>
      </c>
      <c r="AJ145" s="3" t="str">
        <f>IF(Table1[[#This Row],[Opp Passing Attempts]]&lt;15, "Y", "N")</f>
        <v>N</v>
      </c>
      <c r="AK145" s="3" t="str">
        <f>IF(Table1[[#This Row],[Opp Rushing Attempts]]&lt;15, "Y", "N")</f>
        <v>N</v>
      </c>
      <c r="AL14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80.05</v>
      </c>
      <c r="AM14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132.41999999999999</v>
      </c>
      <c r="AN14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127.31</v>
      </c>
      <c r="AO14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140.1</v>
      </c>
      <c r="AP145" s="3">
        <f>ABS(Table1[[#This Row],[Team Score]]-Table1[[#This Row],[Opp Team Score]])</f>
        <v>20</v>
      </c>
      <c r="AQ145" s="3">
        <f>SUM(Table1[[#This Row],[Team Score]], Table1[[#This Row],[Opp Team Score]])</f>
        <v>26</v>
      </c>
      <c r="AR14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18.810000000000002</v>
      </c>
      <c r="AS145" s="3">
        <f>IF(Table1[[#This Row],[Efficiency Difference]] = " ", " ", ROUND((Table1[[#This Row],[Winning Margin]]*100)/Table1[[#This Row],[Efficiency Difference]], 2))</f>
        <v>106.33</v>
      </c>
    </row>
    <row r="146" spans="1:45">
      <c r="A146" t="s">
        <v>54</v>
      </c>
      <c r="B146">
        <v>147</v>
      </c>
      <c r="C146">
        <v>36</v>
      </c>
      <c r="D146">
        <v>320</v>
      </c>
      <c r="E146">
        <v>37</v>
      </c>
      <c r="F146">
        <v>1</v>
      </c>
      <c r="G146">
        <v>22</v>
      </c>
      <c r="H146">
        <v>0</v>
      </c>
      <c r="I146">
        <v>180</v>
      </c>
      <c r="J146">
        <v>41</v>
      </c>
      <c r="K146">
        <v>2</v>
      </c>
      <c r="L146">
        <v>0</v>
      </c>
      <c r="M146" t="s">
        <v>40</v>
      </c>
      <c r="N146">
        <v>67</v>
      </c>
      <c r="O146">
        <v>14</v>
      </c>
      <c r="P146">
        <v>132</v>
      </c>
      <c r="Q146">
        <v>22</v>
      </c>
      <c r="R146">
        <v>1</v>
      </c>
      <c r="S146">
        <v>14</v>
      </c>
      <c r="T146">
        <v>1</v>
      </c>
      <c r="U146">
        <v>126</v>
      </c>
      <c r="V146">
        <v>35</v>
      </c>
      <c r="W146">
        <v>1</v>
      </c>
      <c r="X146">
        <v>1</v>
      </c>
      <c r="Y146" t="s">
        <v>16</v>
      </c>
      <c r="Z146">
        <v>6</v>
      </c>
      <c r="AA146">
        <f>IF(AND(Table1[[#This Row],[Throw Out Pass Eff]]="N", Table1[[#This Row],[Against FCS Team]]="N"), ROUND(((5.45 * D146) + (150 * F146) + (100 * G146) - (300 * H146)) / E146, 2), " ")</f>
        <v>110.65</v>
      </c>
      <c r="AB146">
        <f>IF(AND(Table1[[#This Row],[Throw Out Pass Def Eff]]="N", Table1[[#This Row],[Against FCS Team]]="N"),200 - ROUND(((5.45 * P146) + (150 * R146) + (100 * S146) - (300 * T146)) / Q146, 2), " ")</f>
        <v>110.48</v>
      </c>
      <c r="AC146">
        <f>IF(AND(Table1[[#This Row],[Throw Out Rush Eff]]="N", Table1[[#This Row],[Against FCS Team]]="N"), ROUND(((23.2 * I146) + (150 * K146) - (300 * L146)) / J146, 2), " ")</f>
        <v>109.17</v>
      </c>
      <c r="AD146" s="3">
        <f>IF(AND(Table1[[#This Row],[Throw Out Rush Def Eff]]="N", Table1[[#This Row],[Against FCS Team]]="N"), 200 - ROUND(((23.2 * U146) + (150 * W146) - (300 * X146)) / V146, 2), " ")</f>
        <v>120.77</v>
      </c>
      <c r="AE146" s="3">
        <f>ROUND(Table1[[#This Row],[Opp Passing Attempts]]/(Table1[[#This Row],[Opp Passing Attempts]]+Table1[[#This Row],[Opp Rushing Attempts]]), 2)</f>
        <v>0.39</v>
      </c>
      <c r="AF146" s="3">
        <f>1-Table1[[#This Row],[Passing Weight]]</f>
        <v>0.61</v>
      </c>
      <c r="AG146" s="3" t="str">
        <f>IF(COUNTIF(A:A,Table1[[#This Row],[Opp Team Name]]) &gt; 0, "N", "Y")</f>
        <v>N</v>
      </c>
      <c r="AH146" s="3" t="str">
        <f>IF(Table1[[#This Row],[Passing Attempts]] &lt;15, "Y", "N")</f>
        <v>N</v>
      </c>
      <c r="AI146" s="3" t="str">
        <f>IF(Table1[[#This Row],[Rushing Attempts]] &lt; 15, "Y", "N")</f>
        <v>N</v>
      </c>
      <c r="AJ146" s="3" t="str">
        <f>IF(Table1[[#This Row],[Opp Passing Attempts]]&lt;15, "Y", "N")</f>
        <v>N</v>
      </c>
      <c r="AK146" s="3" t="str">
        <f>IF(Table1[[#This Row],[Opp Rushing Attempts]]&lt;15, "Y", "N")</f>
        <v>N</v>
      </c>
      <c r="AL1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97.64</v>
      </c>
      <c r="AM1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83.23</v>
      </c>
      <c r="AN1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102.24</v>
      </c>
      <c r="AO14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94.22</v>
      </c>
      <c r="AP146" s="3">
        <f>ABS(Table1[[#This Row],[Team Score]]-Table1[[#This Row],[Opp Team Score]])</f>
        <v>22</v>
      </c>
      <c r="AQ146" s="3">
        <f>SUM(Table1[[#This Row],[Team Score]], Table1[[#This Row],[Opp Team Score]])</f>
        <v>50</v>
      </c>
      <c r="AR14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51.069999999999993</v>
      </c>
      <c r="AS146" s="3">
        <f>IF(Table1[[#This Row],[Efficiency Difference]] = " ", " ", ROUND((Table1[[#This Row],[Winning Margin]]*100)/Table1[[#This Row],[Efficiency Difference]], 2))</f>
        <v>43.08</v>
      </c>
    </row>
    <row r="147" spans="1:45">
      <c r="A147" t="s">
        <v>54</v>
      </c>
      <c r="B147">
        <v>147</v>
      </c>
      <c r="C147">
        <v>56</v>
      </c>
      <c r="D147">
        <v>270</v>
      </c>
      <c r="E147">
        <v>38</v>
      </c>
      <c r="F147">
        <v>4</v>
      </c>
      <c r="G147">
        <v>26</v>
      </c>
      <c r="H147">
        <v>1</v>
      </c>
      <c r="I147">
        <v>306</v>
      </c>
      <c r="J147">
        <v>42</v>
      </c>
      <c r="K147">
        <v>2</v>
      </c>
      <c r="L147">
        <v>1</v>
      </c>
      <c r="M147" t="s">
        <v>178</v>
      </c>
      <c r="N147">
        <v>392</v>
      </c>
      <c r="O147">
        <v>45</v>
      </c>
      <c r="P147">
        <v>177</v>
      </c>
      <c r="Q147">
        <v>35</v>
      </c>
      <c r="R147">
        <v>3</v>
      </c>
      <c r="S147">
        <v>17</v>
      </c>
      <c r="T147">
        <v>1</v>
      </c>
      <c r="U147">
        <v>291</v>
      </c>
      <c r="V147">
        <v>48</v>
      </c>
      <c r="W147">
        <v>2</v>
      </c>
      <c r="X147">
        <v>0</v>
      </c>
      <c r="Y147" t="s">
        <v>16</v>
      </c>
      <c r="Z147">
        <v>7</v>
      </c>
      <c r="AA147">
        <f>IF(AND(Table1[[#This Row],[Throw Out Pass Eff]]="N", Table1[[#This Row],[Against FCS Team]]="N"), ROUND(((5.45 * D147) + (150 * F147) + (100 * G147) - (300 * H147)) / E147, 2), " ")</f>
        <v>115.04</v>
      </c>
      <c r="AB147">
        <f>IF(AND(Table1[[#This Row],[Throw Out Pass Def Eff]]="N", Table1[[#This Row],[Against FCS Team]]="N"),200 - ROUND(((5.45 * P147) + (150 * R147) + (100 * S147) - (300 * T147)) / Q147, 2), " ")</f>
        <v>119.58</v>
      </c>
      <c r="AC147">
        <f>IF(AND(Table1[[#This Row],[Throw Out Rush Eff]]="N", Table1[[#This Row],[Against FCS Team]]="N"), ROUND(((23.2 * I147) + (150 * K147) - (300 * L147)) / J147, 2), " ")</f>
        <v>169.03</v>
      </c>
      <c r="AD147" s="3">
        <f>IF(AND(Table1[[#This Row],[Throw Out Rush Def Eff]]="N", Table1[[#This Row],[Against FCS Team]]="N"), 200 - ROUND(((23.2 * U147) + (150 * W147) - (300 * X147)) / V147, 2), " ")</f>
        <v>53.099999999999994</v>
      </c>
      <c r="AE147" s="3">
        <f>ROUND(Table1[[#This Row],[Opp Passing Attempts]]/(Table1[[#This Row],[Opp Passing Attempts]]+Table1[[#This Row],[Opp Rushing Attempts]]), 2)</f>
        <v>0.42</v>
      </c>
      <c r="AF147" s="3">
        <f>1-Table1[[#This Row],[Passing Weight]]</f>
        <v>0.58000000000000007</v>
      </c>
      <c r="AG147" s="3" t="str">
        <f>IF(COUNTIF(A:A,Table1[[#This Row],[Opp Team Name]]) &gt; 0, "N", "Y")</f>
        <v>N</v>
      </c>
      <c r="AH147" s="3" t="str">
        <f>IF(Table1[[#This Row],[Passing Attempts]] &lt;15, "Y", "N")</f>
        <v>N</v>
      </c>
      <c r="AI147" s="3" t="str">
        <f>IF(Table1[[#This Row],[Rushing Attempts]] &lt; 15, "Y", "N")</f>
        <v>N</v>
      </c>
      <c r="AJ147" s="3" t="str">
        <f>IF(Table1[[#This Row],[Opp Passing Attempts]]&lt;15, "Y", "N")</f>
        <v>N</v>
      </c>
      <c r="AK147" s="3" t="str">
        <f>IF(Table1[[#This Row],[Opp Rushing Attempts]]&lt;15, "Y", "N")</f>
        <v>N</v>
      </c>
      <c r="AL1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120.64</v>
      </c>
      <c r="AM1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93.39</v>
      </c>
      <c r="AN14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146.66999999999999</v>
      </c>
      <c r="AO1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54.9</v>
      </c>
      <c r="AP147" s="3">
        <f>ABS(Table1[[#This Row],[Team Score]]-Table1[[#This Row],[Opp Team Score]])</f>
        <v>11</v>
      </c>
      <c r="AQ147" s="3">
        <f>SUM(Table1[[#This Row],[Team Score]], Table1[[#This Row],[Opp Team Score]])</f>
        <v>101</v>
      </c>
      <c r="AR14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56.75</v>
      </c>
      <c r="AS147" s="3">
        <f>IF(Table1[[#This Row],[Efficiency Difference]] = " ", " ", ROUND((Table1[[#This Row],[Winning Margin]]*100)/Table1[[#This Row],[Efficiency Difference]], 2))</f>
        <v>19.38</v>
      </c>
    </row>
    <row r="148" spans="1:45">
      <c r="A148" t="s">
        <v>54</v>
      </c>
      <c r="B148">
        <v>147</v>
      </c>
      <c r="C148">
        <v>59</v>
      </c>
      <c r="D148">
        <v>373</v>
      </c>
      <c r="E148">
        <v>48</v>
      </c>
      <c r="F148">
        <v>5</v>
      </c>
      <c r="G148">
        <v>28</v>
      </c>
      <c r="H148">
        <v>0</v>
      </c>
      <c r="I148">
        <v>77</v>
      </c>
      <c r="J148">
        <v>36</v>
      </c>
      <c r="K148">
        <v>1</v>
      </c>
      <c r="L148">
        <v>1</v>
      </c>
      <c r="M148" t="s">
        <v>110</v>
      </c>
      <c r="N148">
        <v>457</v>
      </c>
      <c r="O148">
        <v>38</v>
      </c>
      <c r="P148">
        <v>316</v>
      </c>
      <c r="Q148">
        <v>35</v>
      </c>
      <c r="R148">
        <v>2</v>
      </c>
      <c r="S148">
        <v>20</v>
      </c>
      <c r="T148">
        <v>3</v>
      </c>
      <c r="U148">
        <v>102</v>
      </c>
      <c r="V148">
        <v>28</v>
      </c>
      <c r="W148">
        <v>2</v>
      </c>
      <c r="X148">
        <v>3</v>
      </c>
      <c r="Y148" t="s">
        <v>16</v>
      </c>
      <c r="Z148">
        <v>8</v>
      </c>
      <c r="AA148" s="3">
        <f>IF(AND(Table1[[#This Row],[Throw Out Pass Eff]]="N", Table1[[#This Row],[Against FCS Team]]="N"), ROUND(((5.45 * D148) + (150 * F148) + (100 * G148) - (300 * H148)) / E148, 2), " ")</f>
        <v>116.31</v>
      </c>
      <c r="AB148" s="3">
        <f>IF(AND(Table1[[#This Row],[Throw Out Pass Def Eff]]="N", Table1[[#This Row],[Against FCS Team]]="N"),200 - ROUND(((5.45 * P148) + (150 * R148) + (100 * S148) - (300 * T148)) / Q148, 2), " ")</f>
        <v>110.79</v>
      </c>
      <c r="AC148" s="3">
        <f>IF(AND(Table1[[#This Row],[Throw Out Rush Eff]]="N", Table1[[#This Row],[Against FCS Team]]="N"), ROUND(((23.2 * I148) + (150 * K148) - (300 * L148)) / J148, 2), " ")</f>
        <v>45.46</v>
      </c>
      <c r="AD148" s="3">
        <f>IF(AND(Table1[[#This Row],[Throw Out Rush Def Eff]]="N", Table1[[#This Row],[Against FCS Team]]="N"), 200 - ROUND(((23.2 * U148) + (150 * W148) - (300 * X148)) / V148, 2), " ")</f>
        <v>136.91</v>
      </c>
      <c r="AE148" s="3">
        <f>ROUND(Table1[[#This Row],[Opp Passing Attempts]]/(Table1[[#This Row],[Opp Passing Attempts]]+Table1[[#This Row],[Opp Rushing Attempts]]), 2)</f>
        <v>0.56000000000000005</v>
      </c>
      <c r="AF148" s="3">
        <f>1-Table1[[#This Row],[Passing Weight]]</f>
        <v>0.43999999999999995</v>
      </c>
      <c r="AG148" s="3" t="str">
        <f>IF(COUNTIF(A:A,Table1[[#This Row],[Opp Team Name]]) &gt; 0, "N", "Y")</f>
        <v>N</v>
      </c>
      <c r="AH148" s="3" t="str">
        <f>IF(Table1[[#This Row],[Passing Attempts]] &lt;15, "Y", "N")</f>
        <v>N</v>
      </c>
      <c r="AI148" s="3" t="str">
        <f>IF(Table1[[#This Row],[Rushing Attempts]] &lt; 15, "Y", "N")</f>
        <v>N</v>
      </c>
      <c r="AJ148" s="3" t="str">
        <f>IF(Table1[[#This Row],[Opp Passing Attempts]]&lt;15, "Y", "N")</f>
        <v>N</v>
      </c>
      <c r="AK148" s="3" t="str">
        <f>IF(Table1[[#This Row],[Opp Rushing Attempts]]&lt;15, "Y", "N")</f>
        <v>N</v>
      </c>
      <c r="AL1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114.27</v>
      </c>
      <c r="AM1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130.62</v>
      </c>
      <c r="AN1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63.31</v>
      </c>
      <c r="AO1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130.01</v>
      </c>
      <c r="AP148" s="3">
        <f>ABS(Table1[[#This Row],[Team Score]]-Table1[[#This Row],[Opp Team Score]])</f>
        <v>21</v>
      </c>
      <c r="AQ148" s="3">
        <f>SUM(Table1[[#This Row],[Team Score]], Table1[[#This Row],[Opp Team Score]])</f>
        <v>97</v>
      </c>
      <c r="AR1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9.4699999999999989</v>
      </c>
      <c r="AS148" s="3">
        <f>IF(Table1[[#This Row],[Efficiency Difference]] = " ", " ", ROUND((Table1[[#This Row],[Winning Margin]]*100)/Table1[[#This Row],[Efficiency Difference]], 2))</f>
        <v>221.75</v>
      </c>
    </row>
    <row r="149" spans="1:45">
      <c r="A149" t="s">
        <v>56</v>
      </c>
      <c r="B149">
        <v>157</v>
      </c>
      <c r="C149">
        <v>17</v>
      </c>
      <c r="D149">
        <v>223</v>
      </c>
      <c r="E149">
        <v>30</v>
      </c>
      <c r="F149">
        <v>2</v>
      </c>
      <c r="G149">
        <v>16</v>
      </c>
      <c r="H149">
        <v>1</v>
      </c>
      <c r="I149">
        <v>17</v>
      </c>
      <c r="J149">
        <v>28</v>
      </c>
      <c r="K149">
        <v>0</v>
      </c>
      <c r="L149">
        <v>0</v>
      </c>
      <c r="M149" t="s">
        <v>57</v>
      </c>
      <c r="N149">
        <v>277</v>
      </c>
      <c r="O149">
        <v>34</v>
      </c>
      <c r="P149">
        <v>178</v>
      </c>
      <c r="Q149">
        <v>33</v>
      </c>
      <c r="R149">
        <v>1</v>
      </c>
      <c r="S149">
        <v>20</v>
      </c>
      <c r="T149">
        <v>0</v>
      </c>
      <c r="U149">
        <v>165</v>
      </c>
      <c r="V149">
        <v>32</v>
      </c>
      <c r="W149">
        <v>3</v>
      </c>
      <c r="X149">
        <v>1</v>
      </c>
      <c r="Y149" t="s">
        <v>19</v>
      </c>
      <c r="Z149">
        <v>1</v>
      </c>
      <c r="AA149">
        <f>IF(AND(Table1[[#This Row],[Throw Out Pass Eff]]="N", Table1[[#This Row],[Against FCS Team]]="N"), ROUND(((5.45 * D149) + (150 * F149) + (100 * G149) - (300 * H149)) / E149, 2), " ")</f>
        <v>93.85</v>
      </c>
      <c r="AB149">
        <f>IF(AND(Table1[[#This Row],[Throw Out Pass Def Eff]]="N", Table1[[#This Row],[Against FCS Team]]="N"),200 - ROUND(((5.45 * P149) + (150 * R149) + (100 * S149) - (300 * T149)) / Q149, 2), " ")</f>
        <v>105.45</v>
      </c>
      <c r="AC149">
        <f>IF(AND(Table1[[#This Row],[Throw Out Rush Eff]]="N", Table1[[#This Row],[Against FCS Team]]="N"), ROUND(((23.2 * I149) + (150 * K149) - (300 * L149)) / J149, 2), " ")</f>
        <v>14.09</v>
      </c>
      <c r="AD149" s="3">
        <f>IF(AND(Table1[[#This Row],[Throw Out Rush Def Eff]]="N", Table1[[#This Row],[Against FCS Team]]="N"), 200 - ROUND(((23.2 * U149) + (150 * W149) - (300 * X149)) / V149, 2), " ")</f>
        <v>75.69</v>
      </c>
      <c r="AE149" s="3">
        <f>ROUND(Table1[[#This Row],[Opp Passing Attempts]]/(Table1[[#This Row],[Opp Passing Attempts]]+Table1[[#This Row],[Opp Rushing Attempts]]), 2)</f>
        <v>0.51</v>
      </c>
      <c r="AF149" s="3">
        <f>1-Table1[[#This Row],[Passing Weight]]</f>
        <v>0.49</v>
      </c>
      <c r="AG149" s="3" t="str">
        <f>IF(COUNTIF(A:A,Table1[[#This Row],[Opp Team Name]]) &gt; 0, "N", "Y")</f>
        <v>N</v>
      </c>
      <c r="AH149" s="3" t="str">
        <f>IF(Table1[[#This Row],[Passing Attempts]] &lt;15, "Y", "N")</f>
        <v>N</v>
      </c>
      <c r="AI149" s="3" t="str">
        <f>IF(Table1[[#This Row],[Rushing Attempts]] &lt; 15, "Y", "N")</f>
        <v>N</v>
      </c>
      <c r="AJ149" s="3" t="str">
        <f>IF(Table1[[#This Row],[Opp Passing Attempts]]&lt;15, "Y", "N")</f>
        <v>N</v>
      </c>
      <c r="AK149" s="3" t="str">
        <f>IF(Table1[[#This Row],[Opp Rushing Attempts]]&lt;15, "Y", "N")</f>
        <v>N</v>
      </c>
      <c r="AL1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94.86</v>
      </c>
      <c r="AM1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112.15</v>
      </c>
      <c r="AN1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18.87</v>
      </c>
      <c r="AO1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68.52</v>
      </c>
      <c r="AP149" s="3">
        <f>ABS(Table1[[#This Row],[Team Score]]-Table1[[#This Row],[Opp Team Score]])</f>
        <v>17</v>
      </c>
      <c r="AQ149" s="3">
        <f>SUM(Table1[[#This Row],[Team Score]], Table1[[#This Row],[Opp Team Score]])</f>
        <v>51</v>
      </c>
      <c r="AR1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110.92000000000002</v>
      </c>
      <c r="AS149" s="3">
        <f>IF(Table1[[#This Row],[Efficiency Difference]] = " ", " ", ROUND((Table1[[#This Row],[Winning Margin]]*100)/Table1[[#This Row],[Efficiency Difference]], 2))</f>
        <v>15.33</v>
      </c>
    </row>
    <row r="150" spans="1:45">
      <c r="A150" t="s">
        <v>56</v>
      </c>
      <c r="B150">
        <v>157</v>
      </c>
      <c r="C150">
        <v>33</v>
      </c>
      <c r="D150">
        <v>474</v>
      </c>
      <c r="E150">
        <v>50</v>
      </c>
      <c r="F150">
        <v>3</v>
      </c>
      <c r="G150">
        <v>28</v>
      </c>
      <c r="H150">
        <v>0</v>
      </c>
      <c r="I150">
        <v>108</v>
      </c>
      <c r="J150">
        <v>32</v>
      </c>
      <c r="K150">
        <v>0</v>
      </c>
      <c r="L150">
        <v>0</v>
      </c>
      <c r="M150" t="s">
        <v>48</v>
      </c>
      <c r="N150">
        <v>107</v>
      </c>
      <c r="O150">
        <v>36</v>
      </c>
      <c r="P150">
        <v>270</v>
      </c>
      <c r="Q150">
        <v>36</v>
      </c>
      <c r="R150">
        <v>4</v>
      </c>
      <c r="S150">
        <v>19</v>
      </c>
      <c r="T150">
        <v>1</v>
      </c>
      <c r="U150">
        <v>100</v>
      </c>
      <c r="V150">
        <v>31</v>
      </c>
      <c r="W150">
        <v>1</v>
      </c>
      <c r="X150">
        <v>0</v>
      </c>
      <c r="Y150" t="s">
        <v>19</v>
      </c>
      <c r="Z150">
        <v>2</v>
      </c>
      <c r="AA150">
        <f>IF(AND(Table1[[#This Row],[Throw Out Pass Eff]]="N", Table1[[#This Row],[Against FCS Team]]="N"), ROUND(((5.45 * D150) + (150 * F150) + (100 * G150) - (300 * H150)) / E150, 2), " ")</f>
        <v>116.67</v>
      </c>
      <c r="AB150">
        <f>IF(AND(Table1[[#This Row],[Throw Out Pass Def Eff]]="N", Table1[[#This Row],[Against FCS Team]]="N"),200 - ROUND(((5.45 * P150) + (150 * R150) + (100 * S150) - (300 * T150)) / Q150, 2), " ")</f>
        <v>98.01</v>
      </c>
      <c r="AC150">
        <f>IF(AND(Table1[[#This Row],[Throw Out Rush Eff]]="N", Table1[[#This Row],[Against FCS Team]]="N"), ROUND(((23.2 * I150) + (150 * K150) - (300 * L150)) / J150, 2), " ")</f>
        <v>78.3</v>
      </c>
      <c r="AD150" s="3">
        <f>IF(AND(Table1[[#This Row],[Throw Out Rush Def Eff]]="N", Table1[[#This Row],[Against FCS Team]]="N"), 200 - ROUND(((23.2 * U150) + (150 * W150) - (300 * X150)) / V150, 2), " ")</f>
        <v>120.32</v>
      </c>
      <c r="AE150" s="3">
        <f>ROUND(Table1[[#This Row],[Opp Passing Attempts]]/(Table1[[#This Row],[Opp Passing Attempts]]+Table1[[#This Row],[Opp Rushing Attempts]]), 2)</f>
        <v>0.54</v>
      </c>
      <c r="AF150" s="3">
        <f>1-Table1[[#This Row],[Passing Weight]]</f>
        <v>0.45999999999999996</v>
      </c>
      <c r="AG150" s="3" t="str">
        <f>IF(COUNTIF(A:A,Table1[[#This Row],[Opp Team Name]]) &gt; 0, "N", "Y")</f>
        <v>N</v>
      </c>
      <c r="AH150" s="3" t="str">
        <f>IF(Table1[[#This Row],[Passing Attempts]] &lt;15, "Y", "N")</f>
        <v>N</v>
      </c>
      <c r="AI150" s="3" t="str">
        <f>IF(Table1[[#This Row],[Rushing Attempts]] &lt; 15, "Y", "N")</f>
        <v>N</v>
      </c>
      <c r="AJ150" s="3" t="str">
        <f>IF(Table1[[#This Row],[Opp Passing Attempts]]&lt;15, "Y", "N")</f>
        <v>N</v>
      </c>
      <c r="AK150" s="3" t="str">
        <f>IF(Table1[[#This Row],[Opp Rushing Attempts]]&lt;15, "Y", "N")</f>
        <v>N</v>
      </c>
      <c r="AL1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116.18</v>
      </c>
      <c r="AM1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91.76</v>
      </c>
      <c r="AN1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98.59</v>
      </c>
      <c r="AO1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95.51</v>
      </c>
      <c r="AP150" s="3">
        <f>ABS(Table1[[#This Row],[Team Score]]-Table1[[#This Row],[Opp Team Score]])</f>
        <v>3</v>
      </c>
      <c r="AQ150" s="3">
        <f>SUM(Table1[[#This Row],[Team Score]], Table1[[#This Row],[Opp Team Score]])</f>
        <v>69</v>
      </c>
      <c r="AR1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13.299999999999983</v>
      </c>
      <c r="AS150" s="3">
        <f>IF(Table1[[#This Row],[Efficiency Difference]] = " ", " ", ROUND((Table1[[#This Row],[Winning Margin]]*100)/Table1[[#This Row],[Efficiency Difference]], 2))</f>
        <v>22.56</v>
      </c>
    </row>
    <row r="151" spans="1:45">
      <c r="A151" t="s">
        <v>56</v>
      </c>
      <c r="B151">
        <v>157</v>
      </c>
      <c r="C151">
        <v>28</v>
      </c>
      <c r="D151">
        <v>215</v>
      </c>
      <c r="E151">
        <v>32</v>
      </c>
      <c r="F151">
        <v>2</v>
      </c>
      <c r="G151">
        <v>17</v>
      </c>
      <c r="H151">
        <v>0</v>
      </c>
      <c r="I151">
        <v>145</v>
      </c>
      <c r="J151">
        <v>34</v>
      </c>
      <c r="K151">
        <v>2</v>
      </c>
      <c r="L151">
        <v>0</v>
      </c>
      <c r="M151" t="s">
        <v>58</v>
      </c>
      <c r="N151">
        <v>156</v>
      </c>
      <c r="O151">
        <v>14</v>
      </c>
      <c r="P151">
        <v>176</v>
      </c>
      <c r="Q151">
        <v>30</v>
      </c>
      <c r="R151">
        <v>1</v>
      </c>
      <c r="S151">
        <v>20</v>
      </c>
      <c r="T151">
        <v>0</v>
      </c>
      <c r="U151">
        <v>67</v>
      </c>
      <c r="V151">
        <v>25</v>
      </c>
      <c r="W151">
        <v>1</v>
      </c>
      <c r="X151">
        <v>1</v>
      </c>
      <c r="Y151" t="s">
        <v>16</v>
      </c>
      <c r="Z151">
        <v>3</v>
      </c>
      <c r="AA151">
        <f>IF(AND(Table1[[#This Row],[Throw Out Pass Eff]]="N", Table1[[#This Row],[Against FCS Team]]="N"), ROUND(((5.45 * D151) + (150 * F151) + (100 * G151) - (300 * H151)) / E151, 2), " ")</f>
        <v>99.12</v>
      </c>
      <c r="AB151">
        <f>IF(AND(Table1[[#This Row],[Throw Out Pass Def Eff]]="N", Table1[[#This Row],[Against FCS Team]]="N"),200 - ROUND(((5.45 * P151) + (150 * R151) + (100 * S151) - (300 * T151)) / Q151, 2), " ")</f>
        <v>96.36</v>
      </c>
      <c r="AC151">
        <f>IF(AND(Table1[[#This Row],[Throw Out Rush Eff]]="N", Table1[[#This Row],[Against FCS Team]]="N"), ROUND(((23.2 * I151) + (150 * K151) - (300 * L151)) / J151, 2), " ")</f>
        <v>107.76</v>
      </c>
      <c r="AD151" s="3">
        <f>IF(AND(Table1[[#This Row],[Throw Out Rush Def Eff]]="N", Table1[[#This Row],[Against FCS Team]]="N"), 200 - ROUND(((23.2 * U151) + (150 * W151) - (300 * X151)) / V151, 2), " ")</f>
        <v>143.82</v>
      </c>
      <c r="AE151" s="3">
        <f>ROUND(Table1[[#This Row],[Opp Passing Attempts]]/(Table1[[#This Row],[Opp Passing Attempts]]+Table1[[#This Row],[Opp Rushing Attempts]]), 2)</f>
        <v>0.55000000000000004</v>
      </c>
      <c r="AF151" s="3">
        <f>1-Table1[[#This Row],[Passing Weight]]</f>
        <v>0.44999999999999996</v>
      </c>
      <c r="AG151" s="3" t="str">
        <f>IF(COUNTIF(A:A,Table1[[#This Row],[Opp Team Name]]) &gt; 0, "N", "Y")</f>
        <v>N</v>
      </c>
      <c r="AH151" s="3" t="str">
        <f>IF(Table1[[#This Row],[Passing Attempts]] &lt;15, "Y", "N")</f>
        <v>N</v>
      </c>
      <c r="AI151" s="3" t="str">
        <f>IF(Table1[[#This Row],[Rushing Attempts]] &lt; 15, "Y", "N")</f>
        <v>N</v>
      </c>
      <c r="AJ151" s="3" t="str">
        <f>IF(Table1[[#This Row],[Opp Passing Attempts]]&lt;15, "Y", "N")</f>
        <v>N</v>
      </c>
      <c r="AK151" s="3" t="str">
        <f>IF(Table1[[#This Row],[Opp Rushing Attempts]]&lt;15, "Y", "N")</f>
        <v>N</v>
      </c>
      <c r="AL1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90.87</v>
      </c>
      <c r="AM1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92.79</v>
      </c>
      <c r="AN1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78.66</v>
      </c>
      <c r="AO1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84.76</v>
      </c>
      <c r="AP151" s="3">
        <f>ABS(Table1[[#This Row],[Team Score]]-Table1[[#This Row],[Opp Team Score]])</f>
        <v>14</v>
      </c>
      <c r="AQ151" s="3">
        <f>SUM(Table1[[#This Row],[Team Score]], Table1[[#This Row],[Opp Team Score]])</f>
        <v>42</v>
      </c>
      <c r="AR1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47.06</v>
      </c>
      <c r="AS151" s="3">
        <f>IF(Table1[[#This Row],[Efficiency Difference]] = " ", " ", ROUND((Table1[[#This Row],[Winning Margin]]*100)/Table1[[#This Row],[Efficiency Difference]], 2))</f>
        <v>29.75</v>
      </c>
    </row>
    <row r="152" spans="1:45">
      <c r="A152" t="s">
        <v>56</v>
      </c>
      <c r="B152">
        <v>157</v>
      </c>
      <c r="C152">
        <v>17</v>
      </c>
      <c r="D152">
        <v>238</v>
      </c>
      <c r="E152">
        <v>39</v>
      </c>
      <c r="F152">
        <v>2</v>
      </c>
      <c r="G152">
        <v>22</v>
      </c>
      <c r="H152">
        <v>0</v>
      </c>
      <c r="I152">
        <v>76</v>
      </c>
      <c r="J152">
        <v>16</v>
      </c>
      <c r="K152">
        <v>0</v>
      </c>
      <c r="L152">
        <v>2</v>
      </c>
      <c r="M152" t="s">
        <v>18</v>
      </c>
      <c r="N152">
        <v>518</v>
      </c>
      <c r="O152">
        <v>37</v>
      </c>
      <c r="P152">
        <v>110</v>
      </c>
      <c r="Q152">
        <v>15</v>
      </c>
      <c r="R152">
        <v>2</v>
      </c>
      <c r="S152">
        <v>7</v>
      </c>
      <c r="T152">
        <v>0</v>
      </c>
      <c r="U152">
        <v>226</v>
      </c>
      <c r="V152">
        <v>47</v>
      </c>
      <c r="W152">
        <v>2</v>
      </c>
      <c r="X152">
        <v>0</v>
      </c>
      <c r="Y152" t="s">
        <v>19</v>
      </c>
      <c r="Z152">
        <v>4</v>
      </c>
      <c r="AA152">
        <f>IF(AND(Table1[[#This Row],[Throw Out Pass Eff]]="N", Table1[[#This Row],[Against FCS Team]]="N"), ROUND(((5.45 * D152) + (150 * F152) + (100 * G152) - (300 * H152)) / E152, 2), " ")</f>
        <v>97.36</v>
      </c>
      <c r="AB152">
        <f>IF(AND(Table1[[#This Row],[Throw Out Pass Def Eff]]="N", Table1[[#This Row],[Against FCS Team]]="N"),200 - ROUND(((5.45 * P152) + (150 * R152) + (100 * S152) - (300 * T152)) / Q152, 2), " ")</f>
        <v>93.37</v>
      </c>
      <c r="AC152">
        <f>IF(AND(Table1[[#This Row],[Throw Out Rush Eff]]="N", Table1[[#This Row],[Against FCS Team]]="N"), ROUND(((23.2 * I152) + (150 * K152) - (300 * L152)) / J152, 2), " ")</f>
        <v>72.7</v>
      </c>
      <c r="AD152" s="3">
        <f>IF(AND(Table1[[#This Row],[Throw Out Rush Def Eff]]="N", Table1[[#This Row],[Against FCS Team]]="N"), 200 - ROUND(((23.2 * U152) + (150 * W152) - (300 * X152)) / V152, 2), " ")</f>
        <v>82.06</v>
      </c>
      <c r="AE152" s="3">
        <f>ROUND(Table1[[#This Row],[Opp Passing Attempts]]/(Table1[[#This Row],[Opp Passing Attempts]]+Table1[[#This Row],[Opp Rushing Attempts]]), 2)</f>
        <v>0.24</v>
      </c>
      <c r="AF152" s="3">
        <f>1-Table1[[#This Row],[Passing Weight]]</f>
        <v>0.76</v>
      </c>
      <c r="AG152" s="3" t="str">
        <f>IF(COUNTIF(A:A,Table1[[#This Row],[Opp Team Name]]) &gt; 0, "N", "Y")</f>
        <v>N</v>
      </c>
      <c r="AH152" s="3" t="str">
        <f>IF(Table1[[#This Row],[Passing Attempts]] &lt;15, "Y", "N")</f>
        <v>N</v>
      </c>
      <c r="AI152" s="3" t="str">
        <f>IF(Table1[[#This Row],[Rushing Attempts]] &lt; 15, "Y", "N")</f>
        <v>N</v>
      </c>
      <c r="AJ152" s="3" t="str">
        <f>IF(Table1[[#This Row],[Opp Passing Attempts]]&lt;15, "Y", "N")</f>
        <v>N</v>
      </c>
      <c r="AK152" s="3" t="str">
        <f>IF(Table1[[#This Row],[Opp Rushing Attempts]]&lt;15, "Y", "N")</f>
        <v>N</v>
      </c>
      <c r="AL1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112.45</v>
      </c>
      <c r="AM15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77.22</v>
      </c>
      <c r="AN1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93.19</v>
      </c>
      <c r="AO1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76.73</v>
      </c>
      <c r="AP152" s="3">
        <f>ABS(Table1[[#This Row],[Team Score]]-Table1[[#This Row],[Opp Team Score]])</f>
        <v>20</v>
      </c>
      <c r="AQ152" s="3">
        <f>SUM(Table1[[#This Row],[Team Score]], Table1[[#This Row],[Opp Team Score]])</f>
        <v>54</v>
      </c>
      <c r="AR15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54.509999999999991</v>
      </c>
      <c r="AS152" s="3">
        <f>IF(Table1[[#This Row],[Efficiency Difference]] = " ", " ", ROUND((Table1[[#This Row],[Winning Margin]]*100)/Table1[[#This Row],[Efficiency Difference]], 2))</f>
        <v>36.69</v>
      </c>
    </row>
    <row r="153" spans="1:45">
      <c r="A153" t="s">
        <v>56</v>
      </c>
      <c r="B153">
        <v>157</v>
      </c>
      <c r="C153">
        <v>27</v>
      </c>
      <c r="D153">
        <v>175</v>
      </c>
      <c r="E153">
        <v>24</v>
      </c>
      <c r="F153">
        <v>2</v>
      </c>
      <c r="G153">
        <v>15</v>
      </c>
      <c r="H153">
        <v>1</v>
      </c>
      <c r="I153">
        <v>161</v>
      </c>
      <c r="J153">
        <v>38</v>
      </c>
      <c r="K153">
        <v>1</v>
      </c>
      <c r="L153">
        <v>1</v>
      </c>
      <c r="M153" t="s">
        <v>160</v>
      </c>
      <c r="N153">
        <v>754</v>
      </c>
      <c r="O153">
        <v>31</v>
      </c>
      <c r="P153">
        <v>376</v>
      </c>
      <c r="Q153">
        <v>49</v>
      </c>
      <c r="R153">
        <v>3</v>
      </c>
      <c r="S153">
        <v>32</v>
      </c>
      <c r="T153">
        <v>1</v>
      </c>
      <c r="U153">
        <v>79</v>
      </c>
      <c r="V153">
        <v>27</v>
      </c>
      <c r="W153">
        <v>1</v>
      </c>
      <c r="X153">
        <v>0</v>
      </c>
      <c r="Y153" t="s">
        <v>19</v>
      </c>
      <c r="Z153">
        <v>5</v>
      </c>
      <c r="AA153">
        <f>IF(AND(Table1[[#This Row],[Throw Out Pass Eff]]="N", Table1[[#This Row],[Against FCS Team]]="N"), ROUND(((5.45 * D153) + (150 * F153) + (100 * G153) - (300 * H153)) / E153, 2), " ")</f>
        <v>102.24</v>
      </c>
      <c r="AB153">
        <f>IF(AND(Table1[[#This Row],[Throw Out Pass Def Eff]]="N", Table1[[#This Row],[Against FCS Team]]="N"),200 - ROUND(((5.45 * P153) + (150 * R153) + (100 * S153) - (300 * T153)) / Q153, 2), " ")</f>
        <v>89.81</v>
      </c>
      <c r="AC153">
        <f>IF(AND(Table1[[#This Row],[Throw Out Rush Eff]]="N", Table1[[#This Row],[Against FCS Team]]="N"), ROUND(((23.2 * I153) + (150 * K153) - (300 * L153)) / J153, 2), " ")</f>
        <v>94.35</v>
      </c>
      <c r="AD153" s="3">
        <f>IF(AND(Table1[[#This Row],[Throw Out Rush Def Eff]]="N", Table1[[#This Row],[Against FCS Team]]="N"), 200 - ROUND(((23.2 * U153) + (150 * W153) - (300 * X153)) / V153, 2), " ")</f>
        <v>126.56</v>
      </c>
      <c r="AE153" s="3">
        <f>ROUND(Table1[[#This Row],[Opp Passing Attempts]]/(Table1[[#This Row],[Opp Passing Attempts]]+Table1[[#This Row],[Opp Rushing Attempts]]), 2)</f>
        <v>0.64</v>
      </c>
      <c r="AF153" s="3">
        <f>1-Table1[[#This Row],[Passing Weight]]</f>
        <v>0.36</v>
      </c>
      <c r="AG153" s="3" t="str">
        <f>IF(COUNTIF(A:A,Table1[[#This Row],[Opp Team Name]]) &gt; 0, "N", "Y")</f>
        <v>N</v>
      </c>
      <c r="AH153" s="3" t="str">
        <f>IF(Table1[[#This Row],[Passing Attempts]] &lt;15, "Y", "N")</f>
        <v>N</v>
      </c>
      <c r="AI153" s="3" t="str">
        <f>IF(Table1[[#This Row],[Rushing Attempts]] &lt; 15, "Y", "N")</f>
        <v>N</v>
      </c>
      <c r="AJ153" s="3" t="str">
        <f>IF(Table1[[#This Row],[Opp Passing Attempts]]&lt;15, "Y", "N")</f>
        <v>N</v>
      </c>
      <c r="AK153" s="3" t="str">
        <f>IF(Table1[[#This Row],[Opp Rushing Attempts]]&lt;15, "Y", "N")</f>
        <v>N</v>
      </c>
      <c r="AL1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93.04</v>
      </c>
      <c r="AM1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99.34</v>
      </c>
      <c r="AN1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90.19</v>
      </c>
      <c r="AO1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75.569999999999993</v>
      </c>
      <c r="AP153" s="3">
        <f>ABS(Table1[[#This Row],[Team Score]]-Table1[[#This Row],[Opp Team Score]])</f>
        <v>4</v>
      </c>
      <c r="AQ153" s="3">
        <f>SUM(Table1[[#This Row],[Team Score]], Table1[[#This Row],[Opp Team Score]])</f>
        <v>58</v>
      </c>
      <c r="AR1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12.95999999999998</v>
      </c>
      <c r="AS153" s="3">
        <f>IF(Table1[[#This Row],[Efficiency Difference]] = " ", " ", ROUND((Table1[[#This Row],[Winning Margin]]*100)/Table1[[#This Row],[Efficiency Difference]], 2))</f>
        <v>30.86</v>
      </c>
    </row>
    <row r="154" spans="1:45">
      <c r="A154" t="s">
        <v>56</v>
      </c>
      <c r="B154">
        <v>157</v>
      </c>
      <c r="C154">
        <v>7</v>
      </c>
      <c r="D154">
        <v>204</v>
      </c>
      <c r="E154">
        <v>30</v>
      </c>
      <c r="F154">
        <v>1</v>
      </c>
      <c r="G154">
        <v>16</v>
      </c>
      <c r="H154">
        <v>1</v>
      </c>
      <c r="I154">
        <v>60</v>
      </c>
      <c r="J154">
        <v>27</v>
      </c>
      <c r="K154">
        <v>0</v>
      </c>
      <c r="L154">
        <v>0</v>
      </c>
      <c r="M154" t="s">
        <v>129</v>
      </c>
      <c r="N154">
        <v>674</v>
      </c>
      <c r="O154">
        <v>48</v>
      </c>
      <c r="P154">
        <v>392</v>
      </c>
      <c r="Q154">
        <v>35</v>
      </c>
      <c r="R154">
        <v>3</v>
      </c>
      <c r="S154">
        <v>27</v>
      </c>
      <c r="T154">
        <v>1</v>
      </c>
      <c r="U154">
        <v>161</v>
      </c>
      <c r="V154">
        <v>35</v>
      </c>
      <c r="W154">
        <v>3</v>
      </c>
      <c r="X154">
        <v>1</v>
      </c>
      <c r="Y154" t="s">
        <v>19</v>
      </c>
      <c r="Z154">
        <v>6</v>
      </c>
      <c r="AA154">
        <f>IF(AND(Table1[[#This Row],[Throw Out Pass Eff]]="N", Table1[[#This Row],[Against FCS Team]]="N"), ROUND(((5.45 * D154) + (150 * F154) + (100 * G154) - (300 * H154)) / E154, 2), " ")</f>
        <v>85.39</v>
      </c>
      <c r="AB154">
        <f>IF(AND(Table1[[#This Row],[Throw Out Pass Def Eff]]="N", Table1[[#This Row],[Against FCS Team]]="N"),200 - ROUND(((5.45 * P154) + (150 * R154) + (100 * S154) - (300 * T154)) / Q154, 2), " ")</f>
        <v>57.53</v>
      </c>
      <c r="AC154">
        <f>IF(AND(Table1[[#This Row],[Throw Out Rush Eff]]="N", Table1[[#This Row],[Against FCS Team]]="N"), ROUND(((23.2 * I154) + (150 * K154) - (300 * L154)) / J154, 2), " ")</f>
        <v>51.56</v>
      </c>
      <c r="AD154" s="3">
        <f>IF(AND(Table1[[#This Row],[Throw Out Rush Def Eff]]="N", Table1[[#This Row],[Against FCS Team]]="N"), 200 - ROUND(((23.2 * U154) + (150 * W154) - (300 * X154)) / V154, 2), " ")</f>
        <v>88.99</v>
      </c>
      <c r="AE154" s="3">
        <f>ROUND(Table1[[#This Row],[Opp Passing Attempts]]/(Table1[[#This Row],[Opp Passing Attempts]]+Table1[[#This Row],[Opp Rushing Attempts]]), 2)</f>
        <v>0.5</v>
      </c>
      <c r="AF154" s="3">
        <f>1-Table1[[#This Row],[Passing Weight]]</f>
        <v>0.5</v>
      </c>
      <c r="AG154" s="3" t="str">
        <f>IF(COUNTIF(A:A,Table1[[#This Row],[Opp Team Name]]) &gt; 0, "N", "Y")</f>
        <v>N</v>
      </c>
      <c r="AH154" s="3" t="str">
        <f>IF(Table1[[#This Row],[Passing Attempts]] &lt;15, "Y", "N")</f>
        <v>N</v>
      </c>
      <c r="AI154" s="3" t="str">
        <f>IF(Table1[[#This Row],[Rushing Attempts]] &lt; 15, "Y", "N")</f>
        <v>N</v>
      </c>
      <c r="AJ154" s="3" t="str">
        <f>IF(Table1[[#This Row],[Opp Passing Attempts]]&lt;15, "Y", "N")</f>
        <v>N</v>
      </c>
      <c r="AK154" s="3" t="str">
        <f>IF(Table1[[#This Row],[Opp Rushing Attempts]]&lt;15, "Y", "N")</f>
        <v>N</v>
      </c>
      <c r="AL15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88.18</v>
      </c>
      <c r="AM1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76.78</v>
      </c>
      <c r="AN1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73.540000000000006</v>
      </c>
      <c r="AO1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128.13999999999999</v>
      </c>
      <c r="AP154" s="3">
        <f>ABS(Table1[[#This Row],[Team Score]]-Table1[[#This Row],[Opp Team Score]])</f>
        <v>41</v>
      </c>
      <c r="AQ154" s="3">
        <f>SUM(Table1[[#This Row],[Team Score]], Table1[[#This Row],[Opp Team Score]])</f>
        <v>55</v>
      </c>
      <c r="AR15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116.53000000000003</v>
      </c>
      <c r="AS154" s="3">
        <f>IF(Table1[[#This Row],[Efficiency Difference]] = " ", " ", ROUND((Table1[[#This Row],[Winning Margin]]*100)/Table1[[#This Row],[Efficiency Difference]], 2))</f>
        <v>35.18</v>
      </c>
    </row>
    <row r="155" spans="1:45">
      <c r="A155" t="s">
        <v>56</v>
      </c>
      <c r="B155">
        <v>157</v>
      </c>
      <c r="C155">
        <v>24</v>
      </c>
      <c r="D155">
        <v>207</v>
      </c>
      <c r="E155">
        <v>38</v>
      </c>
      <c r="F155">
        <v>1</v>
      </c>
      <c r="G155">
        <v>22</v>
      </c>
      <c r="H155">
        <v>0</v>
      </c>
      <c r="I155">
        <v>62</v>
      </c>
      <c r="J155">
        <v>27</v>
      </c>
      <c r="K155">
        <v>2</v>
      </c>
      <c r="L155">
        <v>0</v>
      </c>
      <c r="M155" t="s">
        <v>158</v>
      </c>
      <c r="N155">
        <v>756</v>
      </c>
      <c r="O155">
        <v>52</v>
      </c>
      <c r="P155">
        <v>267</v>
      </c>
      <c r="Q155">
        <v>30</v>
      </c>
      <c r="R155">
        <v>4</v>
      </c>
      <c r="S155">
        <v>23</v>
      </c>
      <c r="T155">
        <v>0</v>
      </c>
      <c r="U155">
        <v>295</v>
      </c>
      <c r="V155">
        <v>40</v>
      </c>
      <c r="W155">
        <v>3</v>
      </c>
      <c r="X155">
        <v>1</v>
      </c>
      <c r="Y155" t="s">
        <v>19</v>
      </c>
      <c r="Z155">
        <v>7</v>
      </c>
      <c r="AA155">
        <f>IF(AND(Table1[[#This Row],[Throw Out Pass Eff]]="N", Table1[[#This Row],[Against FCS Team]]="N"), ROUND(((5.45 * D155) + (150 * F155) + (100 * G155) - (300 * H155)) / E155, 2), " ")</f>
        <v>91.53</v>
      </c>
      <c r="AB155">
        <f>IF(AND(Table1[[#This Row],[Throw Out Pass Def Eff]]="N", Table1[[#This Row],[Against FCS Team]]="N"),200 - ROUND(((5.45 * P155) + (150 * R155) + (100 * S155) - (300 * T155)) / Q155, 2), " ")</f>
        <v>54.830000000000013</v>
      </c>
      <c r="AC155">
        <f>IF(AND(Table1[[#This Row],[Throw Out Rush Eff]]="N", Table1[[#This Row],[Against FCS Team]]="N"), ROUND(((23.2 * I155) + (150 * K155) - (300 * L155)) / J155, 2), " ")</f>
        <v>64.39</v>
      </c>
      <c r="AD155" s="3">
        <f>IF(AND(Table1[[#This Row],[Throw Out Rush Def Eff]]="N", Table1[[#This Row],[Against FCS Team]]="N"), 200 - ROUND(((23.2 * U155) + (150 * W155) - (300 * X155)) / V155, 2), " ")</f>
        <v>25.150000000000006</v>
      </c>
      <c r="AE155" s="3">
        <f>ROUND(Table1[[#This Row],[Opp Passing Attempts]]/(Table1[[#This Row],[Opp Passing Attempts]]+Table1[[#This Row],[Opp Rushing Attempts]]), 2)</f>
        <v>0.43</v>
      </c>
      <c r="AF155" s="3">
        <f>1-Table1[[#This Row],[Passing Weight]]</f>
        <v>0.57000000000000006</v>
      </c>
      <c r="AG155" s="3" t="str">
        <f>IF(COUNTIF(A:A,Table1[[#This Row],[Opp Team Name]]) &gt; 0, "N", "Y")</f>
        <v>N</v>
      </c>
      <c r="AH155" s="3" t="str">
        <f>IF(Table1[[#This Row],[Passing Attempts]] &lt;15, "Y", "N")</f>
        <v>N</v>
      </c>
      <c r="AI155" s="3" t="str">
        <f>IF(Table1[[#This Row],[Rushing Attempts]] &lt; 15, "Y", "N")</f>
        <v>N</v>
      </c>
      <c r="AJ155" s="3" t="str">
        <f>IF(Table1[[#This Row],[Opp Passing Attempts]]&lt;15, "Y", "N")</f>
        <v>N</v>
      </c>
      <c r="AK155" s="3" t="str">
        <f>IF(Table1[[#This Row],[Opp Rushing Attempts]]&lt;15, "Y", "N")</f>
        <v>N</v>
      </c>
      <c r="AL15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85.89</v>
      </c>
      <c r="AM1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68.95</v>
      </c>
      <c r="AN1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67</v>
      </c>
      <c r="AO1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29.72</v>
      </c>
      <c r="AP155" s="3">
        <f>ABS(Table1[[#This Row],[Team Score]]-Table1[[#This Row],[Opp Team Score]])</f>
        <v>28</v>
      </c>
      <c r="AQ155" s="3">
        <f>SUM(Table1[[#This Row],[Team Score]], Table1[[#This Row],[Opp Team Score]])</f>
        <v>76</v>
      </c>
      <c r="AR15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164.09999999999997</v>
      </c>
      <c r="AS155" s="3">
        <f>IF(Table1[[#This Row],[Efficiency Difference]] = " ", " ", ROUND((Table1[[#This Row],[Winning Margin]]*100)/Table1[[#This Row],[Efficiency Difference]], 2))</f>
        <v>17.059999999999999</v>
      </c>
    </row>
    <row r="156" spans="1:45">
      <c r="A156" t="s">
        <v>56</v>
      </c>
      <c r="B156">
        <v>157</v>
      </c>
      <c r="C156">
        <v>2</v>
      </c>
      <c r="D156">
        <v>133</v>
      </c>
      <c r="E156">
        <v>33</v>
      </c>
      <c r="F156">
        <v>0</v>
      </c>
      <c r="G156">
        <v>15</v>
      </c>
      <c r="H156">
        <v>1</v>
      </c>
      <c r="I156">
        <v>98</v>
      </c>
      <c r="J156">
        <v>39</v>
      </c>
      <c r="K156">
        <v>0</v>
      </c>
      <c r="L156">
        <v>0</v>
      </c>
      <c r="M156" t="s">
        <v>93</v>
      </c>
      <c r="N156">
        <v>529</v>
      </c>
      <c r="O156">
        <v>45</v>
      </c>
      <c r="P156">
        <v>156</v>
      </c>
      <c r="Q156">
        <v>21</v>
      </c>
      <c r="R156">
        <v>2</v>
      </c>
      <c r="S156">
        <v>11</v>
      </c>
      <c r="T156">
        <v>0</v>
      </c>
      <c r="U156">
        <v>371</v>
      </c>
      <c r="V156">
        <v>48</v>
      </c>
      <c r="W156">
        <v>3</v>
      </c>
      <c r="X156">
        <v>0</v>
      </c>
      <c r="Y156" t="s">
        <v>19</v>
      </c>
      <c r="Z156">
        <v>8</v>
      </c>
      <c r="AA156" s="3">
        <f>IF(AND(Table1[[#This Row],[Throw Out Pass Eff]]="N", Table1[[#This Row],[Against FCS Team]]="N"), ROUND(((5.45 * D156) + (150 * F156) + (100 * G156) - (300 * H156)) / E156, 2), " ")</f>
        <v>58.33</v>
      </c>
      <c r="AB156" s="3">
        <f>IF(AND(Table1[[#This Row],[Throw Out Pass Def Eff]]="N", Table1[[#This Row],[Against FCS Team]]="N"),200 - ROUND(((5.45 * P156) + (150 * R156) + (100 * S156) - (300 * T156)) / Q156, 2), " ")</f>
        <v>92.85</v>
      </c>
      <c r="AC156" s="3">
        <f>IF(AND(Table1[[#This Row],[Throw Out Rush Eff]]="N", Table1[[#This Row],[Against FCS Team]]="N"), ROUND(((23.2 * I156) + (150 * K156) - (300 * L156)) / J156, 2), " ")</f>
        <v>58.3</v>
      </c>
      <c r="AD156" s="3">
        <f>IF(AND(Table1[[#This Row],[Throw Out Rush Def Eff]]="N", Table1[[#This Row],[Against FCS Team]]="N"), 200 - ROUND(((23.2 * U156) + (150 * W156) - (300 * X156)) / V156, 2), " ")</f>
        <v>11.310000000000002</v>
      </c>
      <c r="AE156" s="3">
        <f>ROUND(Table1[[#This Row],[Opp Passing Attempts]]/(Table1[[#This Row],[Opp Passing Attempts]]+Table1[[#This Row],[Opp Rushing Attempts]]), 2)</f>
        <v>0.3</v>
      </c>
      <c r="AF156" s="3">
        <f>1-Table1[[#This Row],[Passing Weight]]</f>
        <v>0.7</v>
      </c>
      <c r="AG156" s="3" t="str">
        <f>IF(COUNTIF(A:A,Table1[[#This Row],[Opp Team Name]]) &gt; 0, "N", "Y")</f>
        <v>N</v>
      </c>
      <c r="AH156" s="3" t="str">
        <f>IF(Table1[[#This Row],[Passing Attempts]] &lt;15, "Y", "N")</f>
        <v>N</v>
      </c>
      <c r="AI156" s="3" t="str">
        <f>IF(Table1[[#This Row],[Rushing Attempts]] &lt; 15, "Y", "N")</f>
        <v>N</v>
      </c>
      <c r="AJ156" s="3" t="str">
        <f>IF(Table1[[#This Row],[Opp Passing Attempts]]&lt;15, "Y", "N")</f>
        <v>N</v>
      </c>
      <c r="AK156" s="3" t="str">
        <f>IF(Table1[[#This Row],[Opp Rushing Attempts]]&lt;15, "Y", "N")</f>
        <v>N</v>
      </c>
      <c r="AL1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69.790000000000006</v>
      </c>
      <c r="AM1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103.11</v>
      </c>
      <c r="AN1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60.31</v>
      </c>
      <c r="AO1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18.03</v>
      </c>
      <c r="AP156" s="3">
        <f>ABS(Table1[[#This Row],[Team Score]]-Table1[[#This Row],[Opp Team Score]])</f>
        <v>43</v>
      </c>
      <c r="AQ156" s="3">
        <f>SUM(Table1[[#This Row],[Team Score]], Table1[[#This Row],[Opp Team Score]])</f>
        <v>47</v>
      </c>
      <c r="AR15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179.21000000000004</v>
      </c>
      <c r="AS156" s="3">
        <f>IF(Table1[[#This Row],[Efficiency Difference]] = " ", " ", ROUND((Table1[[#This Row],[Winning Margin]]*100)/Table1[[#This Row],[Efficiency Difference]], 2))</f>
        <v>23.99</v>
      </c>
    </row>
    <row r="157" spans="1:45">
      <c r="A157" t="s">
        <v>58</v>
      </c>
      <c r="B157">
        <v>156</v>
      </c>
      <c r="C157">
        <v>33</v>
      </c>
      <c r="D157">
        <v>259</v>
      </c>
      <c r="E157">
        <v>42</v>
      </c>
      <c r="F157">
        <v>1</v>
      </c>
      <c r="G157">
        <v>28</v>
      </c>
      <c r="H157">
        <v>3</v>
      </c>
      <c r="I157">
        <v>242</v>
      </c>
      <c r="J157">
        <v>41</v>
      </c>
      <c r="K157">
        <v>3</v>
      </c>
      <c r="L157">
        <v>0</v>
      </c>
      <c r="M157" t="s">
        <v>166</v>
      </c>
      <c r="N157">
        <v>502</v>
      </c>
      <c r="O157">
        <v>14</v>
      </c>
      <c r="P157">
        <v>87</v>
      </c>
      <c r="Q157">
        <v>23</v>
      </c>
      <c r="R157">
        <v>1</v>
      </c>
      <c r="S157">
        <v>11</v>
      </c>
      <c r="T157">
        <v>2</v>
      </c>
      <c r="U157">
        <v>129</v>
      </c>
      <c r="V157">
        <v>20</v>
      </c>
      <c r="W157">
        <v>1</v>
      </c>
      <c r="X157">
        <v>0</v>
      </c>
      <c r="Y157" t="s">
        <v>16</v>
      </c>
      <c r="Z157">
        <v>2</v>
      </c>
      <c r="AA157" t="str">
        <f>IF(AND(Table1[[#This Row],[Throw Out Pass Eff]]="N", Table1[[#This Row],[Against FCS Team]]="N"), ROUND(((5.45 * D157) + (150 * F157) + (100 * G157) - (300 * H157)) / E157, 2), " ")</f>
        <v xml:space="preserve"> </v>
      </c>
      <c r="AB157" t="str">
        <f>IF(AND(Table1[[#This Row],[Throw Out Pass Def Eff]]="N", Table1[[#This Row],[Against FCS Team]]="N"),200 - ROUND(((5.45 * P157) + (150 * R157) + (100 * S157) - (300 * T157)) / Q157, 2), " ")</f>
        <v xml:space="preserve"> </v>
      </c>
      <c r="AC157" t="str">
        <f>IF(AND(Table1[[#This Row],[Throw Out Rush Eff]]="N", Table1[[#This Row],[Against FCS Team]]="N"), ROUND(((23.2 * I157) + (150 * K157) - (300 * L157)) / J157, 2), " ")</f>
        <v xml:space="preserve"> </v>
      </c>
      <c r="AD157" s="3" t="str">
        <f>IF(AND(Table1[[#This Row],[Throw Out Rush Def Eff]]="N", Table1[[#This Row],[Against FCS Team]]="N"), 200 - ROUND(((23.2 * U157) + (150 * W157) - (300 * X157)) / V157, 2), " ")</f>
        <v xml:space="preserve"> </v>
      </c>
      <c r="AE157" s="3">
        <f>ROUND(Table1[[#This Row],[Opp Passing Attempts]]/(Table1[[#This Row],[Opp Passing Attempts]]+Table1[[#This Row],[Opp Rushing Attempts]]), 2)</f>
        <v>0.53</v>
      </c>
      <c r="AF157" s="3">
        <f>1-Table1[[#This Row],[Passing Weight]]</f>
        <v>0.47</v>
      </c>
      <c r="AG157" s="3" t="str">
        <f>IF(COUNTIF(A:A,Table1[[#This Row],[Opp Team Name]]) &gt; 0, "N", "Y")</f>
        <v>Y</v>
      </c>
      <c r="AH157" s="3" t="str">
        <f>IF(Table1[[#This Row],[Passing Attempts]] &lt;15, "Y", "N")</f>
        <v>N</v>
      </c>
      <c r="AI157" s="3" t="str">
        <f>IF(Table1[[#This Row],[Rushing Attempts]] &lt; 15, "Y", "N")</f>
        <v>N</v>
      </c>
      <c r="AJ157" s="3" t="str">
        <f>IF(Table1[[#This Row],[Opp Passing Attempts]]&lt;15, "Y", "N")</f>
        <v>N</v>
      </c>
      <c r="AK157" s="3" t="str">
        <f>IF(Table1[[#This Row],[Opp Rushing Attempts]]&lt;15, "Y", "N")</f>
        <v>N</v>
      </c>
      <c r="AL15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5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5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57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57" s="3">
        <f>ABS(Table1[[#This Row],[Team Score]]-Table1[[#This Row],[Opp Team Score]])</f>
        <v>19</v>
      </c>
      <c r="AQ157" s="3">
        <f>SUM(Table1[[#This Row],[Team Score]], Table1[[#This Row],[Opp Team Score]])</f>
        <v>47</v>
      </c>
      <c r="AR15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57" s="3" t="str">
        <f>IF(Table1[[#This Row],[Efficiency Difference]] = " ", " ", ROUND((Table1[[#This Row],[Winning Margin]]*100)/Table1[[#This Row],[Efficiency Difference]], 2))</f>
        <v xml:space="preserve"> </v>
      </c>
    </row>
    <row r="158" spans="1:45">
      <c r="A158" t="s">
        <v>58</v>
      </c>
      <c r="B158">
        <v>156</v>
      </c>
      <c r="C158">
        <v>14</v>
      </c>
      <c r="D158">
        <v>178</v>
      </c>
      <c r="E158">
        <v>26</v>
      </c>
      <c r="F158">
        <v>1</v>
      </c>
      <c r="G158">
        <v>22</v>
      </c>
      <c r="H158">
        <v>0</v>
      </c>
      <c r="I158">
        <v>92</v>
      </c>
      <c r="J158">
        <v>28</v>
      </c>
      <c r="K158">
        <v>1</v>
      </c>
      <c r="L158">
        <v>1</v>
      </c>
      <c r="M158" t="s">
        <v>59</v>
      </c>
      <c r="N158">
        <v>473</v>
      </c>
      <c r="O158">
        <v>10</v>
      </c>
      <c r="P158">
        <v>179</v>
      </c>
      <c r="Q158">
        <v>31</v>
      </c>
      <c r="R158">
        <v>1</v>
      </c>
      <c r="S158">
        <v>20</v>
      </c>
      <c r="T158">
        <v>0</v>
      </c>
      <c r="U158">
        <v>150</v>
      </c>
      <c r="V158">
        <v>48</v>
      </c>
      <c r="W158">
        <v>0</v>
      </c>
      <c r="X158">
        <v>3</v>
      </c>
      <c r="Y158" t="s">
        <v>16</v>
      </c>
      <c r="Z158">
        <v>1</v>
      </c>
      <c r="AA158">
        <f>IF(AND(Table1[[#This Row],[Throw Out Pass Eff]]="N", Table1[[#This Row],[Against FCS Team]]="N"), ROUND(((5.45 * D158) + (150 * F158) + (100 * G158) - (300 * H158)) / E158, 2), " ")</f>
        <v>127.7</v>
      </c>
      <c r="AB158">
        <f>IF(AND(Table1[[#This Row],[Throw Out Pass Def Eff]]="N", Table1[[#This Row],[Against FCS Team]]="N"),200 - ROUND(((5.45 * P158) + (150 * R158) + (100 * S158) - (300 * T158)) / Q158, 2), " ")</f>
        <v>99.18</v>
      </c>
      <c r="AC158">
        <f>IF(AND(Table1[[#This Row],[Throw Out Rush Eff]]="N", Table1[[#This Row],[Against FCS Team]]="N"), ROUND(((23.2 * I158) + (150 * K158) - (300 * L158)) / J158, 2), " ")</f>
        <v>70.87</v>
      </c>
      <c r="AD158" s="3">
        <f>IF(AND(Table1[[#This Row],[Throw Out Rush Def Eff]]="N", Table1[[#This Row],[Against FCS Team]]="N"), 200 - ROUND(((23.2 * U158) + (150 * W158) - (300 * X158)) / V158, 2), " ")</f>
        <v>146.25</v>
      </c>
      <c r="AE158" s="3">
        <f>ROUND(Table1[[#This Row],[Opp Passing Attempts]]/(Table1[[#This Row],[Opp Passing Attempts]]+Table1[[#This Row],[Opp Rushing Attempts]]), 2)</f>
        <v>0.39</v>
      </c>
      <c r="AF158" s="3">
        <f>1-Table1[[#This Row],[Passing Weight]]</f>
        <v>0.61</v>
      </c>
      <c r="AG158" s="3" t="str">
        <f>IF(COUNTIF(A:A,Table1[[#This Row],[Opp Team Name]]) &gt; 0, "N", "Y")</f>
        <v>N</v>
      </c>
      <c r="AH158" s="3" t="str">
        <f>IF(Table1[[#This Row],[Passing Attempts]] &lt;15, "Y", "N")</f>
        <v>N</v>
      </c>
      <c r="AI158" s="3" t="str">
        <f>IF(Table1[[#This Row],[Rushing Attempts]] &lt; 15, "Y", "N")</f>
        <v>N</v>
      </c>
      <c r="AJ158" s="3" t="str">
        <f>IF(Table1[[#This Row],[Opp Passing Attempts]]&lt;15, "Y", "N")</f>
        <v>N</v>
      </c>
      <c r="AK158" s="3" t="str">
        <f>IF(Table1[[#This Row],[Opp Rushing Attempts]]&lt;15, "Y", "N")</f>
        <v>N</v>
      </c>
      <c r="AL15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85.1</v>
      </c>
      <c r="AM1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84.7</v>
      </c>
      <c r="AN1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47.85</v>
      </c>
      <c r="AO1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106.66</v>
      </c>
      <c r="AP158" s="3">
        <f>ABS(Table1[[#This Row],[Team Score]]-Table1[[#This Row],[Opp Team Score]])</f>
        <v>4</v>
      </c>
      <c r="AQ158" s="3">
        <f>SUM(Table1[[#This Row],[Team Score]], Table1[[#This Row],[Opp Team Score]])</f>
        <v>24</v>
      </c>
      <c r="AR15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</v>
      </c>
      <c r="AS158" s="3">
        <f>IF(Table1[[#This Row],[Efficiency Difference]] = " ", " ", ROUND((Table1[[#This Row],[Winning Margin]]*100)/Table1[[#This Row],[Efficiency Difference]], 2))</f>
        <v>9.09</v>
      </c>
    </row>
    <row r="159" spans="1:45">
      <c r="A159" t="s">
        <v>58</v>
      </c>
      <c r="B159">
        <v>156</v>
      </c>
      <c r="C159">
        <v>14</v>
      </c>
      <c r="D159">
        <v>176</v>
      </c>
      <c r="E159">
        <v>30</v>
      </c>
      <c r="F159">
        <v>1</v>
      </c>
      <c r="G159">
        <v>20</v>
      </c>
      <c r="H159">
        <v>0</v>
      </c>
      <c r="I159">
        <v>67</v>
      </c>
      <c r="J159">
        <v>25</v>
      </c>
      <c r="K159">
        <v>1</v>
      </c>
      <c r="L159">
        <v>1</v>
      </c>
      <c r="M159" t="s">
        <v>56</v>
      </c>
      <c r="N159">
        <v>157</v>
      </c>
      <c r="O159">
        <v>28</v>
      </c>
      <c r="P159">
        <v>215</v>
      </c>
      <c r="Q159">
        <v>32</v>
      </c>
      <c r="R159">
        <v>2</v>
      </c>
      <c r="S159">
        <v>17</v>
      </c>
      <c r="T159">
        <v>0</v>
      </c>
      <c r="U159">
        <v>145</v>
      </c>
      <c r="V159">
        <v>34</v>
      </c>
      <c r="W159">
        <v>2</v>
      </c>
      <c r="X159">
        <v>0</v>
      </c>
      <c r="Y159" t="s">
        <v>19</v>
      </c>
      <c r="Z159">
        <v>3</v>
      </c>
      <c r="AA159">
        <f>IF(AND(Table1[[#This Row],[Throw Out Pass Eff]]="N", Table1[[#This Row],[Against FCS Team]]="N"), ROUND(((5.45 * D159) + (150 * F159) + (100 * G159) - (300 * H159)) / E159, 2), " ")</f>
        <v>103.64</v>
      </c>
      <c r="AB159">
        <f>IF(AND(Table1[[#This Row],[Throw Out Pass Def Eff]]="N", Table1[[#This Row],[Against FCS Team]]="N"),200 - ROUND(((5.45 * P159) + (150 * R159) + (100 * S159) - (300 * T159)) / Q159, 2), " ")</f>
        <v>100.88</v>
      </c>
      <c r="AC159">
        <f>IF(AND(Table1[[#This Row],[Throw Out Rush Eff]]="N", Table1[[#This Row],[Against FCS Team]]="N"), ROUND(((23.2 * I159) + (150 * K159) - (300 * L159)) / J159, 2), " ")</f>
        <v>56.18</v>
      </c>
      <c r="AD159" s="3">
        <f>IF(AND(Table1[[#This Row],[Throw Out Rush Def Eff]]="N", Table1[[#This Row],[Against FCS Team]]="N"), 200 - ROUND(((23.2 * U159) + (150 * W159) - (300 * X159)) / V159, 2), " ")</f>
        <v>92.24</v>
      </c>
      <c r="AE159" s="3">
        <f>ROUND(Table1[[#This Row],[Opp Passing Attempts]]/(Table1[[#This Row],[Opp Passing Attempts]]+Table1[[#This Row],[Opp Rushing Attempts]]), 2)</f>
        <v>0.48</v>
      </c>
      <c r="AF159" s="3">
        <f>1-Table1[[#This Row],[Passing Weight]]</f>
        <v>0.52</v>
      </c>
      <c r="AG159" s="3" t="str">
        <f>IF(COUNTIF(A:A,Table1[[#This Row],[Opp Team Name]]) &gt; 0, "N", "Y")</f>
        <v>N</v>
      </c>
      <c r="AH159" s="3" t="str">
        <f>IF(Table1[[#This Row],[Passing Attempts]] &lt;15, "Y", "N")</f>
        <v>N</v>
      </c>
      <c r="AI159" s="3" t="str">
        <f>IF(Table1[[#This Row],[Rushing Attempts]] &lt; 15, "Y", "N")</f>
        <v>N</v>
      </c>
      <c r="AJ159" s="3" t="str">
        <f>IF(Table1[[#This Row],[Opp Passing Attempts]]&lt;15, "Y", "N")</f>
        <v>N</v>
      </c>
      <c r="AK159" s="3" t="str">
        <f>IF(Table1[[#This Row],[Opp Rushing Attempts]]&lt;15, "Y", "N")</f>
        <v>N</v>
      </c>
      <c r="AL1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89.16</v>
      </c>
      <c r="AM1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93.88</v>
      </c>
      <c r="AN1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47.32</v>
      </c>
      <c r="AO1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62.43</v>
      </c>
      <c r="AP159" s="3">
        <f>ABS(Table1[[#This Row],[Team Score]]-Table1[[#This Row],[Opp Team Score]])</f>
        <v>14</v>
      </c>
      <c r="AQ159" s="3">
        <f>SUM(Table1[[#This Row],[Team Score]], Table1[[#This Row],[Opp Team Score]])</f>
        <v>42</v>
      </c>
      <c r="AR1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47.06</v>
      </c>
      <c r="AS159" s="3">
        <f>IF(Table1[[#This Row],[Efficiency Difference]] = " ", " ", ROUND((Table1[[#This Row],[Winning Margin]]*100)/Table1[[#This Row],[Efficiency Difference]], 2))</f>
        <v>29.75</v>
      </c>
    </row>
    <row r="160" spans="1:45">
      <c r="A160" t="s">
        <v>58</v>
      </c>
      <c r="B160">
        <v>156</v>
      </c>
      <c r="C160">
        <v>35</v>
      </c>
      <c r="D160">
        <v>108</v>
      </c>
      <c r="E160">
        <v>28</v>
      </c>
      <c r="F160">
        <v>1</v>
      </c>
      <c r="G160">
        <v>16</v>
      </c>
      <c r="H160">
        <v>0</v>
      </c>
      <c r="I160">
        <v>124</v>
      </c>
      <c r="J160">
        <v>47</v>
      </c>
      <c r="K160">
        <v>2</v>
      </c>
      <c r="L160">
        <v>1</v>
      </c>
      <c r="M160" t="s">
        <v>33</v>
      </c>
      <c r="N160">
        <v>731</v>
      </c>
      <c r="O160">
        <v>34</v>
      </c>
      <c r="P160">
        <v>86</v>
      </c>
      <c r="Q160">
        <v>15</v>
      </c>
      <c r="R160">
        <v>0</v>
      </c>
      <c r="S160">
        <v>9</v>
      </c>
      <c r="T160">
        <v>0</v>
      </c>
      <c r="U160">
        <v>279</v>
      </c>
      <c r="V160">
        <v>52</v>
      </c>
      <c r="W160">
        <v>5</v>
      </c>
      <c r="X160">
        <v>4</v>
      </c>
      <c r="Y160" t="s">
        <v>16</v>
      </c>
      <c r="Z160">
        <v>4</v>
      </c>
      <c r="AA160">
        <f>IF(AND(Table1[[#This Row],[Throw Out Pass Eff]]="N", Table1[[#This Row],[Against FCS Team]]="N"), ROUND(((5.45 * D160) + (150 * F160) + (100 * G160) - (300 * H160)) / E160, 2), " ")</f>
        <v>83.52</v>
      </c>
      <c r="AB160">
        <f>IF(AND(Table1[[#This Row],[Throw Out Pass Def Eff]]="N", Table1[[#This Row],[Against FCS Team]]="N"),200 - ROUND(((5.45 * P160) + (150 * R160) + (100 * S160) - (300 * T160)) / Q160, 2), " ")</f>
        <v>108.75</v>
      </c>
      <c r="AC160">
        <f>IF(AND(Table1[[#This Row],[Throw Out Rush Eff]]="N", Table1[[#This Row],[Against FCS Team]]="N"), ROUND(((23.2 * I160) + (150 * K160) - (300 * L160)) / J160, 2), " ")</f>
        <v>61.21</v>
      </c>
      <c r="AD160" s="3">
        <f>IF(AND(Table1[[#This Row],[Throw Out Rush Def Eff]]="N", Table1[[#This Row],[Against FCS Team]]="N"), 200 - ROUND(((23.2 * U160) + (150 * W160) - (300 * X160)) / V160, 2), " ")</f>
        <v>84.18</v>
      </c>
      <c r="AE160" s="3">
        <f>ROUND(Table1[[#This Row],[Opp Passing Attempts]]/(Table1[[#This Row],[Opp Passing Attempts]]+Table1[[#This Row],[Opp Rushing Attempts]]), 2)</f>
        <v>0.22</v>
      </c>
      <c r="AF160" s="3">
        <f>1-Table1[[#This Row],[Passing Weight]]</f>
        <v>0.78</v>
      </c>
      <c r="AG160" s="3" t="str">
        <f>IF(COUNTIF(A:A,Table1[[#This Row],[Opp Team Name]]) &gt; 0, "N", "Y")</f>
        <v>N</v>
      </c>
      <c r="AH160" s="3" t="str">
        <f>IF(Table1[[#This Row],[Passing Attempts]] &lt;15, "Y", "N")</f>
        <v>N</v>
      </c>
      <c r="AI160" s="3" t="str">
        <f>IF(Table1[[#This Row],[Rushing Attempts]] &lt; 15, "Y", "N")</f>
        <v>N</v>
      </c>
      <c r="AJ160" s="3" t="str">
        <f>IF(Table1[[#This Row],[Opp Passing Attempts]]&lt;15, "Y", "N")</f>
        <v>N</v>
      </c>
      <c r="AK160" s="3" t="str">
        <f>IF(Table1[[#This Row],[Opp Rushing Attempts]]&lt;15, "Y", "N")</f>
        <v>N</v>
      </c>
      <c r="AL1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82.82</v>
      </c>
      <c r="AM1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112.87</v>
      </c>
      <c r="AN1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74.72</v>
      </c>
      <c r="AO1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110.01</v>
      </c>
      <c r="AP160" s="3">
        <f>ABS(Table1[[#This Row],[Team Score]]-Table1[[#This Row],[Opp Team Score]])</f>
        <v>1</v>
      </c>
      <c r="AQ160" s="3">
        <f>SUM(Table1[[#This Row],[Team Score]], Table1[[#This Row],[Opp Team Score]])</f>
        <v>69</v>
      </c>
      <c r="AR1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62.34</v>
      </c>
      <c r="AS160" s="3">
        <f>IF(Table1[[#This Row],[Efficiency Difference]] = " ", " ", ROUND((Table1[[#This Row],[Winning Margin]]*100)/Table1[[#This Row],[Efficiency Difference]], 2))</f>
        <v>1.6</v>
      </c>
    </row>
    <row r="161" spans="1:45">
      <c r="A161" t="s">
        <v>58</v>
      </c>
      <c r="B161">
        <v>156</v>
      </c>
      <c r="C161">
        <v>31</v>
      </c>
      <c r="D161">
        <v>387</v>
      </c>
      <c r="E161">
        <v>43</v>
      </c>
      <c r="F161">
        <v>3</v>
      </c>
      <c r="G161">
        <v>28</v>
      </c>
      <c r="H161">
        <v>2</v>
      </c>
      <c r="I161">
        <v>71</v>
      </c>
      <c r="J161">
        <v>26</v>
      </c>
      <c r="K161">
        <v>1</v>
      </c>
      <c r="L161">
        <v>1</v>
      </c>
      <c r="M161" t="s">
        <v>128</v>
      </c>
      <c r="N161">
        <v>630</v>
      </c>
      <c r="O161">
        <v>38</v>
      </c>
      <c r="P161">
        <v>313</v>
      </c>
      <c r="Q161">
        <v>38</v>
      </c>
      <c r="R161">
        <v>2</v>
      </c>
      <c r="S161">
        <v>25</v>
      </c>
      <c r="T161">
        <v>1</v>
      </c>
      <c r="U161">
        <v>137</v>
      </c>
      <c r="V161">
        <v>39</v>
      </c>
      <c r="W161">
        <v>2</v>
      </c>
      <c r="X161">
        <v>2</v>
      </c>
      <c r="Y161" t="s">
        <v>19</v>
      </c>
      <c r="Z161">
        <v>5</v>
      </c>
      <c r="AA161">
        <f>IF(AND(Table1[[#This Row],[Throw Out Pass Eff]]="N", Table1[[#This Row],[Against FCS Team]]="N"), ROUND(((5.45 * D161) + (150 * F161) + (100 * G161) - (300 * H161)) / E161, 2), " ")</f>
        <v>110.68</v>
      </c>
      <c r="AB161">
        <f>IF(AND(Table1[[#This Row],[Throw Out Pass Def Eff]]="N", Table1[[#This Row],[Against FCS Team]]="N"),200 - ROUND(((5.45 * P161) + (150 * R161) + (100 * S161) - (300 * T161)) / Q161, 2), " ")</f>
        <v>89.32</v>
      </c>
      <c r="AC161">
        <f>IF(AND(Table1[[#This Row],[Throw Out Rush Eff]]="N", Table1[[#This Row],[Against FCS Team]]="N"), ROUND(((23.2 * I161) + (150 * K161) - (300 * L161)) / J161, 2), " ")</f>
        <v>57.58</v>
      </c>
      <c r="AD161" s="3">
        <f>IF(AND(Table1[[#This Row],[Throw Out Rush Def Eff]]="N", Table1[[#This Row],[Against FCS Team]]="N"), 200 - ROUND(((23.2 * U161) + (150 * W161) - (300 * X161)) / V161, 2), " ")</f>
        <v>126.19</v>
      </c>
      <c r="AE161" s="3">
        <f>ROUND(Table1[[#This Row],[Opp Passing Attempts]]/(Table1[[#This Row],[Opp Passing Attempts]]+Table1[[#This Row],[Opp Rushing Attempts]]), 2)</f>
        <v>0.49</v>
      </c>
      <c r="AF161" s="3">
        <f>1-Table1[[#This Row],[Passing Weight]]</f>
        <v>0.51</v>
      </c>
      <c r="AG161" s="3" t="str">
        <f>IF(COUNTIF(A:A,Table1[[#This Row],[Opp Team Name]]) &gt; 0, "N", "Y")</f>
        <v>N</v>
      </c>
      <c r="AH161" s="3" t="str">
        <f>IF(Table1[[#This Row],[Passing Attempts]] &lt;15, "Y", "N")</f>
        <v>N</v>
      </c>
      <c r="AI161" s="3" t="str">
        <f>IF(Table1[[#This Row],[Rushing Attempts]] &lt; 15, "Y", "N")</f>
        <v>N</v>
      </c>
      <c r="AJ161" s="3" t="str">
        <f>IF(Table1[[#This Row],[Opp Passing Attempts]]&lt;15, "Y", "N")</f>
        <v>N</v>
      </c>
      <c r="AK161" s="3" t="str">
        <f>IF(Table1[[#This Row],[Opp Rushing Attempts]]&lt;15, "Y", "N")</f>
        <v>N</v>
      </c>
      <c r="AL1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116.82</v>
      </c>
      <c r="AM1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75.95</v>
      </c>
      <c r="AN1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48.81</v>
      </c>
      <c r="AO1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102.75</v>
      </c>
      <c r="AP161" s="3">
        <f>ABS(Table1[[#This Row],[Team Score]]-Table1[[#This Row],[Opp Team Score]])</f>
        <v>7</v>
      </c>
      <c r="AQ161" s="3">
        <f>SUM(Table1[[#This Row],[Team Score]], Table1[[#This Row],[Opp Team Score]])</f>
        <v>69</v>
      </c>
      <c r="AR1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16.230000000000018</v>
      </c>
      <c r="AS161" s="3">
        <f>IF(Table1[[#This Row],[Efficiency Difference]] = " ", " ", ROUND((Table1[[#This Row],[Winning Margin]]*100)/Table1[[#This Row],[Efficiency Difference]], 2))</f>
        <v>43.13</v>
      </c>
    </row>
    <row r="162" spans="1:45">
      <c r="A162" t="s">
        <v>58</v>
      </c>
      <c r="B162">
        <v>156</v>
      </c>
      <c r="C162">
        <v>13</v>
      </c>
      <c r="D162">
        <v>147</v>
      </c>
      <c r="E162">
        <v>26</v>
      </c>
      <c r="F162">
        <v>2</v>
      </c>
      <c r="G162">
        <v>12</v>
      </c>
      <c r="H162">
        <v>1</v>
      </c>
      <c r="I162">
        <v>84</v>
      </c>
      <c r="J162">
        <v>27</v>
      </c>
      <c r="K162">
        <v>0</v>
      </c>
      <c r="L162">
        <v>1</v>
      </c>
      <c r="M162" t="s">
        <v>38</v>
      </c>
      <c r="N162">
        <v>66</v>
      </c>
      <c r="O162">
        <v>63</v>
      </c>
      <c r="P162">
        <v>349</v>
      </c>
      <c r="Q162">
        <v>32</v>
      </c>
      <c r="R162">
        <v>4</v>
      </c>
      <c r="S162">
        <v>27</v>
      </c>
      <c r="T162">
        <v>0</v>
      </c>
      <c r="U162">
        <v>393</v>
      </c>
      <c r="V162">
        <v>51</v>
      </c>
      <c r="W162">
        <v>5</v>
      </c>
      <c r="X162">
        <v>1</v>
      </c>
      <c r="Y162" t="s">
        <v>19</v>
      </c>
      <c r="Z162">
        <v>7</v>
      </c>
      <c r="AA162">
        <f>IF(AND(Table1[[#This Row],[Throw Out Pass Eff]]="N", Table1[[#This Row],[Against FCS Team]]="N"), ROUND(((5.45 * D162) + (150 * F162) + (100 * G162) - (300 * H162)) / E162, 2), " ")</f>
        <v>76.97</v>
      </c>
      <c r="AB162">
        <f>IF(AND(Table1[[#This Row],[Throw Out Pass Def Eff]]="N", Table1[[#This Row],[Against FCS Team]]="N"),200 - ROUND(((5.45 * P162) + (150 * R162) + (100 * S162) - (300 * T162)) / Q162, 2), " ")</f>
        <v>37.44</v>
      </c>
      <c r="AC162">
        <f>IF(AND(Table1[[#This Row],[Throw Out Rush Eff]]="N", Table1[[#This Row],[Against FCS Team]]="N"), ROUND(((23.2 * I162) + (150 * K162) - (300 * L162)) / J162, 2), " ")</f>
        <v>61.07</v>
      </c>
      <c r="AD162" s="3">
        <f>IF(AND(Table1[[#This Row],[Throw Out Rush Def Eff]]="N", Table1[[#This Row],[Against FCS Team]]="N"), 200 - ROUND(((23.2 * U162) + (150 * W162) - (300 * X162)) / V162, 2), " ")</f>
        <v>12.400000000000006</v>
      </c>
      <c r="AE162" s="3">
        <f>ROUND(Table1[[#This Row],[Opp Passing Attempts]]/(Table1[[#This Row],[Opp Passing Attempts]]+Table1[[#This Row],[Opp Rushing Attempts]]), 2)</f>
        <v>0.39</v>
      </c>
      <c r="AF162" s="3">
        <f>1-Table1[[#This Row],[Passing Weight]]</f>
        <v>0.61</v>
      </c>
      <c r="AG162" s="3" t="str">
        <f>IF(COUNTIF(A:A,Table1[[#This Row],[Opp Team Name]]) &gt; 0, "N", "Y")</f>
        <v>N</v>
      </c>
      <c r="AH162" s="3" t="str">
        <f>IF(Table1[[#This Row],[Passing Attempts]] &lt;15, "Y", "N")</f>
        <v>N</v>
      </c>
      <c r="AI162" s="3" t="str">
        <f>IF(Table1[[#This Row],[Rushing Attempts]] &lt; 15, "Y", "N")</f>
        <v>N</v>
      </c>
      <c r="AJ162" s="3" t="str">
        <f>IF(Table1[[#This Row],[Opp Passing Attempts]]&lt;15, "Y", "N")</f>
        <v>N</v>
      </c>
      <c r="AK162" s="3" t="str">
        <f>IF(Table1[[#This Row],[Opp Rushing Attempts]]&lt;15, "Y", "N")</f>
        <v>N</v>
      </c>
      <c r="AL1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97.56</v>
      </c>
      <c r="AM1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49.15</v>
      </c>
      <c r="AN16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70.09</v>
      </c>
      <c r="AO1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14.22</v>
      </c>
      <c r="AP162" s="3">
        <f>ABS(Table1[[#This Row],[Team Score]]-Table1[[#This Row],[Opp Team Score]])</f>
        <v>50</v>
      </c>
      <c r="AQ162" s="3">
        <f>SUM(Table1[[#This Row],[Team Score]], Table1[[#This Row],[Opp Team Score]])</f>
        <v>76</v>
      </c>
      <c r="AR16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212.11999999999998</v>
      </c>
      <c r="AS162" s="3">
        <f>IF(Table1[[#This Row],[Efficiency Difference]] = " ", " ", ROUND((Table1[[#This Row],[Winning Margin]]*100)/Table1[[#This Row],[Efficiency Difference]], 2))</f>
        <v>23.57</v>
      </c>
    </row>
    <row r="163" spans="1:45">
      <c r="A163" t="s">
        <v>58</v>
      </c>
      <c r="B163">
        <v>156</v>
      </c>
      <c r="C163">
        <v>17</v>
      </c>
      <c r="D163">
        <v>162</v>
      </c>
      <c r="E163">
        <v>33</v>
      </c>
      <c r="F163">
        <v>0</v>
      </c>
      <c r="G163">
        <v>19</v>
      </c>
      <c r="H163">
        <v>1</v>
      </c>
      <c r="I163">
        <v>93</v>
      </c>
      <c r="J163">
        <v>43</v>
      </c>
      <c r="K163">
        <v>1</v>
      </c>
      <c r="L163">
        <v>1</v>
      </c>
      <c r="M163" t="s">
        <v>148</v>
      </c>
      <c r="N163">
        <v>704</v>
      </c>
      <c r="O163">
        <v>31</v>
      </c>
      <c r="P163">
        <v>116</v>
      </c>
      <c r="Q163">
        <v>15</v>
      </c>
      <c r="R163">
        <v>1</v>
      </c>
      <c r="S163">
        <v>8</v>
      </c>
      <c r="T163">
        <v>1</v>
      </c>
      <c r="U163">
        <v>340</v>
      </c>
      <c r="V163">
        <v>36</v>
      </c>
      <c r="W163">
        <v>3</v>
      </c>
      <c r="X163">
        <v>1</v>
      </c>
      <c r="Y163" t="s">
        <v>19</v>
      </c>
      <c r="Z163">
        <v>8</v>
      </c>
      <c r="AA163" s="3">
        <f>IF(AND(Table1[[#This Row],[Throw Out Pass Eff]]="N", Table1[[#This Row],[Against FCS Team]]="N"), ROUND(((5.45 * D163) + (150 * F163) + (100 * G163) - (300 * H163)) / E163, 2), " ")</f>
        <v>75.239999999999995</v>
      </c>
      <c r="AB163" s="3">
        <f>IF(AND(Table1[[#This Row],[Throw Out Pass Def Eff]]="N", Table1[[#This Row],[Against FCS Team]]="N"),200 - ROUND(((5.45 * P163) + (150 * R163) + (100 * S163) - (300 * T163)) / Q163, 2), " ")</f>
        <v>114.52</v>
      </c>
      <c r="AC163" s="3">
        <f>IF(AND(Table1[[#This Row],[Throw Out Rush Eff]]="N", Table1[[#This Row],[Against FCS Team]]="N"), ROUND(((23.2 * I163) + (150 * K163) - (300 * L163)) / J163, 2), " ")</f>
        <v>46.69</v>
      </c>
      <c r="AD163" s="3">
        <f>IF(AND(Table1[[#This Row],[Throw Out Rush Def Eff]]="N", Table1[[#This Row],[Against FCS Team]]="N"), 200 - ROUND(((23.2 * U163) + (150 * W163) - (300 * X163)) / V163, 2), " ")</f>
        <v>-23.28</v>
      </c>
      <c r="AE163" s="3">
        <f>ROUND(Table1[[#This Row],[Opp Passing Attempts]]/(Table1[[#This Row],[Opp Passing Attempts]]+Table1[[#This Row],[Opp Rushing Attempts]]), 2)</f>
        <v>0.28999999999999998</v>
      </c>
      <c r="AF163" s="3">
        <f>1-Table1[[#This Row],[Passing Weight]]</f>
        <v>0.71</v>
      </c>
      <c r="AG163" s="3" t="str">
        <f>IF(COUNTIF(A:A,Table1[[#This Row],[Opp Team Name]]) &gt; 0, "N", "Y")</f>
        <v>N</v>
      </c>
      <c r="AH163" s="3" t="str">
        <f>IF(Table1[[#This Row],[Passing Attempts]] &lt;15, "Y", "N")</f>
        <v>N</v>
      </c>
      <c r="AI163" s="3" t="str">
        <f>IF(Table1[[#This Row],[Rushing Attempts]] &lt; 15, "Y", "N")</f>
        <v>N</v>
      </c>
      <c r="AJ163" s="3" t="str">
        <f>IF(Table1[[#This Row],[Opp Passing Attempts]]&lt;15, "Y", "N")</f>
        <v>N</v>
      </c>
      <c r="AK163" s="3" t="str">
        <f>IF(Table1[[#This Row],[Opp Rushing Attempts]]&lt;15, "Y", "N")</f>
        <v>N</v>
      </c>
      <c r="AL1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80.97</v>
      </c>
      <c r="AM16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88.7</v>
      </c>
      <c r="AN1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39.869999999999997</v>
      </c>
      <c r="AO16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-28.18</v>
      </c>
      <c r="AP163" s="3">
        <f>ABS(Table1[[#This Row],[Team Score]]-Table1[[#This Row],[Opp Team Score]])</f>
        <v>14</v>
      </c>
      <c r="AQ163" s="3">
        <f>SUM(Table1[[#This Row],[Team Score]], Table1[[#This Row],[Opp Team Score]])</f>
        <v>48</v>
      </c>
      <c r="AR16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186.82999999999998</v>
      </c>
      <c r="AS163" s="3">
        <f>IF(Table1[[#This Row],[Efficiency Difference]] = " ", " ", ROUND((Table1[[#This Row],[Winning Margin]]*100)/Table1[[#This Row],[Efficiency Difference]], 2))</f>
        <v>7.49</v>
      </c>
    </row>
    <row r="164" spans="1:45">
      <c r="A164" t="s">
        <v>60</v>
      </c>
      <c r="B164">
        <v>164</v>
      </c>
      <c r="C164">
        <v>35</v>
      </c>
      <c r="D164">
        <v>228</v>
      </c>
      <c r="E164">
        <v>21</v>
      </c>
      <c r="F164">
        <v>1</v>
      </c>
      <c r="G164">
        <v>12</v>
      </c>
      <c r="H164">
        <v>1</v>
      </c>
      <c r="I164">
        <v>206</v>
      </c>
      <c r="J164">
        <v>42</v>
      </c>
      <c r="K164">
        <v>4</v>
      </c>
      <c r="L164">
        <v>0</v>
      </c>
      <c r="M164" t="s">
        <v>61</v>
      </c>
      <c r="N164">
        <v>236</v>
      </c>
      <c r="O164">
        <v>3</v>
      </c>
      <c r="P164">
        <v>149</v>
      </c>
      <c r="Q164">
        <v>26</v>
      </c>
      <c r="R164">
        <v>0</v>
      </c>
      <c r="S164">
        <v>12</v>
      </c>
      <c r="T164">
        <v>1</v>
      </c>
      <c r="U164">
        <v>20</v>
      </c>
      <c r="V164">
        <v>30</v>
      </c>
      <c r="W164">
        <v>0</v>
      </c>
      <c r="X164">
        <v>0</v>
      </c>
      <c r="Y164" t="s">
        <v>16</v>
      </c>
      <c r="Z164">
        <v>1</v>
      </c>
      <c r="AA164" t="str">
        <f>IF(AND(Table1[[#This Row],[Throw Out Pass Eff]]="N", Table1[[#This Row],[Against FCS Team]]="N"), ROUND(((5.45 * D164) + (150 * F164) + (100 * G164) - (300 * H164)) / E164, 2), " ")</f>
        <v xml:space="preserve"> </v>
      </c>
      <c r="AB164" t="str">
        <f>IF(AND(Table1[[#This Row],[Throw Out Pass Def Eff]]="N", Table1[[#This Row],[Against FCS Team]]="N"),200 - ROUND(((5.45 * P164) + (150 * R164) + (100 * S164) - (300 * T164)) / Q164, 2), " ")</f>
        <v xml:space="preserve"> </v>
      </c>
      <c r="AC164" t="str">
        <f>IF(AND(Table1[[#This Row],[Throw Out Rush Eff]]="N", Table1[[#This Row],[Against FCS Team]]="N"), ROUND(((23.2 * I164) + (150 * K164) - (300 * L164)) / J164, 2), " ")</f>
        <v xml:space="preserve"> </v>
      </c>
      <c r="AD164" s="3" t="str">
        <f>IF(AND(Table1[[#This Row],[Throw Out Rush Def Eff]]="N", Table1[[#This Row],[Against FCS Team]]="N"), 200 - ROUND(((23.2 * U164) + (150 * W164) - (300 * X164)) / V164, 2), " ")</f>
        <v xml:space="preserve"> </v>
      </c>
      <c r="AE164" s="3">
        <f>ROUND(Table1[[#This Row],[Opp Passing Attempts]]/(Table1[[#This Row],[Opp Passing Attempts]]+Table1[[#This Row],[Opp Rushing Attempts]]), 2)</f>
        <v>0.46</v>
      </c>
      <c r="AF164" s="3">
        <f>1-Table1[[#This Row],[Passing Weight]]</f>
        <v>0.54</v>
      </c>
      <c r="AG164" s="3" t="str">
        <f>IF(COUNTIF(A:A,Table1[[#This Row],[Opp Team Name]]) &gt; 0, "N", "Y")</f>
        <v>Y</v>
      </c>
      <c r="AH164" s="3" t="str">
        <f>IF(Table1[[#This Row],[Passing Attempts]] &lt;15, "Y", "N")</f>
        <v>N</v>
      </c>
      <c r="AI164" s="3" t="str">
        <f>IF(Table1[[#This Row],[Rushing Attempts]] &lt; 15, "Y", "N")</f>
        <v>N</v>
      </c>
      <c r="AJ164" s="3" t="str">
        <f>IF(Table1[[#This Row],[Opp Passing Attempts]]&lt;15, "Y", "N")</f>
        <v>N</v>
      </c>
      <c r="AK164" s="3" t="str">
        <f>IF(Table1[[#This Row],[Opp Rushing Attempts]]&lt;15, "Y", "N")</f>
        <v>N</v>
      </c>
      <c r="AL16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6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6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6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64" s="3">
        <f>ABS(Table1[[#This Row],[Team Score]]-Table1[[#This Row],[Opp Team Score]])</f>
        <v>32</v>
      </c>
      <c r="AQ164" s="3">
        <f>SUM(Table1[[#This Row],[Team Score]], Table1[[#This Row],[Opp Team Score]])</f>
        <v>38</v>
      </c>
      <c r="AR16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64" s="3" t="str">
        <f>IF(Table1[[#This Row],[Efficiency Difference]] = " ", " ", ROUND((Table1[[#This Row],[Winning Margin]]*100)/Table1[[#This Row],[Efficiency Difference]], 2))</f>
        <v xml:space="preserve"> </v>
      </c>
    </row>
    <row r="165" spans="1:45">
      <c r="A165" t="s">
        <v>60</v>
      </c>
      <c r="B165">
        <v>164</v>
      </c>
      <c r="C165">
        <v>21</v>
      </c>
      <c r="D165">
        <v>104</v>
      </c>
      <c r="E165">
        <v>29</v>
      </c>
      <c r="F165">
        <v>0</v>
      </c>
      <c r="G165">
        <v>11</v>
      </c>
      <c r="H165">
        <v>3</v>
      </c>
      <c r="I165">
        <v>89</v>
      </c>
      <c r="J165">
        <v>36</v>
      </c>
      <c r="K165">
        <v>0</v>
      </c>
      <c r="L165">
        <v>1</v>
      </c>
      <c r="M165" t="s">
        <v>152</v>
      </c>
      <c r="N165">
        <v>736</v>
      </c>
      <c r="O165">
        <v>24</v>
      </c>
      <c r="P165">
        <v>141</v>
      </c>
      <c r="Q165">
        <v>27</v>
      </c>
      <c r="R165">
        <v>1</v>
      </c>
      <c r="S165">
        <v>13</v>
      </c>
      <c r="T165">
        <v>2</v>
      </c>
      <c r="U165">
        <v>118</v>
      </c>
      <c r="V165">
        <v>32</v>
      </c>
      <c r="W165">
        <v>1</v>
      </c>
      <c r="X165">
        <v>1</v>
      </c>
      <c r="Y165" t="s">
        <v>19</v>
      </c>
      <c r="Z165">
        <v>2</v>
      </c>
      <c r="AA165">
        <f>IF(AND(Table1[[#This Row],[Throw Out Pass Eff]]="N", Table1[[#This Row],[Against FCS Team]]="N"), ROUND(((5.45 * D165) + (150 * F165) + (100 * G165) - (300 * H165)) / E165, 2), " ")</f>
        <v>26.44</v>
      </c>
      <c r="AB165">
        <f>IF(AND(Table1[[#This Row],[Throw Out Pass Def Eff]]="N", Table1[[#This Row],[Against FCS Team]]="N"),200 - ROUND(((5.45 * P165) + (150 * R165) + (100 * S165) - (300 * T165)) / Q165, 2), " ")</f>
        <v>140.06</v>
      </c>
      <c r="AC165">
        <f>IF(AND(Table1[[#This Row],[Throw Out Rush Eff]]="N", Table1[[#This Row],[Against FCS Team]]="N"), ROUND(((23.2 * I165) + (150 * K165) - (300 * L165)) / J165, 2), " ")</f>
        <v>49.02</v>
      </c>
      <c r="AD165" s="3">
        <f>IF(AND(Table1[[#This Row],[Throw Out Rush Def Eff]]="N", Table1[[#This Row],[Against FCS Team]]="N"), 200 - ROUND(((23.2 * U165) + (150 * W165) - (300 * X165)) / V165, 2), " ")</f>
        <v>119.14</v>
      </c>
      <c r="AE165" s="3">
        <f>ROUND(Table1[[#This Row],[Opp Passing Attempts]]/(Table1[[#This Row],[Opp Passing Attempts]]+Table1[[#This Row],[Opp Rushing Attempts]]), 2)</f>
        <v>0.46</v>
      </c>
      <c r="AF165" s="3">
        <f>1-Table1[[#This Row],[Passing Weight]]</f>
        <v>0.54</v>
      </c>
      <c r="AG165" s="3" t="str">
        <f>IF(COUNTIF(A:A,Table1[[#This Row],[Opp Team Name]]) &gt; 0, "N", "Y")</f>
        <v>N</v>
      </c>
      <c r="AH165" s="3" t="str">
        <f>IF(Table1[[#This Row],[Passing Attempts]] &lt;15, "Y", "N")</f>
        <v>N</v>
      </c>
      <c r="AI165" s="3" t="str">
        <f>IF(Table1[[#This Row],[Rushing Attempts]] &lt; 15, "Y", "N")</f>
        <v>N</v>
      </c>
      <c r="AJ165" s="3" t="str">
        <f>IF(Table1[[#This Row],[Opp Passing Attempts]]&lt;15, "Y", "N")</f>
        <v>N</v>
      </c>
      <c r="AK165" s="3" t="str">
        <f>IF(Table1[[#This Row],[Opp Rushing Attempts]]&lt;15, "Y", "N")</f>
        <v>N</v>
      </c>
      <c r="AL16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33.39</v>
      </c>
      <c r="AM1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87.95</v>
      </c>
      <c r="AN1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59.86</v>
      </c>
      <c r="AO1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105.35</v>
      </c>
      <c r="AP165" s="3">
        <f>ABS(Table1[[#This Row],[Team Score]]-Table1[[#This Row],[Opp Team Score]])</f>
        <v>3</v>
      </c>
      <c r="AQ165" s="3">
        <f>SUM(Table1[[#This Row],[Team Score]], Table1[[#This Row],[Opp Team Score]])</f>
        <v>45</v>
      </c>
      <c r="AR16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65.34</v>
      </c>
      <c r="AS165" s="3">
        <f>IF(Table1[[#This Row],[Efficiency Difference]] = " ", " ", ROUND((Table1[[#This Row],[Winning Margin]]*100)/Table1[[#This Row],[Efficiency Difference]], 2))</f>
        <v>4.59</v>
      </c>
    </row>
    <row r="166" spans="1:45">
      <c r="A166" t="s">
        <v>60</v>
      </c>
      <c r="B166">
        <v>164</v>
      </c>
      <c r="C166">
        <v>20</v>
      </c>
      <c r="D166">
        <v>231</v>
      </c>
      <c r="E166">
        <v>36</v>
      </c>
      <c r="F166">
        <v>1</v>
      </c>
      <c r="G166">
        <v>15</v>
      </c>
      <c r="H166">
        <v>1</v>
      </c>
      <c r="I166">
        <v>112</v>
      </c>
      <c r="J166">
        <v>42</v>
      </c>
      <c r="K166">
        <v>1</v>
      </c>
      <c r="L166">
        <v>2</v>
      </c>
      <c r="M166" t="s">
        <v>78</v>
      </c>
      <c r="N166">
        <v>311</v>
      </c>
      <c r="O166">
        <v>24</v>
      </c>
      <c r="P166">
        <v>240</v>
      </c>
      <c r="Q166">
        <v>30</v>
      </c>
      <c r="R166">
        <v>2</v>
      </c>
      <c r="S166">
        <v>19</v>
      </c>
      <c r="T166">
        <v>3</v>
      </c>
      <c r="U166">
        <v>101</v>
      </c>
      <c r="V166">
        <v>34</v>
      </c>
      <c r="W166">
        <v>1</v>
      </c>
      <c r="X166">
        <v>0</v>
      </c>
      <c r="Y166" t="s">
        <v>19</v>
      </c>
      <c r="Z166">
        <v>3</v>
      </c>
      <c r="AA166">
        <f>IF(AND(Table1[[#This Row],[Throw Out Pass Eff]]="N", Table1[[#This Row],[Against FCS Team]]="N"), ROUND(((5.45 * D166) + (150 * F166) + (100 * G166) - (300 * H166)) / E166, 2), " ")</f>
        <v>72.47</v>
      </c>
      <c r="AB166">
        <f>IF(AND(Table1[[#This Row],[Throw Out Pass Def Eff]]="N", Table1[[#This Row],[Against FCS Team]]="N"),200 - ROUND(((5.45 * P166) + (150 * R166) + (100 * S166) - (300 * T166)) / Q166, 2), " ")</f>
        <v>113.07</v>
      </c>
      <c r="AC166">
        <f>IF(AND(Table1[[#This Row],[Throw Out Rush Eff]]="N", Table1[[#This Row],[Against FCS Team]]="N"), ROUND(((23.2 * I166) + (150 * K166) - (300 * L166)) / J166, 2), " ")</f>
        <v>51.15</v>
      </c>
      <c r="AD166" s="3">
        <f>IF(AND(Table1[[#This Row],[Throw Out Rush Def Eff]]="N", Table1[[#This Row],[Against FCS Team]]="N"), 200 - ROUND(((23.2 * U166) + (150 * W166) - (300 * X166)) / V166, 2), " ")</f>
        <v>126.67</v>
      </c>
      <c r="AE166" s="3">
        <f>ROUND(Table1[[#This Row],[Opp Passing Attempts]]/(Table1[[#This Row],[Opp Passing Attempts]]+Table1[[#This Row],[Opp Rushing Attempts]]), 2)</f>
        <v>0.47</v>
      </c>
      <c r="AF166" s="3">
        <f>1-Table1[[#This Row],[Passing Weight]]</f>
        <v>0.53</v>
      </c>
      <c r="AG166" s="3" t="str">
        <f>IF(COUNTIF(A:A,Table1[[#This Row],[Opp Team Name]]) &gt; 0, "N", "Y")</f>
        <v>N</v>
      </c>
      <c r="AH166" s="3" t="str">
        <f>IF(Table1[[#This Row],[Passing Attempts]] &lt;15, "Y", "N")</f>
        <v>N</v>
      </c>
      <c r="AI166" s="3" t="str">
        <f>IF(Table1[[#This Row],[Rushing Attempts]] &lt; 15, "Y", "N")</f>
        <v>N</v>
      </c>
      <c r="AJ166" s="3" t="str">
        <f>IF(Table1[[#This Row],[Opp Passing Attempts]]&lt;15, "Y", "N")</f>
        <v>N</v>
      </c>
      <c r="AK166" s="3" t="str">
        <f>IF(Table1[[#This Row],[Opp Rushing Attempts]]&lt;15, "Y", "N")</f>
        <v>N</v>
      </c>
      <c r="AL1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68.040000000000006</v>
      </c>
      <c r="AM1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94.79</v>
      </c>
      <c r="AN1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50.74</v>
      </c>
      <c r="AO1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110.54</v>
      </c>
      <c r="AP166" s="3">
        <f>ABS(Table1[[#This Row],[Team Score]]-Table1[[#This Row],[Opp Team Score]])</f>
        <v>4</v>
      </c>
      <c r="AQ166" s="3">
        <f>SUM(Table1[[#This Row],[Team Score]], Table1[[#This Row],[Opp Team Score]])</f>
        <v>44</v>
      </c>
      <c r="AR1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36.639999999999986</v>
      </c>
      <c r="AS166" s="3">
        <f>IF(Table1[[#This Row],[Efficiency Difference]] = " ", " ", ROUND((Table1[[#This Row],[Winning Margin]]*100)/Table1[[#This Row],[Efficiency Difference]], 2))</f>
        <v>10.92</v>
      </c>
    </row>
    <row r="167" spans="1:45">
      <c r="A167" t="s">
        <v>60</v>
      </c>
      <c r="B167">
        <v>164</v>
      </c>
      <c r="C167">
        <v>17</v>
      </c>
      <c r="D167">
        <v>213</v>
      </c>
      <c r="E167">
        <v>22</v>
      </c>
      <c r="F167">
        <v>2</v>
      </c>
      <c r="G167">
        <v>12</v>
      </c>
      <c r="H167">
        <v>0</v>
      </c>
      <c r="I167">
        <v>80</v>
      </c>
      <c r="J167">
        <v>42</v>
      </c>
      <c r="K167">
        <v>0</v>
      </c>
      <c r="L167">
        <v>0</v>
      </c>
      <c r="M167" t="s">
        <v>44</v>
      </c>
      <c r="N167">
        <v>86</v>
      </c>
      <c r="O167">
        <v>3</v>
      </c>
      <c r="P167">
        <v>193</v>
      </c>
      <c r="Q167">
        <v>40</v>
      </c>
      <c r="R167">
        <v>0</v>
      </c>
      <c r="S167">
        <v>18</v>
      </c>
      <c r="T167">
        <v>1</v>
      </c>
      <c r="U167">
        <v>126</v>
      </c>
      <c r="V167">
        <v>31</v>
      </c>
      <c r="W167">
        <v>0</v>
      </c>
      <c r="X167">
        <v>0</v>
      </c>
      <c r="Y167" t="s">
        <v>16</v>
      </c>
      <c r="Z167">
        <v>4</v>
      </c>
      <c r="AA167">
        <f>IF(AND(Table1[[#This Row],[Throw Out Pass Eff]]="N", Table1[[#This Row],[Against FCS Team]]="N"), ROUND(((5.45 * D167) + (150 * F167) + (100 * G167) - (300 * H167)) / E167, 2), " ")</f>
        <v>120.95</v>
      </c>
      <c r="AB167">
        <f>IF(AND(Table1[[#This Row],[Throw Out Pass Def Eff]]="N", Table1[[#This Row],[Against FCS Team]]="N"),200 - ROUND(((5.45 * P167) + (150 * R167) + (100 * S167) - (300 * T167)) / Q167, 2), " ")</f>
        <v>136.19999999999999</v>
      </c>
      <c r="AC167">
        <f>IF(AND(Table1[[#This Row],[Throw Out Rush Eff]]="N", Table1[[#This Row],[Against FCS Team]]="N"), ROUND(((23.2 * I167) + (150 * K167) - (300 * L167)) / J167, 2), " ")</f>
        <v>44.19</v>
      </c>
      <c r="AD167" s="3">
        <f>IF(AND(Table1[[#This Row],[Throw Out Rush Def Eff]]="N", Table1[[#This Row],[Against FCS Team]]="N"), 200 - ROUND(((23.2 * U167) + (150 * W167) - (300 * X167)) / V167, 2), " ")</f>
        <v>105.7</v>
      </c>
      <c r="AE167" s="3">
        <f>ROUND(Table1[[#This Row],[Opp Passing Attempts]]/(Table1[[#This Row],[Opp Passing Attempts]]+Table1[[#This Row],[Opp Rushing Attempts]]), 2)</f>
        <v>0.56000000000000005</v>
      </c>
      <c r="AF167" s="3">
        <f>1-Table1[[#This Row],[Passing Weight]]</f>
        <v>0.43999999999999995</v>
      </c>
      <c r="AG167" s="3" t="str">
        <f>IF(COUNTIF(A:A,Table1[[#This Row],[Opp Team Name]]) &gt; 0, "N", "Y")</f>
        <v>N</v>
      </c>
      <c r="AH167" s="3" t="str">
        <f>IF(Table1[[#This Row],[Passing Attempts]] &lt;15, "Y", "N")</f>
        <v>N</v>
      </c>
      <c r="AI167" s="3" t="str">
        <f>IF(Table1[[#This Row],[Rushing Attempts]] &lt; 15, "Y", "N")</f>
        <v>N</v>
      </c>
      <c r="AJ167" s="3" t="str">
        <f>IF(Table1[[#This Row],[Opp Passing Attempts]]&lt;15, "Y", "N")</f>
        <v>N</v>
      </c>
      <c r="AK167" s="3" t="str">
        <f>IF(Table1[[#This Row],[Opp Rushing Attempts]]&lt;15, "Y", "N")</f>
        <v>N</v>
      </c>
      <c r="AL1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113.6</v>
      </c>
      <c r="AM1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114.38</v>
      </c>
      <c r="AN1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36.43</v>
      </c>
      <c r="AO1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98.39</v>
      </c>
      <c r="AP167" s="3">
        <f>ABS(Table1[[#This Row],[Team Score]]-Table1[[#This Row],[Opp Team Score]])</f>
        <v>14</v>
      </c>
      <c r="AQ167" s="3">
        <f>SUM(Table1[[#This Row],[Team Score]], Table1[[#This Row],[Opp Team Score]])</f>
        <v>20</v>
      </c>
      <c r="AR1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7.0399999999999636</v>
      </c>
      <c r="AS167" s="3">
        <f>IF(Table1[[#This Row],[Efficiency Difference]] = " ", " ", ROUND((Table1[[#This Row],[Winning Margin]]*100)/Table1[[#This Row],[Efficiency Difference]], 2))</f>
        <v>198.86</v>
      </c>
    </row>
    <row r="168" spans="1:45">
      <c r="A168" t="s">
        <v>60</v>
      </c>
      <c r="B168">
        <v>164</v>
      </c>
      <c r="C168">
        <v>31</v>
      </c>
      <c r="D168">
        <v>300</v>
      </c>
      <c r="E168">
        <v>39</v>
      </c>
      <c r="F168">
        <v>4</v>
      </c>
      <c r="G168">
        <v>22</v>
      </c>
      <c r="H168">
        <v>0</v>
      </c>
      <c r="I168">
        <v>151</v>
      </c>
      <c r="J168">
        <v>33</v>
      </c>
      <c r="K168">
        <v>0</v>
      </c>
      <c r="L168">
        <v>1</v>
      </c>
      <c r="M168" t="s">
        <v>191</v>
      </c>
      <c r="N168">
        <v>774</v>
      </c>
      <c r="O168">
        <v>38</v>
      </c>
      <c r="P168">
        <v>479</v>
      </c>
      <c r="Q168">
        <v>51</v>
      </c>
      <c r="R168">
        <v>5</v>
      </c>
      <c r="S168">
        <v>37</v>
      </c>
      <c r="T168">
        <v>0</v>
      </c>
      <c r="U168">
        <v>11</v>
      </c>
      <c r="V168">
        <v>22</v>
      </c>
      <c r="W168">
        <v>0</v>
      </c>
      <c r="X168">
        <v>2</v>
      </c>
      <c r="Y168" t="s">
        <v>19</v>
      </c>
      <c r="Z168">
        <v>5</v>
      </c>
      <c r="AA168">
        <f>IF(AND(Table1[[#This Row],[Throw Out Pass Eff]]="N", Table1[[#This Row],[Against FCS Team]]="N"), ROUND(((5.45 * D168) + (150 * F168) + (100 * G168) - (300 * H168)) / E168, 2), " ")</f>
        <v>113.72</v>
      </c>
      <c r="AB168">
        <f>IF(AND(Table1[[#This Row],[Throw Out Pass Def Eff]]="N", Table1[[#This Row],[Against FCS Team]]="N"),200 - ROUND(((5.45 * P168) + (150 * R168) + (100 * S168) - (300 * T168)) / Q168, 2), " ")</f>
        <v>61.56</v>
      </c>
      <c r="AC168">
        <f>IF(AND(Table1[[#This Row],[Throw Out Rush Eff]]="N", Table1[[#This Row],[Against FCS Team]]="N"), ROUND(((23.2 * I168) + (150 * K168) - (300 * L168)) / J168, 2), " ")</f>
        <v>97.07</v>
      </c>
      <c r="AD168" s="3">
        <f>IF(AND(Table1[[#This Row],[Throw Out Rush Def Eff]]="N", Table1[[#This Row],[Against FCS Team]]="N"), 200 - ROUND(((23.2 * U168) + (150 * W168) - (300 * X168)) / V168, 2), " ")</f>
        <v>215.67</v>
      </c>
      <c r="AE168" s="3">
        <f>ROUND(Table1[[#This Row],[Opp Passing Attempts]]/(Table1[[#This Row],[Opp Passing Attempts]]+Table1[[#This Row],[Opp Rushing Attempts]]), 2)</f>
        <v>0.7</v>
      </c>
      <c r="AF168" s="3">
        <f>1-Table1[[#This Row],[Passing Weight]]</f>
        <v>0.30000000000000004</v>
      </c>
      <c r="AG168" s="3" t="str">
        <f>IF(COUNTIF(A:A,Table1[[#This Row],[Opp Team Name]]) &gt; 0, "N", "Y")</f>
        <v>N</v>
      </c>
      <c r="AH168" s="3" t="str">
        <f>IF(Table1[[#This Row],[Passing Attempts]] &lt;15, "Y", "N")</f>
        <v>N</v>
      </c>
      <c r="AI168" s="3" t="str">
        <f>IF(Table1[[#This Row],[Rushing Attempts]] &lt; 15, "Y", "N")</f>
        <v>N</v>
      </c>
      <c r="AJ168" s="3" t="str">
        <f>IF(Table1[[#This Row],[Opp Passing Attempts]]&lt;15, "Y", "N")</f>
        <v>N</v>
      </c>
      <c r="AK168" s="3" t="str">
        <f>IF(Table1[[#This Row],[Opp Rushing Attempts]]&lt;15, "Y", "N")</f>
        <v>N</v>
      </c>
      <c r="AL16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120.11</v>
      </c>
      <c r="AM16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68.47</v>
      </c>
      <c r="AN16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71.08</v>
      </c>
      <c r="AO16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158.66</v>
      </c>
      <c r="AP168" s="3">
        <f>ABS(Table1[[#This Row],[Team Score]]-Table1[[#This Row],[Opp Team Score]])</f>
        <v>7</v>
      </c>
      <c r="AQ168" s="3">
        <f>SUM(Table1[[#This Row],[Team Score]], Table1[[#This Row],[Opp Team Score]])</f>
        <v>69</v>
      </c>
      <c r="AR16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88.02000000000001</v>
      </c>
      <c r="AS168" s="3">
        <f>IF(Table1[[#This Row],[Efficiency Difference]] = " ", " ", ROUND((Table1[[#This Row],[Winning Margin]]*100)/Table1[[#This Row],[Efficiency Difference]], 2))</f>
        <v>7.95</v>
      </c>
    </row>
    <row r="169" spans="1:45">
      <c r="A169" t="s">
        <v>60</v>
      </c>
      <c r="B169">
        <v>164</v>
      </c>
      <c r="C169">
        <v>16</v>
      </c>
      <c r="D169">
        <v>193</v>
      </c>
      <c r="E169">
        <v>37</v>
      </c>
      <c r="F169">
        <v>0</v>
      </c>
      <c r="G169">
        <v>21</v>
      </c>
      <c r="H169">
        <v>0</v>
      </c>
      <c r="I169">
        <v>82</v>
      </c>
      <c r="J169">
        <v>35</v>
      </c>
      <c r="K169">
        <v>0</v>
      </c>
      <c r="L169">
        <v>1</v>
      </c>
      <c r="M169" t="s">
        <v>177</v>
      </c>
      <c r="N169">
        <v>768</v>
      </c>
      <c r="O169">
        <v>43</v>
      </c>
      <c r="P169">
        <v>469</v>
      </c>
      <c r="Q169">
        <v>48</v>
      </c>
      <c r="R169">
        <v>4</v>
      </c>
      <c r="S169">
        <v>28</v>
      </c>
      <c r="T169">
        <v>1</v>
      </c>
      <c r="U169">
        <v>72</v>
      </c>
      <c r="V169">
        <v>29</v>
      </c>
      <c r="W169">
        <v>1</v>
      </c>
      <c r="X169">
        <v>1</v>
      </c>
      <c r="Y169" t="s">
        <v>19</v>
      </c>
      <c r="Z169">
        <v>6</v>
      </c>
      <c r="AA169">
        <f>IF(AND(Table1[[#This Row],[Throw Out Pass Eff]]="N", Table1[[#This Row],[Against FCS Team]]="N"), ROUND(((5.45 * D169) + (150 * F169) + (100 * G169) - (300 * H169)) / E169, 2), " ")</f>
        <v>85.19</v>
      </c>
      <c r="AB169">
        <f>IF(AND(Table1[[#This Row],[Throw Out Pass Def Eff]]="N", Table1[[#This Row],[Against FCS Team]]="N"),200 - ROUND(((5.45 * P169) + (150 * R169) + (100 * S169) - (300 * T169)) / Q169, 2), " ")</f>
        <v>82.17</v>
      </c>
      <c r="AC169">
        <f>IF(AND(Table1[[#This Row],[Throw Out Rush Eff]]="N", Table1[[#This Row],[Against FCS Team]]="N"), ROUND(((23.2 * I169) + (150 * K169) - (300 * L169)) / J169, 2), " ")</f>
        <v>45.78</v>
      </c>
      <c r="AD169" s="3">
        <f>IF(AND(Table1[[#This Row],[Throw Out Rush Def Eff]]="N", Table1[[#This Row],[Against FCS Team]]="N"), 200 - ROUND(((23.2 * U169) + (150 * W169) - (300 * X169)) / V169, 2), " ")</f>
        <v>147.57</v>
      </c>
      <c r="AE169" s="3">
        <f>ROUND(Table1[[#This Row],[Opp Passing Attempts]]/(Table1[[#This Row],[Opp Passing Attempts]]+Table1[[#This Row],[Opp Rushing Attempts]]), 2)</f>
        <v>0.62</v>
      </c>
      <c r="AF169" s="3">
        <f>1-Table1[[#This Row],[Passing Weight]]</f>
        <v>0.38</v>
      </c>
      <c r="AG169" s="3" t="str">
        <f>IF(COUNTIF(A:A,Table1[[#This Row],[Opp Team Name]]) &gt; 0, "N", "Y")</f>
        <v>N</v>
      </c>
      <c r="AH169" s="3" t="str">
        <f>IF(Table1[[#This Row],[Passing Attempts]] &lt;15, "Y", "N")</f>
        <v>N</v>
      </c>
      <c r="AI169" s="3" t="str">
        <f>IF(Table1[[#This Row],[Rushing Attempts]] &lt; 15, "Y", "N")</f>
        <v>N</v>
      </c>
      <c r="AJ169" s="3" t="str">
        <f>IF(Table1[[#This Row],[Opp Passing Attempts]]&lt;15, "Y", "N")</f>
        <v>N</v>
      </c>
      <c r="AK169" s="3" t="str">
        <f>IF(Table1[[#This Row],[Opp Rushing Attempts]]&lt;15, "Y", "N")</f>
        <v>N</v>
      </c>
      <c r="AL1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91.43</v>
      </c>
      <c r="AM1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90.36</v>
      </c>
      <c r="AN1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50.44</v>
      </c>
      <c r="AO1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117.25</v>
      </c>
      <c r="AP169" s="3">
        <f>ABS(Table1[[#This Row],[Team Score]]-Table1[[#This Row],[Opp Team Score]])</f>
        <v>27</v>
      </c>
      <c r="AQ169" s="3">
        <f>SUM(Table1[[#This Row],[Team Score]], Table1[[#This Row],[Opp Team Score]])</f>
        <v>59</v>
      </c>
      <c r="AR1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39.289999999999992</v>
      </c>
      <c r="AS169" s="3">
        <f>IF(Table1[[#This Row],[Efficiency Difference]] = " ", " ", ROUND((Table1[[#This Row],[Winning Margin]]*100)/Table1[[#This Row],[Efficiency Difference]], 2))</f>
        <v>68.72</v>
      </c>
    </row>
    <row r="170" spans="1:45">
      <c r="A170" t="s">
        <v>60</v>
      </c>
      <c r="B170">
        <v>164</v>
      </c>
      <c r="C170">
        <v>16</v>
      </c>
      <c r="D170">
        <v>135</v>
      </c>
      <c r="E170">
        <v>25</v>
      </c>
      <c r="F170">
        <v>0</v>
      </c>
      <c r="G170">
        <v>14</v>
      </c>
      <c r="H170">
        <v>0</v>
      </c>
      <c r="I170">
        <v>118</v>
      </c>
      <c r="J170">
        <v>48</v>
      </c>
      <c r="K170">
        <v>0</v>
      </c>
      <c r="L170">
        <v>2</v>
      </c>
      <c r="M170" t="s">
        <v>115</v>
      </c>
      <c r="N170">
        <v>651</v>
      </c>
      <c r="O170">
        <v>10</v>
      </c>
      <c r="P170">
        <v>164</v>
      </c>
      <c r="Q170">
        <v>27</v>
      </c>
      <c r="R170">
        <v>0</v>
      </c>
      <c r="S170">
        <v>15</v>
      </c>
      <c r="T170">
        <v>2</v>
      </c>
      <c r="U170">
        <v>175</v>
      </c>
      <c r="V170">
        <v>36</v>
      </c>
      <c r="W170">
        <v>1</v>
      </c>
      <c r="X170">
        <v>2</v>
      </c>
      <c r="Y170" t="s">
        <v>16</v>
      </c>
      <c r="Z170">
        <v>7</v>
      </c>
      <c r="AA170">
        <f>IF(AND(Table1[[#This Row],[Throw Out Pass Eff]]="N", Table1[[#This Row],[Against FCS Team]]="N"), ROUND(((5.45 * D170) + (150 * F170) + (100 * G170) - (300 * H170)) / E170, 2), " ")</f>
        <v>85.43</v>
      </c>
      <c r="AB170">
        <f>IF(AND(Table1[[#This Row],[Throw Out Pass Def Eff]]="N", Table1[[#This Row],[Against FCS Team]]="N"),200 - ROUND(((5.45 * P170) + (150 * R170) + (100 * S170) - (300 * T170)) / Q170, 2), " ")</f>
        <v>133.56</v>
      </c>
      <c r="AC170">
        <f>IF(AND(Table1[[#This Row],[Throw Out Rush Eff]]="N", Table1[[#This Row],[Against FCS Team]]="N"), ROUND(((23.2 * I170) + (150 * K170) - (300 * L170)) / J170, 2), " ")</f>
        <v>44.53</v>
      </c>
      <c r="AD170" s="3">
        <f>IF(AND(Table1[[#This Row],[Throw Out Rush Def Eff]]="N", Table1[[#This Row],[Against FCS Team]]="N"), 200 - ROUND(((23.2 * U170) + (150 * W170) - (300 * X170)) / V170, 2), " ")</f>
        <v>99.72</v>
      </c>
      <c r="AE170" s="3">
        <f>ROUND(Table1[[#This Row],[Opp Passing Attempts]]/(Table1[[#This Row],[Opp Passing Attempts]]+Table1[[#This Row],[Opp Rushing Attempts]]), 2)</f>
        <v>0.43</v>
      </c>
      <c r="AF170" s="3">
        <f>1-Table1[[#This Row],[Passing Weight]]</f>
        <v>0.57000000000000006</v>
      </c>
      <c r="AG170" s="3" t="str">
        <f>IF(COUNTIF(A:A,Table1[[#This Row],[Opp Team Name]]) &gt; 0, "N", "Y")</f>
        <v>N</v>
      </c>
      <c r="AH170" s="3" t="str">
        <f>IF(Table1[[#This Row],[Passing Attempts]] &lt;15, "Y", "N")</f>
        <v>N</v>
      </c>
      <c r="AI170" s="3" t="str">
        <f>IF(Table1[[#This Row],[Rushing Attempts]] &lt; 15, "Y", "N")</f>
        <v>N</v>
      </c>
      <c r="AJ170" s="3" t="str">
        <f>IF(Table1[[#This Row],[Opp Passing Attempts]]&lt;15, "Y", "N")</f>
        <v>N</v>
      </c>
      <c r="AK170" s="3" t="str">
        <f>IF(Table1[[#This Row],[Opp Rushing Attempts]]&lt;15, "Y", "N")</f>
        <v>N</v>
      </c>
      <c r="AL1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89.48</v>
      </c>
      <c r="AM17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126.22</v>
      </c>
      <c r="AN1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56.7</v>
      </c>
      <c r="AO1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103.57</v>
      </c>
      <c r="AP170" s="3">
        <f>ABS(Table1[[#This Row],[Team Score]]-Table1[[#This Row],[Opp Team Score]])</f>
        <v>6</v>
      </c>
      <c r="AQ170" s="3">
        <f>SUM(Table1[[#This Row],[Team Score]], Table1[[#This Row],[Opp Team Score]])</f>
        <v>26</v>
      </c>
      <c r="AR17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36.759999999999991</v>
      </c>
      <c r="AS170" s="3">
        <f>IF(Table1[[#This Row],[Efficiency Difference]] = " ", " ", ROUND((Table1[[#This Row],[Winning Margin]]*100)/Table1[[#This Row],[Efficiency Difference]], 2))</f>
        <v>16.32</v>
      </c>
    </row>
    <row r="171" spans="1:45">
      <c r="A171" t="s">
        <v>62</v>
      </c>
      <c r="B171">
        <v>193</v>
      </c>
      <c r="C171">
        <v>21</v>
      </c>
      <c r="D171">
        <v>201</v>
      </c>
      <c r="E171">
        <v>34</v>
      </c>
      <c r="F171">
        <v>0</v>
      </c>
      <c r="G171">
        <v>23</v>
      </c>
      <c r="H171">
        <v>0</v>
      </c>
      <c r="I171">
        <v>178</v>
      </c>
      <c r="J171">
        <v>35</v>
      </c>
      <c r="K171">
        <v>3</v>
      </c>
      <c r="L171">
        <v>2</v>
      </c>
      <c r="M171" t="s">
        <v>63</v>
      </c>
      <c r="N171">
        <v>575</v>
      </c>
      <c r="O171">
        <v>23</v>
      </c>
      <c r="P171">
        <v>193</v>
      </c>
      <c r="Q171">
        <v>31</v>
      </c>
      <c r="R171">
        <v>1</v>
      </c>
      <c r="S171">
        <v>14</v>
      </c>
      <c r="T171">
        <v>1</v>
      </c>
      <c r="U171">
        <v>95</v>
      </c>
      <c r="V171">
        <v>31</v>
      </c>
      <c r="W171">
        <v>2</v>
      </c>
      <c r="X171">
        <v>0</v>
      </c>
      <c r="Y171" t="s">
        <v>19</v>
      </c>
      <c r="Z171">
        <v>1</v>
      </c>
      <c r="AA171" t="str">
        <f>IF(AND(Table1[[#This Row],[Throw Out Pass Eff]]="N", Table1[[#This Row],[Against FCS Team]]="N"), ROUND(((5.45 * D171) + (150 * F171) + (100 * G171) - (300 * H171)) / E171, 2), " ")</f>
        <v xml:space="preserve"> </v>
      </c>
      <c r="AB171" t="str">
        <f>IF(AND(Table1[[#This Row],[Throw Out Pass Def Eff]]="N", Table1[[#This Row],[Against FCS Team]]="N"),200 - ROUND(((5.45 * P171) + (150 * R171) + (100 * S171) - (300 * T171)) / Q171, 2), " ")</f>
        <v xml:space="preserve"> </v>
      </c>
      <c r="AC171" t="str">
        <f>IF(AND(Table1[[#This Row],[Throw Out Rush Eff]]="N", Table1[[#This Row],[Against FCS Team]]="N"), ROUND(((23.2 * I171) + (150 * K171) - (300 * L171)) / J171, 2), " ")</f>
        <v xml:space="preserve"> </v>
      </c>
      <c r="AD171" s="3" t="str">
        <f>IF(AND(Table1[[#This Row],[Throw Out Rush Def Eff]]="N", Table1[[#This Row],[Against FCS Team]]="N"), 200 - ROUND(((23.2 * U171) + (150 * W171) - (300 * X171)) / V171, 2), " ")</f>
        <v xml:space="preserve"> </v>
      </c>
      <c r="AE171" s="3">
        <f>ROUND(Table1[[#This Row],[Opp Passing Attempts]]/(Table1[[#This Row],[Opp Passing Attempts]]+Table1[[#This Row],[Opp Rushing Attempts]]), 2)</f>
        <v>0.5</v>
      </c>
      <c r="AF171" s="3">
        <f>1-Table1[[#This Row],[Passing Weight]]</f>
        <v>0.5</v>
      </c>
      <c r="AG171" s="3" t="str">
        <f>IF(COUNTIF(A:A,Table1[[#This Row],[Opp Team Name]]) &gt; 0, "N", "Y")</f>
        <v>Y</v>
      </c>
      <c r="AH171" s="3" t="str">
        <f>IF(Table1[[#This Row],[Passing Attempts]] &lt;15, "Y", "N")</f>
        <v>N</v>
      </c>
      <c r="AI171" s="3" t="str">
        <f>IF(Table1[[#This Row],[Rushing Attempts]] &lt; 15, "Y", "N")</f>
        <v>N</v>
      </c>
      <c r="AJ171" s="3" t="str">
        <f>IF(Table1[[#This Row],[Opp Passing Attempts]]&lt;15, "Y", "N")</f>
        <v>N</v>
      </c>
      <c r="AK171" s="3" t="str">
        <f>IF(Table1[[#This Row],[Opp Rushing Attempts]]&lt;15, "Y", "N")</f>
        <v>N</v>
      </c>
      <c r="AL17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7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7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7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71" s="3">
        <f>ABS(Table1[[#This Row],[Team Score]]-Table1[[#This Row],[Opp Team Score]])</f>
        <v>2</v>
      </c>
      <c r="AQ171" s="3">
        <f>SUM(Table1[[#This Row],[Team Score]], Table1[[#This Row],[Opp Team Score]])</f>
        <v>44</v>
      </c>
      <c r="AR17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71" s="3" t="str">
        <f>IF(Table1[[#This Row],[Efficiency Difference]] = " ", " ", ROUND((Table1[[#This Row],[Winning Margin]]*100)/Table1[[#This Row],[Efficiency Difference]], 2))</f>
        <v xml:space="preserve"> </v>
      </c>
    </row>
    <row r="172" spans="1:45">
      <c r="A172" t="s">
        <v>62</v>
      </c>
      <c r="B172">
        <v>193</v>
      </c>
      <c r="C172">
        <v>14</v>
      </c>
      <c r="D172">
        <v>305</v>
      </c>
      <c r="E172">
        <v>39</v>
      </c>
      <c r="F172">
        <v>0</v>
      </c>
      <c r="G172">
        <v>28</v>
      </c>
      <c r="H172">
        <v>0</v>
      </c>
      <c r="I172">
        <v>30</v>
      </c>
      <c r="J172">
        <v>33</v>
      </c>
      <c r="K172">
        <v>1</v>
      </c>
      <c r="L172">
        <v>1</v>
      </c>
      <c r="M172" t="s">
        <v>129</v>
      </c>
      <c r="N172">
        <v>674</v>
      </c>
      <c r="O172">
        <v>44</v>
      </c>
      <c r="P172">
        <v>299</v>
      </c>
      <c r="Q172">
        <v>30</v>
      </c>
      <c r="R172">
        <v>4</v>
      </c>
      <c r="S172">
        <v>21</v>
      </c>
      <c r="T172">
        <v>1</v>
      </c>
      <c r="U172">
        <v>205</v>
      </c>
      <c r="V172">
        <v>30</v>
      </c>
      <c r="W172">
        <v>2</v>
      </c>
      <c r="X172">
        <v>0</v>
      </c>
      <c r="Y172" t="s">
        <v>19</v>
      </c>
      <c r="Z172">
        <v>2</v>
      </c>
      <c r="AA172">
        <f>IF(AND(Table1[[#This Row],[Throw Out Pass Eff]]="N", Table1[[#This Row],[Against FCS Team]]="N"), ROUND(((5.45 * D172) + (150 * F172) + (100 * G172) - (300 * H172)) / E172, 2), " ")</f>
        <v>114.42</v>
      </c>
      <c r="AB172">
        <f>IF(AND(Table1[[#This Row],[Throw Out Pass Def Eff]]="N", Table1[[#This Row],[Against FCS Team]]="N"),200 - ROUND(((5.45 * P172) + (150 * R172) + (100 * S172) - (300 * T172)) / Q172, 2), " ")</f>
        <v>65.680000000000007</v>
      </c>
      <c r="AC172">
        <f>IF(AND(Table1[[#This Row],[Throw Out Rush Eff]]="N", Table1[[#This Row],[Against FCS Team]]="N"), ROUND(((23.2 * I172) + (150 * K172) - (300 * L172)) / J172, 2), " ")</f>
        <v>16.55</v>
      </c>
      <c r="AD172" s="3">
        <f>IF(AND(Table1[[#This Row],[Throw Out Rush Def Eff]]="N", Table1[[#This Row],[Against FCS Team]]="N"), 200 - ROUND(((23.2 * U172) + (150 * W172) - (300 * X172)) / V172, 2), " ")</f>
        <v>31.47</v>
      </c>
      <c r="AE172" s="3">
        <f>ROUND(Table1[[#This Row],[Opp Passing Attempts]]/(Table1[[#This Row],[Opp Passing Attempts]]+Table1[[#This Row],[Opp Rushing Attempts]]), 2)</f>
        <v>0.5</v>
      </c>
      <c r="AF172" s="3">
        <f>1-Table1[[#This Row],[Passing Weight]]</f>
        <v>0.5</v>
      </c>
      <c r="AG172" s="3" t="str">
        <f>IF(COUNTIF(A:A,Table1[[#This Row],[Opp Team Name]]) &gt; 0, "N", "Y")</f>
        <v>N</v>
      </c>
      <c r="AH172" s="3" t="str">
        <f>IF(Table1[[#This Row],[Passing Attempts]] &lt;15, "Y", "N")</f>
        <v>N</v>
      </c>
      <c r="AI172" s="3" t="str">
        <f>IF(Table1[[#This Row],[Rushing Attempts]] &lt; 15, "Y", "N")</f>
        <v>N</v>
      </c>
      <c r="AJ172" s="3" t="str">
        <f>IF(Table1[[#This Row],[Opp Passing Attempts]]&lt;15, "Y", "N")</f>
        <v>N</v>
      </c>
      <c r="AK172" s="3" t="str">
        <f>IF(Table1[[#This Row],[Opp Rushing Attempts]]&lt;15, "Y", "N")</f>
        <v>N</v>
      </c>
      <c r="AL1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118.16</v>
      </c>
      <c r="AM1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87.66</v>
      </c>
      <c r="AN1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23.61</v>
      </c>
      <c r="AO1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45.31</v>
      </c>
      <c r="AP172" s="3">
        <f>ABS(Table1[[#This Row],[Team Score]]-Table1[[#This Row],[Opp Team Score]])</f>
        <v>30</v>
      </c>
      <c r="AQ172" s="3">
        <f>SUM(Table1[[#This Row],[Team Score]], Table1[[#This Row],[Opp Team Score]])</f>
        <v>58</v>
      </c>
      <c r="AR1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171.88000000000002</v>
      </c>
      <c r="AS172" s="3">
        <f>IF(Table1[[#This Row],[Efficiency Difference]] = " ", " ", ROUND((Table1[[#This Row],[Winning Margin]]*100)/Table1[[#This Row],[Efficiency Difference]], 2))</f>
        <v>17.45</v>
      </c>
    </row>
    <row r="173" spans="1:45">
      <c r="A173" t="s">
        <v>62</v>
      </c>
      <c r="B173">
        <v>193</v>
      </c>
      <c r="C173">
        <v>20</v>
      </c>
      <c r="D173">
        <v>384</v>
      </c>
      <c r="E173">
        <v>55</v>
      </c>
      <c r="F173">
        <v>2</v>
      </c>
      <c r="G173">
        <v>43</v>
      </c>
      <c r="H173">
        <v>1</v>
      </c>
      <c r="I173">
        <v>81</v>
      </c>
      <c r="J173">
        <v>26</v>
      </c>
      <c r="K173">
        <v>1</v>
      </c>
      <c r="L173">
        <v>0</v>
      </c>
      <c r="M173" t="s">
        <v>40</v>
      </c>
      <c r="N173">
        <v>67</v>
      </c>
      <c r="O173">
        <v>19</v>
      </c>
      <c r="P173">
        <v>247</v>
      </c>
      <c r="Q173">
        <v>34</v>
      </c>
      <c r="R173">
        <v>1</v>
      </c>
      <c r="S173">
        <v>17</v>
      </c>
      <c r="T173">
        <v>0</v>
      </c>
      <c r="U173">
        <v>81</v>
      </c>
      <c r="V173">
        <v>25</v>
      </c>
      <c r="W173">
        <v>1</v>
      </c>
      <c r="X173">
        <v>0</v>
      </c>
      <c r="Y173" t="s">
        <v>16</v>
      </c>
      <c r="Z173">
        <v>3</v>
      </c>
      <c r="AA173">
        <f>IF(AND(Table1[[#This Row],[Throw Out Pass Eff]]="N", Table1[[#This Row],[Against FCS Team]]="N"), ROUND(((5.45 * D173) + (150 * F173) + (100 * G173) - (300 * H173)) / E173, 2), " ")</f>
        <v>116.23</v>
      </c>
      <c r="AB173">
        <f>IF(AND(Table1[[#This Row],[Throw Out Pass Def Eff]]="N", Table1[[#This Row],[Against FCS Team]]="N"),200 - ROUND(((5.45 * P173) + (150 * R173) + (100 * S173) - (300 * T173)) / Q173, 2), " ")</f>
        <v>106</v>
      </c>
      <c r="AC173">
        <f>IF(AND(Table1[[#This Row],[Throw Out Rush Eff]]="N", Table1[[#This Row],[Against FCS Team]]="N"), ROUND(((23.2 * I173) + (150 * K173) - (300 * L173)) / J173, 2), " ")</f>
        <v>78.05</v>
      </c>
      <c r="AD173" s="3">
        <f>IF(AND(Table1[[#This Row],[Throw Out Rush Def Eff]]="N", Table1[[#This Row],[Against FCS Team]]="N"), 200 - ROUND(((23.2 * U173) + (150 * W173) - (300 * X173)) / V173, 2), " ")</f>
        <v>118.83</v>
      </c>
      <c r="AE173" s="3">
        <f>ROUND(Table1[[#This Row],[Opp Passing Attempts]]/(Table1[[#This Row],[Opp Passing Attempts]]+Table1[[#This Row],[Opp Rushing Attempts]]), 2)</f>
        <v>0.57999999999999996</v>
      </c>
      <c r="AF173" s="3">
        <f>1-Table1[[#This Row],[Passing Weight]]</f>
        <v>0.42000000000000004</v>
      </c>
      <c r="AG173" s="3" t="str">
        <f>IF(COUNTIF(A:A,Table1[[#This Row],[Opp Team Name]]) &gt; 0, "N", "Y")</f>
        <v>N</v>
      </c>
      <c r="AH173" s="3" t="str">
        <f>IF(Table1[[#This Row],[Passing Attempts]] &lt;15, "Y", "N")</f>
        <v>N</v>
      </c>
      <c r="AI173" s="3" t="str">
        <f>IF(Table1[[#This Row],[Rushing Attempts]] &lt; 15, "Y", "N")</f>
        <v>N</v>
      </c>
      <c r="AJ173" s="3" t="str">
        <f>IF(Table1[[#This Row],[Opp Passing Attempts]]&lt;15, "Y", "N")</f>
        <v>N</v>
      </c>
      <c r="AK173" s="3" t="str">
        <f>IF(Table1[[#This Row],[Opp Rushing Attempts]]&lt;15, "Y", "N")</f>
        <v>N</v>
      </c>
      <c r="AL17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102.56</v>
      </c>
      <c r="AM17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79.849999999999994</v>
      </c>
      <c r="AN17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73.099999999999994</v>
      </c>
      <c r="AO17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92.71</v>
      </c>
      <c r="AP173" s="3">
        <f>ABS(Table1[[#This Row],[Team Score]]-Table1[[#This Row],[Opp Team Score]])</f>
        <v>1</v>
      </c>
      <c r="AQ173" s="3">
        <f>SUM(Table1[[#This Row],[Team Score]], Table1[[#This Row],[Opp Team Score]])</f>
        <v>39</v>
      </c>
      <c r="AR17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19.109999999999985</v>
      </c>
      <c r="AS173" s="3">
        <f>IF(Table1[[#This Row],[Efficiency Difference]] = " ", " ", ROUND((Table1[[#This Row],[Winning Margin]]*100)/Table1[[#This Row],[Efficiency Difference]], 2))</f>
        <v>5.23</v>
      </c>
    </row>
    <row r="174" spans="1:45">
      <c r="A174" t="s">
        <v>62</v>
      </c>
      <c r="B174">
        <v>193</v>
      </c>
      <c r="C174">
        <v>48</v>
      </c>
      <c r="D174">
        <v>333</v>
      </c>
      <c r="E174">
        <v>36</v>
      </c>
      <c r="F174">
        <v>1</v>
      </c>
      <c r="G174">
        <v>24</v>
      </c>
      <c r="H174">
        <v>1</v>
      </c>
      <c r="I174">
        <v>151</v>
      </c>
      <c r="J174">
        <v>43</v>
      </c>
      <c r="K174">
        <v>5</v>
      </c>
      <c r="L174">
        <v>1</v>
      </c>
      <c r="M174" t="s">
        <v>140</v>
      </c>
      <c r="N174">
        <v>718</v>
      </c>
      <c r="O174">
        <v>27</v>
      </c>
      <c r="P174">
        <v>263</v>
      </c>
      <c r="Q174">
        <v>37</v>
      </c>
      <c r="R174">
        <v>1</v>
      </c>
      <c r="S174">
        <v>18</v>
      </c>
      <c r="T174">
        <v>1</v>
      </c>
      <c r="U174">
        <v>55</v>
      </c>
      <c r="V174">
        <v>22</v>
      </c>
      <c r="W174">
        <v>1</v>
      </c>
      <c r="X174">
        <v>0</v>
      </c>
      <c r="Y174" t="s">
        <v>16</v>
      </c>
      <c r="Z174">
        <v>4</v>
      </c>
      <c r="AA174">
        <f>IF(AND(Table1[[#This Row],[Throw Out Pass Eff]]="N", Table1[[#This Row],[Against FCS Team]]="N"), ROUND(((5.45 * D174) + (150 * F174) + (100 * G174) - (300 * H174)) / E174, 2), " ")</f>
        <v>112.91</v>
      </c>
      <c r="AB174">
        <f>IF(AND(Table1[[#This Row],[Throw Out Pass Def Eff]]="N", Table1[[#This Row],[Against FCS Team]]="N"),200 - ROUND(((5.45 * P174) + (150 * R174) + (100 * S174) - (300 * T174)) / Q174, 2), " ")</f>
        <v>116.67</v>
      </c>
      <c r="AC174">
        <f>IF(AND(Table1[[#This Row],[Throw Out Rush Eff]]="N", Table1[[#This Row],[Against FCS Team]]="N"), ROUND(((23.2 * I174) + (150 * K174) - (300 * L174)) / J174, 2), " ")</f>
        <v>91.93</v>
      </c>
      <c r="AD174" s="3">
        <f>IF(AND(Table1[[#This Row],[Throw Out Rush Def Eff]]="N", Table1[[#This Row],[Against FCS Team]]="N"), 200 - ROUND(((23.2 * U174) + (150 * W174) - (300 * X174)) / V174, 2), " ")</f>
        <v>135.18</v>
      </c>
      <c r="AE174" s="3">
        <f>ROUND(Table1[[#This Row],[Opp Passing Attempts]]/(Table1[[#This Row],[Opp Passing Attempts]]+Table1[[#This Row],[Opp Rushing Attempts]]), 2)</f>
        <v>0.63</v>
      </c>
      <c r="AF174" s="3">
        <f>1-Table1[[#This Row],[Passing Weight]]</f>
        <v>0.37</v>
      </c>
      <c r="AG174" s="3" t="str">
        <f>IF(COUNTIF(A:A,Table1[[#This Row],[Opp Team Name]]) &gt; 0, "N", "Y")</f>
        <v>N</v>
      </c>
      <c r="AH174" s="3" t="str">
        <f>IF(Table1[[#This Row],[Passing Attempts]] &lt;15, "Y", "N")</f>
        <v>N</v>
      </c>
      <c r="AI174" s="3" t="str">
        <f>IF(Table1[[#This Row],[Rushing Attempts]] &lt; 15, "Y", "N")</f>
        <v>N</v>
      </c>
      <c r="AJ174" s="3" t="str">
        <f>IF(Table1[[#This Row],[Opp Passing Attempts]]&lt;15, "Y", "N")</f>
        <v>N</v>
      </c>
      <c r="AK174" s="3" t="str">
        <f>IF(Table1[[#This Row],[Opp Rushing Attempts]]&lt;15, "Y", "N")</f>
        <v>N</v>
      </c>
      <c r="AL1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130.31</v>
      </c>
      <c r="AM1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111.87</v>
      </c>
      <c r="AN1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93.47</v>
      </c>
      <c r="AO1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113.33</v>
      </c>
      <c r="AP174" s="3">
        <f>ABS(Table1[[#This Row],[Team Score]]-Table1[[#This Row],[Opp Team Score]])</f>
        <v>21</v>
      </c>
      <c r="AQ174" s="3">
        <f>SUM(Table1[[#This Row],[Team Score]], Table1[[#This Row],[Opp Team Score]])</f>
        <v>75</v>
      </c>
      <c r="AR1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56.690000000000026</v>
      </c>
      <c r="AS174" s="3">
        <f>IF(Table1[[#This Row],[Efficiency Difference]] = " ", " ", ROUND((Table1[[#This Row],[Winning Margin]]*100)/Table1[[#This Row],[Efficiency Difference]], 2))</f>
        <v>37.04</v>
      </c>
    </row>
    <row r="175" spans="1:45">
      <c r="A175" t="s">
        <v>62</v>
      </c>
      <c r="B175">
        <v>193</v>
      </c>
      <c r="C175">
        <v>31</v>
      </c>
      <c r="D175">
        <v>335</v>
      </c>
      <c r="E175">
        <v>43</v>
      </c>
      <c r="F175">
        <v>2</v>
      </c>
      <c r="G175">
        <v>28</v>
      </c>
      <c r="H175">
        <v>0</v>
      </c>
      <c r="I175">
        <v>49</v>
      </c>
      <c r="J175">
        <v>22</v>
      </c>
      <c r="K175">
        <v>2</v>
      </c>
      <c r="L175">
        <v>0</v>
      </c>
      <c r="M175" t="s">
        <v>66</v>
      </c>
      <c r="N175">
        <v>231</v>
      </c>
      <c r="O175">
        <v>27</v>
      </c>
      <c r="P175">
        <v>392</v>
      </c>
      <c r="Q175">
        <v>41</v>
      </c>
      <c r="R175">
        <v>3</v>
      </c>
      <c r="S175">
        <v>26</v>
      </c>
      <c r="T175">
        <v>0</v>
      </c>
      <c r="U175">
        <v>176</v>
      </c>
      <c r="V175">
        <v>41</v>
      </c>
      <c r="W175">
        <v>0</v>
      </c>
      <c r="X175">
        <v>1</v>
      </c>
      <c r="Y175" t="s">
        <v>16</v>
      </c>
      <c r="Z175">
        <v>5</v>
      </c>
      <c r="AA175">
        <f>IF(AND(Table1[[#This Row],[Throw Out Pass Eff]]="N", Table1[[#This Row],[Against FCS Team]]="N"), ROUND(((5.45 * D175) + (150 * F175) + (100 * G175) - (300 * H175)) / E175, 2), " ")</f>
        <v>114.55</v>
      </c>
      <c r="AB175">
        <f>IF(AND(Table1[[#This Row],[Throw Out Pass Def Eff]]="N", Table1[[#This Row],[Against FCS Team]]="N"),200 - ROUND(((5.45 * P175) + (150 * R175) + (100 * S175) - (300 * T175)) / Q175, 2), " ")</f>
        <v>73.5</v>
      </c>
      <c r="AC175">
        <f>IF(AND(Table1[[#This Row],[Throw Out Rush Eff]]="N", Table1[[#This Row],[Against FCS Team]]="N"), ROUND(((23.2 * I175) + (150 * K175) - (300 * L175)) / J175, 2), " ")</f>
        <v>65.31</v>
      </c>
      <c r="AD175" s="3">
        <f>IF(AND(Table1[[#This Row],[Throw Out Rush Def Eff]]="N", Table1[[#This Row],[Against FCS Team]]="N"), 200 - ROUND(((23.2 * U175) + (150 * W175) - (300 * X175)) / V175, 2), " ")</f>
        <v>107.73</v>
      </c>
      <c r="AE175" s="3">
        <f>ROUND(Table1[[#This Row],[Opp Passing Attempts]]/(Table1[[#This Row],[Opp Passing Attempts]]+Table1[[#This Row],[Opp Rushing Attempts]]), 2)</f>
        <v>0.5</v>
      </c>
      <c r="AF175" s="3">
        <f>1-Table1[[#This Row],[Passing Weight]]</f>
        <v>0.5</v>
      </c>
      <c r="AG175" s="3" t="str">
        <f>IF(COUNTIF(A:A,Table1[[#This Row],[Opp Team Name]]) &gt; 0, "N", "Y")</f>
        <v>N</v>
      </c>
      <c r="AH175" s="3" t="str">
        <f>IF(Table1[[#This Row],[Passing Attempts]] &lt;15, "Y", "N")</f>
        <v>N</v>
      </c>
      <c r="AI175" s="3" t="str">
        <f>IF(Table1[[#This Row],[Rushing Attempts]] &lt; 15, "Y", "N")</f>
        <v>N</v>
      </c>
      <c r="AJ175" s="3" t="str">
        <f>IF(Table1[[#This Row],[Opp Passing Attempts]]&lt;15, "Y", "N")</f>
        <v>N</v>
      </c>
      <c r="AK175" s="3" t="str">
        <f>IF(Table1[[#This Row],[Opp Rushing Attempts]]&lt;15, "Y", "N")</f>
        <v>N</v>
      </c>
      <c r="AL1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117.86</v>
      </c>
      <c r="AM1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79.33</v>
      </c>
      <c r="AN1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78.25</v>
      </c>
      <c r="AO1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93.47</v>
      </c>
      <c r="AP175" s="3">
        <f>ABS(Table1[[#This Row],[Team Score]]-Table1[[#This Row],[Opp Team Score]])</f>
        <v>4</v>
      </c>
      <c r="AQ175" s="3">
        <f>SUM(Table1[[#This Row],[Team Score]], Table1[[#This Row],[Opp Team Score]])</f>
        <v>58</v>
      </c>
      <c r="AR17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38.909999999999968</v>
      </c>
      <c r="AS175" s="3">
        <f>IF(Table1[[#This Row],[Efficiency Difference]] = " ", " ", ROUND((Table1[[#This Row],[Winning Margin]]*100)/Table1[[#This Row],[Efficiency Difference]], 2))</f>
        <v>10.28</v>
      </c>
    </row>
    <row r="176" spans="1:45">
      <c r="A176" t="s">
        <v>62</v>
      </c>
      <c r="B176">
        <v>193</v>
      </c>
      <c r="C176">
        <v>16</v>
      </c>
      <c r="D176">
        <v>226</v>
      </c>
      <c r="E176">
        <v>43</v>
      </c>
      <c r="F176">
        <v>1</v>
      </c>
      <c r="G176">
        <v>26</v>
      </c>
      <c r="H176">
        <v>1</v>
      </c>
      <c r="I176">
        <v>63</v>
      </c>
      <c r="J176">
        <v>27</v>
      </c>
      <c r="K176">
        <v>1</v>
      </c>
      <c r="L176">
        <v>1</v>
      </c>
      <c r="M176" t="s">
        <v>70</v>
      </c>
      <c r="N176">
        <v>234</v>
      </c>
      <c r="O176">
        <v>41</v>
      </c>
      <c r="P176">
        <v>239</v>
      </c>
      <c r="Q176">
        <v>14</v>
      </c>
      <c r="R176">
        <v>2</v>
      </c>
      <c r="S176">
        <v>9</v>
      </c>
      <c r="T176">
        <v>0</v>
      </c>
      <c r="U176">
        <v>242</v>
      </c>
      <c r="V176">
        <v>45</v>
      </c>
      <c r="W176">
        <v>3</v>
      </c>
      <c r="X176">
        <v>2</v>
      </c>
      <c r="Y176" t="s">
        <v>19</v>
      </c>
      <c r="Z176">
        <v>7</v>
      </c>
      <c r="AA176">
        <f>IF(AND(Table1[[#This Row],[Throw Out Pass Eff]]="N", Table1[[#This Row],[Against FCS Team]]="N"), ROUND(((5.45 * D176) + (150 * F176) + (100 * G176) - (300 * H176)) / E176, 2), " ")</f>
        <v>85.62</v>
      </c>
      <c r="AB176" t="str">
        <f>IF(AND(Table1[[#This Row],[Throw Out Pass Def Eff]]="N", Table1[[#This Row],[Against FCS Team]]="N"),200 - ROUND(((5.45 * P176) + (150 * R176) + (100 * S176) - (300 * T176)) / Q176, 2), " ")</f>
        <v xml:space="preserve"> </v>
      </c>
      <c r="AC176">
        <f>IF(AND(Table1[[#This Row],[Throw Out Rush Eff]]="N", Table1[[#This Row],[Against FCS Team]]="N"), ROUND(((23.2 * I176) + (150 * K176) - (300 * L176)) / J176, 2), " ")</f>
        <v>48.58</v>
      </c>
      <c r="AD176" s="3">
        <f>IF(AND(Table1[[#This Row],[Throw Out Rush Def Eff]]="N", Table1[[#This Row],[Against FCS Team]]="N"), 200 - ROUND(((23.2 * U176) + (150 * W176) - (300 * X176)) / V176, 2), " ")</f>
        <v>78.569999999999993</v>
      </c>
      <c r="AE176" s="3">
        <f>ROUND(Table1[[#This Row],[Opp Passing Attempts]]/(Table1[[#This Row],[Opp Passing Attempts]]+Table1[[#This Row],[Opp Rushing Attempts]]), 2)</f>
        <v>0.24</v>
      </c>
      <c r="AF176" s="3">
        <f>1-Table1[[#This Row],[Passing Weight]]</f>
        <v>0.76</v>
      </c>
      <c r="AG176" s="3" t="str">
        <f>IF(COUNTIF(A:A,Table1[[#This Row],[Opp Team Name]]) &gt; 0, "N", "Y")</f>
        <v>N</v>
      </c>
      <c r="AH176" s="3" t="str">
        <f>IF(Table1[[#This Row],[Passing Attempts]] &lt;15, "Y", "N")</f>
        <v>N</v>
      </c>
      <c r="AI176" s="3" t="str">
        <f>IF(Table1[[#This Row],[Rushing Attempts]] &lt; 15, "Y", "N")</f>
        <v>N</v>
      </c>
      <c r="AJ176" s="3" t="str">
        <f>IF(Table1[[#This Row],[Opp Passing Attempts]]&lt;15, "Y", "N")</f>
        <v>Y</v>
      </c>
      <c r="AK176" s="3" t="str">
        <f>IF(Table1[[#This Row],[Opp Rushing Attempts]]&lt;15, "Y", "N")</f>
        <v>N</v>
      </c>
      <c r="AL17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88.2</v>
      </c>
      <c r="AM17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7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69.430000000000007</v>
      </c>
      <c r="AO17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64.83</v>
      </c>
      <c r="AP176" s="3">
        <f>ABS(Table1[[#This Row],[Team Score]]-Table1[[#This Row],[Opp Team Score]])</f>
        <v>25</v>
      </c>
      <c r="AQ176" s="3">
        <f>SUM(Table1[[#This Row],[Team Score]], Table1[[#This Row],[Opp Team Score]])</f>
        <v>57</v>
      </c>
      <c r="AR17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76" s="3" t="str">
        <f>IF(Table1[[#This Row],[Efficiency Difference]] = " ", " ", ROUND((Table1[[#This Row],[Winning Margin]]*100)/Table1[[#This Row],[Efficiency Difference]], 2))</f>
        <v xml:space="preserve"> </v>
      </c>
    </row>
    <row r="177" spans="1:45">
      <c r="A177" t="s">
        <v>62</v>
      </c>
      <c r="B177">
        <v>193</v>
      </c>
      <c r="C177">
        <v>23</v>
      </c>
      <c r="D177">
        <v>224</v>
      </c>
      <c r="E177">
        <v>47</v>
      </c>
      <c r="F177">
        <v>0</v>
      </c>
      <c r="G177">
        <v>29</v>
      </c>
      <c r="H177">
        <v>1</v>
      </c>
      <c r="I177">
        <v>148</v>
      </c>
      <c r="J177">
        <v>44</v>
      </c>
      <c r="K177">
        <v>2</v>
      </c>
      <c r="L177">
        <v>0</v>
      </c>
      <c r="M177" t="s">
        <v>131</v>
      </c>
      <c r="N177">
        <v>749</v>
      </c>
      <c r="O177">
        <v>24</v>
      </c>
      <c r="P177">
        <v>215</v>
      </c>
      <c r="Q177">
        <v>25</v>
      </c>
      <c r="R177">
        <v>2</v>
      </c>
      <c r="S177">
        <v>15</v>
      </c>
      <c r="T177">
        <v>0</v>
      </c>
      <c r="U177">
        <v>90</v>
      </c>
      <c r="V177">
        <v>26</v>
      </c>
      <c r="W177">
        <v>1</v>
      </c>
      <c r="X177">
        <v>0</v>
      </c>
      <c r="Y177" t="s">
        <v>19</v>
      </c>
      <c r="Z177">
        <v>8</v>
      </c>
      <c r="AA177" s="3">
        <f>IF(AND(Table1[[#This Row],[Throw Out Pass Eff]]="N", Table1[[#This Row],[Against FCS Team]]="N"), ROUND(((5.45 * D177) + (150 * F177) + (100 * G177) - (300 * H177)) / E177, 2), " ")</f>
        <v>81.290000000000006</v>
      </c>
      <c r="AB177" s="3">
        <f>IF(AND(Table1[[#This Row],[Throw Out Pass Def Eff]]="N", Table1[[#This Row],[Against FCS Team]]="N"),200 - ROUND(((5.45 * P177) + (150 * R177) + (100 * S177) - (300 * T177)) / Q177, 2), " ")</f>
        <v>81.13</v>
      </c>
      <c r="AC177" s="3">
        <f>IF(AND(Table1[[#This Row],[Throw Out Rush Eff]]="N", Table1[[#This Row],[Against FCS Team]]="N"), ROUND(((23.2 * I177) + (150 * K177) - (300 * L177)) / J177, 2), " ")</f>
        <v>84.85</v>
      </c>
      <c r="AD177" s="3">
        <f>IF(AND(Table1[[#This Row],[Throw Out Rush Def Eff]]="N", Table1[[#This Row],[Against FCS Team]]="N"), 200 - ROUND(((23.2 * U177) + (150 * W177) - (300 * X177)) / V177, 2), " ")</f>
        <v>113.92</v>
      </c>
      <c r="AE177" s="3">
        <f>ROUND(Table1[[#This Row],[Opp Passing Attempts]]/(Table1[[#This Row],[Opp Passing Attempts]]+Table1[[#This Row],[Opp Rushing Attempts]]), 2)</f>
        <v>0.49</v>
      </c>
      <c r="AF177" s="3">
        <f>1-Table1[[#This Row],[Passing Weight]]</f>
        <v>0.51</v>
      </c>
      <c r="AG177" s="3" t="str">
        <f>IF(COUNTIF(A:A,Table1[[#This Row],[Opp Team Name]]) &gt; 0, "N", "Y")</f>
        <v>N</v>
      </c>
      <c r="AH177" s="3" t="str">
        <f>IF(Table1[[#This Row],[Passing Attempts]] &lt;15, "Y", "N")</f>
        <v>N</v>
      </c>
      <c r="AI177" s="3" t="str">
        <f>IF(Table1[[#This Row],[Rushing Attempts]] &lt; 15, "Y", "N")</f>
        <v>N</v>
      </c>
      <c r="AJ177" s="3" t="str">
        <f>IF(Table1[[#This Row],[Opp Passing Attempts]]&lt;15, "Y", "N")</f>
        <v>N</v>
      </c>
      <c r="AK177" s="3" t="str">
        <f>IF(Table1[[#This Row],[Opp Rushing Attempts]]&lt;15, "Y", "N")</f>
        <v>N</v>
      </c>
      <c r="AL17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87.26</v>
      </c>
      <c r="AM17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90.05</v>
      </c>
      <c r="AN17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86.89</v>
      </c>
      <c r="AO17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78.13</v>
      </c>
      <c r="AP177" s="3">
        <f>ABS(Table1[[#This Row],[Team Score]]-Table1[[#This Row],[Opp Team Score]])</f>
        <v>1</v>
      </c>
      <c r="AQ177" s="3">
        <f>SUM(Table1[[#This Row],[Team Score]], Table1[[#This Row],[Opp Team Score]])</f>
        <v>47</v>
      </c>
      <c r="AR17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38.81</v>
      </c>
      <c r="AS177" s="3">
        <f>IF(Table1[[#This Row],[Efficiency Difference]] = " ", " ", ROUND((Table1[[#This Row],[Winning Margin]]*100)/Table1[[#This Row],[Efficiency Difference]], 2))</f>
        <v>2.58</v>
      </c>
    </row>
    <row r="178" spans="1:45">
      <c r="A178" t="s">
        <v>64</v>
      </c>
      <c r="B178">
        <v>196</v>
      </c>
      <c r="C178">
        <v>37</v>
      </c>
      <c r="D178">
        <v>260</v>
      </c>
      <c r="E178">
        <v>56</v>
      </c>
      <c r="F178">
        <v>4</v>
      </c>
      <c r="G178">
        <v>37</v>
      </c>
      <c r="H178">
        <v>1</v>
      </c>
      <c r="I178">
        <v>85</v>
      </c>
      <c r="J178">
        <v>28</v>
      </c>
      <c r="K178">
        <v>1</v>
      </c>
      <c r="L178">
        <v>4</v>
      </c>
      <c r="M178" t="s">
        <v>65</v>
      </c>
      <c r="N178">
        <v>648</v>
      </c>
      <c r="O178">
        <v>56</v>
      </c>
      <c r="P178">
        <v>131</v>
      </c>
      <c r="Q178">
        <v>25</v>
      </c>
      <c r="R178">
        <v>1</v>
      </c>
      <c r="S178">
        <v>10</v>
      </c>
      <c r="T178">
        <v>0</v>
      </c>
      <c r="U178">
        <v>220</v>
      </c>
      <c r="V178">
        <v>40</v>
      </c>
      <c r="W178">
        <v>5</v>
      </c>
      <c r="X178">
        <v>4</v>
      </c>
      <c r="Y178" t="s">
        <v>19</v>
      </c>
      <c r="Z178">
        <v>1</v>
      </c>
      <c r="AA178">
        <f>IF(AND(Table1[[#This Row],[Throw Out Pass Eff]]="N", Table1[[#This Row],[Against FCS Team]]="N"), ROUND(((5.45 * D178) + (150 * F178) + (100 * G178) - (300 * H178)) / E178, 2), " ")</f>
        <v>96.73</v>
      </c>
      <c r="AB178">
        <f>IF(AND(Table1[[#This Row],[Throw Out Pass Def Eff]]="N", Table1[[#This Row],[Against FCS Team]]="N"),200 - ROUND(((5.45 * P178) + (150 * R178) + (100 * S178) - (300 * T178)) / Q178, 2), " ")</f>
        <v>125.44</v>
      </c>
      <c r="AC178">
        <f>IF(AND(Table1[[#This Row],[Throw Out Rush Eff]]="N", Table1[[#This Row],[Against FCS Team]]="N"), ROUND(((23.2 * I178) + (150 * K178) - (300 * L178)) / J178, 2), " ")</f>
        <v>32.93</v>
      </c>
      <c r="AD178" s="3">
        <f>IF(AND(Table1[[#This Row],[Throw Out Rush Def Eff]]="N", Table1[[#This Row],[Against FCS Team]]="N"), 200 - ROUND(((23.2 * U178) + (150 * W178) - (300 * X178)) / V178, 2), " ")</f>
        <v>83.65</v>
      </c>
      <c r="AE178" s="3">
        <f>ROUND(Table1[[#This Row],[Opp Passing Attempts]]/(Table1[[#This Row],[Opp Passing Attempts]]+Table1[[#This Row],[Opp Rushing Attempts]]), 2)</f>
        <v>0.38</v>
      </c>
      <c r="AF178" s="3">
        <f>1-Table1[[#This Row],[Passing Weight]]</f>
        <v>0.62</v>
      </c>
      <c r="AG178" s="3" t="str">
        <f>IF(COUNTIF(A:A,Table1[[#This Row],[Opp Team Name]]) &gt; 0, "N", "Y")</f>
        <v>N</v>
      </c>
      <c r="AH178" s="3" t="str">
        <f>IF(Table1[[#This Row],[Passing Attempts]] &lt;15, "Y", "N")</f>
        <v>N</v>
      </c>
      <c r="AI178" s="3" t="str">
        <f>IF(Table1[[#This Row],[Rushing Attempts]] &lt; 15, "Y", "N")</f>
        <v>N</v>
      </c>
      <c r="AJ178" s="3" t="str">
        <f>IF(Table1[[#This Row],[Opp Passing Attempts]]&lt;15, "Y", "N")</f>
        <v>N</v>
      </c>
      <c r="AK178" s="3" t="str">
        <f>IF(Table1[[#This Row],[Opp Rushing Attempts]]&lt;15, "Y", "N")</f>
        <v>N</v>
      </c>
      <c r="AL1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137.38</v>
      </c>
      <c r="AM1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101.9</v>
      </c>
      <c r="AN1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43.49</v>
      </c>
      <c r="AO1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93.7</v>
      </c>
      <c r="AP178" s="3">
        <f>ABS(Table1[[#This Row],[Team Score]]-Table1[[#This Row],[Opp Team Score]])</f>
        <v>19</v>
      </c>
      <c r="AQ178" s="3">
        <f>SUM(Table1[[#This Row],[Team Score]], Table1[[#This Row],[Opp Team Score]])</f>
        <v>93</v>
      </c>
      <c r="AR1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61.25</v>
      </c>
      <c r="AS178" s="3">
        <f>IF(Table1[[#This Row],[Efficiency Difference]] = " ", " ", ROUND((Table1[[#This Row],[Winning Margin]]*100)/Table1[[#This Row],[Efficiency Difference]], 2))</f>
        <v>31.02</v>
      </c>
    </row>
    <row r="179" spans="1:45">
      <c r="A179" t="s">
        <v>64</v>
      </c>
      <c r="B179">
        <v>196</v>
      </c>
      <c r="C179">
        <v>10</v>
      </c>
      <c r="D179">
        <v>127</v>
      </c>
      <c r="E179">
        <v>38</v>
      </c>
      <c r="F179">
        <v>0</v>
      </c>
      <c r="G179">
        <v>20</v>
      </c>
      <c r="H179">
        <v>1</v>
      </c>
      <c r="I179">
        <v>-15</v>
      </c>
      <c r="J179">
        <v>16</v>
      </c>
      <c r="K179">
        <v>1</v>
      </c>
      <c r="L179">
        <v>0</v>
      </c>
      <c r="M179" t="s">
        <v>156</v>
      </c>
      <c r="N179">
        <v>742</v>
      </c>
      <c r="O179">
        <v>17</v>
      </c>
      <c r="P179">
        <v>91</v>
      </c>
      <c r="Q179">
        <v>20</v>
      </c>
      <c r="R179">
        <v>0</v>
      </c>
      <c r="S179">
        <v>8</v>
      </c>
      <c r="T179">
        <v>1</v>
      </c>
      <c r="U179">
        <v>241</v>
      </c>
      <c r="V179">
        <v>50</v>
      </c>
      <c r="W179">
        <v>2</v>
      </c>
      <c r="X179">
        <v>1</v>
      </c>
      <c r="Y179" t="s">
        <v>19</v>
      </c>
      <c r="Z179">
        <v>2</v>
      </c>
      <c r="AA179">
        <f>IF(AND(Table1[[#This Row],[Throw Out Pass Eff]]="N", Table1[[#This Row],[Against FCS Team]]="N"), ROUND(((5.45 * D179) + (150 * F179) + (100 * G179) - (300 * H179)) / E179, 2), " ")</f>
        <v>62.95</v>
      </c>
      <c r="AB179">
        <f>IF(AND(Table1[[#This Row],[Throw Out Pass Def Eff]]="N", Table1[[#This Row],[Against FCS Team]]="N"),200 - ROUND(((5.45 * P179) + (150 * R179) + (100 * S179) - (300 * T179)) / Q179, 2), " ")</f>
        <v>150.19999999999999</v>
      </c>
      <c r="AC179">
        <f>IF(AND(Table1[[#This Row],[Throw Out Rush Eff]]="N", Table1[[#This Row],[Against FCS Team]]="N"), ROUND(((23.2 * I179) + (150 * K179) - (300 * L179)) / J179, 2), " ")</f>
        <v>-12.38</v>
      </c>
      <c r="AD179" s="3">
        <f>IF(AND(Table1[[#This Row],[Throw Out Rush Def Eff]]="N", Table1[[#This Row],[Against FCS Team]]="N"), 200 - ROUND(((23.2 * U179) + (150 * W179) - (300 * X179)) / V179, 2), " ")</f>
        <v>88.18</v>
      </c>
      <c r="AE179" s="3">
        <f>ROUND(Table1[[#This Row],[Opp Passing Attempts]]/(Table1[[#This Row],[Opp Passing Attempts]]+Table1[[#This Row],[Opp Rushing Attempts]]), 2)</f>
        <v>0.28999999999999998</v>
      </c>
      <c r="AF179" s="3">
        <f>1-Table1[[#This Row],[Passing Weight]]</f>
        <v>0.71</v>
      </c>
      <c r="AG179" s="3" t="str">
        <f>IF(COUNTIF(A:A,Table1[[#This Row],[Opp Team Name]]) &gt; 0, "N", "Y")</f>
        <v>N</v>
      </c>
      <c r="AH179" s="3" t="str">
        <f>IF(Table1[[#This Row],[Passing Attempts]] &lt;15, "Y", "N")</f>
        <v>N</v>
      </c>
      <c r="AI179" s="3" t="str">
        <f>IF(Table1[[#This Row],[Rushing Attempts]] &lt; 15, "Y", "N")</f>
        <v>N</v>
      </c>
      <c r="AJ179" s="3" t="str">
        <f>IF(Table1[[#This Row],[Opp Passing Attempts]]&lt;15, "Y", "N")</f>
        <v>N</v>
      </c>
      <c r="AK179" s="3" t="str">
        <f>IF(Table1[[#This Row],[Opp Rushing Attempts]]&lt;15, "Y", "N")</f>
        <v>N</v>
      </c>
      <c r="AL1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71.3</v>
      </c>
      <c r="AM1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152.62</v>
      </c>
      <c r="AN1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-18.02</v>
      </c>
      <c r="AO1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94.77</v>
      </c>
      <c r="AP179" s="3">
        <f>ABS(Table1[[#This Row],[Team Score]]-Table1[[#This Row],[Opp Team Score]])</f>
        <v>7</v>
      </c>
      <c r="AQ179" s="3">
        <f>SUM(Table1[[#This Row],[Team Score]], Table1[[#This Row],[Opp Team Score]])</f>
        <v>27</v>
      </c>
      <c r="AR1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111.05000000000001</v>
      </c>
      <c r="AS179" s="3">
        <f>IF(Table1[[#This Row],[Efficiency Difference]] = " ", " ", ROUND((Table1[[#This Row],[Winning Margin]]*100)/Table1[[#This Row],[Efficiency Difference]], 2))</f>
        <v>6.3</v>
      </c>
    </row>
    <row r="180" spans="1:45">
      <c r="A180" t="s">
        <v>64</v>
      </c>
      <c r="B180">
        <v>196</v>
      </c>
      <c r="C180">
        <v>28</v>
      </c>
      <c r="D180">
        <v>361</v>
      </c>
      <c r="E180">
        <v>42</v>
      </c>
      <c r="F180">
        <v>3</v>
      </c>
      <c r="G180">
        <v>35</v>
      </c>
      <c r="H180">
        <v>3</v>
      </c>
      <c r="I180">
        <v>181</v>
      </c>
      <c r="J180">
        <v>32</v>
      </c>
      <c r="K180">
        <v>1</v>
      </c>
      <c r="L180">
        <v>4</v>
      </c>
      <c r="M180" t="s">
        <v>170</v>
      </c>
      <c r="N180">
        <v>9</v>
      </c>
      <c r="O180">
        <v>23</v>
      </c>
      <c r="P180">
        <v>283</v>
      </c>
      <c r="Q180">
        <v>48</v>
      </c>
      <c r="R180">
        <v>0</v>
      </c>
      <c r="S180">
        <v>31</v>
      </c>
      <c r="T180">
        <v>1</v>
      </c>
      <c r="U180">
        <v>117</v>
      </c>
      <c r="V180">
        <v>33</v>
      </c>
      <c r="W180">
        <v>2</v>
      </c>
      <c r="X180">
        <v>2</v>
      </c>
      <c r="Y180" t="s">
        <v>16</v>
      </c>
      <c r="Z180">
        <v>4</v>
      </c>
      <c r="AA180">
        <f>IF(AND(Table1[[#This Row],[Throw Out Pass Eff]]="N", Table1[[#This Row],[Against FCS Team]]="N"), ROUND(((5.45 * D180) + (150 * F180) + (100 * G180) - (300 * H180)) / E180, 2), " ")</f>
        <v>119.46</v>
      </c>
      <c r="AB180">
        <f>IF(AND(Table1[[#This Row],[Throw Out Pass Def Eff]]="N", Table1[[#This Row],[Against FCS Team]]="N"),200 - ROUND(((5.45 * P180) + (150 * R180) + (100 * S180) - (300 * T180)) / Q180, 2), " ")</f>
        <v>109.53</v>
      </c>
      <c r="AC180">
        <f>IF(AND(Table1[[#This Row],[Throw Out Rush Eff]]="N", Table1[[#This Row],[Against FCS Team]]="N"), ROUND(((23.2 * I180) + (150 * K180) - (300 * L180)) / J180, 2), " ")</f>
        <v>98.41</v>
      </c>
      <c r="AD180" s="3">
        <f>IF(AND(Table1[[#This Row],[Throw Out Rush Def Eff]]="N", Table1[[#This Row],[Against FCS Team]]="N"), 200 - ROUND(((23.2 * U180) + (150 * W180) - (300 * X180)) / V180, 2), " ")</f>
        <v>126.84</v>
      </c>
      <c r="AE180" s="3">
        <f>ROUND(Table1[[#This Row],[Opp Passing Attempts]]/(Table1[[#This Row],[Opp Passing Attempts]]+Table1[[#This Row],[Opp Rushing Attempts]]), 2)</f>
        <v>0.59</v>
      </c>
      <c r="AF180" s="3">
        <f>1-Table1[[#This Row],[Passing Weight]]</f>
        <v>0.41000000000000003</v>
      </c>
      <c r="AG180" s="3" t="str">
        <f>IF(COUNTIF(A:A,Table1[[#This Row],[Opp Team Name]]) &gt; 0, "N", "Y")</f>
        <v>N</v>
      </c>
      <c r="AH180" s="3" t="str">
        <f>IF(Table1[[#This Row],[Passing Attempts]] &lt;15, "Y", "N")</f>
        <v>N</v>
      </c>
      <c r="AI180" s="3" t="str">
        <f>IF(Table1[[#This Row],[Rushing Attempts]] &lt; 15, "Y", "N")</f>
        <v>N</v>
      </c>
      <c r="AJ180" s="3" t="str">
        <f>IF(Table1[[#This Row],[Opp Passing Attempts]]&lt;15, "Y", "N")</f>
        <v>N</v>
      </c>
      <c r="AK180" s="3" t="str">
        <f>IF(Table1[[#This Row],[Opp Rushing Attempts]]&lt;15, "Y", "N")</f>
        <v>N</v>
      </c>
      <c r="AL1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96.35</v>
      </c>
      <c r="AM1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82.46</v>
      </c>
      <c r="AN1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85.85</v>
      </c>
      <c r="AO1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103.23</v>
      </c>
      <c r="AP180" s="3">
        <f>ABS(Table1[[#This Row],[Team Score]]-Table1[[#This Row],[Opp Team Score]])</f>
        <v>5</v>
      </c>
      <c r="AQ180" s="3">
        <f>SUM(Table1[[#This Row],[Team Score]], Table1[[#This Row],[Opp Team Score]])</f>
        <v>51</v>
      </c>
      <c r="AR1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54.240000000000009</v>
      </c>
      <c r="AS180" s="3">
        <f>IF(Table1[[#This Row],[Efficiency Difference]] = " ", " ", ROUND((Table1[[#This Row],[Winning Margin]]*100)/Table1[[#This Row],[Efficiency Difference]], 2))</f>
        <v>9.2200000000000006</v>
      </c>
    </row>
    <row r="181" spans="1:45">
      <c r="A181" t="s">
        <v>64</v>
      </c>
      <c r="B181">
        <v>196</v>
      </c>
      <c r="C181">
        <v>20</v>
      </c>
      <c r="D181">
        <v>417</v>
      </c>
      <c r="E181">
        <v>58</v>
      </c>
      <c r="F181">
        <v>2</v>
      </c>
      <c r="G181">
        <v>41</v>
      </c>
      <c r="H181">
        <v>2</v>
      </c>
      <c r="I181">
        <v>73</v>
      </c>
      <c r="J181">
        <v>21</v>
      </c>
      <c r="K181">
        <v>0</v>
      </c>
      <c r="L181">
        <v>2</v>
      </c>
      <c r="M181" t="s">
        <v>110</v>
      </c>
      <c r="N181">
        <v>457</v>
      </c>
      <c r="O181">
        <v>35</v>
      </c>
      <c r="P181">
        <v>230</v>
      </c>
      <c r="Q181">
        <v>20</v>
      </c>
      <c r="R181">
        <v>4</v>
      </c>
      <c r="S181">
        <v>13</v>
      </c>
      <c r="T181">
        <v>0</v>
      </c>
      <c r="U181">
        <v>226</v>
      </c>
      <c r="V181">
        <v>40</v>
      </c>
      <c r="W181">
        <v>1</v>
      </c>
      <c r="X181">
        <v>0</v>
      </c>
      <c r="Y181" t="s">
        <v>19</v>
      </c>
      <c r="Z181">
        <v>5</v>
      </c>
      <c r="AA181">
        <f>IF(AND(Table1[[#This Row],[Throw Out Pass Eff]]="N", Table1[[#This Row],[Against FCS Team]]="N"), ROUND(((5.45 * D181) + (150 * F181) + (100 * G181) - (300 * H181)) / E181, 2), " ")</f>
        <v>104.7</v>
      </c>
      <c r="AB181">
        <f>IF(AND(Table1[[#This Row],[Throw Out Pass Def Eff]]="N", Table1[[#This Row],[Against FCS Team]]="N"),200 - ROUND(((5.45 * P181) + (150 * R181) + (100 * S181) - (300 * T181)) / Q181, 2), " ")</f>
        <v>42.319999999999993</v>
      </c>
      <c r="AC181">
        <f>IF(AND(Table1[[#This Row],[Throw Out Rush Eff]]="N", Table1[[#This Row],[Against FCS Team]]="N"), ROUND(((23.2 * I181) + (150 * K181) - (300 * L181)) / J181, 2), " ")</f>
        <v>52.08</v>
      </c>
      <c r="AD181" s="3">
        <f>IF(AND(Table1[[#This Row],[Throw Out Rush Def Eff]]="N", Table1[[#This Row],[Against FCS Team]]="N"), 200 - ROUND(((23.2 * U181) + (150 * W181) - (300 * X181)) / V181, 2), " ")</f>
        <v>65.169999999999987</v>
      </c>
      <c r="AE181" s="3">
        <f>ROUND(Table1[[#This Row],[Opp Passing Attempts]]/(Table1[[#This Row],[Opp Passing Attempts]]+Table1[[#This Row],[Opp Rushing Attempts]]), 2)</f>
        <v>0.33</v>
      </c>
      <c r="AF181" s="3">
        <f>1-Table1[[#This Row],[Passing Weight]]</f>
        <v>0.66999999999999993</v>
      </c>
      <c r="AG181" s="3" t="str">
        <f>IF(COUNTIF(A:A,Table1[[#This Row],[Opp Team Name]]) &gt; 0, "N", "Y")</f>
        <v>N</v>
      </c>
      <c r="AH181" s="3" t="str">
        <f>IF(Table1[[#This Row],[Passing Attempts]] &lt;15, "Y", "N")</f>
        <v>N</v>
      </c>
      <c r="AI181" s="3" t="str">
        <f>IF(Table1[[#This Row],[Rushing Attempts]] &lt; 15, "Y", "N")</f>
        <v>N</v>
      </c>
      <c r="AJ181" s="3" t="str">
        <f>IF(Table1[[#This Row],[Opp Passing Attempts]]&lt;15, "Y", "N")</f>
        <v>N</v>
      </c>
      <c r="AK181" s="3" t="str">
        <f>IF(Table1[[#This Row],[Opp Rushing Attempts]]&lt;15, "Y", "N")</f>
        <v>N</v>
      </c>
      <c r="AL18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102.86</v>
      </c>
      <c r="AM18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49.9</v>
      </c>
      <c r="AN18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72.53</v>
      </c>
      <c r="AO18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61.89</v>
      </c>
      <c r="AP181" s="3">
        <f>ABS(Table1[[#This Row],[Team Score]]-Table1[[#This Row],[Opp Team Score]])</f>
        <v>15</v>
      </c>
      <c r="AQ181" s="3">
        <f>SUM(Table1[[#This Row],[Team Score]], Table1[[#This Row],[Opp Team Score]])</f>
        <v>55</v>
      </c>
      <c r="AR18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135.72999999999999</v>
      </c>
      <c r="AS181" s="3">
        <f>IF(Table1[[#This Row],[Efficiency Difference]] = " ", " ", ROUND((Table1[[#This Row],[Winning Margin]]*100)/Table1[[#This Row],[Efficiency Difference]], 2))</f>
        <v>11.05</v>
      </c>
    </row>
    <row r="182" spans="1:45">
      <c r="A182" t="s">
        <v>64</v>
      </c>
      <c r="B182">
        <v>196</v>
      </c>
      <c r="C182">
        <v>3</v>
      </c>
      <c r="D182">
        <v>263</v>
      </c>
      <c r="E182">
        <v>44</v>
      </c>
      <c r="F182">
        <v>0</v>
      </c>
      <c r="G182">
        <v>26</v>
      </c>
      <c r="H182">
        <v>4</v>
      </c>
      <c r="I182">
        <v>21</v>
      </c>
      <c r="J182">
        <v>30</v>
      </c>
      <c r="K182">
        <v>0</v>
      </c>
      <c r="L182">
        <v>0</v>
      </c>
      <c r="M182" t="s">
        <v>74</v>
      </c>
      <c r="N182">
        <v>288</v>
      </c>
      <c r="O182">
        <v>56</v>
      </c>
      <c r="P182">
        <v>357</v>
      </c>
      <c r="Q182">
        <v>48</v>
      </c>
      <c r="R182">
        <v>3</v>
      </c>
      <c r="S182">
        <v>36</v>
      </c>
      <c r="T182">
        <v>0</v>
      </c>
      <c r="U182">
        <v>215</v>
      </c>
      <c r="V182">
        <v>37</v>
      </c>
      <c r="W182">
        <v>5</v>
      </c>
      <c r="X182">
        <v>0</v>
      </c>
      <c r="Y182" t="s">
        <v>19</v>
      </c>
      <c r="Z182">
        <v>6</v>
      </c>
      <c r="AA182">
        <f>IF(AND(Table1[[#This Row],[Throw Out Pass Eff]]="N", Table1[[#This Row],[Against FCS Team]]="N"), ROUND(((5.45 * D182) + (150 * F182) + (100 * G182) - (300 * H182)) / E182, 2), " ")</f>
        <v>64.39</v>
      </c>
      <c r="AB182">
        <f>IF(AND(Table1[[#This Row],[Throw Out Pass Def Eff]]="N", Table1[[#This Row],[Against FCS Team]]="N"),200 - ROUND(((5.45 * P182) + (150 * R182) + (100 * S182) - (300 * T182)) / Q182, 2), " ")</f>
        <v>75.09</v>
      </c>
      <c r="AC182">
        <f>IF(AND(Table1[[#This Row],[Throw Out Rush Eff]]="N", Table1[[#This Row],[Against FCS Team]]="N"), ROUND(((23.2 * I182) + (150 * K182) - (300 * L182)) / J182, 2), " ")</f>
        <v>16.239999999999998</v>
      </c>
      <c r="AD182" s="3">
        <f>IF(AND(Table1[[#This Row],[Throw Out Rush Def Eff]]="N", Table1[[#This Row],[Against FCS Team]]="N"), 200 - ROUND(((23.2 * U182) + (150 * W182) - (300 * X182)) / V182, 2), " ")</f>
        <v>44.919999999999987</v>
      </c>
      <c r="AE182" s="3">
        <f>ROUND(Table1[[#This Row],[Opp Passing Attempts]]/(Table1[[#This Row],[Opp Passing Attempts]]+Table1[[#This Row],[Opp Rushing Attempts]]), 2)</f>
        <v>0.56000000000000005</v>
      </c>
      <c r="AF182" s="3">
        <f>1-Table1[[#This Row],[Passing Weight]]</f>
        <v>0.43999999999999995</v>
      </c>
      <c r="AG182" s="3" t="str">
        <f>IF(COUNTIF(A:A,Table1[[#This Row],[Opp Team Name]]) &gt; 0, "N", "Y")</f>
        <v>N</v>
      </c>
      <c r="AH182" s="3" t="str">
        <f>IF(Table1[[#This Row],[Passing Attempts]] &lt;15, "Y", "N")</f>
        <v>N</v>
      </c>
      <c r="AI182" s="3" t="str">
        <f>IF(Table1[[#This Row],[Rushing Attempts]] &lt; 15, "Y", "N")</f>
        <v>N</v>
      </c>
      <c r="AJ182" s="3" t="str">
        <f>IF(Table1[[#This Row],[Opp Passing Attempts]]&lt;15, "Y", "N")</f>
        <v>N</v>
      </c>
      <c r="AK182" s="3" t="str">
        <f>IF(Table1[[#This Row],[Opp Rushing Attempts]]&lt;15, "Y", "N")</f>
        <v>N</v>
      </c>
      <c r="AL18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63.19</v>
      </c>
      <c r="AM18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98.47</v>
      </c>
      <c r="AN18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17.29</v>
      </c>
      <c r="AO18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59.87</v>
      </c>
      <c r="AP182" s="3">
        <f>ABS(Table1[[#This Row],[Team Score]]-Table1[[#This Row],[Opp Team Score]])</f>
        <v>53</v>
      </c>
      <c r="AQ182" s="3">
        <f>SUM(Table1[[#This Row],[Team Score]], Table1[[#This Row],[Opp Team Score]])</f>
        <v>59</v>
      </c>
      <c r="AR18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199.36</v>
      </c>
      <c r="AS182" s="3">
        <f>IF(Table1[[#This Row],[Efficiency Difference]] = " ", " ", ROUND((Table1[[#This Row],[Winning Margin]]*100)/Table1[[#This Row],[Efficiency Difference]], 2))</f>
        <v>26.59</v>
      </c>
    </row>
    <row r="183" spans="1:45">
      <c r="A183" t="s">
        <v>64</v>
      </c>
      <c r="B183">
        <v>196</v>
      </c>
      <c r="C183">
        <v>35</v>
      </c>
      <c r="D183">
        <v>367</v>
      </c>
      <c r="E183">
        <v>39</v>
      </c>
      <c r="F183">
        <v>3</v>
      </c>
      <c r="G183">
        <v>30</v>
      </c>
      <c r="H183">
        <v>0</v>
      </c>
      <c r="I183">
        <v>157</v>
      </c>
      <c r="J183">
        <v>36</v>
      </c>
      <c r="K183">
        <v>2</v>
      </c>
      <c r="L183">
        <v>2</v>
      </c>
      <c r="M183" t="s">
        <v>94</v>
      </c>
      <c r="N183">
        <v>404</v>
      </c>
      <c r="O183">
        <v>17</v>
      </c>
      <c r="P183">
        <v>177</v>
      </c>
      <c r="Q183">
        <v>30</v>
      </c>
      <c r="R183">
        <v>1</v>
      </c>
      <c r="S183">
        <v>15</v>
      </c>
      <c r="T183">
        <v>2</v>
      </c>
      <c r="U183">
        <v>56</v>
      </c>
      <c r="V183">
        <v>29</v>
      </c>
      <c r="W183">
        <v>0</v>
      </c>
      <c r="X183">
        <v>0</v>
      </c>
      <c r="Y183" t="s">
        <v>16</v>
      </c>
      <c r="Z183">
        <v>7</v>
      </c>
      <c r="AA183">
        <f>IF(AND(Table1[[#This Row],[Throw Out Pass Eff]]="N", Table1[[#This Row],[Against FCS Team]]="N"), ROUND(((5.45 * D183) + (150 * F183) + (100 * G183) - (300 * H183)) / E183, 2), " ")</f>
        <v>139.75</v>
      </c>
      <c r="AB183">
        <f>IF(AND(Table1[[#This Row],[Throw Out Pass Def Eff]]="N", Table1[[#This Row],[Against FCS Team]]="N"),200 - ROUND(((5.45 * P183) + (150 * R183) + (100 * S183) - (300 * T183)) / Q183, 2), " ")</f>
        <v>132.84</v>
      </c>
      <c r="AC183">
        <f>IF(AND(Table1[[#This Row],[Throw Out Rush Eff]]="N", Table1[[#This Row],[Against FCS Team]]="N"), ROUND(((23.2 * I183) + (150 * K183) - (300 * L183)) / J183, 2), " ")</f>
        <v>92.84</v>
      </c>
      <c r="AD183" s="3">
        <f>IF(AND(Table1[[#This Row],[Throw Out Rush Def Eff]]="N", Table1[[#This Row],[Against FCS Team]]="N"), 200 - ROUND(((23.2 * U183) + (150 * W183) - (300 * X183)) / V183, 2), " ")</f>
        <v>155.19999999999999</v>
      </c>
      <c r="AE183" s="3">
        <f>ROUND(Table1[[#This Row],[Opp Passing Attempts]]/(Table1[[#This Row],[Opp Passing Attempts]]+Table1[[#This Row],[Opp Rushing Attempts]]), 2)</f>
        <v>0.51</v>
      </c>
      <c r="AF183" s="3">
        <f>1-Table1[[#This Row],[Passing Weight]]</f>
        <v>0.49</v>
      </c>
      <c r="AG183" s="3" t="str">
        <f>IF(COUNTIF(A:A,Table1[[#This Row],[Opp Team Name]]) &gt; 0, "N", "Y")</f>
        <v>N</v>
      </c>
      <c r="AH183" s="3" t="str">
        <f>IF(Table1[[#This Row],[Passing Attempts]] &lt;15, "Y", "N")</f>
        <v>N</v>
      </c>
      <c r="AI183" s="3" t="str">
        <f>IF(Table1[[#This Row],[Rushing Attempts]] &lt; 15, "Y", "N")</f>
        <v>N</v>
      </c>
      <c r="AJ183" s="3" t="str">
        <f>IF(Table1[[#This Row],[Opp Passing Attempts]]&lt;15, "Y", "N")</f>
        <v>N</v>
      </c>
      <c r="AK183" s="3" t="str">
        <f>IF(Table1[[#This Row],[Opp Rushing Attempts]]&lt;15, "Y", "N")</f>
        <v>N</v>
      </c>
      <c r="AL18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113.29</v>
      </c>
      <c r="AM18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110.99</v>
      </c>
      <c r="AN18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76.7</v>
      </c>
      <c r="AO18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72.290000000000006</v>
      </c>
      <c r="AP183" s="3">
        <f>ABS(Table1[[#This Row],[Team Score]]-Table1[[#This Row],[Opp Team Score]])</f>
        <v>18</v>
      </c>
      <c r="AQ183" s="3">
        <f>SUM(Table1[[#This Row],[Team Score]], Table1[[#This Row],[Opp Team Score]])</f>
        <v>52</v>
      </c>
      <c r="AR18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120.62999999999997</v>
      </c>
      <c r="AS183" s="3">
        <f>IF(Table1[[#This Row],[Efficiency Difference]] = " ", " ", ROUND((Table1[[#This Row],[Winning Margin]]*100)/Table1[[#This Row],[Efficiency Difference]], 2))</f>
        <v>14.92</v>
      </c>
    </row>
    <row r="184" spans="1:45">
      <c r="A184" t="s">
        <v>64</v>
      </c>
      <c r="B184">
        <v>196</v>
      </c>
      <c r="C184">
        <v>38</v>
      </c>
      <c r="D184">
        <v>372</v>
      </c>
      <c r="E184">
        <v>45</v>
      </c>
      <c r="F184">
        <v>2</v>
      </c>
      <c r="G184">
        <v>40</v>
      </c>
      <c r="H184">
        <v>0</v>
      </c>
      <c r="I184">
        <v>132</v>
      </c>
      <c r="J184">
        <v>44</v>
      </c>
      <c r="K184">
        <v>3</v>
      </c>
      <c r="L184">
        <v>0</v>
      </c>
      <c r="M184" t="s">
        <v>104</v>
      </c>
      <c r="N184">
        <v>726</v>
      </c>
      <c r="O184">
        <v>35</v>
      </c>
      <c r="P184">
        <v>136</v>
      </c>
      <c r="Q184">
        <v>16</v>
      </c>
      <c r="R184">
        <v>2</v>
      </c>
      <c r="S184">
        <v>7</v>
      </c>
      <c r="T184">
        <v>0</v>
      </c>
      <c r="U184">
        <v>284</v>
      </c>
      <c r="V184">
        <v>51</v>
      </c>
      <c r="W184">
        <v>2</v>
      </c>
      <c r="X184">
        <v>1</v>
      </c>
      <c r="Y184" t="s">
        <v>16</v>
      </c>
      <c r="Z184">
        <v>8</v>
      </c>
      <c r="AA184" s="3">
        <f>IF(AND(Table1[[#This Row],[Throw Out Pass Eff]]="N", Table1[[#This Row],[Against FCS Team]]="N"), ROUND(((5.45 * D184) + (150 * F184) + (100 * G184) - (300 * H184)) / E184, 2), " ")</f>
        <v>140.61000000000001</v>
      </c>
      <c r="AB184" s="3">
        <f>IF(AND(Table1[[#This Row],[Throw Out Pass Def Eff]]="N", Table1[[#This Row],[Against FCS Team]]="N"),200 - ROUND(((5.45 * P184) + (150 * R184) + (100 * S184) - (300 * T184)) / Q184, 2), " ")</f>
        <v>91.17</v>
      </c>
      <c r="AC184" s="3">
        <f>IF(AND(Table1[[#This Row],[Throw Out Rush Eff]]="N", Table1[[#This Row],[Against FCS Team]]="N"), ROUND(((23.2 * I184) + (150 * K184) - (300 * L184)) / J184, 2), " ")</f>
        <v>79.83</v>
      </c>
      <c r="AD184" s="3">
        <f>IF(AND(Table1[[#This Row],[Throw Out Rush Def Eff]]="N", Table1[[#This Row],[Against FCS Team]]="N"), 200 - ROUND(((23.2 * U184) + (150 * W184) - (300 * X184)) / V184, 2), " ")</f>
        <v>70.81</v>
      </c>
      <c r="AE184" s="3">
        <f>ROUND(Table1[[#This Row],[Opp Passing Attempts]]/(Table1[[#This Row],[Opp Passing Attempts]]+Table1[[#This Row],[Opp Rushing Attempts]]), 2)</f>
        <v>0.24</v>
      </c>
      <c r="AF184" s="3">
        <f>1-Table1[[#This Row],[Passing Weight]]</f>
        <v>0.76</v>
      </c>
      <c r="AG184" s="3" t="str">
        <f>IF(COUNTIF(A:A,Table1[[#This Row],[Opp Team Name]]) &gt; 0, "N", "Y")</f>
        <v>N</v>
      </c>
      <c r="AH184" s="3" t="str">
        <f>IF(Table1[[#This Row],[Passing Attempts]] &lt;15, "Y", "N")</f>
        <v>N</v>
      </c>
      <c r="AI184" s="3" t="str">
        <f>IF(Table1[[#This Row],[Rushing Attempts]] &lt; 15, "Y", "N")</f>
        <v>N</v>
      </c>
      <c r="AJ184" s="3" t="str">
        <f>IF(Table1[[#This Row],[Opp Passing Attempts]]&lt;15, "Y", "N")</f>
        <v>N</v>
      </c>
      <c r="AK184" s="3" t="str">
        <f>IF(Table1[[#This Row],[Opp Rushing Attempts]]&lt;15, "Y", "N")</f>
        <v>N</v>
      </c>
      <c r="AL18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112.62</v>
      </c>
      <c r="AM18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85.52</v>
      </c>
      <c r="AN18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71.88</v>
      </c>
      <c r="AO18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92.99</v>
      </c>
      <c r="AP184" s="3">
        <f>ABS(Table1[[#This Row],[Team Score]]-Table1[[#This Row],[Opp Team Score]])</f>
        <v>3</v>
      </c>
      <c r="AQ184" s="3">
        <f>SUM(Table1[[#This Row],[Team Score]], Table1[[#This Row],[Opp Team Score]])</f>
        <v>73</v>
      </c>
      <c r="AR18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17.579999999999984</v>
      </c>
      <c r="AS184" s="3">
        <f>IF(Table1[[#This Row],[Efficiency Difference]] = " ", " ", ROUND((Table1[[#This Row],[Winning Margin]]*100)/Table1[[#This Row],[Efficiency Difference]], 2))</f>
        <v>17.059999999999999</v>
      </c>
    </row>
    <row r="185" spans="1:45">
      <c r="A185" t="s">
        <v>167</v>
      </c>
      <c r="B185">
        <v>204</v>
      </c>
      <c r="C185">
        <v>41</v>
      </c>
      <c r="D185">
        <v>115</v>
      </c>
      <c r="E185">
        <v>21</v>
      </c>
      <c r="F185">
        <v>2</v>
      </c>
      <c r="G185">
        <v>12</v>
      </c>
      <c r="H185">
        <v>1</v>
      </c>
      <c r="I185">
        <v>326</v>
      </c>
      <c r="J185">
        <v>43</v>
      </c>
      <c r="K185">
        <v>3</v>
      </c>
      <c r="L185">
        <v>0</v>
      </c>
      <c r="M185" t="s">
        <v>168</v>
      </c>
      <c r="N185">
        <v>290</v>
      </c>
      <c r="O185">
        <v>9</v>
      </c>
      <c r="P185">
        <v>105</v>
      </c>
      <c r="Q185">
        <v>27</v>
      </c>
      <c r="R185">
        <v>0</v>
      </c>
      <c r="S185">
        <v>15</v>
      </c>
      <c r="T185">
        <v>1</v>
      </c>
      <c r="U185">
        <v>96</v>
      </c>
      <c r="V185">
        <v>30</v>
      </c>
      <c r="W185">
        <v>0</v>
      </c>
      <c r="X185">
        <v>1</v>
      </c>
      <c r="Y185" t="s">
        <v>16</v>
      </c>
      <c r="Z185">
        <v>2</v>
      </c>
      <c r="AA185" t="str">
        <f>IF(AND(Table1[[#This Row],[Throw Out Pass Eff]]="N", Table1[[#This Row],[Against FCS Team]]="N"), ROUND(((5.45 * D185) + (150 * F185) + (100 * G185) - (300 * H185)) / E185, 2), " ")</f>
        <v xml:space="preserve"> </v>
      </c>
      <c r="AB185" t="str">
        <f>IF(AND(Table1[[#This Row],[Throw Out Pass Def Eff]]="N", Table1[[#This Row],[Against FCS Team]]="N"),200 - ROUND(((5.45 * P185) + (150 * R185) + (100 * S185) - (300 * T185)) / Q185, 2), " ")</f>
        <v xml:space="preserve"> </v>
      </c>
      <c r="AC185" t="str">
        <f>IF(AND(Table1[[#This Row],[Throw Out Rush Eff]]="N", Table1[[#This Row],[Against FCS Team]]="N"), ROUND(((23.2 * I185) + (150 * K185) - (300 * L185)) / J185, 2), " ")</f>
        <v xml:space="preserve"> </v>
      </c>
      <c r="AD185" s="3" t="str">
        <f>IF(AND(Table1[[#This Row],[Throw Out Rush Def Eff]]="N", Table1[[#This Row],[Against FCS Team]]="N"), 200 - ROUND(((23.2 * U185) + (150 * W185) - (300 * X185)) / V185, 2), " ")</f>
        <v xml:space="preserve"> </v>
      </c>
      <c r="AE185" s="3">
        <f>ROUND(Table1[[#This Row],[Opp Passing Attempts]]/(Table1[[#This Row],[Opp Passing Attempts]]+Table1[[#This Row],[Opp Rushing Attempts]]), 2)</f>
        <v>0.47</v>
      </c>
      <c r="AF185" s="3">
        <f>1-Table1[[#This Row],[Passing Weight]]</f>
        <v>0.53</v>
      </c>
      <c r="AG185" s="3" t="str">
        <f>IF(COUNTIF(A:A,Table1[[#This Row],[Opp Team Name]]) &gt; 0, "N", "Y")</f>
        <v>Y</v>
      </c>
      <c r="AH185" s="3" t="str">
        <f>IF(Table1[[#This Row],[Passing Attempts]] &lt;15, "Y", "N")</f>
        <v>N</v>
      </c>
      <c r="AI185" s="3" t="str">
        <f>IF(Table1[[#This Row],[Rushing Attempts]] &lt; 15, "Y", "N")</f>
        <v>N</v>
      </c>
      <c r="AJ185" s="3" t="str">
        <f>IF(Table1[[#This Row],[Opp Passing Attempts]]&lt;15, "Y", "N")</f>
        <v>N</v>
      </c>
      <c r="AK185" s="3" t="str">
        <f>IF(Table1[[#This Row],[Opp Rushing Attempts]]&lt;15, "Y", "N")</f>
        <v>N</v>
      </c>
      <c r="AL18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8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8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8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85" s="3">
        <f>ABS(Table1[[#This Row],[Team Score]]-Table1[[#This Row],[Opp Team Score]])</f>
        <v>32</v>
      </c>
      <c r="AQ185" s="3">
        <f>SUM(Table1[[#This Row],[Team Score]], Table1[[#This Row],[Opp Team Score]])</f>
        <v>50</v>
      </c>
      <c r="AR18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85" s="3" t="str">
        <f>IF(Table1[[#This Row],[Efficiency Difference]] = " ", " ", ROUND((Table1[[#This Row],[Winning Margin]]*100)/Table1[[#This Row],[Efficiency Difference]], 2))</f>
        <v xml:space="preserve"> </v>
      </c>
    </row>
    <row r="186" spans="1:45">
      <c r="A186" t="s">
        <v>167</v>
      </c>
      <c r="B186">
        <v>204</v>
      </c>
      <c r="C186">
        <v>14</v>
      </c>
      <c r="D186">
        <v>61</v>
      </c>
      <c r="E186">
        <v>19</v>
      </c>
      <c r="F186">
        <v>1</v>
      </c>
      <c r="G186">
        <v>7</v>
      </c>
      <c r="H186">
        <v>1</v>
      </c>
      <c r="I186">
        <v>336</v>
      </c>
      <c r="J186">
        <v>47</v>
      </c>
      <c r="K186">
        <v>1</v>
      </c>
      <c r="L186">
        <v>1</v>
      </c>
      <c r="M186" t="s">
        <v>169</v>
      </c>
      <c r="N186">
        <v>7</v>
      </c>
      <c r="O186">
        <v>7</v>
      </c>
      <c r="P186">
        <v>236</v>
      </c>
      <c r="Q186">
        <v>34</v>
      </c>
      <c r="R186">
        <v>1</v>
      </c>
      <c r="S186">
        <v>21</v>
      </c>
      <c r="T186">
        <v>0</v>
      </c>
      <c r="U186">
        <v>-13</v>
      </c>
      <c r="V186">
        <v>30</v>
      </c>
      <c r="W186">
        <v>0</v>
      </c>
      <c r="X186">
        <v>1</v>
      </c>
      <c r="Y186" t="s">
        <v>16</v>
      </c>
      <c r="Z186">
        <v>2</v>
      </c>
      <c r="AA186" t="str">
        <f>IF(AND(Table1[[#This Row],[Throw Out Pass Eff]]="N", Table1[[#This Row],[Against FCS Team]]="N"), ROUND(((5.45 * D186) + (150 * F186) + (100 * G186) - (300 * H186)) / E186, 2), " ")</f>
        <v xml:space="preserve"> </v>
      </c>
      <c r="AB186" t="str">
        <f>IF(AND(Table1[[#This Row],[Throw Out Pass Def Eff]]="N", Table1[[#This Row],[Against FCS Team]]="N"),200 - ROUND(((5.45 * P186) + (150 * R186) + (100 * S186) - (300 * T186)) / Q186, 2), " ")</f>
        <v xml:space="preserve"> </v>
      </c>
      <c r="AC186" t="str">
        <f>IF(AND(Table1[[#This Row],[Throw Out Rush Eff]]="N", Table1[[#This Row],[Against FCS Team]]="N"), ROUND(((23.2 * I186) + (150 * K186) - (300 * L186)) / J186, 2), " ")</f>
        <v xml:space="preserve"> </v>
      </c>
      <c r="AD186" s="3" t="str">
        <f>IF(AND(Table1[[#This Row],[Throw Out Rush Def Eff]]="N", Table1[[#This Row],[Against FCS Team]]="N"), 200 - ROUND(((23.2 * U186) + (150 * W186) - (300 * X186)) / V186, 2), " ")</f>
        <v xml:space="preserve"> </v>
      </c>
      <c r="AE186" s="3">
        <f>ROUND(Table1[[#This Row],[Opp Passing Attempts]]/(Table1[[#This Row],[Opp Passing Attempts]]+Table1[[#This Row],[Opp Rushing Attempts]]), 2)</f>
        <v>0.53</v>
      </c>
      <c r="AF186" s="3">
        <f>1-Table1[[#This Row],[Passing Weight]]</f>
        <v>0.47</v>
      </c>
      <c r="AG186" s="3" t="str">
        <f>IF(COUNTIF(A:A,Table1[[#This Row],[Opp Team Name]]) &gt; 0, "N", "Y")</f>
        <v>Y</v>
      </c>
      <c r="AH186" s="3" t="str">
        <f>IF(Table1[[#This Row],[Passing Attempts]] &lt;15, "Y", "N")</f>
        <v>N</v>
      </c>
      <c r="AI186" s="3" t="str">
        <f>IF(Table1[[#This Row],[Rushing Attempts]] &lt; 15, "Y", "N")</f>
        <v>N</v>
      </c>
      <c r="AJ186" s="3" t="str">
        <f>IF(Table1[[#This Row],[Opp Passing Attempts]]&lt;15, "Y", "N")</f>
        <v>N</v>
      </c>
      <c r="AK186" s="3" t="str">
        <f>IF(Table1[[#This Row],[Opp Rushing Attempts]]&lt;15, "Y", "N")</f>
        <v>N</v>
      </c>
      <c r="AL186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8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186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18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186" s="3">
        <f>ABS(Table1[[#This Row],[Team Score]]-Table1[[#This Row],[Opp Team Score]])</f>
        <v>7</v>
      </c>
      <c r="AQ186" s="3">
        <f>SUM(Table1[[#This Row],[Team Score]], Table1[[#This Row],[Opp Team Score]])</f>
        <v>21</v>
      </c>
      <c r="AR18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86" s="3" t="str">
        <f>IF(Table1[[#This Row],[Efficiency Difference]] = " ", " ", ROUND((Table1[[#This Row],[Winning Margin]]*100)/Table1[[#This Row],[Efficiency Difference]], 2))</f>
        <v xml:space="preserve"> </v>
      </c>
    </row>
    <row r="187" spans="1:45">
      <c r="A187" t="s">
        <v>167</v>
      </c>
      <c r="B187">
        <v>204</v>
      </c>
      <c r="C187">
        <v>3</v>
      </c>
      <c r="D187">
        <v>29</v>
      </c>
      <c r="E187">
        <v>6</v>
      </c>
      <c r="F187">
        <v>0</v>
      </c>
      <c r="G187">
        <v>3</v>
      </c>
      <c r="H187">
        <v>1</v>
      </c>
      <c r="I187">
        <v>207</v>
      </c>
      <c r="J187">
        <v>46</v>
      </c>
      <c r="K187">
        <v>0</v>
      </c>
      <c r="L187">
        <v>1</v>
      </c>
      <c r="M187" t="s">
        <v>180</v>
      </c>
      <c r="N187">
        <v>418</v>
      </c>
      <c r="O187">
        <v>31</v>
      </c>
      <c r="P187">
        <v>95</v>
      </c>
      <c r="Q187">
        <v>18</v>
      </c>
      <c r="R187">
        <v>2</v>
      </c>
      <c r="S187">
        <v>7</v>
      </c>
      <c r="T187">
        <v>1</v>
      </c>
      <c r="U187">
        <v>376</v>
      </c>
      <c r="V187">
        <v>50</v>
      </c>
      <c r="W187">
        <v>2</v>
      </c>
      <c r="X187">
        <v>0</v>
      </c>
      <c r="Y187" t="s">
        <v>19</v>
      </c>
      <c r="Z187">
        <v>3</v>
      </c>
      <c r="AA187" t="str">
        <f>IF(AND(Table1[[#This Row],[Throw Out Pass Eff]]="N", Table1[[#This Row],[Against FCS Team]]="N"), ROUND(((5.45 * D187) + (150 * F187) + (100 * G187) - (300 * H187)) / E187, 2), " ")</f>
        <v xml:space="preserve"> </v>
      </c>
      <c r="AB187">
        <f>IF(AND(Table1[[#This Row],[Throw Out Pass Def Eff]]="N", Table1[[#This Row],[Against FCS Team]]="N"),200 - ROUND(((5.45 * P187) + (150 * R187) + (100 * S187) - (300 * T187)) / Q187, 2), " ")</f>
        <v>132.35</v>
      </c>
      <c r="AC187">
        <f>IF(AND(Table1[[#This Row],[Throw Out Rush Eff]]="N", Table1[[#This Row],[Against FCS Team]]="N"), ROUND(((23.2 * I187) + (150 * K187) - (300 * L187)) / J187, 2), " ")</f>
        <v>97.88</v>
      </c>
      <c r="AD187" s="3">
        <f>IF(AND(Table1[[#This Row],[Throw Out Rush Def Eff]]="N", Table1[[#This Row],[Against FCS Team]]="N"), 200 - ROUND(((23.2 * U187) + (150 * W187) - (300 * X187)) / V187, 2), " ")</f>
        <v>19.539999999999992</v>
      </c>
      <c r="AE187" s="3">
        <f>ROUND(Table1[[#This Row],[Opp Passing Attempts]]/(Table1[[#This Row],[Opp Passing Attempts]]+Table1[[#This Row],[Opp Rushing Attempts]]), 2)</f>
        <v>0.26</v>
      </c>
      <c r="AF187" s="3">
        <f>1-Table1[[#This Row],[Passing Weight]]</f>
        <v>0.74</v>
      </c>
      <c r="AG187" s="3" t="str">
        <f>IF(COUNTIF(A:A,Table1[[#This Row],[Opp Team Name]]) &gt; 0, "N", "Y")</f>
        <v>N</v>
      </c>
      <c r="AH187" s="3" t="str">
        <f>IF(Table1[[#This Row],[Passing Attempts]] &lt;15, "Y", "N")</f>
        <v>Y</v>
      </c>
      <c r="AI187" s="3" t="str">
        <f>IF(Table1[[#This Row],[Rushing Attempts]] &lt; 15, "Y", "N")</f>
        <v>N</v>
      </c>
      <c r="AJ187" s="3" t="str">
        <f>IF(Table1[[#This Row],[Opp Passing Attempts]]&lt;15, "Y", "N")</f>
        <v>N</v>
      </c>
      <c r="AK187" s="3" t="str">
        <f>IF(Table1[[#This Row],[Opp Rushing Attempts]]&lt;15, "Y", "N")</f>
        <v>N</v>
      </c>
      <c r="AL18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118.44</v>
      </c>
      <c r="AN1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106.7</v>
      </c>
      <c r="AO1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25.72</v>
      </c>
      <c r="AP187" s="3">
        <f>ABS(Table1[[#This Row],[Team Score]]-Table1[[#This Row],[Opp Team Score]])</f>
        <v>28</v>
      </c>
      <c r="AQ187" s="3">
        <f>SUM(Table1[[#This Row],[Team Score]], Table1[[#This Row],[Opp Team Score]])</f>
        <v>34</v>
      </c>
      <c r="AR18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87" s="3" t="str">
        <f>IF(Table1[[#This Row],[Efficiency Difference]] = " ", " ", ROUND((Table1[[#This Row],[Winning Margin]]*100)/Table1[[#This Row],[Efficiency Difference]], 2))</f>
        <v xml:space="preserve"> </v>
      </c>
    </row>
    <row r="188" spans="1:45">
      <c r="A188" t="s">
        <v>167</v>
      </c>
      <c r="B188">
        <v>204</v>
      </c>
      <c r="C188">
        <v>6</v>
      </c>
      <c r="D188">
        <v>202</v>
      </c>
      <c r="E188">
        <v>31</v>
      </c>
      <c r="F188">
        <v>0</v>
      </c>
      <c r="G188">
        <v>18</v>
      </c>
      <c r="H188">
        <v>1</v>
      </c>
      <c r="I188">
        <v>68</v>
      </c>
      <c r="J188">
        <v>43</v>
      </c>
      <c r="K188">
        <v>0</v>
      </c>
      <c r="L188">
        <v>2</v>
      </c>
      <c r="M188" t="s">
        <v>120</v>
      </c>
      <c r="N188">
        <v>539</v>
      </c>
      <c r="O188">
        <v>34</v>
      </c>
      <c r="P188">
        <v>364</v>
      </c>
      <c r="Q188">
        <v>35</v>
      </c>
      <c r="R188">
        <v>4</v>
      </c>
      <c r="S188">
        <v>23</v>
      </c>
      <c r="T188">
        <v>1</v>
      </c>
      <c r="U188">
        <v>104</v>
      </c>
      <c r="V188">
        <v>25</v>
      </c>
      <c r="W188">
        <v>0</v>
      </c>
      <c r="X188">
        <v>2</v>
      </c>
      <c r="Y188" t="s">
        <v>19</v>
      </c>
      <c r="Z188">
        <v>4</v>
      </c>
      <c r="AA188">
        <f>IF(AND(Table1[[#This Row],[Throw Out Pass Eff]]="N", Table1[[#This Row],[Against FCS Team]]="N"), ROUND(((5.45 * D188) + (150 * F188) + (100 * G188) - (300 * H188)) / E188, 2), " ")</f>
        <v>83.9</v>
      </c>
      <c r="AB188">
        <f>IF(AND(Table1[[#This Row],[Throw Out Pass Def Eff]]="N", Table1[[#This Row],[Against FCS Team]]="N"),200 - ROUND(((5.45 * P188) + (150 * R188) + (100 * S188) - (300 * T188)) / Q188, 2), " ")</f>
        <v>69.03</v>
      </c>
      <c r="AC188">
        <f>IF(AND(Table1[[#This Row],[Throw Out Rush Eff]]="N", Table1[[#This Row],[Against FCS Team]]="N"), ROUND(((23.2 * I188) + (150 * K188) - (300 * L188)) / J188, 2), " ")</f>
        <v>22.73</v>
      </c>
      <c r="AD188" s="3">
        <f>IF(AND(Table1[[#This Row],[Throw Out Rush Def Eff]]="N", Table1[[#This Row],[Against FCS Team]]="N"), 200 - ROUND(((23.2 * U188) + (150 * W188) - (300 * X188)) / V188, 2), " ")</f>
        <v>127.49</v>
      </c>
      <c r="AE188" s="3">
        <f>ROUND(Table1[[#This Row],[Opp Passing Attempts]]/(Table1[[#This Row],[Opp Passing Attempts]]+Table1[[#This Row],[Opp Rushing Attempts]]), 2)</f>
        <v>0.57999999999999996</v>
      </c>
      <c r="AF188" s="3">
        <f>1-Table1[[#This Row],[Passing Weight]]</f>
        <v>0.42000000000000004</v>
      </c>
      <c r="AG188" s="3" t="str">
        <f>IF(COUNTIF(A:A,Table1[[#This Row],[Opp Team Name]]) &gt; 0, "N", "Y")</f>
        <v>N</v>
      </c>
      <c r="AH188" s="3" t="str">
        <f>IF(Table1[[#This Row],[Passing Attempts]] &lt;15, "Y", "N")</f>
        <v>N</v>
      </c>
      <c r="AI188" s="3" t="str">
        <f>IF(Table1[[#This Row],[Rushing Attempts]] &lt; 15, "Y", "N")</f>
        <v>N</v>
      </c>
      <c r="AJ188" s="3" t="str">
        <f>IF(Table1[[#This Row],[Opp Passing Attempts]]&lt;15, "Y", "N")</f>
        <v>N</v>
      </c>
      <c r="AK188" s="3" t="str">
        <f>IF(Table1[[#This Row],[Opp Rushing Attempts]]&lt;15, "Y", "N")</f>
        <v>N</v>
      </c>
      <c r="AL18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105.76</v>
      </c>
      <c r="AM18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60.36</v>
      </c>
      <c r="AN18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29.94</v>
      </c>
      <c r="AO18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112.27</v>
      </c>
      <c r="AP188" s="3">
        <f>ABS(Table1[[#This Row],[Team Score]]-Table1[[#This Row],[Opp Team Score]])</f>
        <v>28</v>
      </c>
      <c r="AQ188" s="3">
        <f>SUM(Table1[[#This Row],[Team Score]], Table1[[#This Row],[Opp Team Score]])</f>
        <v>40</v>
      </c>
      <c r="AR18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96.850000000000009</v>
      </c>
      <c r="AS188" s="3">
        <f>IF(Table1[[#This Row],[Efficiency Difference]] = " ", " ", ROUND((Table1[[#This Row],[Winning Margin]]*100)/Table1[[#This Row],[Efficiency Difference]], 2))</f>
        <v>28.91</v>
      </c>
    </row>
    <row r="189" spans="1:45">
      <c r="A189" t="s">
        <v>167</v>
      </c>
      <c r="B189">
        <v>204</v>
      </c>
      <c r="C189">
        <v>31</v>
      </c>
      <c r="D189">
        <v>94</v>
      </c>
      <c r="E189">
        <v>9</v>
      </c>
      <c r="F189">
        <v>0</v>
      </c>
      <c r="G189">
        <v>4</v>
      </c>
      <c r="H189">
        <v>0</v>
      </c>
      <c r="I189">
        <v>228</v>
      </c>
      <c r="J189">
        <v>56</v>
      </c>
      <c r="K189">
        <v>4</v>
      </c>
      <c r="L189">
        <v>1</v>
      </c>
      <c r="M189" t="s">
        <v>17</v>
      </c>
      <c r="N189">
        <v>5</v>
      </c>
      <c r="O189">
        <v>23</v>
      </c>
      <c r="P189">
        <v>163</v>
      </c>
      <c r="Q189">
        <v>29</v>
      </c>
      <c r="R189">
        <v>2</v>
      </c>
      <c r="S189">
        <v>15</v>
      </c>
      <c r="T189">
        <v>0</v>
      </c>
      <c r="U189">
        <v>139</v>
      </c>
      <c r="V189">
        <v>34</v>
      </c>
      <c r="W189">
        <v>1</v>
      </c>
      <c r="X189">
        <v>1</v>
      </c>
      <c r="Y189" t="s">
        <v>16</v>
      </c>
      <c r="Z189">
        <v>5</v>
      </c>
      <c r="AA189" t="str">
        <f>IF(AND(Table1[[#This Row],[Throw Out Pass Eff]]="N", Table1[[#This Row],[Against FCS Team]]="N"), ROUND(((5.45 * D189) + (150 * F189) + (100 * G189) - (300 * H189)) / E189, 2), " ")</f>
        <v xml:space="preserve"> </v>
      </c>
      <c r="AB189">
        <f>IF(AND(Table1[[#This Row],[Throw Out Pass Def Eff]]="N", Table1[[#This Row],[Against FCS Team]]="N"),200 - ROUND(((5.45 * P189) + (150 * R189) + (100 * S189) - (300 * T189)) / Q189, 2), " ")</f>
        <v>107.3</v>
      </c>
      <c r="AC189">
        <f>IF(AND(Table1[[#This Row],[Throw Out Rush Eff]]="N", Table1[[#This Row],[Against FCS Team]]="N"), ROUND(((23.2 * I189) + (150 * K189) - (300 * L189)) / J189, 2), " ")</f>
        <v>99.81</v>
      </c>
      <c r="AD189" s="3">
        <f>IF(AND(Table1[[#This Row],[Throw Out Rush Def Eff]]="N", Table1[[#This Row],[Against FCS Team]]="N"), 200 - ROUND(((23.2 * U189) + (150 * W189) - (300 * X189)) / V189, 2), " ")</f>
        <v>109.56</v>
      </c>
      <c r="AE189" s="3">
        <f>ROUND(Table1[[#This Row],[Opp Passing Attempts]]/(Table1[[#This Row],[Opp Passing Attempts]]+Table1[[#This Row],[Opp Rushing Attempts]]), 2)</f>
        <v>0.46</v>
      </c>
      <c r="AF189" s="3">
        <f>1-Table1[[#This Row],[Passing Weight]]</f>
        <v>0.54</v>
      </c>
      <c r="AG189" s="3" t="str">
        <f>IF(COUNTIF(A:A,Table1[[#This Row],[Opp Team Name]]) &gt; 0, "N", "Y")</f>
        <v>N</v>
      </c>
      <c r="AH189" s="3" t="str">
        <f>IF(Table1[[#This Row],[Passing Attempts]] &lt;15, "Y", "N")</f>
        <v>Y</v>
      </c>
      <c r="AI189" s="3" t="str">
        <f>IF(Table1[[#This Row],[Rushing Attempts]] &lt; 15, "Y", "N")</f>
        <v>N</v>
      </c>
      <c r="AJ189" s="3" t="str">
        <f>IF(Table1[[#This Row],[Opp Passing Attempts]]&lt;15, "Y", "N")</f>
        <v>N</v>
      </c>
      <c r="AK189" s="3" t="str">
        <f>IF(Table1[[#This Row],[Opp Rushing Attempts]]&lt;15, "Y", "N")</f>
        <v>N</v>
      </c>
      <c r="AL18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75.11</v>
      </c>
      <c r="AN1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92.35</v>
      </c>
      <c r="AO1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61.84</v>
      </c>
      <c r="AP189" s="3">
        <f>ABS(Table1[[#This Row],[Team Score]]-Table1[[#This Row],[Opp Team Score]])</f>
        <v>8</v>
      </c>
      <c r="AQ189" s="3">
        <f>SUM(Table1[[#This Row],[Team Score]], Table1[[#This Row],[Opp Team Score]])</f>
        <v>54</v>
      </c>
      <c r="AR18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89" s="3" t="str">
        <f>IF(Table1[[#This Row],[Efficiency Difference]] = " ", " ", ROUND((Table1[[#This Row],[Winning Margin]]*100)/Table1[[#This Row],[Efficiency Difference]], 2))</f>
        <v xml:space="preserve"> </v>
      </c>
    </row>
    <row r="190" spans="1:45">
      <c r="A190" t="s">
        <v>167</v>
      </c>
      <c r="B190">
        <v>204</v>
      </c>
      <c r="C190">
        <v>16</v>
      </c>
      <c r="D190">
        <v>138</v>
      </c>
      <c r="E190">
        <v>24</v>
      </c>
      <c r="F190">
        <v>1</v>
      </c>
      <c r="G190">
        <v>13</v>
      </c>
      <c r="H190">
        <v>2</v>
      </c>
      <c r="I190">
        <v>89</v>
      </c>
      <c r="J190">
        <v>32</v>
      </c>
      <c r="K190">
        <v>1</v>
      </c>
      <c r="L190">
        <v>1</v>
      </c>
      <c r="M190" t="s">
        <v>138</v>
      </c>
      <c r="N190">
        <v>709</v>
      </c>
      <c r="O190">
        <v>54</v>
      </c>
      <c r="P190">
        <v>302</v>
      </c>
      <c r="Q190">
        <v>31</v>
      </c>
      <c r="R190">
        <v>4</v>
      </c>
      <c r="S190">
        <v>27</v>
      </c>
      <c r="T190">
        <v>0</v>
      </c>
      <c r="U190">
        <v>240</v>
      </c>
      <c r="V190">
        <v>43</v>
      </c>
      <c r="W190">
        <v>2</v>
      </c>
      <c r="X190">
        <v>1</v>
      </c>
      <c r="Y190" t="s">
        <v>19</v>
      </c>
      <c r="Z190">
        <v>6</v>
      </c>
      <c r="AA190">
        <f>IF(AND(Table1[[#This Row],[Throw Out Pass Eff]]="N", Table1[[#This Row],[Against FCS Team]]="N"), ROUND(((5.45 * D190) + (150 * F190) + (100 * G190) - (300 * H190)) / E190, 2), " ")</f>
        <v>66.75</v>
      </c>
      <c r="AB190">
        <f>IF(AND(Table1[[#This Row],[Throw Out Pass Def Eff]]="N", Table1[[#This Row],[Against FCS Team]]="N"),200 - ROUND(((5.45 * P190) + (150 * R190) + (100 * S190) - (300 * T190)) / Q190, 2), " ")</f>
        <v>40.449999999999989</v>
      </c>
      <c r="AC190">
        <f>IF(AND(Table1[[#This Row],[Throw Out Rush Eff]]="N", Table1[[#This Row],[Against FCS Team]]="N"), ROUND(((23.2 * I190) + (150 * K190) - (300 * L190)) / J190, 2), " ")</f>
        <v>59.84</v>
      </c>
      <c r="AD190" s="3">
        <f>IF(AND(Table1[[#This Row],[Throw Out Rush Def Eff]]="N", Table1[[#This Row],[Against FCS Team]]="N"), 200 - ROUND(((23.2 * U190) + (150 * W190) - (300 * X190)) / V190, 2), " ")</f>
        <v>70.509999999999991</v>
      </c>
      <c r="AE190" s="3">
        <f>ROUND(Table1[[#This Row],[Opp Passing Attempts]]/(Table1[[#This Row],[Opp Passing Attempts]]+Table1[[#This Row],[Opp Rushing Attempts]]), 2)</f>
        <v>0.42</v>
      </c>
      <c r="AF190" s="3">
        <f>1-Table1[[#This Row],[Passing Weight]]</f>
        <v>0.58000000000000007</v>
      </c>
      <c r="AG190" s="3" t="str">
        <f>IF(COUNTIF(A:A,Table1[[#This Row],[Opp Team Name]]) &gt; 0, "N", "Y")</f>
        <v>N</v>
      </c>
      <c r="AH190" s="3" t="str">
        <f>IF(Table1[[#This Row],[Passing Attempts]] &lt;15, "Y", "N")</f>
        <v>N</v>
      </c>
      <c r="AI190" s="3" t="str">
        <f>IF(Table1[[#This Row],[Rushing Attempts]] &lt; 15, "Y", "N")</f>
        <v>N</v>
      </c>
      <c r="AJ190" s="3" t="str">
        <f>IF(Table1[[#This Row],[Opp Passing Attempts]]&lt;15, "Y", "N")</f>
        <v>N</v>
      </c>
      <c r="AK190" s="3" t="str">
        <f>IF(Table1[[#This Row],[Opp Rushing Attempts]]&lt;15, "Y", "N")</f>
        <v>N</v>
      </c>
      <c r="AL1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67.78</v>
      </c>
      <c r="AM19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47.38</v>
      </c>
      <c r="AN19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79.41</v>
      </c>
      <c r="AO1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73.510000000000005</v>
      </c>
      <c r="AP190" s="3">
        <f>ABS(Table1[[#This Row],[Team Score]]-Table1[[#This Row],[Opp Team Score]])</f>
        <v>38</v>
      </c>
      <c r="AQ190" s="3">
        <f>SUM(Table1[[#This Row],[Team Score]], Table1[[#This Row],[Opp Team Score]])</f>
        <v>70</v>
      </c>
      <c r="AR19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162.45000000000002</v>
      </c>
      <c r="AS190" s="3">
        <f>IF(Table1[[#This Row],[Efficiency Difference]] = " ", " ", ROUND((Table1[[#This Row],[Winning Margin]]*100)/Table1[[#This Row],[Efficiency Difference]], 2))</f>
        <v>23.39</v>
      </c>
    </row>
    <row r="191" spans="1:45">
      <c r="A191" t="s">
        <v>167</v>
      </c>
      <c r="B191">
        <v>204</v>
      </c>
      <c r="C191">
        <v>35</v>
      </c>
      <c r="D191">
        <v>76</v>
      </c>
      <c r="E191">
        <v>8</v>
      </c>
      <c r="F191">
        <v>0</v>
      </c>
      <c r="G191">
        <v>6</v>
      </c>
      <c r="H191">
        <v>0</v>
      </c>
      <c r="I191">
        <v>350</v>
      </c>
      <c r="J191">
        <v>50</v>
      </c>
      <c r="K191">
        <v>5</v>
      </c>
      <c r="L191">
        <v>0</v>
      </c>
      <c r="M191" t="s">
        <v>50</v>
      </c>
      <c r="N191">
        <v>129</v>
      </c>
      <c r="O191">
        <v>28</v>
      </c>
      <c r="P191">
        <v>351</v>
      </c>
      <c r="Q191">
        <v>50</v>
      </c>
      <c r="R191">
        <v>3</v>
      </c>
      <c r="S191">
        <v>33</v>
      </c>
      <c r="T191">
        <v>1</v>
      </c>
      <c r="U191">
        <v>98</v>
      </c>
      <c r="V191">
        <v>32</v>
      </c>
      <c r="W191">
        <v>0</v>
      </c>
      <c r="X191">
        <v>0</v>
      </c>
      <c r="Y191" t="s">
        <v>16</v>
      </c>
      <c r="Z191">
        <v>7</v>
      </c>
      <c r="AA191" t="str">
        <f>IF(AND(Table1[[#This Row],[Throw Out Pass Eff]]="N", Table1[[#This Row],[Against FCS Team]]="N"), ROUND(((5.45 * D191) + (150 * F191) + (100 * G191) - (300 * H191)) / E191, 2), " ")</f>
        <v xml:space="preserve"> </v>
      </c>
      <c r="AB191">
        <f>IF(AND(Table1[[#This Row],[Throw Out Pass Def Eff]]="N", Table1[[#This Row],[Against FCS Team]]="N"),200 - ROUND(((5.45 * P191) + (150 * R191) + (100 * S191) - (300 * T191)) / Q191, 2), " ")</f>
        <v>92.74</v>
      </c>
      <c r="AC191">
        <f>IF(AND(Table1[[#This Row],[Throw Out Rush Eff]]="N", Table1[[#This Row],[Against FCS Team]]="N"), ROUND(((23.2 * I191) + (150 * K191) - (300 * L191)) / J191, 2), " ")</f>
        <v>177.4</v>
      </c>
      <c r="AD191" s="3">
        <f>IF(AND(Table1[[#This Row],[Throw Out Rush Def Eff]]="N", Table1[[#This Row],[Against FCS Team]]="N"), 200 - ROUND(((23.2 * U191) + (150 * W191) - (300 * X191)) / V191, 2), " ")</f>
        <v>128.94999999999999</v>
      </c>
      <c r="AE191" s="3">
        <f>ROUND(Table1[[#This Row],[Opp Passing Attempts]]/(Table1[[#This Row],[Opp Passing Attempts]]+Table1[[#This Row],[Opp Rushing Attempts]]), 2)</f>
        <v>0.61</v>
      </c>
      <c r="AF191" s="3">
        <f>1-Table1[[#This Row],[Passing Weight]]</f>
        <v>0.39</v>
      </c>
      <c r="AG191" s="3" t="str">
        <f>IF(COUNTIF(A:A,Table1[[#This Row],[Opp Team Name]]) &gt; 0, "N", "Y")</f>
        <v>N</v>
      </c>
      <c r="AH191" s="3" t="str">
        <f>IF(Table1[[#This Row],[Passing Attempts]] &lt;15, "Y", "N")</f>
        <v>Y</v>
      </c>
      <c r="AI191" s="3" t="str">
        <f>IF(Table1[[#This Row],[Rushing Attempts]] &lt; 15, "Y", "N")</f>
        <v>N</v>
      </c>
      <c r="AJ191" s="3" t="str">
        <f>IF(Table1[[#This Row],[Opp Passing Attempts]]&lt;15, "Y", "N")</f>
        <v>N</v>
      </c>
      <c r="AK191" s="3" t="str">
        <f>IF(Table1[[#This Row],[Opp Rushing Attempts]]&lt;15, "Y", "N")</f>
        <v>N</v>
      </c>
      <c r="AL19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9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85.75</v>
      </c>
      <c r="AN19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153.79</v>
      </c>
      <c r="AO19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119.66</v>
      </c>
      <c r="AP191" s="3">
        <f>ABS(Table1[[#This Row],[Team Score]]-Table1[[#This Row],[Opp Team Score]])</f>
        <v>7</v>
      </c>
      <c r="AQ191" s="3">
        <f>SUM(Table1[[#This Row],[Team Score]], Table1[[#This Row],[Opp Team Score]])</f>
        <v>63</v>
      </c>
      <c r="AR19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91" s="3" t="str">
        <f>IF(Table1[[#This Row],[Efficiency Difference]] = " ", " ", ROUND((Table1[[#This Row],[Winning Margin]]*100)/Table1[[#This Row],[Efficiency Difference]], 2))</f>
        <v xml:space="preserve"> </v>
      </c>
    </row>
    <row r="192" spans="1:45">
      <c r="A192" t="s">
        <v>167</v>
      </c>
      <c r="B192">
        <v>204</v>
      </c>
      <c r="C192">
        <v>14</v>
      </c>
      <c r="D192">
        <v>144</v>
      </c>
      <c r="E192">
        <v>9</v>
      </c>
      <c r="F192">
        <v>1</v>
      </c>
      <c r="G192">
        <v>6</v>
      </c>
      <c r="H192">
        <v>0</v>
      </c>
      <c r="I192">
        <v>205</v>
      </c>
      <c r="J192">
        <v>50</v>
      </c>
      <c r="K192">
        <v>1</v>
      </c>
      <c r="L192">
        <v>1</v>
      </c>
      <c r="M192" t="s">
        <v>191</v>
      </c>
      <c r="N192">
        <v>774</v>
      </c>
      <c r="O192">
        <v>10</v>
      </c>
      <c r="P192">
        <v>198</v>
      </c>
      <c r="Q192">
        <v>35</v>
      </c>
      <c r="R192">
        <v>0</v>
      </c>
      <c r="S192">
        <v>25</v>
      </c>
      <c r="T192">
        <v>0</v>
      </c>
      <c r="U192">
        <v>131</v>
      </c>
      <c r="V192">
        <v>30</v>
      </c>
      <c r="W192">
        <v>1</v>
      </c>
      <c r="X192">
        <v>0</v>
      </c>
      <c r="Y192" t="s">
        <v>16</v>
      </c>
      <c r="Z192">
        <v>8</v>
      </c>
      <c r="AA192" s="3" t="str">
        <f>IF(AND(Table1[[#This Row],[Throw Out Pass Eff]]="N", Table1[[#This Row],[Against FCS Team]]="N"), ROUND(((5.45 * D192) + (150 * F192) + (100 * G192) - (300 * H192)) / E192, 2), " ")</f>
        <v xml:space="preserve"> </v>
      </c>
      <c r="AB192" s="3">
        <f>IF(AND(Table1[[#This Row],[Throw Out Pass Def Eff]]="N", Table1[[#This Row],[Against FCS Team]]="N"),200 - ROUND(((5.45 * P192) + (150 * R192) + (100 * S192) - (300 * T192)) / Q192, 2), " ")</f>
        <v>97.74</v>
      </c>
      <c r="AC192" s="3">
        <f>IF(AND(Table1[[#This Row],[Throw Out Rush Eff]]="N", Table1[[#This Row],[Against FCS Team]]="N"), ROUND(((23.2 * I192) + (150 * K192) - (300 * L192)) / J192, 2), " ")</f>
        <v>92.12</v>
      </c>
      <c r="AD192" s="3">
        <f>IF(AND(Table1[[#This Row],[Throw Out Rush Def Eff]]="N", Table1[[#This Row],[Against FCS Team]]="N"), 200 - ROUND(((23.2 * U192) + (150 * W192) - (300 * X192)) / V192, 2), " ")</f>
        <v>93.69</v>
      </c>
      <c r="AE192" s="3">
        <f>ROUND(Table1[[#This Row],[Opp Passing Attempts]]/(Table1[[#This Row],[Opp Passing Attempts]]+Table1[[#This Row],[Opp Rushing Attempts]]), 2)</f>
        <v>0.54</v>
      </c>
      <c r="AF192" s="3">
        <f>1-Table1[[#This Row],[Passing Weight]]</f>
        <v>0.45999999999999996</v>
      </c>
      <c r="AG192" s="3" t="str">
        <f>IF(COUNTIF(A:A,Table1[[#This Row],[Opp Team Name]]) &gt; 0, "N", "Y")</f>
        <v>N</v>
      </c>
      <c r="AH192" s="3" t="str">
        <f>IF(Table1[[#This Row],[Passing Attempts]] &lt;15, "Y", "N")</f>
        <v>Y</v>
      </c>
      <c r="AI192" s="3" t="str">
        <f>IF(Table1[[#This Row],[Rushing Attempts]] &lt; 15, "Y", "N")</f>
        <v>N</v>
      </c>
      <c r="AJ192" s="3" t="str">
        <f>IF(Table1[[#This Row],[Opp Passing Attempts]]&lt;15, "Y", "N")</f>
        <v>N</v>
      </c>
      <c r="AK192" s="3" t="str">
        <f>IF(Table1[[#This Row],[Opp Rushing Attempts]]&lt;15, "Y", "N")</f>
        <v>N</v>
      </c>
      <c r="AL19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1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108.71</v>
      </c>
      <c r="AN1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67.459999999999994</v>
      </c>
      <c r="AO1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68.92</v>
      </c>
      <c r="AP192" s="3">
        <f>ABS(Table1[[#This Row],[Team Score]]-Table1[[#This Row],[Opp Team Score]])</f>
        <v>4</v>
      </c>
      <c r="AQ192" s="3">
        <f>SUM(Table1[[#This Row],[Team Score]], Table1[[#This Row],[Opp Team Score]])</f>
        <v>24</v>
      </c>
      <c r="AR19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192" s="3" t="str">
        <f>IF(Table1[[#This Row],[Efficiency Difference]] = " ", " ", ROUND((Table1[[#This Row],[Winning Margin]]*100)/Table1[[#This Row],[Efficiency Difference]], 2))</f>
        <v xml:space="preserve"> </v>
      </c>
    </row>
    <row r="193" spans="1:45">
      <c r="A193" t="s">
        <v>66</v>
      </c>
      <c r="B193">
        <v>231</v>
      </c>
      <c r="C193">
        <v>41</v>
      </c>
      <c r="D193">
        <v>193</v>
      </c>
      <c r="E193">
        <v>23</v>
      </c>
      <c r="F193">
        <v>1</v>
      </c>
      <c r="G193">
        <v>16</v>
      </c>
      <c r="H193">
        <v>0</v>
      </c>
      <c r="I193">
        <v>208</v>
      </c>
      <c r="J193">
        <v>40</v>
      </c>
      <c r="K193">
        <v>4</v>
      </c>
      <c r="L193">
        <v>2</v>
      </c>
      <c r="M193" t="s">
        <v>67</v>
      </c>
      <c r="N193">
        <v>497</v>
      </c>
      <c r="O193">
        <v>16</v>
      </c>
      <c r="P193">
        <v>204</v>
      </c>
      <c r="Q193">
        <v>35</v>
      </c>
      <c r="R193">
        <v>0</v>
      </c>
      <c r="S193">
        <v>19</v>
      </c>
      <c r="T193">
        <v>0</v>
      </c>
      <c r="U193">
        <v>97</v>
      </c>
      <c r="V193">
        <v>38</v>
      </c>
      <c r="W193">
        <v>0</v>
      </c>
      <c r="X193">
        <v>1</v>
      </c>
      <c r="Y193" t="s">
        <v>16</v>
      </c>
      <c r="Z193">
        <v>1</v>
      </c>
      <c r="AA193">
        <f>IF(AND(Table1[[#This Row],[Throw Out Pass Eff]]="N", Table1[[#This Row],[Against FCS Team]]="N"), ROUND(((5.45 * D193) + (150 * F193) + (100 * G193) - (300 * H193)) / E193, 2), " ")</f>
        <v>121.82</v>
      </c>
      <c r="AB193">
        <f>IF(AND(Table1[[#This Row],[Throw Out Pass Def Eff]]="N", Table1[[#This Row],[Against FCS Team]]="N"),200 - ROUND(((5.45 * P193) + (150 * R193) + (100 * S193) - (300 * T193)) / Q193, 2), " ")</f>
        <v>113.95</v>
      </c>
      <c r="AC193">
        <f>IF(AND(Table1[[#This Row],[Throw Out Rush Eff]]="N", Table1[[#This Row],[Against FCS Team]]="N"), ROUND(((23.2 * I193) + (150 * K193) - (300 * L193)) / J193, 2), " ")</f>
        <v>120.64</v>
      </c>
      <c r="AD193" s="3">
        <f>IF(AND(Table1[[#This Row],[Throw Out Rush Def Eff]]="N", Table1[[#This Row],[Against FCS Team]]="N"), 200 - ROUND(((23.2 * U193) + (150 * W193) - (300 * X193)) / V193, 2), " ")</f>
        <v>148.67000000000002</v>
      </c>
      <c r="AE193" s="3">
        <f>ROUND(Table1[[#This Row],[Opp Passing Attempts]]/(Table1[[#This Row],[Opp Passing Attempts]]+Table1[[#This Row],[Opp Rushing Attempts]]), 2)</f>
        <v>0.48</v>
      </c>
      <c r="AF193" s="3">
        <f>1-Table1[[#This Row],[Passing Weight]]</f>
        <v>0.52</v>
      </c>
      <c r="AG193" s="3" t="str">
        <f>IF(COUNTIF(A:A,Table1[[#This Row],[Opp Team Name]]) &gt; 0, "N", "Y")</f>
        <v>N</v>
      </c>
      <c r="AH193" s="3" t="str">
        <f>IF(Table1[[#This Row],[Passing Attempts]] &lt;15, "Y", "N")</f>
        <v>N</v>
      </c>
      <c r="AI193" s="3" t="str">
        <f>IF(Table1[[#This Row],[Rushing Attempts]] &lt; 15, "Y", "N")</f>
        <v>N</v>
      </c>
      <c r="AJ193" s="3" t="str">
        <f>IF(Table1[[#This Row],[Opp Passing Attempts]]&lt;15, "Y", "N")</f>
        <v>N</v>
      </c>
      <c r="AK193" s="3" t="str">
        <f>IF(Table1[[#This Row],[Opp Rushing Attempts]]&lt;15, "Y", "N")</f>
        <v>N</v>
      </c>
      <c r="AL1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114.05</v>
      </c>
      <c r="AM1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101.8</v>
      </c>
      <c r="AN1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116.7</v>
      </c>
      <c r="AO1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100.13</v>
      </c>
      <c r="AP193" s="3">
        <f>ABS(Table1[[#This Row],[Team Score]]-Table1[[#This Row],[Opp Team Score]])</f>
        <v>25</v>
      </c>
      <c r="AQ193" s="3">
        <f>SUM(Table1[[#This Row],[Team Score]], Table1[[#This Row],[Opp Team Score]])</f>
        <v>57</v>
      </c>
      <c r="AR1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105.07999999999998</v>
      </c>
      <c r="AS193" s="3">
        <f>IF(Table1[[#This Row],[Efficiency Difference]] = " ", " ", ROUND((Table1[[#This Row],[Winning Margin]]*100)/Table1[[#This Row],[Efficiency Difference]], 2))</f>
        <v>23.79</v>
      </c>
    </row>
    <row r="194" spans="1:45">
      <c r="A194" t="s">
        <v>66</v>
      </c>
      <c r="B194">
        <v>231</v>
      </c>
      <c r="C194">
        <v>24</v>
      </c>
      <c r="D194">
        <v>248</v>
      </c>
      <c r="E194">
        <v>21</v>
      </c>
      <c r="F194">
        <v>2</v>
      </c>
      <c r="G194">
        <v>14</v>
      </c>
      <c r="H194">
        <v>0</v>
      </c>
      <c r="I194">
        <v>45</v>
      </c>
      <c r="J194">
        <v>26</v>
      </c>
      <c r="K194">
        <v>0</v>
      </c>
      <c r="L194">
        <v>0</v>
      </c>
      <c r="M194" t="s">
        <v>90</v>
      </c>
      <c r="N194">
        <v>367</v>
      </c>
      <c r="O194">
        <v>17</v>
      </c>
      <c r="P194">
        <v>363</v>
      </c>
      <c r="Q194">
        <v>45</v>
      </c>
      <c r="R194">
        <v>2</v>
      </c>
      <c r="S194">
        <v>32</v>
      </c>
      <c r="T194">
        <v>1</v>
      </c>
      <c r="U194">
        <v>83</v>
      </c>
      <c r="V194">
        <v>41</v>
      </c>
      <c r="W194">
        <v>0</v>
      </c>
      <c r="X194">
        <v>1</v>
      </c>
      <c r="Y194" t="s">
        <v>16</v>
      </c>
      <c r="Z194">
        <v>2</v>
      </c>
      <c r="AA194">
        <f>IF(AND(Table1[[#This Row],[Throw Out Pass Eff]]="N", Table1[[#This Row],[Against FCS Team]]="N"), ROUND(((5.45 * D194) + (150 * F194) + (100 * G194) - (300 * H194)) / E194, 2), " ")</f>
        <v>145.31</v>
      </c>
      <c r="AB194">
        <f>IF(AND(Table1[[#This Row],[Throw Out Pass Def Eff]]="N", Table1[[#This Row],[Against FCS Team]]="N"),200 - ROUND(((5.45 * P194) + (150 * R194) + (100 * S194) - (300 * T194)) / Q194, 2), " ")</f>
        <v>84.93</v>
      </c>
      <c r="AC194">
        <f>IF(AND(Table1[[#This Row],[Throw Out Rush Eff]]="N", Table1[[#This Row],[Against FCS Team]]="N"), ROUND(((23.2 * I194) + (150 * K194) - (300 * L194)) / J194, 2), " ")</f>
        <v>40.15</v>
      </c>
      <c r="AD194" s="3">
        <f>IF(AND(Table1[[#This Row],[Throw Out Rush Def Eff]]="N", Table1[[#This Row],[Against FCS Team]]="N"), 200 - ROUND(((23.2 * U194) + (150 * W194) - (300 * X194)) / V194, 2), " ")</f>
        <v>160.35</v>
      </c>
      <c r="AE194" s="3">
        <f>ROUND(Table1[[#This Row],[Opp Passing Attempts]]/(Table1[[#This Row],[Opp Passing Attempts]]+Table1[[#This Row],[Opp Rushing Attempts]]), 2)</f>
        <v>0.52</v>
      </c>
      <c r="AF194" s="3">
        <f>1-Table1[[#This Row],[Passing Weight]]</f>
        <v>0.48</v>
      </c>
      <c r="AG194" s="3" t="str">
        <f>IF(COUNTIF(A:A,Table1[[#This Row],[Opp Team Name]]) &gt; 0, "N", "Y")</f>
        <v>N</v>
      </c>
      <c r="AH194" s="3" t="str">
        <f>IF(Table1[[#This Row],[Passing Attempts]] &lt;15, "Y", "N")</f>
        <v>N</v>
      </c>
      <c r="AI194" s="3" t="str">
        <f>IF(Table1[[#This Row],[Rushing Attempts]] &lt; 15, "Y", "N")</f>
        <v>N</v>
      </c>
      <c r="AJ194" s="3" t="str">
        <f>IF(Table1[[#This Row],[Opp Passing Attempts]]&lt;15, "Y", "N")</f>
        <v>N</v>
      </c>
      <c r="AK194" s="3" t="str">
        <f>IF(Table1[[#This Row],[Opp Rushing Attempts]]&lt;15, "Y", "N")</f>
        <v>N</v>
      </c>
      <c r="AL1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134.13999999999999</v>
      </c>
      <c r="AM1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81.599999999999994</v>
      </c>
      <c r="AN1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55.37</v>
      </c>
      <c r="AO1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117.61</v>
      </c>
      <c r="AP194" s="3">
        <f>ABS(Table1[[#This Row],[Team Score]]-Table1[[#This Row],[Opp Team Score]])</f>
        <v>7</v>
      </c>
      <c r="AQ194" s="3">
        <f>SUM(Table1[[#This Row],[Team Score]], Table1[[#This Row],[Opp Team Score]])</f>
        <v>41</v>
      </c>
      <c r="AR1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30.740000000000009</v>
      </c>
      <c r="AS194" s="3">
        <f>IF(Table1[[#This Row],[Efficiency Difference]] = " ", " ", ROUND((Table1[[#This Row],[Winning Margin]]*100)/Table1[[#This Row],[Efficiency Difference]], 2))</f>
        <v>22.77</v>
      </c>
    </row>
    <row r="195" spans="1:45">
      <c r="A195" t="s">
        <v>66</v>
      </c>
      <c r="B195">
        <v>231</v>
      </c>
      <c r="C195">
        <v>17</v>
      </c>
      <c r="D195">
        <v>127</v>
      </c>
      <c r="E195">
        <v>29</v>
      </c>
      <c r="F195">
        <v>0</v>
      </c>
      <c r="G195">
        <v>15</v>
      </c>
      <c r="H195">
        <v>0</v>
      </c>
      <c r="I195">
        <v>111</v>
      </c>
      <c r="J195">
        <v>30</v>
      </c>
      <c r="K195">
        <v>1</v>
      </c>
      <c r="L195">
        <v>0</v>
      </c>
      <c r="M195" t="s">
        <v>142</v>
      </c>
      <c r="N195">
        <v>128</v>
      </c>
      <c r="O195">
        <v>10</v>
      </c>
      <c r="P195">
        <v>181</v>
      </c>
      <c r="Q195">
        <v>27</v>
      </c>
      <c r="R195">
        <v>0</v>
      </c>
      <c r="S195">
        <v>17</v>
      </c>
      <c r="T195">
        <v>0</v>
      </c>
      <c r="U195">
        <v>119</v>
      </c>
      <c r="V195">
        <v>40</v>
      </c>
      <c r="W195">
        <v>1</v>
      </c>
      <c r="X195">
        <v>2</v>
      </c>
      <c r="Y195" t="s">
        <v>16</v>
      </c>
      <c r="Z195">
        <v>3</v>
      </c>
      <c r="AA195">
        <f>IF(AND(Table1[[#This Row],[Throw Out Pass Eff]]="N", Table1[[#This Row],[Against FCS Team]]="N"), ROUND(((5.45 * D195) + (150 * F195) + (100 * G195) - (300 * H195)) / E195, 2), " ")</f>
        <v>75.59</v>
      </c>
      <c r="AB195">
        <f>IF(AND(Table1[[#This Row],[Throw Out Pass Def Eff]]="N", Table1[[#This Row],[Against FCS Team]]="N"),200 - ROUND(((5.45 * P195) + (150 * R195) + (100 * S195) - (300 * T195)) / Q195, 2), " ")</f>
        <v>100.5</v>
      </c>
      <c r="AC195">
        <f>IF(AND(Table1[[#This Row],[Throw Out Rush Eff]]="N", Table1[[#This Row],[Against FCS Team]]="N"), ROUND(((23.2 * I195) + (150 * K195) - (300 * L195)) / J195, 2), " ")</f>
        <v>90.84</v>
      </c>
      <c r="AD195" s="3">
        <f>IF(AND(Table1[[#This Row],[Throw Out Rush Def Eff]]="N", Table1[[#This Row],[Against FCS Team]]="N"), 200 - ROUND(((23.2 * U195) + (150 * W195) - (300 * X195)) / V195, 2), " ")</f>
        <v>142.22999999999999</v>
      </c>
      <c r="AE195" s="3">
        <f>ROUND(Table1[[#This Row],[Opp Passing Attempts]]/(Table1[[#This Row],[Opp Passing Attempts]]+Table1[[#This Row],[Opp Rushing Attempts]]), 2)</f>
        <v>0.4</v>
      </c>
      <c r="AF195" s="3">
        <f>1-Table1[[#This Row],[Passing Weight]]</f>
        <v>0.6</v>
      </c>
      <c r="AG195" s="3" t="str">
        <f>IF(COUNTIF(A:A,Table1[[#This Row],[Opp Team Name]]) &gt; 0, "N", "Y")</f>
        <v>N</v>
      </c>
      <c r="AH195" s="3" t="str">
        <f>IF(Table1[[#This Row],[Passing Attempts]] &lt;15, "Y", "N")</f>
        <v>N</v>
      </c>
      <c r="AI195" s="3" t="str">
        <f>IF(Table1[[#This Row],[Rushing Attempts]] &lt; 15, "Y", "N")</f>
        <v>N</v>
      </c>
      <c r="AJ195" s="3" t="str">
        <f>IF(Table1[[#This Row],[Opp Passing Attempts]]&lt;15, "Y", "N")</f>
        <v>N</v>
      </c>
      <c r="AK195" s="3" t="str">
        <f>IF(Table1[[#This Row],[Opp Rushing Attempts]]&lt;15, "Y", "N")</f>
        <v>N</v>
      </c>
      <c r="AL19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92.7</v>
      </c>
      <c r="AM19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104.91</v>
      </c>
      <c r="AN19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100.38</v>
      </c>
      <c r="AO19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122.83</v>
      </c>
      <c r="AP195" s="3">
        <f>ABS(Table1[[#This Row],[Team Score]]-Table1[[#This Row],[Opp Team Score]])</f>
        <v>7</v>
      </c>
      <c r="AQ195" s="3">
        <f>SUM(Table1[[#This Row],[Team Score]], Table1[[#This Row],[Opp Team Score]])</f>
        <v>27</v>
      </c>
      <c r="AR19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9.1599999999999966</v>
      </c>
      <c r="AS195" s="3">
        <f>IF(Table1[[#This Row],[Efficiency Difference]] = " ", " ", ROUND((Table1[[#This Row],[Winning Margin]]*100)/Table1[[#This Row],[Efficiency Difference]], 2))</f>
        <v>76.42</v>
      </c>
    </row>
    <row r="196" spans="1:45">
      <c r="A196" t="s">
        <v>66</v>
      </c>
      <c r="B196">
        <v>231</v>
      </c>
      <c r="C196">
        <v>31</v>
      </c>
      <c r="D196">
        <v>224</v>
      </c>
      <c r="E196">
        <v>30</v>
      </c>
      <c r="F196">
        <v>0</v>
      </c>
      <c r="G196">
        <v>18</v>
      </c>
      <c r="H196">
        <v>1</v>
      </c>
      <c r="I196">
        <v>190</v>
      </c>
      <c r="J196">
        <v>44</v>
      </c>
      <c r="K196">
        <v>4</v>
      </c>
      <c r="L196">
        <v>0</v>
      </c>
      <c r="M196" t="s">
        <v>86</v>
      </c>
      <c r="N196">
        <v>671</v>
      </c>
      <c r="O196">
        <v>36</v>
      </c>
      <c r="P196">
        <v>232</v>
      </c>
      <c r="Q196">
        <v>30</v>
      </c>
      <c r="R196">
        <v>3</v>
      </c>
      <c r="S196">
        <v>15</v>
      </c>
      <c r="T196">
        <v>0</v>
      </c>
      <c r="U196">
        <v>187</v>
      </c>
      <c r="V196">
        <v>33</v>
      </c>
      <c r="W196">
        <v>1</v>
      </c>
      <c r="X196">
        <v>0</v>
      </c>
      <c r="Y196" t="s">
        <v>19</v>
      </c>
      <c r="Z196">
        <v>4</v>
      </c>
      <c r="AA196">
        <f>IF(AND(Table1[[#This Row],[Throw Out Pass Eff]]="N", Table1[[#This Row],[Against FCS Team]]="N"), ROUND(((5.45 * D196) + (150 * F196) + (100 * G196) - (300 * H196)) / E196, 2), " ")</f>
        <v>90.69</v>
      </c>
      <c r="AB196">
        <f>IF(AND(Table1[[#This Row],[Throw Out Pass Def Eff]]="N", Table1[[#This Row],[Against FCS Team]]="N"),200 - ROUND(((5.45 * P196) + (150 * R196) + (100 * S196) - (300 * T196)) / Q196, 2), " ")</f>
        <v>92.85</v>
      </c>
      <c r="AC196">
        <f>IF(AND(Table1[[#This Row],[Throw Out Rush Eff]]="N", Table1[[#This Row],[Against FCS Team]]="N"), ROUND(((23.2 * I196) + (150 * K196) - (300 * L196)) / J196, 2), " ")</f>
        <v>113.82</v>
      </c>
      <c r="AD196" s="3">
        <f>IF(AND(Table1[[#This Row],[Throw Out Rush Def Eff]]="N", Table1[[#This Row],[Against FCS Team]]="N"), 200 - ROUND(((23.2 * U196) + (150 * W196) - (300 * X196)) / V196, 2), " ")</f>
        <v>63.990000000000009</v>
      </c>
      <c r="AE196" s="3">
        <f>ROUND(Table1[[#This Row],[Opp Passing Attempts]]/(Table1[[#This Row],[Opp Passing Attempts]]+Table1[[#This Row],[Opp Rushing Attempts]]), 2)</f>
        <v>0.48</v>
      </c>
      <c r="AF196" s="3">
        <f>1-Table1[[#This Row],[Passing Weight]]</f>
        <v>0.52</v>
      </c>
      <c r="AG196" s="3" t="str">
        <f>IF(COUNTIF(A:A,Table1[[#This Row],[Opp Team Name]]) &gt; 0, "N", "Y")</f>
        <v>N</v>
      </c>
      <c r="AH196" s="3" t="str">
        <f>IF(Table1[[#This Row],[Passing Attempts]] &lt;15, "Y", "N")</f>
        <v>N</v>
      </c>
      <c r="AI196" s="3" t="str">
        <f>IF(Table1[[#This Row],[Rushing Attempts]] &lt; 15, "Y", "N")</f>
        <v>N</v>
      </c>
      <c r="AJ196" s="3" t="str">
        <f>IF(Table1[[#This Row],[Opp Passing Attempts]]&lt;15, "Y", "N")</f>
        <v>N</v>
      </c>
      <c r="AK196" s="3" t="str">
        <f>IF(Table1[[#This Row],[Opp Rushing Attempts]]&lt;15, "Y", "N")</f>
        <v>N</v>
      </c>
      <c r="AL19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92.66</v>
      </c>
      <c r="AM19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100.14</v>
      </c>
      <c r="AN19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130.5</v>
      </c>
      <c r="AO19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49.79</v>
      </c>
      <c r="AP196" s="3">
        <f>ABS(Table1[[#This Row],[Team Score]]-Table1[[#This Row],[Opp Team Score]])</f>
        <v>5</v>
      </c>
      <c r="AQ196" s="3">
        <f>SUM(Table1[[#This Row],[Team Score]], Table1[[#This Row],[Opp Team Score]])</f>
        <v>67</v>
      </c>
      <c r="AR19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38.650000000000006</v>
      </c>
      <c r="AS196" s="3">
        <f>IF(Table1[[#This Row],[Efficiency Difference]] = " ", " ", ROUND((Table1[[#This Row],[Winning Margin]]*100)/Table1[[#This Row],[Efficiency Difference]], 2))</f>
        <v>12.94</v>
      </c>
    </row>
    <row r="197" spans="1:45">
      <c r="A197" t="s">
        <v>66</v>
      </c>
      <c r="B197">
        <v>231</v>
      </c>
      <c r="C197">
        <v>27</v>
      </c>
      <c r="D197">
        <v>392</v>
      </c>
      <c r="E197">
        <v>41</v>
      </c>
      <c r="F197">
        <v>3</v>
      </c>
      <c r="G197">
        <v>26</v>
      </c>
      <c r="H197">
        <v>0</v>
      </c>
      <c r="I197">
        <v>176</v>
      </c>
      <c r="J197">
        <v>41</v>
      </c>
      <c r="K197">
        <v>0</v>
      </c>
      <c r="L197">
        <v>1</v>
      </c>
      <c r="M197" t="s">
        <v>62</v>
      </c>
      <c r="N197">
        <v>193</v>
      </c>
      <c r="O197">
        <v>31</v>
      </c>
      <c r="P197">
        <v>335</v>
      </c>
      <c r="Q197">
        <v>43</v>
      </c>
      <c r="R197">
        <v>2</v>
      </c>
      <c r="S197">
        <v>28</v>
      </c>
      <c r="T197">
        <v>0</v>
      </c>
      <c r="U197">
        <v>49</v>
      </c>
      <c r="V197">
        <v>22</v>
      </c>
      <c r="W197">
        <v>2</v>
      </c>
      <c r="X197">
        <v>0</v>
      </c>
      <c r="Y197" t="s">
        <v>19</v>
      </c>
      <c r="Z197">
        <v>5</v>
      </c>
      <c r="AA197">
        <f>IF(AND(Table1[[#This Row],[Throw Out Pass Eff]]="N", Table1[[#This Row],[Against FCS Team]]="N"), ROUND(((5.45 * D197) + (150 * F197) + (100 * G197) - (300 * H197)) / E197, 2), " ")</f>
        <v>126.5</v>
      </c>
      <c r="AB197">
        <f>IF(AND(Table1[[#This Row],[Throw Out Pass Def Eff]]="N", Table1[[#This Row],[Against FCS Team]]="N"),200 - ROUND(((5.45 * P197) + (150 * R197) + (100 * S197) - (300 * T197)) / Q197, 2), " ")</f>
        <v>85.45</v>
      </c>
      <c r="AC197">
        <f>IF(AND(Table1[[#This Row],[Throw Out Rush Eff]]="N", Table1[[#This Row],[Against FCS Team]]="N"), ROUND(((23.2 * I197) + (150 * K197) - (300 * L197)) / J197, 2), " ")</f>
        <v>92.27</v>
      </c>
      <c r="AD197" s="3">
        <f>IF(AND(Table1[[#This Row],[Throw Out Rush Def Eff]]="N", Table1[[#This Row],[Against FCS Team]]="N"), 200 - ROUND(((23.2 * U197) + (150 * W197) - (300 * X197)) / V197, 2), " ")</f>
        <v>134.69</v>
      </c>
      <c r="AE197" s="3">
        <f>ROUND(Table1[[#This Row],[Opp Passing Attempts]]/(Table1[[#This Row],[Opp Passing Attempts]]+Table1[[#This Row],[Opp Rushing Attempts]]), 2)</f>
        <v>0.66</v>
      </c>
      <c r="AF197" s="3">
        <f>1-Table1[[#This Row],[Passing Weight]]</f>
        <v>0.33999999999999997</v>
      </c>
      <c r="AG197" s="3" t="str">
        <f>IF(COUNTIF(A:A,Table1[[#This Row],[Opp Team Name]]) &gt; 0, "N", "Y")</f>
        <v>N</v>
      </c>
      <c r="AH197" s="3" t="str">
        <f>IF(Table1[[#This Row],[Passing Attempts]] &lt;15, "Y", "N")</f>
        <v>N</v>
      </c>
      <c r="AI197" s="3" t="str">
        <f>IF(Table1[[#This Row],[Rushing Attempts]] &lt; 15, "Y", "N")</f>
        <v>N</v>
      </c>
      <c r="AJ197" s="3" t="str">
        <f>IF(Table1[[#This Row],[Opp Passing Attempts]]&lt;15, "Y", "N")</f>
        <v>N</v>
      </c>
      <c r="AK197" s="3" t="str">
        <f>IF(Table1[[#This Row],[Opp Rushing Attempts]]&lt;15, "Y", "N")</f>
        <v>N</v>
      </c>
      <c r="AL19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112.07</v>
      </c>
      <c r="AM19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89.01</v>
      </c>
      <c r="AN19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90.07</v>
      </c>
      <c r="AO19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86.49</v>
      </c>
      <c r="AP197" s="3">
        <f>ABS(Table1[[#This Row],[Team Score]]-Table1[[#This Row],[Opp Team Score]])</f>
        <v>4</v>
      </c>
      <c r="AQ197" s="3">
        <f>SUM(Table1[[#This Row],[Team Score]], Table1[[#This Row],[Opp Team Score]])</f>
        <v>58</v>
      </c>
      <c r="AR19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38.909999999999968</v>
      </c>
      <c r="AS197" s="3">
        <f>IF(Table1[[#This Row],[Efficiency Difference]] = " ", " ", ROUND((Table1[[#This Row],[Winning Margin]]*100)/Table1[[#This Row],[Efficiency Difference]], 2))</f>
        <v>10.28</v>
      </c>
    </row>
    <row r="198" spans="1:45">
      <c r="A198" t="s">
        <v>66</v>
      </c>
      <c r="B198">
        <v>231</v>
      </c>
      <c r="C198">
        <v>27</v>
      </c>
      <c r="D198">
        <v>308</v>
      </c>
      <c r="E198">
        <v>38</v>
      </c>
      <c r="F198">
        <v>0</v>
      </c>
      <c r="G198">
        <v>26</v>
      </c>
      <c r="H198">
        <v>1</v>
      </c>
      <c r="I198">
        <v>206</v>
      </c>
      <c r="J198">
        <v>46</v>
      </c>
      <c r="K198">
        <v>3</v>
      </c>
      <c r="L198">
        <v>1</v>
      </c>
      <c r="M198" t="s">
        <v>17</v>
      </c>
      <c r="N198">
        <v>5</v>
      </c>
      <c r="O198">
        <v>17</v>
      </c>
      <c r="P198">
        <v>157</v>
      </c>
      <c r="Q198">
        <v>23</v>
      </c>
      <c r="R198">
        <v>0</v>
      </c>
      <c r="S198">
        <v>11</v>
      </c>
      <c r="T198">
        <v>1</v>
      </c>
      <c r="U198">
        <v>105</v>
      </c>
      <c r="V198">
        <v>31</v>
      </c>
      <c r="W198">
        <v>2</v>
      </c>
      <c r="X198">
        <v>1</v>
      </c>
      <c r="Y198" t="s">
        <v>16</v>
      </c>
      <c r="Z198">
        <v>6</v>
      </c>
      <c r="AA198">
        <f>IF(AND(Table1[[#This Row],[Throw Out Pass Eff]]="N", Table1[[#This Row],[Against FCS Team]]="N"), ROUND(((5.45 * D198) + (150 * F198) + (100 * G198) - (300 * H198)) / E198, 2), " ")</f>
        <v>104.7</v>
      </c>
      <c r="AB198">
        <f>IF(AND(Table1[[#This Row],[Throw Out Pass Def Eff]]="N", Table1[[#This Row],[Against FCS Team]]="N"),200 - ROUND(((5.45 * P198) + (150 * R198) + (100 * S198) - (300 * T198)) / Q198, 2), " ")</f>
        <v>128.01999999999998</v>
      </c>
      <c r="AC198">
        <f>IF(AND(Table1[[#This Row],[Throw Out Rush Eff]]="N", Table1[[#This Row],[Against FCS Team]]="N"), ROUND(((23.2 * I198) + (150 * K198) - (300 * L198)) / J198, 2), " ")</f>
        <v>107.16</v>
      </c>
      <c r="AD198" s="3">
        <f>IF(AND(Table1[[#This Row],[Throw Out Rush Def Eff]]="N", Table1[[#This Row],[Against FCS Team]]="N"), 200 - ROUND(((23.2 * U198) + (150 * W198) - (300 * X198)) / V198, 2), " ")</f>
        <v>121.42</v>
      </c>
      <c r="AE198" s="3">
        <f>ROUND(Table1[[#This Row],[Opp Passing Attempts]]/(Table1[[#This Row],[Opp Passing Attempts]]+Table1[[#This Row],[Opp Rushing Attempts]]), 2)</f>
        <v>0.43</v>
      </c>
      <c r="AF198" s="3">
        <f>1-Table1[[#This Row],[Passing Weight]]</f>
        <v>0.57000000000000006</v>
      </c>
      <c r="AG198" s="3" t="str">
        <f>IF(COUNTIF(A:A,Table1[[#This Row],[Opp Team Name]]) &gt; 0, "N", "Y")</f>
        <v>N</v>
      </c>
      <c r="AH198" s="3" t="str">
        <f>IF(Table1[[#This Row],[Passing Attempts]] &lt;15, "Y", "N")</f>
        <v>N</v>
      </c>
      <c r="AI198" s="3" t="str">
        <f>IF(Table1[[#This Row],[Rushing Attempts]] &lt; 15, "Y", "N")</f>
        <v>N</v>
      </c>
      <c r="AJ198" s="3" t="str">
        <f>IF(Table1[[#This Row],[Opp Passing Attempts]]&lt;15, "Y", "N")</f>
        <v>N</v>
      </c>
      <c r="AK198" s="3" t="str">
        <f>IF(Table1[[#This Row],[Opp Rushing Attempts]]&lt;15, "Y", "N")</f>
        <v>N</v>
      </c>
      <c r="AL19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86.62</v>
      </c>
      <c r="AM19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89.62</v>
      </c>
      <c r="AN19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99.15</v>
      </c>
      <c r="AO19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68.540000000000006</v>
      </c>
      <c r="AP198" s="3">
        <f>ABS(Table1[[#This Row],[Team Score]]-Table1[[#This Row],[Opp Team Score]])</f>
        <v>10</v>
      </c>
      <c r="AQ198" s="3">
        <f>SUM(Table1[[#This Row],[Team Score]], Table1[[#This Row],[Opp Team Score]])</f>
        <v>44</v>
      </c>
      <c r="AR19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61.300000000000011</v>
      </c>
      <c r="AS198" s="3">
        <f>IF(Table1[[#This Row],[Efficiency Difference]] = " ", " ", ROUND((Table1[[#This Row],[Winning Margin]]*100)/Table1[[#This Row],[Efficiency Difference]], 2))</f>
        <v>16.309999999999999</v>
      </c>
    </row>
    <row r="199" spans="1:45">
      <c r="A199" t="s">
        <v>66</v>
      </c>
      <c r="B199">
        <v>231</v>
      </c>
      <c r="C199">
        <v>16</v>
      </c>
      <c r="D199">
        <v>223</v>
      </c>
      <c r="E199">
        <v>37</v>
      </c>
      <c r="F199">
        <v>1</v>
      </c>
      <c r="G199">
        <v>23</v>
      </c>
      <c r="H199">
        <v>1</v>
      </c>
      <c r="I199">
        <v>66</v>
      </c>
      <c r="J199">
        <v>29</v>
      </c>
      <c r="K199">
        <v>0</v>
      </c>
      <c r="L199">
        <v>1</v>
      </c>
      <c r="M199" t="s">
        <v>28</v>
      </c>
      <c r="N199">
        <v>30</v>
      </c>
      <c r="O199">
        <v>34</v>
      </c>
      <c r="P199">
        <v>147</v>
      </c>
      <c r="Q199">
        <v>24</v>
      </c>
      <c r="R199">
        <v>1</v>
      </c>
      <c r="S199">
        <v>14</v>
      </c>
      <c r="T199">
        <v>1</v>
      </c>
      <c r="U199">
        <v>238</v>
      </c>
      <c r="V199">
        <v>45</v>
      </c>
      <c r="W199">
        <v>3</v>
      </c>
      <c r="X199">
        <v>0</v>
      </c>
      <c r="Y199" t="s">
        <v>19</v>
      </c>
      <c r="Z199">
        <v>8</v>
      </c>
      <c r="AA199" s="3">
        <f>IF(AND(Table1[[#This Row],[Throw Out Pass Eff]]="N", Table1[[#This Row],[Against FCS Team]]="N"), ROUND(((5.45 * D199) + (150 * F199) + (100 * G199) - (300 * H199)) / E199, 2), " ")</f>
        <v>90.96</v>
      </c>
      <c r="AB199" s="3">
        <f>IF(AND(Table1[[#This Row],[Throw Out Pass Def Eff]]="N", Table1[[#This Row],[Against FCS Team]]="N"),200 - ROUND(((5.45 * P199) + (150 * R199) + (100 * S199) - (300 * T199)) / Q199, 2), " ")</f>
        <v>114.54</v>
      </c>
      <c r="AC199" s="3">
        <f>IF(AND(Table1[[#This Row],[Throw Out Rush Eff]]="N", Table1[[#This Row],[Against FCS Team]]="N"), ROUND(((23.2 * I199) + (150 * K199) - (300 * L199)) / J199, 2), " ")</f>
        <v>42.46</v>
      </c>
      <c r="AD199" s="3">
        <f>IF(AND(Table1[[#This Row],[Throw Out Rush Def Eff]]="N", Table1[[#This Row],[Against FCS Team]]="N"), 200 - ROUND(((23.2 * U199) + (150 * W199) - (300 * X199)) / V199, 2), " ")</f>
        <v>67.300000000000011</v>
      </c>
      <c r="AE199" s="3">
        <f>ROUND(Table1[[#This Row],[Opp Passing Attempts]]/(Table1[[#This Row],[Opp Passing Attempts]]+Table1[[#This Row],[Opp Rushing Attempts]]), 2)</f>
        <v>0.35</v>
      </c>
      <c r="AF199" s="3">
        <f>1-Table1[[#This Row],[Passing Weight]]</f>
        <v>0.65</v>
      </c>
      <c r="AG199" s="3" t="str">
        <f>IF(COUNTIF(A:A,Table1[[#This Row],[Opp Team Name]]) &gt; 0, "N", "Y")</f>
        <v>N</v>
      </c>
      <c r="AH199" s="3" t="str">
        <f>IF(Table1[[#This Row],[Passing Attempts]] &lt;15, "Y", "N")</f>
        <v>N</v>
      </c>
      <c r="AI199" s="3" t="str">
        <f>IF(Table1[[#This Row],[Rushing Attempts]] &lt; 15, "Y", "N")</f>
        <v>N</v>
      </c>
      <c r="AJ199" s="3" t="str">
        <f>IF(Table1[[#This Row],[Opp Passing Attempts]]&lt;15, "Y", "N")</f>
        <v>N</v>
      </c>
      <c r="AK199" s="3" t="str">
        <f>IF(Table1[[#This Row],[Opp Rushing Attempts]]&lt;15, "Y", "N")</f>
        <v>N</v>
      </c>
      <c r="AL19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99.78</v>
      </c>
      <c r="AM19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116.79</v>
      </c>
      <c r="AN19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56.97</v>
      </c>
      <c r="AO19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48.45</v>
      </c>
      <c r="AP199" s="3">
        <f>ABS(Table1[[#This Row],[Team Score]]-Table1[[#This Row],[Opp Team Score]])</f>
        <v>18</v>
      </c>
      <c r="AQ199" s="3">
        <f>SUM(Table1[[#This Row],[Team Score]], Table1[[#This Row],[Opp Team Score]])</f>
        <v>50</v>
      </c>
      <c r="AR19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84.739999999999981</v>
      </c>
      <c r="AS199" s="3">
        <f>IF(Table1[[#This Row],[Efficiency Difference]] = " ", " ", ROUND((Table1[[#This Row],[Winning Margin]]*100)/Table1[[#This Row],[Efficiency Difference]], 2))</f>
        <v>21.24</v>
      </c>
    </row>
    <row r="200" spans="1:45">
      <c r="A200" t="s">
        <v>68</v>
      </c>
      <c r="B200">
        <v>229</v>
      </c>
      <c r="C200">
        <v>3</v>
      </c>
      <c r="D200">
        <v>107</v>
      </c>
      <c r="E200">
        <v>27</v>
      </c>
      <c r="F200">
        <v>0</v>
      </c>
      <c r="G200">
        <v>14</v>
      </c>
      <c r="H200">
        <v>0</v>
      </c>
      <c r="I200">
        <v>30</v>
      </c>
      <c r="J200">
        <v>30</v>
      </c>
      <c r="K200">
        <v>0</v>
      </c>
      <c r="L200">
        <v>0</v>
      </c>
      <c r="M200" t="s">
        <v>69</v>
      </c>
      <c r="N200">
        <v>235</v>
      </c>
      <c r="O200">
        <v>41</v>
      </c>
      <c r="P200">
        <v>271</v>
      </c>
      <c r="Q200">
        <v>36</v>
      </c>
      <c r="R200">
        <v>1</v>
      </c>
      <c r="S200">
        <v>25</v>
      </c>
      <c r="T200">
        <v>3</v>
      </c>
      <c r="U200">
        <v>197</v>
      </c>
      <c r="V200">
        <v>33</v>
      </c>
      <c r="W200">
        <v>3</v>
      </c>
      <c r="X200">
        <v>0</v>
      </c>
      <c r="Y200" t="s">
        <v>19</v>
      </c>
      <c r="Z200">
        <v>1</v>
      </c>
      <c r="AA200">
        <f>IF(AND(Table1[[#This Row],[Throw Out Pass Eff]]="N", Table1[[#This Row],[Against FCS Team]]="N"), ROUND(((5.45 * D200) + (150 * F200) + (100 * G200) - (300 * H200)) / E200, 2), " ")</f>
        <v>73.45</v>
      </c>
      <c r="AB200">
        <f>IF(AND(Table1[[#This Row],[Throw Out Pass Def Eff]]="N", Table1[[#This Row],[Against FCS Team]]="N"),200 - ROUND(((5.45 * P200) + (150 * R200) + (100 * S200) - (300 * T200)) / Q200, 2), " ")</f>
        <v>110.36</v>
      </c>
      <c r="AC200">
        <f>IF(AND(Table1[[#This Row],[Throw Out Rush Eff]]="N", Table1[[#This Row],[Against FCS Team]]="N"), ROUND(((23.2 * I200) + (150 * K200) - (300 * L200)) / J200, 2), " ")</f>
        <v>23.2</v>
      </c>
      <c r="AD200" s="3">
        <f>IF(AND(Table1[[#This Row],[Throw Out Rush Def Eff]]="N", Table1[[#This Row],[Against FCS Team]]="N"), 200 - ROUND(((23.2 * U200) + (150 * W200) - (300 * X200)) / V200, 2), " ")</f>
        <v>47.870000000000005</v>
      </c>
      <c r="AE200" s="3">
        <f>ROUND(Table1[[#This Row],[Opp Passing Attempts]]/(Table1[[#This Row],[Opp Passing Attempts]]+Table1[[#This Row],[Opp Rushing Attempts]]), 2)</f>
        <v>0.52</v>
      </c>
      <c r="AF200" s="3">
        <f>1-Table1[[#This Row],[Passing Weight]]</f>
        <v>0.48</v>
      </c>
      <c r="AG200" s="3" t="str">
        <f>IF(COUNTIF(A:A,Table1[[#This Row],[Opp Team Name]]) &gt; 0, "N", "Y")</f>
        <v>N</v>
      </c>
      <c r="AH200" s="3" t="str">
        <f>IF(Table1[[#This Row],[Passing Attempts]] &lt;15, "Y", "N")</f>
        <v>N</v>
      </c>
      <c r="AI200" s="3" t="str">
        <f>IF(Table1[[#This Row],[Rushing Attempts]] &lt; 15, "Y", "N")</f>
        <v>N</v>
      </c>
      <c r="AJ200" s="3" t="str">
        <f>IF(Table1[[#This Row],[Opp Passing Attempts]]&lt;15, "Y", "N")</f>
        <v>N</v>
      </c>
      <c r="AK200" s="3" t="str">
        <f>IF(Table1[[#This Row],[Opp Rushing Attempts]]&lt;15, "Y", "N")</f>
        <v>N</v>
      </c>
      <c r="AL20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89.47</v>
      </c>
      <c r="AM20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100.7</v>
      </c>
      <c r="AN20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30.28</v>
      </c>
      <c r="AO20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46.67</v>
      </c>
      <c r="AP200" s="3">
        <f>ABS(Table1[[#This Row],[Team Score]]-Table1[[#This Row],[Opp Team Score]])</f>
        <v>38</v>
      </c>
      <c r="AQ200" s="3">
        <f>SUM(Table1[[#This Row],[Team Score]], Table1[[#This Row],[Opp Team Score]])</f>
        <v>44</v>
      </c>
      <c r="AR20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145.11999999999998</v>
      </c>
      <c r="AS200" s="3">
        <f>IF(Table1[[#This Row],[Efficiency Difference]] = " ", " ", ROUND((Table1[[#This Row],[Winning Margin]]*100)/Table1[[#This Row],[Efficiency Difference]], 2))</f>
        <v>26.19</v>
      </c>
    </row>
    <row r="201" spans="1:45">
      <c r="A201" t="s">
        <v>68</v>
      </c>
      <c r="B201">
        <v>229</v>
      </c>
      <c r="C201">
        <v>0</v>
      </c>
      <c r="D201">
        <v>26</v>
      </c>
      <c r="E201">
        <v>13</v>
      </c>
      <c r="F201">
        <v>0</v>
      </c>
      <c r="G201">
        <v>6</v>
      </c>
      <c r="H201">
        <v>0</v>
      </c>
      <c r="I201">
        <v>22</v>
      </c>
      <c r="J201">
        <v>20</v>
      </c>
      <c r="K201">
        <v>0</v>
      </c>
      <c r="L201">
        <v>1</v>
      </c>
      <c r="M201" t="s">
        <v>98</v>
      </c>
      <c r="N201">
        <v>416</v>
      </c>
      <c r="O201">
        <v>44</v>
      </c>
      <c r="P201">
        <v>246</v>
      </c>
      <c r="Q201">
        <v>32</v>
      </c>
      <c r="R201">
        <v>2</v>
      </c>
      <c r="S201">
        <v>22</v>
      </c>
      <c r="T201">
        <v>0</v>
      </c>
      <c r="U201">
        <v>188</v>
      </c>
      <c r="V201">
        <v>51</v>
      </c>
      <c r="W201">
        <v>2</v>
      </c>
      <c r="X201">
        <v>0</v>
      </c>
      <c r="Y201" t="s">
        <v>19</v>
      </c>
      <c r="Z201">
        <v>2</v>
      </c>
      <c r="AA201" t="str">
        <f>IF(AND(Table1[[#This Row],[Throw Out Pass Eff]]="N", Table1[[#This Row],[Against FCS Team]]="N"), ROUND(((5.45 * D201) + (150 * F201) + (100 * G201) - (300 * H201)) / E201, 2), " ")</f>
        <v xml:space="preserve"> </v>
      </c>
      <c r="AB201">
        <f>IF(AND(Table1[[#This Row],[Throw Out Pass Def Eff]]="N", Table1[[#This Row],[Against FCS Team]]="N"),200 - ROUND(((5.45 * P201) + (150 * R201) + (100 * S201) - (300 * T201)) / Q201, 2), " ")</f>
        <v>79.98</v>
      </c>
      <c r="AC201">
        <f>IF(AND(Table1[[#This Row],[Throw Out Rush Eff]]="N", Table1[[#This Row],[Against FCS Team]]="N"), ROUND(((23.2 * I201) + (150 * K201) - (300 * L201)) / J201, 2), " ")</f>
        <v>10.52</v>
      </c>
      <c r="AD201" s="3">
        <f>IF(AND(Table1[[#This Row],[Throw Out Rush Def Eff]]="N", Table1[[#This Row],[Against FCS Team]]="N"), 200 - ROUND(((23.2 * U201) + (150 * W201) - (300 * X201)) / V201, 2), " ")</f>
        <v>108.6</v>
      </c>
      <c r="AE201" s="3">
        <f>ROUND(Table1[[#This Row],[Opp Passing Attempts]]/(Table1[[#This Row],[Opp Passing Attempts]]+Table1[[#This Row],[Opp Rushing Attempts]]), 2)</f>
        <v>0.39</v>
      </c>
      <c r="AF201" s="3">
        <f>1-Table1[[#This Row],[Passing Weight]]</f>
        <v>0.61</v>
      </c>
      <c r="AG201" s="3" t="str">
        <f>IF(COUNTIF(A:A,Table1[[#This Row],[Opp Team Name]]) &gt; 0, "N", "Y")</f>
        <v>N</v>
      </c>
      <c r="AH201" s="3" t="str">
        <f>IF(Table1[[#This Row],[Passing Attempts]] &lt;15, "Y", "N")</f>
        <v>Y</v>
      </c>
      <c r="AI201" s="3" t="str">
        <f>IF(Table1[[#This Row],[Rushing Attempts]] &lt; 15, "Y", "N")</f>
        <v>N</v>
      </c>
      <c r="AJ201" s="3" t="str">
        <f>IF(Table1[[#This Row],[Opp Passing Attempts]]&lt;15, "Y", "N")</f>
        <v>N</v>
      </c>
      <c r="AK201" s="3" t="str">
        <f>IF(Table1[[#This Row],[Opp Rushing Attempts]]&lt;15, "Y", "N")</f>
        <v>N</v>
      </c>
      <c r="AL20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0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87.06</v>
      </c>
      <c r="AN20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15.42</v>
      </c>
      <c r="AO20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80.98</v>
      </c>
      <c r="AP201" s="3">
        <f>ABS(Table1[[#This Row],[Team Score]]-Table1[[#This Row],[Opp Team Score]])</f>
        <v>44</v>
      </c>
      <c r="AQ201" s="3">
        <f>SUM(Table1[[#This Row],[Team Score]], Table1[[#This Row],[Opp Team Score]])</f>
        <v>44</v>
      </c>
      <c r="AR20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01" s="3" t="str">
        <f>IF(Table1[[#This Row],[Efficiency Difference]] = " ", " ", ROUND((Table1[[#This Row],[Winning Margin]]*100)/Table1[[#This Row],[Efficiency Difference]], 2))</f>
        <v xml:space="preserve"> </v>
      </c>
    </row>
    <row r="202" spans="1:45">
      <c r="A202" t="s">
        <v>68</v>
      </c>
      <c r="B202">
        <v>229</v>
      </c>
      <c r="C202">
        <v>14</v>
      </c>
      <c r="D202">
        <v>199</v>
      </c>
      <c r="E202">
        <v>32</v>
      </c>
      <c r="F202">
        <v>1</v>
      </c>
      <c r="G202">
        <v>21</v>
      </c>
      <c r="H202">
        <v>3</v>
      </c>
      <c r="I202">
        <v>108</v>
      </c>
      <c r="J202">
        <v>34</v>
      </c>
      <c r="K202">
        <v>0</v>
      </c>
      <c r="L202">
        <v>0</v>
      </c>
      <c r="M202" t="s">
        <v>32</v>
      </c>
      <c r="N202">
        <v>37</v>
      </c>
      <c r="O202">
        <v>30</v>
      </c>
      <c r="P202">
        <v>178</v>
      </c>
      <c r="Q202">
        <v>29</v>
      </c>
      <c r="R202">
        <v>2</v>
      </c>
      <c r="S202">
        <v>16</v>
      </c>
      <c r="T202">
        <v>1</v>
      </c>
      <c r="U202">
        <v>137</v>
      </c>
      <c r="V202">
        <v>33</v>
      </c>
      <c r="W202">
        <v>0</v>
      </c>
      <c r="X202">
        <v>0</v>
      </c>
      <c r="Y202" t="s">
        <v>19</v>
      </c>
      <c r="Z202">
        <v>4</v>
      </c>
      <c r="AA202">
        <f>IF(AND(Table1[[#This Row],[Throw Out Pass Eff]]="N", Table1[[#This Row],[Against FCS Team]]="N"), ROUND(((5.45 * D202) + (150 * F202) + (100 * G202) - (300 * H202)) / E202, 2), " ")</f>
        <v>76.08</v>
      </c>
      <c r="AB202">
        <f>IF(AND(Table1[[#This Row],[Throw Out Pass Def Eff]]="N", Table1[[#This Row],[Against FCS Team]]="N"),200 - ROUND(((5.45 * P202) + (150 * R202) + (100 * S202) - (300 * T202)) / Q202, 2), " ")</f>
        <v>111.38</v>
      </c>
      <c r="AC202">
        <f>IF(AND(Table1[[#This Row],[Throw Out Rush Eff]]="N", Table1[[#This Row],[Against FCS Team]]="N"), ROUND(((23.2 * I202) + (150 * K202) - (300 * L202)) / J202, 2), " ")</f>
        <v>73.69</v>
      </c>
      <c r="AD202" s="3">
        <f>IF(AND(Table1[[#This Row],[Throw Out Rush Def Eff]]="N", Table1[[#This Row],[Against FCS Team]]="N"), 200 - ROUND(((23.2 * U202) + (150 * W202) - (300 * X202)) / V202, 2), " ")</f>
        <v>103.68</v>
      </c>
      <c r="AE202" s="3">
        <f>ROUND(Table1[[#This Row],[Opp Passing Attempts]]/(Table1[[#This Row],[Opp Passing Attempts]]+Table1[[#This Row],[Opp Rushing Attempts]]), 2)</f>
        <v>0.47</v>
      </c>
      <c r="AF202" s="3">
        <f>1-Table1[[#This Row],[Passing Weight]]</f>
        <v>0.53</v>
      </c>
      <c r="AG202" s="3" t="str">
        <f>IF(COUNTIF(A:A,Table1[[#This Row],[Opp Team Name]]) &gt; 0, "N", "Y")</f>
        <v>N</v>
      </c>
      <c r="AH202" s="3" t="str">
        <f>IF(Table1[[#This Row],[Passing Attempts]] &lt;15, "Y", "N")</f>
        <v>N</v>
      </c>
      <c r="AI202" s="3" t="str">
        <f>IF(Table1[[#This Row],[Rushing Attempts]] &lt; 15, "Y", "N")</f>
        <v>N</v>
      </c>
      <c r="AJ202" s="3" t="str">
        <f>IF(Table1[[#This Row],[Opp Passing Attempts]]&lt;15, "Y", "N")</f>
        <v>N</v>
      </c>
      <c r="AK202" s="3" t="str">
        <f>IF(Table1[[#This Row],[Opp Rushing Attempts]]&lt;15, "Y", "N")</f>
        <v>N</v>
      </c>
      <c r="AL20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77.09</v>
      </c>
      <c r="AM20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92.88</v>
      </c>
      <c r="AN20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73.900000000000006</v>
      </c>
      <c r="AO20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109.4</v>
      </c>
      <c r="AP202" s="3">
        <f>ABS(Table1[[#This Row],[Team Score]]-Table1[[#This Row],[Opp Team Score]])</f>
        <v>16</v>
      </c>
      <c r="AQ202" s="3">
        <f>SUM(Table1[[#This Row],[Team Score]], Table1[[#This Row],[Opp Team Score]])</f>
        <v>44</v>
      </c>
      <c r="AR20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35.170000000000016</v>
      </c>
      <c r="AS202" s="3">
        <f>IF(Table1[[#This Row],[Efficiency Difference]] = " ", " ", ROUND((Table1[[#This Row],[Winning Margin]]*100)/Table1[[#This Row],[Efficiency Difference]], 2))</f>
        <v>45.49</v>
      </c>
    </row>
    <row r="203" spans="1:45">
      <c r="A203" t="s">
        <v>68</v>
      </c>
      <c r="B203">
        <v>229</v>
      </c>
      <c r="C203">
        <v>34</v>
      </c>
      <c r="D203">
        <v>219</v>
      </c>
      <c r="E203">
        <v>38</v>
      </c>
      <c r="F203">
        <v>3</v>
      </c>
      <c r="G203">
        <v>20</v>
      </c>
      <c r="H203">
        <v>1</v>
      </c>
      <c r="I203">
        <v>105</v>
      </c>
      <c r="J203">
        <v>27</v>
      </c>
      <c r="K203">
        <v>1</v>
      </c>
      <c r="L203">
        <v>0</v>
      </c>
      <c r="M203" t="s">
        <v>86</v>
      </c>
      <c r="N203">
        <v>671</v>
      </c>
      <c r="O203">
        <v>37</v>
      </c>
      <c r="P203">
        <v>329</v>
      </c>
      <c r="Q203">
        <v>34</v>
      </c>
      <c r="R203">
        <v>2</v>
      </c>
      <c r="S203">
        <v>26</v>
      </c>
      <c r="T203">
        <v>0</v>
      </c>
      <c r="U203">
        <v>130</v>
      </c>
      <c r="V203">
        <v>43</v>
      </c>
      <c r="W203">
        <v>2</v>
      </c>
      <c r="X203">
        <v>2</v>
      </c>
      <c r="Y203" t="s">
        <v>19</v>
      </c>
      <c r="Z203">
        <v>5</v>
      </c>
      <c r="AA203">
        <f>IF(AND(Table1[[#This Row],[Throw Out Pass Eff]]="N", Table1[[#This Row],[Against FCS Team]]="N"), ROUND(((5.45 * D203) + (150 * F203) + (100 * G203) - (300 * H203)) / E203, 2), " ")</f>
        <v>87.99</v>
      </c>
      <c r="AB203">
        <f>IF(AND(Table1[[#This Row],[Throw Out Pass Def Eff]]="N", Table1[[#This Row],[Against FCS Team]]="N"),200 - ROUND(((5.45 * P203) + (150 * R203) + (100 * S203) - (300 * T203)) / Q203, 2), " ")</f>
        <v>61.97</v>
      </c>
      <c r="AC203">
        <f>IF(AND(Table1[[#This Row],[Throw Out Rush Eff]]="N", Table1[[#This Row],[Against FCS Team]]="N"), ROUND(((23.2 * I203) + (150 * K203) - (300 * L203)) / J203, 2), " ")</f>
        <v>95.78</v>
      </c>
      <c r="AD203" s="3">
        <f>IF(AND(Table1[[#This Row],[Throw Out Rush Def Eff]]="N", Table1[[#This Row],[Against FCS Team]]="N"), 200 - ROUND(((23.2 * U203) + (150 * W203) - (300 * X203)) / V203, 2), " ")</f>
        <v>136.84</v>
      </c>
      <c r="AE203" s="3">
        <f>ROUND(Table1[[#This Row],[Opp Passing Attempts]]/(Table1[[#This Row],[Opp Passing Attempts]]+Table1[[#This Row],[Opp Rushing Attempts]]), 2)</f>
        <v>0.44</v>
      </c>
      <c r="AF203" s="3">
        <f>1-Table1[[#This Row],[Passing Weight]]</f>
        <v>0.56000000000000005</v>
      </c>
      <c r="AG203" s="3" t="str">
        <f>IF(COUNTIF(A:A,Table1[[#This Row],[Opp Team Name]]) &gt; 0, "N", "Y")</f>
        <v>N</v>
      </c>
      <c r="AH203" s="3" t="str">
        <f>IF(Table1[[#This Row],[Passing Attempts]] &lt;15, "Y", "N")</f>
        <v>N</v>
      </c>
      <c r="AI203" s="3" t="str">
        <f>IF(Table1[[#This Row],[Rushing Attempts]] &lt; 15, "Y", "N")</f>
        <v>N</v>
      </c>
      <c r="AJ203" s="3" t="str">
        <f>IF(Table1[[#This Row],[Opp Passing Attempts]]&lt;15, "Y", "N")</f>
        <v>N</v>
      </c>
      <c r="AK203" s="3" t="str">
        <f>IF(Table1[[#This Row],[Opp Rushing Attempts]]&lt;15, "Y", "N")</f>
        <v>N</v>
      </c>
      <c r="AL20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89.9</v>
      </c>
      <c r="AM20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66.83</v>
      </c>
      <c r="AN20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109.82</v>
      </c>
      <c r="AO20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106.48</v>
      </c>
      <c r="AP203" s="3">
        <f>ABS(Table1[[#This Row],[Team Score]]-Table1[[#This Row],[Opp Team Score]])</f>
        <v>3</v>
      </c>
      <c r="AQ203" s="3">
        <f>SUM(Table1[[#This Row],[Team Score]], Table1[[#This Row],[Opp Team Score]])</f>
        <v>71</v>
      </c>
      <c r="AR20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17.420000000000016</v>
      </c>
      <c r="AS203" s="3">
        <f>IF(Table1[[#This Row],[Efficiency Difference]] = " ", " ", ROUND((Table1[[#This Row],[Winning Margin]]*100)/Table1[[#This Row],[Efficiency Difference]], 2))</f>
        <v>17.22</v>
      </c>
    </row>
    <row r="204" spans="1:45">
      <c r="A204" t="s">
        <v>68</v>
      </c>
      <c r="B204">
        <v>229</v>
      </c>
      <c r="C204">
        <v>17</v>
      </c>
      <c r="D204">
        <v>165</v>
      </c>
      <c r="E204">
        <v>39</v>
      </c>
      <c r="F204">
        <v>1</v>
      </c>
      <c r="G204">
        <v>16</v>
      </c>
      <c r="H204">
        <v>3</v>
      </c>
      <c r="I204">
        <v>169</v>
      </c>
      <c r="J204">
        <v>35</v>
      </c>
      <c r="K204">
        <v>1</v>
      </c>
      <c r="L204">
        <v>1</v>
      </c>
      <c r="M204" t="s">
        <v>67</v>
      </c>
      <c r="N204">
        <v>497</v>
      </c>
      <c r="O204">
        <v>31</v>
      </c>
      <c r="P204">
        <v>108</v>
      </c>
      <c r="Q204">
        <v>27</v>
      </c>
      <c r="R204">
        <v>0</v>
      </c>
      <c r="S204">
        <v>13</v>
      </c>
      <c r="T204">
        <v>0</v>
      </c>
      <c r="U204">
        <v>129</v>
      </c>
      <c r="V204">
        <v>43</v>
      </c>
      <c r="W204">
        <v>2</v>
      </c>
      <c r="X204">
        <v>1</v>
      </c>
      <c r="Y204" t="s">
        <v>19</v>
      </c>
      <c r="Z204">
        <v>6</v>
      </c>
      <c r="AA204">
        <f>IF(AND(Table1[[#This Row],[Throw Out Pass Eff]]="N", Table1[[#This Row],[Against FCS Team]]="N"), ROUND(((5.45 * D204) + (150 * F204) + (100 * G204) - (300 * H204)) / E204, 2), " ")</f>
        <v>44.85</v>
      </c>
      <c r="AB204">
        <f>IF(AND(Table1[[#This Row],[Throw Out Pass Def Eff]]="N", Table1[[#This Row],[Against FCS Team]]="N"),200 - ROUND(((5.45 * P204) + (150 * R204) + (100 * S204) - (300 * T204)) / Q204, 2), " ")</f>
        <v>130.05000000000001</v>
      </c>
      <c r="AC204">
        <f>IF(AND(Table1[[#This Row],[Throw Out Rush Eff]]="N", Table1[[#This Row],[Against FCS Team]]="N"), ROUND(((23.2 * I204) + (150 * K204) - (300 * L204)) / J204, 2), " ")</f>
        <v>107.74</v>
      </c>
      <c r="AD204" s="3">
        <f>IF(AND(Table1[[#This Row],[Throw Out Rush Def Eff]]="N", Table1[[#This Row],[Against FCS Team]]="N"), 200 - ROUND(((23.2 * U204) + (150 * W204) - (300 * X204)) / V204, 2), " ")</f>
        <v>130.4</v>
      </c>
      <c r="AE204" s="3">
        <f>ROUND(Table1[[#This Row],[Opp Passing Attempts]]/(Table1[[#This Row],[Opp Passing Attempts]]+Table1[[#This Row],[Opp Rushing Attempts]]), 2)</f>
        <v>0.39</v>
      </c>
      <c r="AF204" s="3">
        <f>1-Table1[[#This Row],[Passing Weight]]</f>
        <v>0.61</v>
      </c>
      <c r="AG204" s="3" t="str">
        <f>IF(COUNTIF(A:A,Table1[[#This Row],[Opp Team Name]]) &gt; 0, "N", "Y")</f>
        <v>N</v>
      </c>
      <c r="AH204" s="3" t="str">
        <f>IF(Table1[[#This Row],[Passing Attempts]] &lt;15, "Y", "N")</f>
        <v>N</v>
      </c>
      <c r="AI204" s="3" t="str">
        <f>IF(Table1[[#This Row],[Rushing Attempts]] &lt; 15, "Y", "N")</f>
        <v>N</v>
      </c>
      <c r="AJ204" s="3" t="str">
        <f>IF(Table1[[#This Row],[Opp Passing Attempts]]&lt;15, "Y", "N")</f>
        <v>N</v>
      </c>
      <c r="AK204" s="3" t="str">
        <f>IF(Table1[[#This Row],[Opp Rushing Attempts]]&lt;15, "Y", "N")</f>
        <v>N</v>
      </c>
      <c r="AL20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41.99</v>
      </c>
      <c r="AM20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116.18</v>
      </c>
      <c r="AN20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104.22</v>
      </c>
      <c r="AO20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87.82</v>
      </c>
      <c r="AP204" s="3">
        <f>ABS(Table1[[#This Row],[Team Score]]-Table1[[#This Row],[Opp Team Score]])</f>
        <v>14</v>
      </c>
      <c r="AQ204" s="3">
        <f>SUM(Table1[[#This Row],[Team Score]], Table1[[#This Row],[Opp Team Score]])</f>
        <v>48</v>
      </c>
      <c r="AR20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13.040000000000049</v>
      </c>
      <c r="AS204" s="3">
        <f>IF(Table1[[#This Row],[Efficiency Difference]] = " ", " ", ROUND((Table1[[#This Row],[Winning Margin]]*100)/Table1[[#This Row],[Efficiency Difference]], 2))</f>
        <v>107.36</v>
      </c>
    </row>
    <row r="205" spans="1:45">
      <c r="A205" t="s">
        <v>68</v>
      </c>
      <c r="B205">
        <v>229</v>
      </c>
      <c r="C205">
        <v>0</v>
      </c>
      <c r="D205">
        <v>96</v>
      </c>
      <c r="E205">
        <v>24</v>
      </c>
      <c r="F205">
        <v>0</v>
      </c>
      <c r="G205">
        <v>12</v>
      </c>
      <c r="H205">
        <v>0</v>
      </c>
      <c r="I205">
        <v>25</v>
      </c>
      <c r="J205">
        <v>25</v>
      </c>
      <c r="K205">
        <v>0</v>
      </c>
      <c r="L205">
        <v>0</v>
      </c>
      <c r="M205" t="s">
        <v>85</v>
      </c>
      <c r="N205">
        <v>772</v>
      </c>
      <c r="O205">
        <v>20</v>
      </c>
      <c r="P205">
        <v>85</v>
      </c>
      <c r="Q205">
        <v>15</v>
      </c>
      <c r="R205">
        <v>0</v>
      </c>
      <c r="S205">
        <v>8</v>
      </c>
      <c r="T205">
        <v>0</v>
      </c>
      <c r="U205">
        <v>204</v>
      </c>
      <c r="V205">
        <v>50</v>
      </c>
      <c r="W205">
        <v>3</v>
      </c>
      <c r="X205">
        <v>0</v>
      </c>
      <c r="Y205" t="s">
        <v>19</v>
      </c>
      <c r="Z205">
        <v>7</v>
      </c>
      <c r="AA205">
        <f>IF(AND(Table1[[#This Row],[Throw Out Pass Eff]]="N", Table1[[#This Row],[Against FCS Team]]="N"), ROUND(((5.45 * D205) + (150 * F205) + (100 * G205) - (300 * H205)) / E205, 2), " ")</f>
        <v>71.8</v>
      </c>
      <c r="AB205">
        <f>IF(AND(Table1[[#This Row],[Throw Out Pass Def Eff]]="N", Table1[[#This Row],[Against FCS Team]]="N"),200 - ROUND(((5.45 * P205) + (150 * R205) + (100 * S205) - (300 * T205)) / Q205, 2), " ")</f>
        <v>115.78</v>
      </c>
      <c r="AC205">
        <f>IF(AND(Table1[[#This Row],[Throw Out Rush Eff]]="N", Table1[[#This Row],[Against FCS Team]]="N"), ROUND(((23.2 * I205) + (150 * K205) - (300 * L205)) / J205, 2), " ")</f>
        <v>23.2</v>
      </c>
      <c r="AD205" s="3">
        <f>IF(AND(Table1[[#This Row],[Throw Out Rush Def Eff]]="N", Table1[[#This Row],[Against FCS Team]]="N"), 200 - ROUND(((23.2 * U205) + (150 * W205) - (300 * X205)) / V205, 2), " ")</f>
        <v>96.34</v>
      </c>
      <c r="AE205" s="3">
        <f>ROUND(Table1[[#This Row],[Opp Passing Attempts]]/(Table1[[#This Row],[Opp Passing Attempts]]+Table1[[#This Row],[Opp Rushing Attempts]]), 2)</f>
        <v>0.23</v>
      </c>
      <c r="AF205" s="3">
        <f>1-Table1[[#This Row],[Passing Weight]]</f>
        <v>0.77</v>
      </c>
      <c r="AG205" s="3" t="str">
        <f>IF(COUNTIF(A:A,Table1[[#This Row],[Opp Team Name]]) &gt; 0, "N", "Y")</f>
        <v>N</v>
      </c>
      <c r="AH205" s="3" t="str">
        <f>IF(Table1[[#This Row],[Passing Attempts]] &lt;15, "Y", "N")</f>
        <v>N</v>
      </c>
      <c r="AI205" s="3" t="str">
        <f>IF(Table1[[#This Row],[Rushing Attempts]] &lt; 15, "Y", "N")</f>
        <v>N</v>
      </c>
      <c r="AJ205" s="3" t="str">
        <f>IF(Table1[[#This Row],[Opp Passing Attempts]]&lt;15, "Y", "N")</f>
        <v>N</v>
      </c>
      <c r="AK205" s="3" t="str">
        <f>IF(Table1[[#This Row],[Opp Rushing Attempts]]&lt;15, "Y", "N")</f>
        <v>N</v>
      </c>
      <c r="AL20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85.36</v>
      </c>
      <c r="AM20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92.73</v>
      </c>
      <c r="AN20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26.01</v>
      </c>
      <c r="AO20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91.82</v>
      </c>
      <c r="AP205" s="3">
        <f>ABS(Table1[[#This Row],[Team Score]]-Table1[[#This Row],[Opp Team Score]])</f>
        <v>20</v>
      </c>
      <c r="AQ205" s="3">
        <f>SUM(Table1[[#This Row],[Team Score]], Table1[[#This Row],[Opp Team Score]])</f>
        <v>20</v>
      </c>
      <c r="AR20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92.88</v>
      </c>
      <c r="AS205" s="3">
        <f>IF(Table1[[#This Row],[Efficiency Difference]] = " ", " ", ROUND((Table1[[#This Row],[Winning Margin]]*100)/Table1[[#This Row],[Efficiency Difference]], 2))</f>
        <v>21.53</v>
      </c>
    </row>
    <row r="206" spans="1:45">
      <c r="A206" t="s">
        <v>68</v>
      </c>
      <c r="B206">
        <v>229</v>
      </c>
      <c r="C206">
        <v>14</v>
      </c>
      <c r="D206">
        <v>135</v>
      </c>
      <c r="E206">
        <v>29</v>
      </c>
      <c r="F206">
        <v>1</v>
      </c>
      <c r="G206">
        <v>14</v>
      </c>
      <c r="H206">
        <v>1</v>
      </c>
      <c r="I206">
        <v>141</v>
      </c>
      <c r="J206">
        <v>35</v>
      </c>
      <c r="K206">
        <v>1</v>
      </c>
      <c r="L206">
        <v>5</v>
      </c>
      <c r="M206" t="s">
        <v>100</v>
      </c>
      <c r="N206">
        <v>419</v>
      </c>
      <c r="O206">
        <v>38</v>
      </c>
      <c r="P206">
        <v>292</v>
      </c>
      <c r="Q206">
        <v>42</v>
      </c>
      <c r="R206">
        <v>3</v>
      </c>
      <c r="S206">
        <v>31</v>
      </c>
      <c r="T206">
        <v>2</v>
      </c>
      <c r="U206">
        <v>187</v>
      </c>
      <c r="V206">
        <v>48</v>
      </c>
      <c r="W206">
        <v>2</v>
      </c>
      <c r="X206">
        <v>1</v>
      </c>
      <c r="Y206" t="s">
        <v>19</v>
      </c>
      <c r="Z206">
        <v>8</v>
      </c>
      <c r="AA206" s="3">
        <f>IF(AND(Table1[[#This Row],[Throw Out Pass Eff]]="N", Table1[[#This Row],[Against FCS Team]]="N"), ROUND(((5.45 * D206) + (150 * F206) + (100 * G206) - (300 * H206)) / E206, 2), " ")</f>
        <v>68.47</v>
      </c>
      <c r="AB206" s="3">
        <f>IF(AND(Table1[[#This Row],[Throw Out Pass Def Eff]]="N", Table1[[#This Row],[Against FCS Team]]="N"),200 - ROUND(((5.45 * P206) + (150 * R206) + (100 * S206) - (300 * T206)) / Q206, 2), " ")</f>
        <v>91.87</v>
      </c>
      <c r="AC206" s="3">
        <f>IF(AND(Table1[[#This Row],[Throw Out Rush Eff]]="N", Table1[[#This Row],[Against FCS Team]]="N"), ROUND(((23.2 * I206) + (150 * K206) - (300 * L206)) / J206, 2), " ")</f>
        <v>54.89</v>
      </c>
      <c r="AD206" s="3">
        <f>IF(AND(Table1[[#This Row],[Throw Out Rush Def Eff]]="N", Table1[[#This Row],[Against FCS Team]]="N"), 200 - ROUND(((23.2 * U206) + (150 * W206) - (300 * X206)) / V206, 2), " ")</f>
        <v>109.62</v>
      </c>
      <c r="AE206" s="3">
        <f>ROUND(Table1[[#This Row],[Opp Passing Attempts]]/(Table1[[#This Row],[Opp Passing Attempts]]+Table1[[#This Row],[Opp Rushing Attempts]]), 2)</f>
        <v>0.47</v>
      </c>
      <c r="AF206" s="3">
        <f>1-Table1[[#This Row],[Passing Weight]]</f>
        <v>0.53</v>
      </c>
      <c r="AG206" s="3" t="str">
        <f>IF(COUNTIF(A:A,Table1[[#This Row],[Opp Team Name]]) &gt; 0, "N", "Y")</f>
        <v>N</v>
      </c>
      <c r="AH206" s="3" t="str">
        <f>IF(Table1[[#This Row],[Passing Attempts]] &lt;15, "Y", "N")</f>
        <v>N</v>
      </c>
      <c r="AI206" s="3" t="str">
        <f>IF(Table1[[#This Row],[Rushing Attempts]] &lt; 15, "Y", "N")</f>
        <v>N</v>
      </c>
      <c r="AJ206" s="3" t="str">
        <f>IF(Table1[[#This Row],[Opp Passing Attempts]]&lt;15, "Y", "N")</f>
        <v>N</v>
      </c>
      <c r="AK206" s="3" t="str">
        <f>IF(Table1[[#This Row],[Opp Rushing Attempts]]&lt;15, "Y", "N")</f>
        <v>N</v>
      </c>
      <c r="AL20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71.3</v>
      </c>
      <c r="AM20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89.76</v>
      </c>
      <c r="AN20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60.24</v>
      </c>
      <c r="AO20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119.17</v>
      </c>
      <c r="AP206" s="3">
        <f>ABS(Table1[[#This Row],[Team Score]]-Table1[[#This Row],[Opp Team Score]])</f>
        <v>24</v>
      </c>
      <c r="AQ206" s="3">
        <f>SUM(Table1[[#This Row],[Team Score]], Table1[[#This Row],[Opp Team Score]])</f>
        <v>52</v>
      </c>
      <c r="AR20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75.149999999999991</v>
      </c>
      <c r="AS206" s="3">
        <f>IF(Table1[[#This Row],[Efficiency Difference]] = " ", " ", ROUND((Table1[[#This Row],[Winning Margin]]*100)/Table1[[#This Row],[Efficiency Difference]], 2))</f>
        <v>31.94</v>
      </c>
    </row>
    <row r="207" spans="1:45">
      <c r="A207" t="s">
        <v>69</v>
      </c>
      <c r="B207">
        <v>235</v>
      </c>
      <c r="C207">
        <v>41</v>
      </c>
      <c r="D207">
        <v>271</v>
      </c>
      <c r="E207">
        <v>36</v>
      </c>
      <c r="F207">
        <v>1</v>
      </c>
      <c r="G207">
        <v>25</v>
      </c>
      <c r="H207">
        <v>3</v>
      </c>
      <c r="I207">
        <v>197</v>
      </c>
      <c r="J207">
        <v>33</v>
      </c>
      <c r="K207">
        <v>3</v>
      </c>
      <c r="L207">
        <v>0</v>
      </c>
      <c r="M207" t="s">
        <v>68</v>
      </c>
      <c r="N207">
        <v>229</v>
      </c>
      <c r="O207">
        <v>3</v>
      </c>
      <c r="P207">
        <v>107</v>
      </c>
      <c r="Q207">
        <v>27</v>
      </c>
      <c r="R207">
        <v>0</v>
      </c>
      <c r="S207">
        <v>14</v>
      </c>
      <c r="T207">
        <v>0</v>
      </c>
      <c r="U207">
        <v>30</v>
      </c>
      <c r="V207">
        <v>30</v>
      </c>
      <c r="W207">
        <v>0</v>
      </c>
      <c r="X207">
        <v>0</v>
      </c>
      <c r="Y207" t="s">
        <v>16</v>
      </c>
      <c r="Z207">
        <v>1</v>
      </c>
      <c r="AA207">
        <f>IF(AND(Table1[[#This Row],[Throw Out Pass Eff]]="N", Table1[[#This Row],[Against FCS Team]]="N"), ROUND(((5.45 * D207) + (150 * F207) + (100 * G207) - (300 * H207)) / E207, 2), " ")</f>
        <v>89.64</v>
      </c>
      <c r="AB207">
        <f>IF(AND(Table1[[#This Row],[Throw Out Pass Def Eff]]="N", Table1[[#This Row],[Against FCS Team]]="N"),200 - ROUND(((5.45 * P207) + (150 * R207) + (100 * S207) - (300 * T207)) / Q207, 2), " ")</f>
        <v>126.55</v>
      </c>
      <c r="AC207">
        <f>IF(AND(Table1[[#This Row],[Throw Out Rush Eff]]="N", Table1[[#This Row],[Against FCS Team]]="N"), ROUND(((23.2 * I207) + (150 * K207) - (300 * L207)) / J207, 2), " ")</f>
        <v>152.13</v>
      </c>
      <c r="AD207" s="3">
        <f>IF(AND(Table1[[#This Row],[Throw Out Rush Def Eff]]="N", Table1[[#This Row],[Against FCS Team]]="N"), 200 - ROUND(((23.2 * U207) + (150 * W207) - (300 * X207)) / V207, 2), " ")</f>
        <v>176.8</v>
      </c>
      <c r="AE207" s="3">
        <f>ROUND(Table1[[#This Row],[Opp Passing Attempts]]/(Table1[[#This Row],[Opp Passing Attempts]]+Table1[[#This Row],[Opp Rushing Attempts]]), 2)</f>
        <v>0.47</v>
      </c>
      <c r="AF207" s="3">
        <f>1-Table1[[#This Row],[Passing Weight]]</f>
        <v>0.53</v>
      </c>
      <c r="AG207" s="3" t="str">
        <f>IF(COUNTIF(A:A,Table1[[#This Row],[Opp Team Name]]) &gt; 0, "N", "Y")</f>
        <v>N</v>
      </c>
      <c r="AH207" s="3" t="str">
        <f>IF(Table1[[#This Row],[Passing Attempts]] &lt;15, "Y", "N")</f>
        <v>N</v>
      </c>
      <c r="AI207" s="3" t="str">
        <f>IF(Table1[[#This Row],[Rushing Attempts]] &lt; 15, "Y", "N")</f>
        <v>N</v>
      </c>
      <c r="AJ207" s="3" t="str">
        <f>IF(Table1[[#This Row],[Opp Passing Attempts]]&lt;15, "Y", "N")</f>
        <v>N</v>
      </c>
      <c r="AK207" s="3" t="str">
        <f>IF(Table1[[#This Row],[Opp Rushing Attempts]]&lt;15, "Y", "N")</f>
        <v>N</v>
      </c>
      <c r="AL20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89.82</v>
      </c>
      <c r="AM20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89.14</v>
      </c>
      <c r="AN20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159.38</v>
      </c>
      <c r="AO20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98.26</v>
      </c>
      <c r="AP207" s="3">
        <f>ABS(Table1[[#This Row],[Team Score]]-Table1[[#This Row],[Opp Team Score]])</f>
        <v>38</v>
      </c>
      <c r="AQ207" s="3">
        <f>SUM(Table1[[#This Row],[Team Score]], Table1[[#This Row],[Opp Team Score]])</f>
        <v>44</v>
      </c>
      <c r="AR20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145.12</v>
      </c>
      <c r="AS207" s="3">
        <f>IF(Table1[[#This Row],[Efficiency Difference]] = " ", " ", ROUND((Table1[[#This Row],[Winning Margin]]*100)/Table1[[#This Row],[Efficiency Difference]], 2))</f>
        <v>26.19</v>
      </c>
    </row>
    <row r="208" spans="1:45">
      <c r="A208" t="s">
        <v>69</v>
      </c>
      <c r="B208">
        <v>235</v>
      </c>
      <c r="C208">
        <v>39</v>
      </c>
      <c r="D208">
        <v>212</v>
      </c>
      <c r="E208">
        <v>20</v>
      </c>
      <c r="F208">
        <v>0</v>
      </c>
      <c r="G208">
        <v>13</v>
      </c>
      <c r="H208">
        <v>0</v>
      </c>
      <c r="I208">
        <v>300</v>
      </c>
      <c r="J208">
        <v>55</v>
      </c>
      <c r="K208">
        <v>4</v>
      </c>
      <c r="L208">
        <v>0</v>
      </c>
      <c r="M208" t="s">
        <v>170</v>
      </c>
      <c r="N208">
        <v>9</v>
      </c>
      <c r="O208">
        <v>0</v>
      </c>
      <c r="P208">
        <v>141</v>
      </c>
      <c r="Q208">
        <v>29</v>
      </c>
      <c r="R208">
        <v>0</v>
      </c>
      <c r="S208">
        <v>15</v>
      </c>
      <c r="T208">
        <v>0</v>
      </c>
      <c r="U208">
        <v>71</v>
      </c>
      <c r="V208">
        <v>23</v>
      </c>
      <c r="W208">
        <v>0</v>
      </c>
      <c r="X208">
        <v>1</v>
      </c>
      <c r="Y208" t="s">
        <v>16</v>
      </c>
      <c r="Z208">
        <v>2</v>
      </c>
      <c r="AA208">
        <f>IF(AND(Table1[[#This Row],[Throw Out Pass Eff]]="N", Table1[[#This Row],[Against FCS Team]]="N"), ROUND(((5.45 * D208) + (150 * F208) + (100 * G208) - (300 * H208)) / E208, 2), " ")</f>
        <v>122.77</v>
      </c>
      <c r="AB208">
        <f>IF(AND(Table1[[#This Row],[Throw Out Pass Def Eff]]="N", Table1[[#This Row],[Against FCS Team]]="N"),200 - ROUND(((5.45 * P208) + (150 * R208) + (100 * S208) - (300 * T208)) / Q208, 2), " ")</f>
        <v>121.78</v>
      </c>
      <c r="AC208">
        <f>IF(AND(Table1[[#This Row],[Throw Out Rush Eff]]="N", Table1[[#This Row],[Against FCS Team]]="N"), ROUND(((23.2 * I208) + (150 * K208) - (300 * L208)) / J208, 2), " ")</f>
        <v>137.44999999999999</v>
      </c>
      <c r="AD208" s="3">
        <f>IF(AND(Table1[[#This Row],[Throw Out Rush Def Eff]]="N", Table1[[#This Row],[Against FCS Team]]="N"), 200 - ROUND(((23.2 * U208) + (150 * W208) - (300 * X208)) / V208, 2), " ")</f>
        <v>141.43</v>
      </c>
      <c r="AE208" s="3">
        <f>ROUND(Table1[[#This Row],[Opp Passing Attempts]]/(Table1[[#This Row],[Opp Passing Attempts]]+Table1[[#This Row],[Opp Rushing Attempts]]), 2)</f>
        <v>0.56000000000000005</v>
      </c>
      <c r="AF208" s="3">
        <f>1-Table1[[#This Row],[Passing Weight]]</f>
        <v>0.43999999999999995</v>
      </c>
      <c r="AG208" s="3" t="str">
        <f>IF(COUNTIF(A:A,Table1[[#This Row],[Opp Team Name]]) &gt; 0, "N", "Y")</f>
        <v>N</v>
      </c>
      <c r="AH208" s="3" t="str">
        <f>IF(Table1[[#This Row],[Passing Attempts]] &lt;15, "Y", "N")</f>
        <v>N</v>
      </c>
      <c r="AI208" s="3" t="str">
        <f>IF(Table1[[#This Row],[Rushing Attempts]] &lt; 15, "Y", "N")</f>
        <v>N</v>
      </c>
      <c r="AJ208" s="3" t="str">
        <f>IF(Table1[[#This Row],[Opp Passing Attempts]]&lt;15, "Y", "N")</f>
        <v>N</v>
      </c>
      <c r="AK208" s="3" t="str">
        <f>IF(Table1[[#This Row],[Opp Rushing Attempts]]&lt;15, "Y", "N")</f>
        <v>N</v>
      </c>
      <c r="AL20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99.02</v>
      </c>
      <c r="AM20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91.68</v>
      </c>
      <c r="AN20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119.91</v>
      </c>
      <c r="AO20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115.11</v>
      </c>
      <c r="AP208" s="3">
        <f>ABS(Table1[[#This Row],[Team Score]]-Table1[[#This Row],[Opp Team Score]])</f>
        <v>39</v>
      </c>
      <c r="AQ208" s="3">
        <f>SUM(Table1[[#This Row],[Team Score]], Table1[[#This Row],[Opp Team Score]])</f>
        <v>39</v>
      </c>
      <c r="AR20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123.43</v>
      </c>
      <c r="AS208" s="3">
        <f>IF(Table1[[#This Row],[Efficiency Difference]] = " ", " ", ROUND((Table1[[#This Row],[Winning Margin]]*100)/Table1[[#This Row],[Efficiency Difference]], 2))</f>
        <v>31.6</v>
      </c>
    </row>
    <row r="209" spans="1:45">
      <c r="A209" t="s">
        <v>69</v>
      </c>
      <c r="B209">
        <v>235</v>
      </c>
      <c r="C209">
        <v>33</v>
      </c>
      <c r="D209">
        <v>213</v>
      </c>
      <c r="E209">
        <v>23</v>
      </c>
      <c r="F209">
        <v>2</v>
      </c>
      <c r="G209">
        <v>14</v>
      </c>
      <c r="H209">
        <v>0</v>
      </c>
      <c r="I209">
        <v>134</v>
      </c>
      <c r="J209">
        <v>40</v>
      </c>
      <c r="K209">
        <v>1</v>
      </c>
      <c r="L209">
        <v>1</v>
      </c>
      <c r="M209" t="s">
        <v>134</v>
      </c>
      <c r="N209">
        <v>694</v>
      </c>
      <c r="O209">
        <v>23</v>
      </c>
      <c r="P209">
        <v>288</v>
      </c>
      <c r="Q209">
        <v>48</v>
      </c>
      <c r="R209">
        <v>3</v>
      </c>
      <c r="S209">
        <v>26</v>
      </c>
      <c r="T209">
        <v>2</v>
      </c>
      <c r="U209">
        <v>-9</v>
      </c>
      <c r="V209">
        <v>21</v>
      </c>
      <c r="W209">
        <v>0</v>
      </c>
      <c r="X209">
        <v>0</v>
      </c>
      <c r="Y209" t="s">
        <v>16</v>
      </c>
      <c r="Z209">
        <v>3</v>
      </c>
      <c r="AA209">
        <f>IF(AND(Table1[[#This Row],[Throw Out Pass Eff]]="N", Table1[[#This Row],[Against FCS Team]]="N"), ROUND(((5.45 * D209) + (150 * F209) + (100 * G209) - (300 * H209)) / E209, 2), " ")</f>
        <v>124.38</v>
      </c>
      <c r="AB209">
        <f>IF(AND(Table1[[#This Row],[Throw Out Pass Def Eff]]="N", Table1[[#This Row],[Against FCS Team]]="N"),200 - ROUND(((5.45 * P209) + (150 * R209) + (100 * S209) - (300 * T209)) / Q209, 2), " ")</f>
        <v>116.26</v>
      </c>
      <c r="AC209">
        <f>IF(AND(Table1[[#This Row],[Throw Out Rush Eff]]="N", Table1[[#This Row],[Against FCS Team]]="N"), ROUND(((23.2 * I209) + (150 * K209) - (300 * L209)) / J209, 2), " ")</f>
        <v>73.97</v>
      </c>
      <c r="AD209" s="3">
        <f>IF(AND(Table1[[#This Row],[Throw Out Rush Def Eff]]="N", Table1[[#This Row],[Against FCS Team]]="N"), 200 - ROUND(((23.2 * U209) + (150 * W209) - (300 * X209)) / V209, 2), " ")</f>
        <v>209.94</v>
      </c>
      <c r="AE209" s="3">
        <f>ROUND(Table1[[#This Row],[Opp Passing Attempts]]/(Table1[[#This Row],[Opp Passing Attempts]]+Table1[[#This Row],[Opp Rushing Attempts]]), 2)</f>
        <v>0.7</v>
      </c>
      <c r="AF209" s="3">
        <f>1-Table1[[#This Row],[Passing Weight]]</f>
        <v>0.30000000000000004</v>
      </c>
      <c r="AG209" s="3" t="str">
        <f>IF(COUNTIF(A:A,Table1[[#This Row],[Opp Team Name]]) &gt; 0, "N", "Y")</f>
        <v>N</v>
      </c>
      <c r="AH209" s="3" t="str">
        <f>IF(Table1[[#This Row],[Passing Attempts]] &lt;15, "Y", "N")</f>
        <v>N</v>
      </c>
      <c r="AI209" s="3" t="str">
        <f>IF(Table1[[#This Row],[Rushing Attempts]] &lt; 15, "Y", "N")</f>
        <v>N</v>
      </c>
      <c r="AJ209" s="3" t="str">
        <f>IF(Table1[[#This Row],[Opp Passing Attempts]]&lt;15, "Y", "N")</f>
        <v>N</v>
      </c>
      <c r="AK209" s="3" t="str">
        <f>IF(Table1[[#This Row],[Opp Rushing Attempts]]&lt;15, "Y", "N")</f>
        <v>N</v>
      </c>
      <c r="AL20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112.97</v>
      </c>
      <c r="AM20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109.32</v>
      </c>
      <c r="AN20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67.14</v>
      </c>
      <c r="AO20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103.69</v>
      </c>
      <c r="AP209" s="3">
        <f>ABS(Table1[[#This Row],[Team Score]]-Table1[[#This Row],[Opp Team Score]])</f>
        <v>10</v>
      </c>
      <c r="AQ209" s="3">
        <f>SUM(Table1[[#This Row],[Team Score]], Table1[[#This Row],[Opp Team Score]])</f>
        <v>56</v>
      </c>
      <c r="AR20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124.54999999999998</v>
      </c>
      <c r="AS209" s="3">
        <f>IF(Table1[[#This Row],[Efficiency Difference]] = " ", " ", ROUND((Table1[[#This Row],[Winning Margin]]*100)/Table1[[#This Row],[Efficiency Difference]], 2))</f>
        <v>8.0299999999999994</v>
      </c>
    </row>
    <row r="210" spans="1:45">
      <c r="A210" t="s">
        <v>69</v>
      </c>
      <c r="B210">
        <v>235</v>
      </c>
      <c r="C210">
        <v>48</v>
      </c>
      <c r="D210">
        <v>115</v>
      </c>
      <c r="E210">
        <v>18</v>
      </c>
      <c r="F210">
        <v>1</v>
      </c>
      <c r="G210">
        <v>8</v>
      </c>
      <c r="H210">
        <v>1</v>
      </c>
      <c r="I210">
        <v>405</v>
      </c>
      <c r="J210">
        <v>46</v>
      </c>
      <c r="K210">
        <v>4</v>
      </c>
      <c r="L210">
        <v>2</v>
      </c>
      <c r="M210" t="s">
        <v>84</v>
      </c>
      <c r="N210">
        <v>334</v>
      </c>
      <c r="O210">
        <v>10</v>
      </c>
      <c r="P210">
        <v>165</v>
      </c>
      <c r="Q210">
        <v>44</v>
      </c>
      <c r="R210">
        <v>1</v>
      </c>
      <c r="S210">
        <v>22</v>
      </c>
      <c r="T210">
        <v>2</v>
      </c>
      <c r="U210">
        <v>134</v>
      </c>
      <c r="V210">
        <v>36</v>
      </c>
      <c r="W210">
        <v>0</v>
      </c>
      <c r="X210">
        <v>2</v>
      </c>
      <c r="Y210" t="s">
        <v>16</v>
      </c>
      <c r="Z210">
        <v>4</v>
      </c>
      <c r="AA210">
        <f>IF(AND(Table1[[#This Row],[Throw Out Pass Eff]]="N", Table1[[#This Row],[Against FCS Team]]="N"), ROUND(((5.45 * D210) + (150 * F210) + (100 * G210) - (300 * H210)) / E210, 2), " ")</f>
        <v>70.930000000000007</v>
      </c>
      <c r="AB210">
        <f>IF(AND(Table1[[#This Row],[Throw Out Pass Def Eff]]="N", Table1[[#This Row],[Against FCS Team]]="N"),200 - ROUND(((5.45 * P210) + (150 * R210) + (100 * S210) - (300 * T210)) / Q210, 2), " ")</f>
        <v>139.79</v>
      </c>
      <c r="AC210">
        <f>IF(AND(Table1[[#This Row],[Throw Out Rush Eff]]="N", Table1[[#This Row],[Against FCS Team]]="N"), ROUND(((23.2 * I210) + (150 * K210) - (300 * L210)) / J210, 2), " ")</f>
        <v>204.26</v>
      </c>
      <c r="AD210" s="3">
        <f>IF(AND(Table1[[#This Row],[Throw Out Rush Def Eff]]="N", Table1[[#This Row],[Against FCS Team]]="N"), 200 - ROUND(((23.2 * U210) + (150 * W210) - (300 * X210)) / V210, 2), " ")</f>
        <v>130.31</v>
      </c>
      <c r="AE210" s="3">
        <f>ROUND(Table1[[#This Row],[Opp Passing Attempts]]/(Table1[[#This Row],[Opp Passing Attempts]]+Table1[[#This Row],[Opp Rushing Attempts]]), 2)</f>
        <v>0.55000000000000004</v>
      </c>
      <c r="AF210" s="3">
        <f>1-Table1[[#This Row],[Passing Weight]]</f>
        <v>0.44999999999999996</v>
      </c>
      <c r="AG210" s="3" t="str">
        <f>IF(COUNTIF(A:A,Table1[[#This Row],[Opp Team Name]]) &gt; 0, "N", "Y")</f>
        <v>N</v>
      </c>
      <c r="AH210" s="3" t="str">
        <f>IF(Table1[[#This Row],[Passing Attempts]] &lt;15, "Y", "N")</f>
        <v>N</v>
      </c>
      <c r="AI210" s="3" t="str">
        <f>IF(Table1[[#This Row],[Rushing Attempts]] &lt; 15, "Y", "N")</f>
        <v>N</v>
      </c>
      <c r="AJ210" s="3" t="str">
        <f>IF(Table1[[#This Row],[Opp Passing Attempts]]&lt;15, "Y", "N")</f>
        <v>N</v>
      </c>
      <c r="AK210" s="3" t="str">
        <f>IF(Table1[[#This Row],[Opp Rushing Attempts]]&lt;15, "Y", "N")</f>
        <v>N</v>
      </c>
      <c r="AL2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83.98</v>
      </c>
      <c r="AM2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67.260000000000005</v>
      </c>
      <c r="AN2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173.56</v>
      </c>
      <c r="AO2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84.86</v>
      </c>
      <c r="AP210" s="3">
        <f>ABS(Table1[[#This Row],[Team Score]]-Table1[[#This Row],[Opp Team Score]])</f>
        <v>38</v>
      </c>
      <c r="AQ210" s="3">
        <f>SUM(Table1[[#This Row],[Team Score]], Table1[[#This Row],[Opp Team Score]])</f>
        <v>58</v>
      </c>
      <c r="AR2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145.29000000000002</v>
      </c>
      <c r="AS210" s="3">
        <f>IF(Table1[[#This Row],[Efficiency Difference]] = " ", " ", ROUND((Table1[[#This Row],[Winning Margin]]*100)/Table1[[#This Row],[Efficiency Difference]], 2))</f>
        <v>26.15</v>
      </c>
    </row>
    <row r="211" spans="1:45">
      <c r="A211" t="s">
        <v>69</v>
      </c>
      <c r="B211">
        <v>235</v>
      </c>
      <c r="C211">
        <v>10</v>
      </c>
      <c r="D211">
        <v>207</v>
      </c>
      <c r="E211">
        <v>23</v>
      </c>
      <c r="F211">
        <v>1</v>
      </c>
      <c r="G211">
        <v>14</v>
      </c>
      <c r="H211">
        <v>1</v>
      </c>
      <c r="I211">
        <v>15</v>
      </c>
      <c r="J211">
        <v>29</v>
      </c>
      <c r="K211">
        <v>0</v>
      </c>
      <c r="L211">
        <v>1</v>
      </c>
      <c r="M211" t="s">
        <v>20</v>
      </c>
      <c r="N211">
        <v>8</v>
      </c>
      <c r="O211">
        <v>38</v>
      </c>
      <c r="P211">
        <v>140</v>
      </c>
      <c r="Q211">
        <v>25</v>
      </c>
      <c r="R211">
        <v>0</v>
      </c>
      <c r="S211">
        <v>12</v>
      </c>
      <c r="T211">
        <v>0</v>
      </c>
      <c r="U211">
        <v>226</v>
      </c>
      <c r="V211">
        <v>43</v>
      </c>
      <c r="W211">
        <v>4</v>
      </c>
      <c r="X211">
        <v>0</v>
      </c>
      <c r="Y211" t="s">
        <v>19</v>
      </c>
      <c r="Z211">
        <v>5</v>
      </c>
      <c r="AA211">
        <f>IF(AND(Table1[[#This Row],[Throw Out Pass Eff]]="N", Table1[[#This Row],[Against FCS Team]]="N"), ROUND(((5.45 * D211) + (150 * F211) + (100 * G211) - (300 * H211)) / E211, 2), " ")</f>
        <v>103.4</v>
      </c>
      <c r="AB211">
        <f>IF(AND(Table1[[#This Row],[Throw Out Pass Def Eff]]="N", Table1[[#This Row],[Against FCS Team]]="N"),200 - ROUND(((5.45 * P211) + (150 * R211) + (100 * S211) - (300 * T211)) / Q211, 2), " ")</f>
        <v>121.48</v>
      </c>
      <c r="AC211">
        <f>IF(AND(Table1[[#This Row],[Throw Out Rush Eff]]="N", Table1[[#This Row],[Against FCS Team]]="N"), ROUND(((23.2 * I211) + (150 * K211) - (300 * L211)) / J211, 2), " ")</f>
        <v>1.66</v>
      </c>
      <c r="AD211" s="3">
        <f>IF(AND(Table1[[#This Row],[Throw Out Rush Def Eff]]="N", Table1[[#This Row],[Against FCS Team]]="N"), 200 - ROUND(((23.2 * U211) + (150 * W211) - (300 * X211)) / V211, 2), " ")</f>
        <v>64.110000000000014</v>
      </c>
      <c r="AE211" s="3">
        <f>ROUND(Table1[[#This Row],[Opp Passing Attempts]]/(Table1[[#This Row],[Opp Passing Attempts]]+Table1[[#This Row],[Opp Rushing Attempts]]), 2)</f>
        <v>0.37</v>
      </c>
      <c r="AF211" s="3">
        <f>1-Table1[[#This Row],[Passing Weight]]</f>
        <v>0.63</v>
      </c>
      <c r="AG211" s="3" t="str">
        <f>IF(COUNTIF(A:A,Table1[[#This Row],[Opp Team Name]]) &gt; 0, "N", "Y")</f>
        <v>N</v>
      </c>
      <c r="AH211" s="3" t="str">
        <f>IF(Table1[[#This Row],[Passing Attempts]] &lt;15, "Y", "N")</f>
        <v>N</v>
      </c>
      <c r="AI211" s="3" t="str">
        <f>IF(Table1[[#This Row],[Rushing Attempts]] &lt; 15, "Y", "N")</f>
        <v>N</v>
      </c>
      <c r="AJ211" s="3" t="str">
        <f>IF(Table1[[#This Row],[Opp Passing Attempts]]&lt;15, "Y", "N")</f>
        <v>N</v>
      </c>
      <c r="AK211" s="3" t="str">
        <f>IF(Table1[[#This Row],[Opp Rushing Attempts]]&lt;15, "Y", "N")</f>
        <v>N</v>
      </c>
      <c r="AL21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139.01</v>
      </c>
      <c r="AM21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136.65</v>
      </c>
      <c r="AN21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2.79</v>
      </c>
      <c r="AO2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94.51</v>
      </c>
      <c r="AP211" s="3">
        <f>ABS(Table1[[#This Row],[Team Score]]-Table1[[#This Row],[Opp Team Score]])</f>
        <v>28</v>
      </c>
      <c r="AQ211" s="3">
        <f>SUM(Table1[[#This Row],[Team Score]], Table1[[#This Row],[Opp Team Score]])</f>
        <v>48</v>
      </c>
      <c r="AR21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109.34999999999997</v>
      </c>
      <c r="AS211" s="3">
        <f>IF(Table1[[#This Row],[Efficiency Difference]] = " ", " ", ROUND((Table1[[#This Row],[Winning Margin]]*100)/Table1[[#This Row],[Efficiency Difference]], 2))</f>
        <v>25.61</v>
      </c>
    </row>
    <row r="212" spans="1:45">
      <c r="A212" t="s">
        <v>69</v>
      </c>
      <c r="B212">
        <v>235</v>
      </c>
      <c r="C212">
        <v>11</v>
      </c>
      <c r="D212">
        <v>100</v>
      </c>
      <c r="E212">
        <v>16</v>
      </c>
      <c r="F212">
        <v>1</v>
      </c>
      <c r="G212">
        <v>9</v>
      </c>
      <c r="H212">
        <v>2</v>
      </c>
      <c r="I212">
        <v>113</v>
      </c>
      <c r="J212">
        <v>32</v>
      </c>
      <c r="K212">
        <v>0</v>
      </c>
      <c r="L212">
        <v>0</v>
      </c>
      <c r="M212" t="s">
        <v>92</v>
      </c>
      <c r="N212">
        <v>365</v>
      </c>
      <c r="O212">
        <v>41</v>
      </c>
      <c r="P212">
        <v>215</v>
      </c>
      <c r="Q212">
        <v>14</v>
      </c>
      <c r="R212">
        <v>2</v>
      </c>
      <c r="S212">
        <v>10</v>
      </c>
      <c r="T212">
        <v>0</v>
      </c>
      <c r="U212">
        <v>238</v>
      </c>
      <c r="V212">
        <v>49</v>
      </c>
      <c r="W212">
        <v>3</v>
      </c>
      <c r="X212">
        <v>0</v>
      </c>
      <c r="Y212" t="s">
        <v>19</v>
      </c>
      <c r="Z212">
        <v>6</v>
      </c>
      <c r="AA212">
        <f>IF(AND(Table1[[#This Row],[Throw Out Pass Eff]]="N", Table1[[#This Row],[Against FCS Team]]="N"), ROUND(((5.45 * D212) + (150 * F212) + (100 * G212) - (300 * H212)) / E212, 2), " ")</f>
        <v>62.19</v>
      </c>
      <c r="AB212" t="str">
        <f>IF(AND(Table1[[#This Row],[Throw Out Pass Def Eff]]="N", Table1[[#This Row],[Against FCS Team]]="N"),200 - ROUND(((5.45 * P212) + (150 * R212) + (100 * S212) - (300 * T212)) / Q212, 2), " ")</f>
        <v xml:space="preserve"> </v>
      </c>
      <c r="AC212">
        <f>IF(AND(Table1[[#This Row],[Throw Out Rush Eff]]="N", Table1[[#This Row],[Against FCS Team]]="N"), ROUND(((23.2 * I212) + (150 * K212) - (300 * L212)) / J212, 2), " ")</f>
        <v>81.93</v>
      </c>
      <c r="AD212" s="3">
        <f>IF(AND(Table1[[#This Row],[Throw Out Rush Def Eff]]="N", Table1[[#This Row],[Against FCS Team]]="N"), 200 - ROUND(((23.2 * U212) + (150 * W212) - (300 * X212)) / V212, 2), " ")</f>
        <v>78.13</v>
      </c>
      <c r="AE212" s="3">
        <f>ROUND(Table1[[#This Row],[Opp Passing Attempts]]/(Table1[[#This Row],[Opp Passing Attempts]]+Table1[[#This Row],[Opp Rushing Attempts]]), 2)</f>
        <v>0.22</v>
      </c>
      <c r="AF212" s="3">
        <f>1-Table1[[#This Row],[Passing Weight]]</f>
        <v>0.78</v>
      </c>
      <c r="AG212" s="3" t="str">
        <f>IF(COUNTIF(A:A,Table1[[#This Row],[Opp Team Name]]) &gt; 0, "N", "Y")</f>
        <v>N</v>
      </c>
      <c r="AH212" s="3" t="str">
        <f>IF(Table1[[#This Row],[Passing Attempts]] &lt;15, "Y", "N")</f>
        <v>N</v>
      </c>
      <c r="AI212" s="3" t="str">
        <f>IF(Table1[[#This Row],[Rushing Attempts]] &lt; 15, "Y", "N")</f>
        <v>N</v>
      </c>
      <c r="AJ212" s="3" t="str">
        <f>IF(Table1[[#This Row],[Opp Passing Attempts]]&lt;15, "Y", "N")</f>
        <v>Y</v>
      </c>
      <c r="AK212" s="3" t="str">
        <f>IF(Table1[[#This Row],[Opp Rushing Attempts]]&lt;15, "Y", "N")</f>
        <v>N</v>
      </c>
      <c r="AL2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82.97</v>
      </c>
      <c r="AM21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114.44</v>
      </c>
      <c r="AO2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84.27</v>
      </c>
      <c r="AP212" s="3">
        <f>ABS(Table1[[#This Row],[Team Score]]-Table1[[#This Row],[Opp Team Score]])</f>
        <v>30</v>
      </c>
      <c r="AQ212" s="3">
        <f>SUM(Table1[[#This Row],[Team Score]], Table1[[#This Row],[Opp Team Score]])</f>
        <v>52</v>
      </c>
      <c r="AR21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12" s="3" t="str">
        <f>IF(Table1[[#This Row],[Efficiency Difference]] = " ", " ", ROUND((Table1[[#This Row],[Winning Margin]]*100)/Table1[[#This Row],[Efficiency Difference]], 2))</f>
        <v xml:space="preserve"> </v>
      </c>
    </row>
    <row r="213" spans="1:45">
      <c r="A213" t="s">
        <v>69</v>
      </c>
      <c r="B213">
        <v>235</v>
      </c>
      <c r="C213">
        <v>6</v>
      </c>
      <c r="D213">
        <v>128</v>
      </c>
      <c r="E213">
        <v>29</v>
      </c>
      <c r="F213">
        <v>0</v>
      </c>
      <c r="G213">
        <v>15</v>
      </c>
      <c r="H213">
        <v>1</v>
      </c>
      <c r="I213">
        <v>66</v>
      </c>
      <c r="J213">
        <v>30</v>
      </c>
      <c r="K213">
        <v>0</v>
      </c>
      <c r="L213">
        <v>2</v>
      </c>
      <c r="M213" t="s">
        <v>32</v>
      </c>
      <c r="N213">
        <v>37</v>
      </c>
      <c r="O213">
        <v>17</v>
      </c>
      <c r="P213">
        <v>123</v>
      </c>
      <c r="Q213">
        <v>16</v>
      </c>
      <c r="R213">
        <v>1</v>
      </c>
      <c r="S213">
        <v>7</v>
      </c>
      <c r="T213">
        <v>0</v>
      </c>
      <c r="U213">
        <v>155</v>
      </c>
      <c r="V213">
        <v>43</v>
      </c>
      <c r="W213">
        <v>1</v>
      </c>
      <c r="X213">
        <v>0</v>
      </c>
      <c r="Y213" t="s">
        <v>19</v>
      </c>
      <c r="Z213">
        <v>7</v>
      </c>
      <c r="AA213">
        <f>IF(AND(Table1[[#This Row],[Throw Out Pass Eff]]="N", Table1[[#This Row],[Against FCS Team]]="N"), ROUND(((5.45 * D213) + (150 * F213) + (100 * G213) - (300 * H213)) / E213, 2), " ")</f>
        <v>65.430000000000007</v>
      </c>
      <c r="AB213">
        <f>IF(AND(Table1[[#This Row],[Throw Out Pass Def Eff]]="N", Table1[[#This Row],[Against FCS Team]]="N"),200 - ROUND(((5.45 * P213) + (150 * R213) + (100 * S213) - (300 * T213)) / Q213, 2), " ")</f>
        <v>104.98</v>
      </c>
      <c r="AC213">
        <f>IF(AND(Table1[[#This Row],[Throw Out Rush Eff]]="N", Table1[[#This Row],[Against FCS Team]]="N"), ROUND(((23.2 * I213) + (150 * K213) - (300 * L213)) / J213, 2), " ")</f>
        <v>31.04</v>
      </c>
      <c r="AD213" s="3">
        <f>IF(AND(Table1[[#This Row],[Throw Out Rush Def Eff]]="N", Table1[[#This Row],[Against FCS Team]]="N"), 200 - ROUND(((23.2 * U213) + (150 * W213) - (300 * X213)) / V213, 2), " ")</f>
        <v>112.88</v>
      </c>
      <c r="AE213" s="3">
        <f>ROUND(Table1[[#This Row],[Opp Passing Attempts]]/(Table1[[#This Row],[Opp Passing Attempts]]+Table1[[#This Row],[Opp Rushing Attempts]]), 2)</f>
        <v>0.27</v>
      </c>
      <c r="AF213" s="3">
        <f>1-Table1[[#This Row],[Passing Weight]]</f>
        <v>0.73</v>
      </c>
      <c r="AG213" s="3" t="str">
        <f>IF(COUNTIF(A:A,Table1[[#This Row],[Opp Team Name]]) &gt; 0, "N", "Y")</f>
        <v>N</v>
      </c>
      <c r="AH213" s="3" t="str">
        <f>IF(Table1[[#This Row],[Passing Attempts]] &lt;15, "Y", "N")</f>
        <v>N</v>
      </c>
      <c r="AI213" s="3" t="str">
        <f>IF(Table1[[#This Row],[Rushing Attempts]] &lt; 15, "Y", "N")</f>
        <v>N</v>
      </c>
      <c r="AJ213" s="3" t="str">
        <f>IF(Table1[[#This Row],[Opp Passing Attempts]]&lt;15, "Y", "N")</f>
        <v>N</v>
      </c>
      <c r="AK213" s="3" t="str">
        <f>IF(Table1[[#This Row],[Opp Rushing Attempts]]&lt;15, "Y", "N")</f>
        <v>N</v>
      </c>
      <c r="AL2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66.3</v>
      </c>
      <c r="AM2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87.55</v>
      </c>
      <c r="AN2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31.13</v>
      </c>
      <c r="AO2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119.1</v>
      </c>
      <c r="AP213" s="3">
        <f>ABS(Table1[[#This Row],[Team Score]]-Table1[[#This Row],[Opp Team Score]])</f>
        <v>11</v>
      </c>
      <c r="AQ213" s="3">
        <f>SUM(Table1[[#This Row],[Team Score]], Table1[[#This Row],[Opp Team Score]])</f>
        <v>23</v>
      </c>
      <c r="AR2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85.669999999999987</v>
      </c>
      <c r="AS213" s="3">
        <f>IF(Table1[[#This Row],[Efficiency Difference]] = " ", " ", ROUND((Table1[[#This Row],[Winning Margin]]*100)/Table1[[#This Row],[Efficiency Difference]], 2))</f>
        <v>12.84</v>
      </c>
    </row>
    <row r="214" spans="1:45">
      <c r="A214" t="s">
        <v>70</v>
      </c>
      <c r="B214">
        <v>234</v>
      </c>
      <c r="C214">
        <v>62</v>
      </c>
      <c r="D214">
        <v>477</v>
      </c>
      <c r="E214">
        <v>42</v>
      </c>
      <c r="F214">
        <v>6</v>
      </c>
      <c r="G214">
        <v>30</v>
      </c>
      <c r="H214">
        <v>1</v>
      </c>
      <c r="I214">
        <v>170</v>
      </c>
      <c r="J214">
        <v>37</v>
      </c>
      <c r="K214">
        <v>2</v>
      </c>
      <c r="L214">
        <v>0</v>
      </c>
      <c r="M214" t="s">
        <v>143</v>
      </c>
      <c r="N214">
        <v>48</v>
      </c>
      <c r="O214">
        <v>10</v>
      </c>
      <c r="P214">
        <v>63</v>
      </c>
      <c r="Q214">
        <v>17</v>
      </c>
      <c r="R214">
        <v>1</v>
      </c>
      <c r="S214">
        <v>9</v>
      </c>
      <c r="T214">
        <v>0</v>
      </c>
      <c r="U214">
        <v>21</v>
      </c>
      <c r="V214">
        <v>28</v>
      </c>
      <c r="W214">
        <v>0</v>
      </c>
      <c r="X214">
        <v>0</v>
      </c>
      <c r="Y214" t="s">
        <v>16</v>
      </c>
      <c r="Z214">
        <v>2</v>
      </c>
      <c r="AA214" t="str">
        <f>IF(AND(Table1[[#This Row],[Throw Out Pass Eff]]="N", Table1[[#This Row],[Against FCS Team]]="N"), ROUND(((5.45 * D214) + (150 * F214) + (100 * G214) - (300 * H214)) / E214, 2), " ")</f>
        <v xml:space="preserve"> </v>
      </c>
      <c r="AB214" t="str">
        <f>IF(AND(Table1[[#This Row],[Throw Out Pass Def Eff]]="N", Table1[[#This Row],[Against FCS Team]]="N"),200 - ROUND(((5.45 * P214) + (150 * R214) + (100 * S214) - (300 * T214)) / Q214, 2), " ")</f>
        <v xml:space="preserve"> </v>
      </c>
      <c r="AC214" t="str">
        <f>IF(AND(Table1[[#This Row],[Throw Out Rush Eff]]="N", Table1[[#This Row],[Against FCS Team]]="N"), ROUND(((23.2 * I214) + (150 * K214) - (300 * L214)) / J214, 2), " ")</f>
        <v xml:space="preserve"> </v>
      </c>
      <c r="AD214" s="3" t="str">
        <f>IF(AND(Table1[[#This Row],[Throw Out Rush Def Eff]]="N", Table1[[#This Row],[Against FCS Team]]="N"), 200 - ROUND(((23.2 * U214) + (150 * W214) - (300 * X214)) / V214, 2), " ")</f>
        <v xml:space="preserve"> </v>
      </c>
      <c r="AE214" s="3">
        <f>ROUND(Table1[[#This Row],[Opp Passing Attempts]]/(Table1[[#This Row],[Opp Passing Attempts]]+Table1[[#This Row],[Opp Rushing Attempts]]), 2)</f>
        <v>0.38</v>
      </c>
      <c r="AF214" s="3">
        <f>1-Table1[[#This Row],[Passing Weight]]</f>
        <v>0.62</v>
      </c>
      <c r="AG214" s="3" t="str">
        <f>IF(COUNTIF(A:A,Table1[[#This Row],[Opp Team Name]]) &gt; 0, "N", "Y")</f>
        <v>Y</v>
      </c>
      <c r="AH214" s="3" t="str">
        <f>IF(Table1[[#This Row],[Passing Attempts]] &lt;15, "Y", "N")</f>
        <v>N</v>
      </c>
      <c r="AI214" s="3" t="str">
        <f>IF(Table1[[#This Row],[Rushing Attempts]] &lt; 15, "Y", "N")</f>
        <v>N</v>
      </c>
      <c r="AJ214" s="3" t="str">
        <f>IF(Table1[[#This Row],[Opp Passing Attempts]]&lt;15, "Y", "N")</f>
        <v>N</v>
      </c>
      <c r="AK214" s="3" t="str">
        <f>IF(Table1[[#This Row],[Opp Rushing Attempts]]&lt;15, "Y", "N")</f>
        <v>N</v>
      </c>
      <c r="AL21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1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1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1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14" s="3">
        <f>ABS(Table1[[#This Row],[Team Score]]-Table1[[#This Row],[Opp Team Score]])</f>
        <v>52</v>
      </c>
      <c r="AQ214" s="3">
        <f>SUM(Table1[[#This Row],[Team Score]], Table1[[#This Row],[Opp Team Score]])</f>
        <v>72</v>
      </c>
      <c r="AR21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14" s="3" t="str">
        <f>IF(Table1[[#This Row],[Efficiency Difference]] = " ", " ", ROUND((Table1[[#This Row],[Winning Margin]]*100)/Table1[[#This Row],[Efficiency Difference]], 2))</f>
        <v xml:space="preserve"> </v>
      </c>
    </row>
    <row r="215" spans="1:45">
      <c r="A215" t="s">
        <v>70</v>
      </c>
      <c r="B215">
        <v>234</v>
      </c>
      <c r="C215">
        <v>34</v>
      </c>
      <c r="D215">
        <v>280</v>
      </c>
      <c r="E215">
        <v>35</v>
      </c>
      <c r="F215">
        <v>3</v>
      </c>
      <c r="G215">
        <v>23</v>
      </c>
      <c r="H215">
        <v>1</v>
      </c>
      <c r="I215">
        <v>92</v>
      </c>
      <c r="J215">
        <v>28</v>
      </c>
      <c r="K215">
        <v>1</v>
      </c>
      <c r="L215">
        <v>0</v>
      </c>
      <c r="M215" t="s">
        <v>71</v>
      </c>
      <c r="N215">
        <v>498</v>
      </c>
      <c r="O215">
        <v>0</v>
      </c>
      <c r="P215">
        <v>92</v>
      </c>
      <c r="Q215">
        <v>22</v>
      </c>
      <c r="R215">
        <v>0</v>
      </c>
      <c r="S215">
        <v>12</v>
      </c>
      <c r="T215">
        <v>1</v>
      </c>
      <c r="U215">
        <v>99</v>
      </c>
      <c r="V215">
        <v>39</v>
      </c>
      <c r="W215">
        <v>0</v>
      </c>
      <c r="X215">
        <v>0</v>
      </c>
      <c r="Y215" t="s">
        <v>16</v>
      </c>
      <c r="Z215">
        <v>1</v>
      </c>
      <c r="AA215">
        <f>IF(AND(Table1[[#This Row],[Throw Out Pass Eff]]="N", Table1[[#This Row],[Against FCS Team]]="N"), ROUND(((5.45 * D215) + (150 * F215) + (100 * G215) - (300 * H215)) / E215, 2), " ")</f>
        <v>113.6</v>
      </c>
      <c r="AB215">
        <f>IF(AND(Table1[[#This Row],[Throw Out Pass Def Eff]]="N", Table1[[#This Row],[Against FCS Team]]="N"),200 - ROUND(((5.45 * P215) + (150 * R215) + (100 * S215) - (300 * T215)) / Q215, 2), " ")</f>
        <v>136.30000000000001</v>
      </c>
      <c r="AC215">
        <f>IF(AND(Table1[[#This Row],[Throw Out Rush Eff]]="N", Table1[[#This Row],[Against FCS Team]]="N"), ROUND(((23.2 * I215) + (150 * K215) - (300 * L215)) / J215, 2), " ")</f>
        <v>81.59</v>
      </c>
      <c r="AD215" s="3">
        <f>IF(AND(Table1[[#This Row],[Throw Out Rush Def Eff]]="N", Table1[[#This Row],[Against FCS Team]]="N"), 200 - ROUND(((23.2 * U215) + (150 * W215) - (300 * X215)) / V215, 2), " ")</f>
        <v>141.11000000000001</v>
      </c>
      <c r="AE215" s="3">
        <f>ROUND(Table1[[#This Row],[Opp Passing Attempts]]/(Table1[[#This Row],[Opp Passing Attempts]]+Table1[[#This Row],[Opp Rushing Attempts]]), 2)</f>
        <v>0.36</v>
      </c>
      <c r="AF215" s="3">
        <f>1-Table1[[#This Row],[Passing Weight]]</f>
        <v>0.64</v>
      </c>
      <c r="AG215" s="3" t="str">
        <f>IF(COUNTIF(A:A,Table1[[#This Row],[Opp Team Name]]) &gt; 0, "N", "Y")</f>
        <v>N</v>
      </c>
      <c r="AH215" s="3" t="str">
        <f>IF(Table1[[#This Row],[Passing Attempts]] &lt;15, "Y", "N")</f>
        <v>N</v>
      </c>
      <c r="AI215" s="3" t="str">
        <f>IF(Table1[[#This Row],[Rushing Attempts]] &lt; 15, "Y", "N")</f>
        <v>N</v>
      </c>
      <c r="AJ215" s="3" t="str">
        <f>IF(Table1[[#This Row],[Opp Passing Attempts]]&lt;15, "Y", "N")</f>
        <v>N</v>
      </c>
      <c r="AK215" s="3" t="str">
        <f>IF(Table1[[#This Row],[Opp Rushing Attempts]]&lt;15, "Y", "N")</f>
        <v>N</v>
      </c>
      <c r="AL2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110.86</v>
      </c>
      <c r="AM2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121.6</v>
      </c>
      <c r="AN2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101.25</v>
      </c>
      <c r="AO2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100.99</v>
      </c>
      <c r="AP215" s="3">
        <f>ABS(Table1[[#This Row],[Team Score]]-Table1[[#This Row],[Opp Team Score]])</f>
        <v>34</v>
      </c>
      <c r="AQ215" s="3">
        <f>SUM(Table1[[#This Row],[Team Score]], Table1[[#This Row],[Opp Team Score]])</f>
        <v>34</v>
      </c>
      <c r="AR2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72.600000000000023</v>
      </c>
      <c r="AS215" s="3">
        <f>IF(Table1[[#This Row],[Efficiency Difference]] = " ", " ", ROUND((Table1[[#This Row],[Winning Margin]]*100)/Table1[[#This Row],[Efficiency Difference]], 2))</f>
        <v>46.83</v>
      </c>
    </row>
    <row r="216" spans="1:45">
      <c r="A216" t="s">
        <v>70</v>
      </c>
      <c r="B216">
        <v>234</v>
      </c>
      <c r="C216">
        <v>13</v>
      </c>
      <c r="D216">
        <v>219</v>
      </c>
      <c r="E216">
        <v>34</v>
      </c>
      <c r="F216">
        <v>1</v>
      </c>
      <c r="G216">
        <v>20</v>
      </c>
      <c r="H216">
        <v>3</v>
      </c>
      <c r="I216">
        <v>27</v>
      </c>
      <c r="J216">
        <v>26</v>
      </c>
      <c r="K216">
        <v>0</v>
      </c>
      <c r="L216">
        <v>0</v>
      </c>
      <c r="M216" t="s">
        <v>116</v>
      </c>
      <c r="N216">
        <v>522</v>
      </c>
      <c r="O216">
        <v>23</v>
      </c>
      <c r="P216">
        <v>199</v>
      </c>
      <c r="Q216">
        <v>27</v>
      </c>
      <c r="R216">
        <v>1</v>
      </c>
      <c r="S216">
        <v>18</v>
      </c>
      <c r="T216">
        <v>2</v>
      </c>
      <c r="U216">
        <v>111</v>
      </c>
      <c r="V216">
        <v>39</v>
      </c>
      <c r="W216">
        <v>1</v>
      </c>
      <c r="X216">
        <v>0</v>
      </c>
      <c r="Y216" t="s">
        <v>19</v>
      </c>
      <c r="Z216">
        <v>3</v>
      </c>
      <c r="AA216">
        <f>IF(AND(Table1[[#This Row],[Throw Out Pass Eff]]="N", Table1[[#This Row],[Against FCS Team]]="N"), ROUND(((5.45 * D216) + (150 * F216) + (100 * G216) - (300 * H216)) / E216, 2), " ")</f>
        <v>71.87</v>
      </c>
      <c r="AB216">
        <f>IF(AND(Table1[[#This Row],[Throw Out Pass Def Eff]]="N", Table1[[#This Row],[Against FCS Team]]="N"),200 - ROUND(((5.45 * P216) + (150 * R216) + (100 * S216) - (300 * T216)) / Q216, 2), " ")</f>
        <v>109.83</v>
      </c>
      <c r="AC216">
        <f>IF(AND(Table1[[#This Row],[Throw Out Rush Eff]]="N", Table1[[#This Row],[Against FCS Team]]="N"), ROUND(((23.2 * I216) + (150 * K216) - (300 * L216)) / J216, 2), " ")</f>
        <v>24.09</v>
      </c>
      <c r="AD216" s="3">
        <f>IF(AND(Table1[[#This Row],[Throw Out Rush Def Eff]]="N", Table1[[#This Row],[Against FCS Team]]="N"), 200 - ROUND(((23.2 * U216) + (150 * W216) - (300 * X216)) / V216, 2), " ")</f>
        <v>130.12</v>
      </c>
      <c r="AE216" s="3">
        <f>ROUND(Table1[[#This Row],[Opp Passing Attempts]]/(Table1[[#This Row],[Opp Passing Attempts]]+Table1[[#This Row],[Opp Rushing Attempts]]), 2)</f>
        <v>0.41</v>
      </c>
      <c r="AF216" s="3">
        <f>1-Table1[[#This Row],[Passing Weight]]</f>
        <v>0.59000000000000008</v>
      </c>
      <c r="AG216" s="3" t="str">
        <f>IF(COUNTIF(A:A,Table1[[#This Row],[Opp Team Name]]) &gt; 0, "N", "Y")</f>
        <v>N</v>
      </c>
      <c r="AH216" s="3" t="str">
        <f>IF(Table1[[#This Row],[Passing Attempts]] &lt;15, "Y", "N")</f>
        <v>N</v>
      </c>
      <c r="AI216" s="3" t="str">
        <f>IF(Table1[[#This Row],[Rushing Attempts]] &lt; 15, "Y", "N")</f>
        <v>N</v>
      </c>
      <c r="AJ216" s="3" t="str">
        <f>IF(Table1[[#This Row],[Opp Passing Attempts]]&lt;15, "Y", "N")</f>
        <v>N</v>
      </c>
      <c r="AK216" s="3" t="str">
        <f>IF(Table1[[#This Row],[Opp Rushing Attempts]]&lt;15, "Y", "N")</f>
        <v>N</v>
      </c>
      <c r="AL2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84.72</v>
      </c>
      <c r="AM2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123.35</v>
      </c>
      <c r="AN2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31.73</v>
      </c>
      <c r="AO2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141.28</v>
      </c>
      <c r="AP216" s="3">
        <f>ABS(Table1[[#This Row],[Team Score]]-Table1[[#This Row],[Opp Team Score]])</f>
        <v>10</v>
      </c>
      <c r="AQ216" s="3">
        <f>SUM(Table1[[#This Row],[Team Score]], Table1[[#This Row],[Opp Team Score]])</f>
        <v>36</v>
      </c>
      <c r="AR2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64.09</v>
      </c>
      <c r="AS216" s="3">
        <f>IF(Table1[[#This Row],[Efficiency Difference]] = " ", " ", ROUND((Table1[[#This Row],[Winning Margin]]*100)/Table1[[#This Row],[Efficiency Difference]], 2))</f>
        <v>15.6</v>
      </c>
    </row>
    <row r="217" spans="1:45">
      <c r="A217" t="s">
        <v>70</v>
      </c>
      <c r="B217">
        <v>234</v>
      </c>
      <c r="C217">
        <v>30</v>
      </c>
      <c r="D217">
        <v>336</v>
      </c>
      <c r="E217">
        <v>38</v>
      </c>
      <c r="F217">
        <v>3</v>
      </c>
      <c r="G217">
        <v>24</v>
      </c>
      <c r="H217">
        <v>1</v>
      </c>
      <c r="I217">
        <v>29</v>
      </c>
      <c r="J217">
        <v>15</v>
      </c>
      <c r="K217">
        <v>0</v>
      </c>
      <c r="L217">
        <v>0</v>
      </c>
      <c r="M217" t="s">
        <v>54</v>
      </c>
      <c r="N217">
        <v>147</v>
      </c>
      <c r="O217">
        <v>35</v>
      </c>
      <c r="P217">
        <v>344</v>
      </c>
      <c r="Q217">
        <v>35</v>
      </c>
      <c r="R217">
        <v>3</v>
      </c>
      <c r="S217">
        <v>22</v>
      </c>
      <c r="T217">
        <v>0</v>
      </c>
      <c r="U217">
        <v>99</v>
      </c>
      <c r="V217">
        <v>50</v>
      </c>
      <c r="W217">
        <v>2</v>
      </c>
      <c r="X217">
        <v>1</v>
      </c>
      <c r="Y217" t="s">
        <v>19</v>
      </c>
      <c r="Z217">
        <v>4</v>
      </c>
      <c r="AA217">
        <f>IF(AND(Table1[[#This Row],[Throw Out Pass Eff]]="N", Table1[[#This Row],[Against FCS Team]]="N"), ROUND(((5.45 * D217) + (150 * F217) + (100 * G217) - (300 * H217)) / E217, 2), " ")</f>
        <v>115.29</v>
      </c>
      <c r="AB217">
        <f>IF(AND(Table1[[#This Row],[Throw Out Pass Def Eff]]="N", Table1[[#This Row],[Against FCS Team]]="N"),200 - ROUND(((5.45 * P217) + (150 * R217) + (100 * S217) - (300 * T217)) / Q217, 2), " ")</f>
        <v>70.72</v>
      </c>
      <c r="AC217">
        <f>IF(AND(Table1[[#This Row],[Throw Out Rush Eff]]="N", Table1[[#This Row],[Against FCS Team]]="N"), ROUND(((23.2 * I217) + (150 * K217) - (300 * L217)) / J217, 2), " ")</f>
        <v>44.85</v>
      </c>
      <c r="AD217" s="3">
        <f>IF(AND(Table1[[#This Row],[Throw Out Rush Def Eff]]="N", Table1[[#This Row],[Against FCS Team]]="N"), 200 - ROUND(((23.2 * U217) + (150 * W217) - (300 * X217)) / V217, 2), " ")</f>
        <v>154.06</v>
      </c>
      <c r="AE217" s="3">
        <f>ROUND(Table1[[#This Row],[Opp Passing Attempts]]/(Table1[[#This Row],[Opp Passing Attempts]]+Table1[[#This Row],[Opp Rushing Attempts]]), 2)</f>
        <v>0.41</v>
      </c>
      <c r="AF217" s="3">
        <f>1-Table1[[#This Row],[Passing Weight]]</f>
        <v>0.59000000000000008</v>
      </c>
      <c r="AG217" s="3" t="str">
        <f>IF(COUNTIF(A:A,Table1[[#This Row],[Opp Team Name]]) &gt; 0, "N", "Y")</f>
        <v>N</v>
      </c>
      <c r="AH217" s="3" t="str">
        <f>IF(Table1[[#This Row],[Passing Attempts]] &lt;15, "Y", "N")</f>
        <v>N</v>
      </c>
      <c r="AI217" s="3" t="str">
        <f>IF(Table1[[#This Row],[Rushing Attempts]] &lt; 15, "Y", "N")</f>
        <v>N</v>
      </c>
      <c r="AJ217" s="3" t="str">
        <f>IF(Table1[[#This Row],[Opp Passing Attempts]]&lt;15, "Y", "N")</f>
        <v>N</v>
      </c>
      <c r="AK217" s="3" t="str">
        <f>IF(Table1[[#This Row],[Opp Rushing Attempts]]&lt;15, "Y", "N")</f>
        <v>N</v>
      </c>
      <c r="AL2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129.07</v>
      </c>
      <c r="AM21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80.62</v>
      </c>
      <c r="AN21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48.05</v>
      </c>
      <c r="AO2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152.44</v>
      </c>
      <c r="AP217" s="3">
        <f>ABS(Table1[[#This Row],[Team Score]]-Table1[[#This Row],[Opp Team Score]])</f>
        <v>5</v>
      </c>
      <c r="AQ217" s="3">
        <f>SUM(Table1[[#This Row],[Team Score]], Table1[[#This Row],[Opp Team Score]])</f>
        <v>65</v>
      </c>
      <c r="AR21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15.079999999999984</v>
      </c>
      <c r="AS217" s="3">
        <f>IF(Table1[[#This Row],[Efficiency Difference]] = " ", " ", ROUND((Table1[[#This Row],[Winning Margin]]*100)/Table1[[#This Row],[Efficiency Difference]], 2))</f>
        <v>33.159999999999997</v>
      </c>
    </row>
    <row r="218" spans="1:45">
      <c r="A218" t="s">
        <v>70</v>
      </c>
      <c r="B218">
        <v>234</v>
      </c>
      <c r="C218">
        <v>30</v>
      </c>
      <c r="D218">
        <v>315</v>
      </c>
      <c r="E218">
        <v>46</v>
      </c>
      <c r="F218">
        <v>2</v>
      </c>
      <c r="G218">
        <v>25</v>
      </c>
      <c r="H218">
        <v>4</v>
      </c>
      <c r="I218">
        <v>110</v>
      </c>
      <c r="J218">
        <v>27</v>
      </c>
      <c r="K218">
        <v>2</v>
      </c>
      <c r="L218">
        <v>1</v>
      </c>
      <c r="M218" t="s">
        <v>131</v>
      </c>
      <c r="N218">
        <v>749</v>
      </c>
      <c r="O218">
        <v>35</v>
      </c>
      <c r="P218">
        <v>263</v>
      </c>
      <c r="Q218">
        <v>36</v>
      </c>
      <c r="R218">
        <v>4</v>
      </c>
      <c r="S218">
        <v>22</v>
      </c>
      <c r="T218">
        <v>0</v>
      </c>
      <c r="U218">
        <v>128</v>
      </c>
      <c r="V218">
        <v>38</v>
      </c>
      <c r="W218">
        <v>0</v>
      </c>
      <c r="X218">
        <v>0</v>
      </c>
      <c r="Y218" t="s">
        <v>19</v>
      </c>
      <c r="Z218">
        <v>6</v>
      </c>
      <c r="AA218">
        <f>IF(AND(Table1[[#This Row],[Throw Out Pass Eff]]="N", Table1[[#This Row],[Against FCS Team]]="N"), ROUND(((5.45 * D218) + (150 * F218) + (100 * G218) - (300 * H218)) / E218, 2), " ")</f>
        <v>72.099999999999994</v>
      </c>
      <c r="AB218">
        <f>IF(AND(Table1[[#This Row],[Throw Out Pass Def Eff]]="N", Table1[[#This Row],[Against FCS Team]]="N"),200 - ROUND(((5.45 * P218) + (150 * R218) + (100 * S218) - (300 * T218)) / Q218, 2), " ")</f>
        <v>82.41</v>
      </c>
      <c r="AC218">
        <f>IF(AND(Table1[[#This Row],[Throw Out Rush Eff]]="N", Table1[[#This Row],[Against FCS Team]]="N"), ROUND(((23.2 * I218) + (150 * K218) - (300 * L218)) / J218, 2), " ")</f>
        <v>94.52</v>
      </c>
      <c r="AD218" s="3">
        <f>IF(AND(Table1[[#This Row],[Throw Out Rush Def Eff]]="N", Table1[[#This Row],[Against FCS Team]]="N"), 200 - ROUND(((23.2 * U218) + (150 * W218) - (300 * X218)) / V218, 2), " ")</f>
        <v>121.85</v>
      </c>
      <c r="AE218" s="3">
        <f>ROUND(Table1[[#This Row],[Opp Passing Attempts]]/(Table1[[#This Row],[Opp Passing Attempts]]+Table1[[#This Row],[Opp Rushing Attempts]]), 2)</f>
        <v>0.49</v>
      </c>
      <c r="AF218" s="3">
        <f>1-Table1[[#This Row],[Passing Weight]]</f>
        <v>0.51</v>
      </c>
      <c r="AG218" s="3" t="str">
        <f>IF(COUNTIF(A:A,Table1[[#This Row],[Opp Team Name]]) &gt; 0, "N", "Y")</f>
        <v>N</v>
      </c>
      <c r="AH218" s="3" t="str">
        <f>IF(Table1[[#This Row],[Passing Attempts]] &lt;15, "Y", "N")</f>
        <v>N</v>
      </c>
      <c r="AI218" s="3" t="str">
        <f>IF(Table1[[#This Row],[Rushing Attempts]] &lt; 15, "Y", "N")</f>
        <v>N</v>
      </c>
      <c r="AJ218" s="3" t="str">
        <f>IF(Table1[[#This Row],[Opp Passing Attempts]]&lt;15, "Y", "N")</f>
        <v>N</v>
      </c>
      <c r="AK218" s="3" t="str">
        <f>IF(Table1[[#This Row],[Opp Rushing Attempts]]&lt;15, "Y", "N")</f>
        <v>N</v>
      </c>
      <c r="AL21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77.39</v>
      </c>
      <c r="AM21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91.47</v>
      </c>
      <c r="AN21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96.8</v>
      </c>
      <c r="AO21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83.57</v>
      </c>
      <c r="AP218" s="3">
        <f>ABS(Table1[[#This Row],[Team Score]]-Table1[[#This Row],[Opp Team Score]])</f>
        <v>5</v>
      </c>
      <c r="AQ218" s="3">
        <f>SUM(Table1[[#This Row],[Team Score]], Table1[[#This Row],[Opp Team Score]])</f>
        <v>65</v>
      </c>
      <c r="AR21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29.120000000000005</v>
      </c>
      <c r="AS218" s="3">
        <f>IF(Table1[[#This Row],[Efficiency Difference]] = " ", " ", ROUND((Table1[[#This Row],[Winning Margin]]*100)/Table1[[#This Row],[Efficiency Difference]], 2))</f>
        <v>17.170000000000002</v>
      </c>
    </row>
    <row r="219" spans="1:45">
      <c r="A219" t="s">
        <v>70</v>
      </c>
      <c r="B219">
        <v>234</v>
      </c>
      <c r="C219">
        <v>41</v>
      </c>
      <c r="D219">
        <v>239</v>
      </c>
      <c r="E219">
        <v>14</v>
      </c>
      <c r="F219">
        <v>2</v>
      </c>
      <c r="G219">
        <v>9</v>
      </c>
      <c r="H219">
        <v>0</v>
      </c>
      <c r="I219">
        <v>242</v>
      </c>
      <c r="J219">
        <v>45</v>
      </c>
      <c r="K219">
        <v>3</v>
      </c>
      <c r="L219">
        <v>2</v>
      </c>
      <c r="M219" t="s">
        <v>62</v>
      </c>
      <c r="N219">
        <v>193</v>
      </c>
      <c r="O219">
        <v>16</v>
      </c>
      <c r="P219">
        <v>226</v>
      </c>
      <c r="Q219">
        <v>43</v>
      </c>
      <c r="R219">
        <v>1</v>
      </c>
      <c r="S219">
        <v>26</v>
      </c>
      <c r="T219">
        <v>1</v>
      </c>
      <c r="U219">
        <v>63</v>
      </c>
      <c r="V219">
        <v>27</v>
      </c>
      <c r="W219">
        <v>1</v>
      </c>
      <c r="X219">
        <v>1</v>
      </c>
      <c r="Y219" t="s">
        <v>16</v>
      </c>
      <c r="Z219">
        <v>7</v>
      </c>
      <c r="AA219" t="str">
        <f>IF(AND(Table1[[#This Row],[Throw Out Pass Eff]]="N", Table1[[#This Row],[Against FCS Team]]="N"), ROUND(((5.45 * D219) + (150 * F219) + (100 * G219) - (300 * H219)) / E219, 2), " ")</f>
        <v xml:space="preserve"> </v>
      </c>
      <c r="AB219">
        <f>IF(AND(Table1[[#This Row],[Throw Out Pass Def Eff]]="N", Table1[[#This Row],[Against FCS Team]]="N"),200 - ROUND(((5.45 * P219) + (150 * R219) + (100 * S219) - (300 * T219)) / Q219, 2), " ")</f>
        <v>114.38</v>
      </c>
      <c r="AC219">
        <f>IF(AND(Table1[[#This Row],[Throw Out Rush Eff]]="N", Table1[[#This Row],[Against FCS Team]]="N"), ROUND(((23.2 * I219) + (150 * K219) - (300 * L219)) / J219, 2), " ")</f>
        <v>121.43</v>
      </c>
      <c r="AD219" s="3">
        <f>IF(AND(Table1[[#This Row],[Throw Out Rush Def Eff]]="N", Table1[[#This Row],[Against FCS Team]]="N"), 200 - ROUND(((23.2 * U219) + (150 * W219) - (300 * X219)) / V219, 2), " ")</f>
        <v>151.42000000000002</v>
      </c>
      <c r="AE219" s="3">
        <f>ROUND(Table1[[#This Row],[Opp Passing Attempts]]/(Table1[[#This Row],[Opp Passing Attempts]]+Table1[[#This Row],[Opp Rushing Attempts]]), 2)</f>
        <v>0.61</v>
      </c>
      <c r="AF219" s="3">
        <f>1-Table1[[#This Row],[Passing Weight]]</f>
        <v>0.39</v>
      </c>
      <c r="AG219" s="3" t="str">
        <f>IF(COUNTIF(A:A,Table1[[#This Row],[Opp Team Name]]) &gt; 0, "N", "Y")</f>
        <v>N</v>
      </c>
      <c r="AH219" s="3" t="str">
        <f>IF(Table1[[#This Row],[Passing Attempts]] &lt;15, "Y", "N")</f>
        <v>Y</v>
      </c>
      <c r="AI219" s="3" t="str">
        <f>IF(Table1[[#This Row],[Rushing Attempts]] &lt; 15, "Y", "N")</f>
        <v>N</v>
      </c>
      <c r="AJ219" s="3" t="str">
        <f>IF(Table1[[#This Row],[Opp Passing Attempts]]&lt;15, "Y", "N")</f>
        <v>N</v>
      </c>
      <c r="AK219" s="3" t="str">
        <f>IF(Table1[[#This Row],[Opp Rushing Attempts]]&lt;15, "Y", "N")</f>
        <v>N</v>
      </c>
      <c r="AL21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1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119.15</v>
      </c>
      <c r="AN21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118.54</v>
      </c>
      <c r="AO21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97.23</v>
      </c>
      <c r="AP219" s="3">
        <f>ABS(Table1[[#This Row],[Team Score]]-Table1[[#This Row],[Opp Team Score]])</f>
        <v>25</v>
      </c>
      <c r="AQ219" s="3">
        <f>SUM(Table1[[#This Row],[Team Score]], Table1[[#This Row],[Opp Team Score]])</f>
        <v>57</v>
      </c>
      <c r="AR21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19" s="3" t="str">
        <f>IF(Table1[[#This Row],[Efficiency Difference]] = " ", " ", ROUND((Table1[[#This Row],[Winning Margin]]*100)/Table1[[#This Row],[Efficiency Difference]], 2))</f>
        <v xml:space="preserve"> </v>
      </c>
    </row>
    <row r="220" spans="1:45">
      <c r="A220" t="s">
        <v>70</v>
      </c>
      <c r="B220">
        <v>234</v>
      </c>
      <c r="C220">
        <v>41</v>
      </c>
      <c r="D220">
        <v>264</v>
      </c>
      <c r="E220">
        <v>26</v>
      </c>
      <c r="F220">
        <v>1</v>
      </c>
      <c r="G220">
        <v>18</v>
      </c>
      <c r="H220">
        <v>1</v>
      </c>
      <c r="I220">
        <v>218</v>
      </c>
      <c r="J220">
        <v>44</v>
      </c>
      <c r="K220">
        <v>4</v>
      </c>
      <c r="L220">
        <v>0</v>
      </c>
      <c r="M220" t="s">
        <v>178</v>
      </c>
      <c r="N220">
        <v>392</v>
      </c>
      <c r="O220">
        <v>16</v>
      </c>
      <c r="P220">
        <v>272</v>
      </c>
      <c r="Q220">
        <v>38</v>
      </c>
      <c r="R220">
        <v>1</v>
      </c>
      <c r="S220">
        <v>20</v>
      </c>
      <c r="T220">
        <v>0</v>
      </c>
      <c r="U220">
        <v>59</v>
      </c>
      <c r="V220">
        <v>37</v>
      </c>
      <c r="W220">
        <v>1</v>
      </c>
      <c r="X220">
        <v>0</v>
      </c>
      <c r="Y220" t="s">
        <v>16</v>
      </c>
      <c r="Z220">
        <v>8</v>
      </c>
      <c r="AA220" s="3">
        <f>IF(AND(Table1[[#This Row],[Throw Out Pass Eff]]="N", Table1[[#This Row],[Against FCS Team]]="N"), ROUND(((5.45 * D220) + (150 * F220) + (100 * G220) - (300 * H220)) / E220, 2), " ")</f>
        <v>118.8</v>
      </c>
      <c r="AB220" s="3">
        <f>IF(AND(Table1[[#This Row],[Throw Out Pass Def Eff]]="N", Table1[[#This Row],[Against FCS Team]]="N"),200 - ROUND(((5.45 * P220) + (150 * R220) + (100 * S220) - (300 * T220)) / Q220, 2), " ")</f>
        <v>104.41</v>
      </c>
      <c r="AC220" s="3">
        <f>IF(AND(Table1[[#This Row],[Throw Out Rush Eff]]="N", Table1[[#This Row],[Against FCS Team]]="N"), ROUND(((23.2 * I220) + (150 * K220) - (300 * L220)) / J220, 2), " ")</f>
        <v>128.58000000000001</v>
      </c>
      <c r="AD220" s="3">
        <f>IF(AND(Table1[[#This Row],[Throw Out Rush Def Eff]]="N", Table1[[#This Row],[Against FCS Team]]="N"), 200 - ROUND(((23.2 * U220) + (150 * W220) - (300 * X220)) / V220, 2), " ")</f>
        <v>158.94999999999999</v>
      </c>
      <c r="AE220" s="3">
        <f>ROUND(Table1[[#This Row],[Opp Passing Attempts]]/(Table1[[#This Row],[Opp Passing Attempts]]+Table1[[#This Row],[Opp Rushing Attempts]]), 2)</f>
        <v>0.51</v>
      </c>
      <c r="AF220" s="3">
        <f>1-Table1[[#This Row],[Passing Weight]]</f>
        <v>0.49</v>
      </c>
      <c r="AG220" s="3" t="str">
        <f>IF(COUNTIF(A:A,Table1[[#This Row],[Opp Team Name]]) &gt; 0, "N", "Y")</f>
        <v>N</v>
      </c>
      <c r="AH220" s="3" t="str">
        <f>IF(Table1[[#This Row],[Passing Attempts]] &lt;15, "Y", "N")</f>
        <v>N</v>
      </c>
      <c r="AI220" s="3" t="str">
        <f>IF(Table1[[#This Row],[Rushing Attempts]] &lt; 15, "Y", "N")</f>
        <v>N</v>
      </c>
      <c r="AJ220" s="3" t="str">
        <f>IF(Table1[[#This Row],[Opp Passing Attempts]]&lt;15, "Y", "N")</f>
        <v>N</v>
      </c>
      <c r="AK220" s="3" t="str">
        <f>IF(Table1[[#This Row],[Opp Rushing Attempts]]&lt;15, "Y", "N")</f>
        <v>N</v>
      </c>
      <c r="AL2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124.59</v>
      </c>
      <c r="AM2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81.540000000000006</v>
      </c>
      <c r="AN2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111.57</v>
      </c>
      <c r="AO2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164.35</v>
      </c>
      <c r="AP220" s="3">
        <f>ABS(Table1[[#This Row],[Team Score]]-Table1[[#This Row],[Opp Team Score]])</f>
        <v>25</v>
      </c>
      <c r="AQ220" s="3">
        <f>SUM(Table1[[#This Row],[Team Score]], Table1[[#This Row],[Opp Team Score]])</f>
        <v>57</v>
      </c>
      <c r="AR2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110.74000000000001</v>
      </c>
      <c r="AS220" s="3">
        <f>IF(Table1[[#This Row],[Efficiency Difference]] = " ", " ", ROUND((Table1[[#This Row],[Winning Margin]]*100)/Table1[[#This Row],[Efficiency Difference]], 2))</f>
        <v>22.58</v>
      </c>
    </row>
    <row r="221" spans="1:45">
      <c r="A221" t="s">
        <v>49</v>
      </c>
      <c r="B221">
        <v>96</v>
      </c>
      <c r="C221">
        <v>27</v>
      </c>
      <c r="D221">
        <v>235</v>
      </c>
      <c r="E221">
        <v>17</v>
      </c>
      <c r="F221">
        <v>2</v>
      </c>
      <c r="G221">
        <v>11</v>
      </c>
      <c r="H221">
        <v>0</v>
      </c>
      <c r="I221">
        <v>84</v>
      </c>
      <c r="J221">
        <v>35</v>
      </c>
      <c r="K221">
        <v>2</v>
      </c>
      <c r="L221">
        <v>0</v>
      </c>
      <c r="M221" t="s">
        <v>171</v>
      </c>
      <c r="N221">
        <v>494</v>
      </c>
      <c r="O221">
        <v>22</v>
      </c>
      <c r="P221">
        <v>107</v>
      </c>
      <c r="Q221">
        <v>25</v>
      </c>
      <c r="R221">
        <v>0</v>
      </c>
      <c r="S221">
        <v>12</v>
      </c>
      <c r="T221">
        <v>0</v>
      </c>
      <c r="U221">
        <v>216</v>
      </c>
      <c r="V221">
        <v>39</v>
      </c>
      <c r="W221">
        <v>3</v>
      </c>
      <c r="X221">
        <v>0</v>
      </c>
      <c r="Y221" t="s">
        <v>16</v>
      </c>
      <c r="Z221">
        <v>3</v>
      </c>
      <c r="AA221" t="str">
        <f>IF(AND(Table1[[#This Row],[Throw Out Pass Eff]]="N", Table1[[#This Row],[Against FCS Team]]="N"), ROUND(((5.45 * D221) + (150 * F221) + (100 * G221) - (300 * H221)) / E221, 2), " ")</f>
        <v xml:space="preserve"> </v>
      </c>
      <c r="AB221" t="str">
        <f>IF(AND(Table1[[#This Row],[Throw Out Pass Def Eff]]="N", Table1[[#This Row],[Against FCS Team]]="N"),200 - ROUND(((5.45 * P221) + (150 * R221) + (100 * S221) - (300 * T221)) / Q221, 2), " ")</f>
        <v xml:space="preserve"> </v>
      </c>
      <c r="AC221" t="str">
        <f>IF(AND(Table1[[#This Row],[Throw Out Rush Eff]]="N", Table1[[#This Row],[Against FCS Team]]="N"), ROUND(((23.2 * I221) + (150 * K221) - (300 * L221)) / J221, 2), " ")</f>
        <v xml:space="preserve"> </v>
      </c>
      <c r="AD221" s="3" t="str">
        <f>IF(AND(Table1[[#This Row],[Throw Out Rush Def Eff]]="N", Table1[[#This Row],[Against FCS Team]]="N"), 200 - ROUND(((23.2 * U221) + (150 * W221) - (300 * X221)) / V221, 2), " ")</f>
        <v xml:space="preserve"> </v>
      </c>
      <c r="AE221" s="3">
        <f>ROUND(Table1[[#This Row],[Opp Passing Attempts]]/(Table1[[#This Row],[Opp Passing Attempts]]+Table1[[#This Row],[Opp Rushing Attempts]]), 2)</f>
        <v>0.39</v>
      </c>
      <c r="AF221" s="3">
        <f>1-Table1[[#This Row],[Passing Weight]]</f>
        <v>0.61</v>
      </c>
      <c r="AG221" s="3" t="str">
        <f>IF(COUNTIF(A:A,Table1[[#This Row],[Opp Team Name]]) &gt; 0, "N", "Y")</f>
        <v>Y</v>
      </c>
      <c r="AH221" s="3" t="str">
        <f>IF(Table1[[#This Row],[Passing Attempts]] &lt;15, "Y", "N")</f>
        <v>N</v>
      </c>
      <c r="AI221" s="3" t="str">
        <f>IF(Table1[[#This Row],[Rushing Attempts]] &lt; 15, "Y", "N")</f>
        <v>N</v>
      </c>
      <c r="AJ221" s="3" t="str">
        <f>IF(Table1[[#This Row],[Opp Passing Attempts]]&lt;15, "Y", "N")</f>
        <v>N</v>
      </c>
      <c r="AK221" s="3" t="str">
        <f>IF(Table1[[#This Row],[Opp Rushing Attempts]]&lt;15, "Y", "N")</f>
        <v>N</v>
      </c>
      <c r="AL22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2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2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2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21" s="3">
        <f>ABS(Table1[[#This Row],[Team Score]]-Table1[[#This Row],[Opp Team Score]])</f>
        <v>5</v>
      </c>
      <c r="AQ221" s="3">
        <f>SUM(Table1[[#This Row],[Team Score]], Table1[[#This Row],[Opp Team Score]])</f>
        <v>49</v>
      </c>
      <c r="AR22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21" s="3" t="str">
        <f>IF(Table1[[#This Row],[Efficiency Difference]] = " ", " ", ROUND((Table1[[#This Row],[Winning Margin]]*100)/Table1[[#This Row],[Efficiency Difference]], 2))</f>
        <v xml:space="preserve"> </v>
      </c>
    </row>
    <row r="222" spans="1:45">
      <c r="A222" t="s">
        <v>49</v>
      </c>
      <c r="B222">
        <v>96</v>
      </c>
      <c r="C222">
        <v>21</v>
      </c>
      <c r="D222">
        <v>150</v>
      </c>
      <c r="E222">
        <v>33</v>
      </c>
      <c r="F222">
        <v>1</v>
      </c>
      <c r="G222">
        <v>21</v>
      </c>
      <c r="H222">
        <v>1</v>
      </c>
      <c r="I222">
        <v>68</v>
      </c>
      <c r="J222">
        <v>25</v>
      </c>
      <c r="K222">
        <v>1</v>
      </c>
      <c r="L222">
        <v>1</v>
      </c>
      <c r="M222" t="s">
        <v>48</v>
      </c>
      <c r="N222">
        <v>107</v>
      </c>
      <c r="O222">
        <v>36</v>
      </c>
      <c r="P222">
        <v>266</v>
      </c>
      <c r="Q222">
        <v>35</v>
      </c>
      <c r="R222">
        <v>2</v>
      </c>
      <c r="S222">
        <v>16</v>
      </c>
      <c r="T222">
        <v>1</v>
      </c>
      <c r="U222">
        <v>151</v>
      </c>
      <c r="V222">
        <v>35</v>
      </c>
      <c r="W222">
        <v>2</v>
      </c>
      <c r="X222">
        <v>1</v>
      </c>
      <c r="Y222" t="s">
        <v>19</v>
      </c>
      <c r="Z222">
        <v>1</v>
      </c>
      <c r="AA222">
        <f>IF(AND(Table1[[#This Row],[Throw Out Pass Eff]]="N", Table1[[#This Row],[Against FCS Team]]="N"), ROUND(((5.45 * D222) + (150 * F222) + (100 * G222) - (300 * H222)) / E222, 2), " ")</f>
        <v>83.86</v>
      </c>
      <c r="AB222">
        <f>IF(AND(Table1[[#This Row],[Throw Out Pass Def Eff]]="N", Table1[[#This Row],[Against FCS Team]]="N"),200 - ROUND(((5.45 * P222) + (150 * R222) + (100 * S222) - (300 * T222)) / Q222, 2), " ")</f>
        <v>112.87</v>
      </c>
      <c r="AC222">
        <f>IF(AND(Table1[[#This Row],[Throw Out Rush Eff]]="N", Table1[[#This Row],[Against FCS Team]]="N"), ROUND(((23.2 * I222) + (150 * K222) - (300 * L222)) / J222, 2), " ")</f>
        <v>57.1</v>
      </c>
      <c r="AD222" s="3">
        <f>IF(AND(Table1[[#This Row],[Throw Out Rush Def Eff]]="N", Table1[[#This Row],[Against FCS Team]]="N"), 200 - ROUND(((23.2 * U222) + (150 * W222) - (300 * X222)) / V222, 2), " ")</f>
        <v>99.91</v>
      </c>
      <c r="AE222" s="3">
        <f>ROUND(Table1[[#This Row],[Opp Passing Attempts]]/(Table1[[#This Row],[Opp Passing Attempts]]+Table1[[#This Row],[Opp Rushing Attempts]]), 2)</f>
        <v>0.5</v>
      </c>
      <c r="AF222" s="3">
        <f>1-Table1[[#This Row],[Passing Weight]]</f>
        <v>0.5</v>
      </c>
      <c r="AG222" s="3" t="str">
        <f>IF(COUNTIF(A:A,Table1[[#This Row],[Opp Team Name]]) &gt; 0, "N", "Y")</f>
        <v>N</v>
      </c>
      <c r="AH222" s="3" t="str">
        <f>IF(Table1[[#This Row],[Passing Attempts]] &lt;15, "Y", "N")</f>
        <v>N</v>
      </c>
      <c r="AI222" s="3" t="str">
        <f>IF(Table1[[#This Row],[Rushing Attempts]] &lt; 15, "Y", "N")</f>
        <v>N</v>
      </c>
      <c r="AJ222" s="3" t="str">
        <f>IF(Table1[[#This Row],[Opp Passing Attempts]]&lt;15, "Y", "N")</f>
        <v>N</v>
      </c>
      <c r="AK222" s="3" t="str">
        <f>IF(Table1[[#This Row],[Opp Rushing Attempts]]&lt;15, "Y", "N")</f>
        <v>N</v>
      </c>
      <c r="AL2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83.5</v>
      </c>
      <c r="AM2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105.67</v>
      </c>
      <c r="AN2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71.900000000000006</v>
      </c>
      <c r="AO2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79.31</v>
      </c>
      <c r="AP222" s="3">
        <f>ABS(Table1[[#This Row],[Team Score]]-Table1[[#This Row],[Opp Team Score]])</f>
        <v>15</v>
      </c>
      <c r="AQ222" s="3">
        <f>SUM(Table1[[#This Row],[Team Score]], Table1[[#This Row],[Opp Team Score]])</f>
        <v>57</v>
      </c>
      <c r="AR2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46.259999999999991</v>
      </c>
      <c r="AS222" s="3">
        <f>IF(Table1[[#This Row],[Efficiency Difference]] = " ", " ", ROUND((Table1[[#This Row],[Winning Margin]]*100)/Table1[[#This Row],[Efficiency Difference]], 2))</f>
        <v>32.43</v>
      </c>
    </row>
    <row r="223" spans="1:45">
      <c r="A223" t="s">
        <v>49</v>
      </c>
      <c r="B223">
        <v>96</v>
      </c>
      <c r="C223">
        <v>29</v>
      </c>
      <c r="D223">
        <v>254</v>
      </c>
      <c r="E223">
        <v>41</v>
      </c>
      <c r="F223">
        <v>1</v>
      </c>
      <c r="G223">
        <v>20</v>
      </c>
      <c r="H223">
        <v>0</v>
      </c>
      <c r="I223">
        <v>190</v>
      </c>
      <c r="J223">
        <v>40</v>
      </c>
      <c r="K223">
        <v>1</v>
      </c>
      <c r="L223">
        <v>1</v>
      </c>
      <c r="M223" t="s">
        <v>106</v>
      </c>
      <c r="N223">
        <v>463</v>
      </c>
      <c r="O223">
        <v>42</v>
      </c>
      <c r="P223">
        <v>219</v>
      </c>
      <c r="Q223">
        <v>21</v>
      </c>
      <c r="R223">
        <v>1</v>
      </c>
      <c r="S223">
        <v>10</v>
      </c>
      <c r="T223">
        <v>2</v>
      </c>
      <c r="U223">
        <v>219</v>
      </c>
      <c r="V223">
        <v>35</v>
      </c>
      <c r="W223">
        <v>4</v>
      </c>
      <c r="X223">
        <v>0</v>
      </c>
      <c r="Y223" t="s">
        <v>19</v>
      </c>
      <c r="Z223">
        <v>2</v>
      </c>
      <c r="AA223">
        <f>IF(AND(Table1[[#This Row],[Throw Out Pass Eff]]="N", Table1[[#This Row],[Against FCS Team]]="N"), ROUND(((5.45 * D223) + (150 * F223) + (100 * G223) - (300 * H223)) / E223, 2), " ")</f>
        <v>86.2</v>
      </c>
      <c r="AB223">
        <f>IF(AND(Table1[[#This Row],[Throw Out Pass Def Eff]]="N", Table1[[#This Row],[Against FCS Team]]="N"),200 - ROUND(((5.45 * P223) + (150 * R223) + (100 * S223) - (300 * T223)) / Q223, 2), " ")</f>
        <v>116.97</v>
      </c>
      <c r="AC223">
        <f>IF(AND(Table1[[#This Row],[Throw Out Rush Eff]]="N", Table1[[#This Row],[Against FCS Team]]="N"), ROUND(((23.2 * I223) + (150 * K223) - (300 * L223)) / J223, 2), " ")</f>
        <v>106.45</v>
      </c>
      <c r="AD223" s="3">
        <f>IF(AND(Table1[[#This Row],[Throw Out Rush Def Eff]]="N", Table1[[#This Row],[Against FCS Team]]="N"), 200 - ROUND(((23.2 * U223) + (150 * W223) - (300 * X223)) / V223, 2), " ")</f>
        <v>37.69</v>
      </c>
      <c r="AE223" s="3">
        <f>ROUND(Table1[[#This Row],[Opp Passing Attempts]]/(Table1[[#This Row],[Opp Passing Attempts]]+Table1[[#This Row],[Opp Rushing Attempts]]), 2)</f>
        <v>0.38</v>
      </c>
      <c r="AF223" s="3">
        <f>1-Table1[[#This Row],[Passing Weight]]</f>
        <v>0.62</v>
      </c>
      <c r="AG223" s="3" t="str">
        <f>IF(COUNTIF(A:A,Table1[[#This Row],[Opp Team Name]]) &gt; 0, "N", "Y")</f>
        <v>N</v>
      </c>
      <c r="AH223" s="3" t="str">
        <f>IF(Table1[[#This Row],[Passing Attempts]] &lt;15, "Y", "N")</f>
        <v>N</v>
      </c>
      <c r="AI223" s="3" t="str">
        <f>IF(Table1[[#This Row],[Rushing Attempts]] &lt; 15, "Y", "N")</f>
        <v>N</v>
      </c>
      <c r="AJ223" s="3" t="str">
        <f>IF(Table1[[#This Row],[Opp Passing Attempts]]&lt;15, "Y", "N")</f>
        <v>N</v>
      </c>
      <c r="AK223" s="3" t="str">
        <f>IF(Table1[[#This Row],[Opp Rushing Attempts]]&lt;15, "Y", "N")</f>
        <v>N</v>
      </c>
      <c r="AL2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91.61</v>
      </c>
      <c r="AM2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111.19</v>
      </c>
      <c r="AN2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98.36</v>
      </c>
      <c r="AO2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51.35</v>
      </c>
      <c r="AP223" s="3">
        <f>ABS(Table1[[#This Row],[Team Score]]-Table1[[#This Row],[Opp Team Score]])</f>
        <v>13</v>
      </c>
      <c r="AQ223" s="3">
        <f>SUM(Table1[[#This Row],[Team Score]], Table1[[#This Row],[Opp Team Score]])</f>
        <v>71</v>
      </c>
      <c r="AR2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52.69</v>
      </c>
      <c r="AS223" s="3">
        <f>IF(Table1[[#This Row],[Efficiency Difference]] = " ", " ", ROUND((Table1[[#This Row],[Winning Margin]]*100)/Table1[[#This Row],[Efficiency Difference]], 2))</f>
        <v>24.67</v>
      </c>
    </row>
    <row r="224" spans="1:45">
      <c r="A224" t="s">
        <v>49</v>
      </c>
      <c r="B224">
        <v>96</v>
      </c>
      <c r="C224">
        <v>48</v>
      </c>
      <c r="D224">
        <v>371</v>
      </c>
      <c r="E224">
        <v>37</v>
      </c>
      <c r="F224">
        <v>5</v>
      </c>
      <c r="G224">
        <v>24</v>
      </c>
      <c r="H224">
        <v>2</v>
      </c>
      <c r="I224">
        <v>142</v>
      </c>
      <c r="J224">
        <v>34</v>
      </c>
      <c r="K224">
        <v>0</v>
      </c>
      <c r="L224">
        <v>0</v>
      </c>
      <c r="M224" t="s">
        <v>43</v>
      </c>
      <c r="N224">
        <v>295</v>
      </c>
      <c r="O224">
        <v>24</v>
      </c>
      <c r="P224">
        <v>239</v>
      </c>
      <c r="Q224">
        <v>43</v>
      </c>
      <c r="R224">
        <v>2</v>
      </c>
      <c r="S224">
        <v>23</v>
      </c>
      <c r="T224">
        <v>0</v>
      </c>
      <c r="U224">
        <v>44</v>
      </c>
      <c r="V224">
        <v>24</v>
      </c>
      <c r="W224">
        <v>1</v>
      </c>
      <c r="X224">
        <v>1</v>
      </c>
      <c r="Y224" t="s">
        <v>16</v>
      </c>
      <c r="Z224">
        <v>4</v>
      </c>
      <c r="AA224">
        <f>IF(AND(Table1[[#This Row],[Throw Out Pass Eff]]="N", Table1[[#This Row],[Against FCS Team]]="N"), ROUND(((5.45 * D224) + (150 * F224) + (100 * G224) - (300 * H224)) / E224, 2), " ")</f>
        <v>123.57</v>
      </c>
      <c r="AB224">
        <f>IF(AND(Table1[[#This Row],[Throw Out Pass Def Eff]]="N", Table1[[#This Row],[Against FCS Team]]="N"),200 - ROUND(((5.45 * P224) + (150 * R224) + (100 * S224) - (300 * T224)) / Q224, 2), " ")</f>
        <v>109.24</v>
      </c>
      <c r="AC224">
        <f>IF(AND(Table1[[#This Row],[Throw Out Rush Eff]]="N", Table1[[#This Row],[Against FCS Team]]="N"), ROUND(((23.2 * I224) + (150 * K224) - (300 * L224)) / J224, 2), " ")</f>
        <v>96.89</v>
      </c>
      <c r="AD224" s="3">
        <f>IF(AND(Table1[[#This Row],[Throw Out Rush Def Eff]]="N", Table1[[#This Row],[Against FCS Team]]="N"), 200 - ROUND(((23.2 * U224) + (150 * W224) - (300 * X224)) / V224, 2), " ")</f>
        <v>163.72</v>
      </c>
      <c r="AE224" s="3">
        <f>ROUND(Table1[[#This Row],[Opp Passing Attempts]]/(Table1[[#This Row],[Opp Passing Attempts]]+Table1[[#This Row],[Opp Rushing Attempts]]), 2)</f>
        <v>0.64</v>
      </c>
      <c r="AF224" s="3">
        <f>1-Table1[[#This Row],[Passing Weight]]</f>
        <v>0.36</v>
      </c>
      <c r="AG224" s="3" t="str">
        <f>IF(COUNTIF(A:A,Table1[[#This Row],[Opp Team Name]]) &gt; 0, "N", "Y")</f>
        <v>N</v>
      </c>
      <c r="AH224" s="3" t="str">
        <f>IF(Table1[[#This Row],[Passing Attempts]] &lt;15, "Y", "N")</f>
        <v>N</v>
      </c>
      <c r="AI224" s="3" t="str">
        <f>IF(Table1[[#This Row],[Rushing Attempts]] &lt; 15, "Y", "N")</f>
        <v>N</v>
      </c>
      <c r="AJ224" s="3" t="str">
        <f>IF(Table1[[#This Row],[Opp Passing Attempts]]&lt;15, "Y", "N")</f>
        <v>N</v>
      </c>
      <c r="AK224" s="3" t="str">
        <f>IF(Table1[[#This Row],[Opp Rushing Attempts]]&lt;15, "Y", "N")</f>
        <v>N</v>
      </c>
      <c r="AL2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107.79</v>
      </c>
      <c r="AM2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78.959999999999994</v>
      </c>
      <c r="AN2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103.5</v>
      </c>
      <c r="AO2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80.08</v>
      </c>
      <c r="AP224" s="3">
        <f>ABS(Table1[[#This Row],[Team Score]]-Table1[[#This Row],[Opp Team Score]])</f>
        <v>24</v>
      </c>
      <c r="AQ224" s="3">
        <f>SUM(Table1[[#This Row],[Team Score]], Table1[[#This Row],[Opp Team Score]])</f>
        <v>72</v>
      </c>
      <c r="AR2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93.419999999999959</v>
      </c>
      <c r="AS224" s="3">
        <f>IF(Table1[[#This Row],[Efficiency Difference]] = " ", " ", ROUND((Table1[[#This Row],[Winning Margin]]*100)/Table1[[#This Row],[Efficiency Difference]], 2))</f>
        <v>25.69</v>
      </c>
    </row>
    <row r="225" spans="1:45">
      <c r="A225" t="s">
        <v>49</v>
      </c>
      <c r="B225">
        <v>96</v>
      </c>
      <c r="C225">
        <v>28</v>
      </c>
      <c r="D225">
        <v>281</v>
      </c>
      <c r="E225">
        <v>38</v>
      </c>
      <c r="F225">
        <v>1</v>
      </c>
      <c r="G225">
        <v>25</v>
      </c>
      <c r="H225">
        <v>1</v>
      </c>
      <c r="I225">
        <v>163</v>
      </c>
      <c r="J225">
        <v>36</v>
      </c>
      <c r="K225">
        <v>3</v>
      </c>
      <c r="L225">
        <v>1</v>
      </c>
      <c r="M225" t="s">
        <v>47</v>
      </c>
      <c r="N225">
        <v>433</v>
      </c>
      <c r="O225">
        <v>38</v>
      </c>
      <c r="P225">
        <v>214</v>
      </c>
      <c r="Q225">
        <v>18</v>
      </c>
      <c r="R225">
        <v>1</v>
      </c>
      <c r="S225">
        <v>8</v>
      </c>
      <c r="T225">
        <v>0</v>
      </c>
      <c r="U225">
        <v>216</v>
      </c>
      <c r="V225">
        <v>44</v>
      </c>
      <c r="W225">
        <v>4</v>
      </c>
      <c r="X225">
        <v>0</v>
      </c>
      <c r="Y225" t="s">
        <v>19</v>
      </c>
      <c r="Z225">
        <v>5</v>
      </c>
      <c r="AA225">
        <f>IF(AND(Table1[[#This Row],[Throw Out Pass Eff]]="N", Table1[[#This Row],[Against FCS Team]]="N"), ROUND(((5.45 * D225) + (150 * F225) + (100 * G225) - (300 * H225)) / E225, 2), " ")</f>
        <v>102.14</v>
      </c>
      <c r="AB225">
        <f>IF(AND(Table1[[#This Row],[Throw Out Pass Def Eff]]="N", Table1[[#This Row],[Against FCS Team]]="N"),200 - ROUND(((5.45 * P225) + (150 * R225) + (100 * S225) - (300 * T225)) / Q225, 2), " ")</f>
        <v>82.43</v>
      </c>
      <c r="AC225">
        <f>IF(AND(Table1[[#This Row],[Throw Out Rush Eff]]="N", Table1[[#This Row],[Against FCS Team]]="N"), ROUND(((23.2 * I225) + (150 * K225) - (300 * L225)) / J225, 2), " ")</f>
        <v>109.21</v>
      </c>
      <c r="AD225" s="3">
        <f>IF(AND(Table1[[#This Row],[Throw Out Rush Def Eff]]="N", Table1[[#This Row],[Against FCS Team]]="N"), 200 - ROUND(((23.2 * U225) + (150 * W225) - (300 * X225)) / V225, 2), " ")</f>
        <v>72.47</v>
      </c>
      <c r="AE225" s="3">
        <f>ROUND(Table1[[#This Row],[Opp Passing Attempts]]/(Table1[[#This Row],[Opp Passing Attempts]]+Table1[[#This Row],[Opp Rushing Attempts]]), 2)</f>
        <v>0.28999999999999998</v>
      </c>
      <c r="AF225" s="3">
        <f>1-Table1[[#This Row],[Passing Weight]]</f>
        <v>0.71</v>
      </c>
      <c r="AG225" s="3" t="str">
        <f>IF(COUNTIF(A:A,Table1[[#This Row],[Opp Team Name]]) &gt; 0, "N", "Y")</f>
        <v>N</v>
      </c>
      <c r="AH225" s="3" t="str">
        <f>IF(Table1[[#This Row],[Passing Attempts]] &lt;15, "Y", "N")</f>
        <v>N</v>
      </c>
      <c r="AI225" s="3" t="str">
        <f>IF(Table1[[#This Row],[Rushing Attempts]] &lt; 15, "Y", "N")</f>
        <v>N</v>
      </c>
      <c r="AJ225" s="3" t="str">
        <f>IF(Table1[[#This Row],[Opp Passing Attempts]]&lt;15, "Y", "N")</f>
        <v>N</v>
      </c>
      <c r="AK225" s="3" t="str">
        <f>IF(Table1[[#This Row],[Opp Rushing Attempts]]&lt;15, "Y", "N")</f>
        <v>N</v>
      </c>
      <c r="AL2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99.02</v>
      </c>
      <c r="AM2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61.24</v>
      </c>
      <c r="AN2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72.44</v>
      </c>
      <c r="AO2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41.74</v>
      </c>
      <c r="AP225" s="3">
        <f>ABS(Table1[[#This Row],[Team Score]]-Table1[[#This Row],[Opp Team Score]])</f>
        <v>10</v>
      </c>
      <c r="AQ225" s="3">
        <f>SUM(Table1[[#This Row],[Team Score]], Table1[[#This Row],[Opp Team Score]])</f>
        <v>66</v>
      </c>
      <c r="AR2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33.75</v>
      </c>
      <c r="AS225" s="3">
        <f>IF(Table1[[#This Row],[Efficiency Difference]] = " ", " ", ROUND((Table1[[#This Row],[Winning Margin]]*100)/Table1[[#This Row],[Efficiency Difference]], 2))</f>
        <v>29.63</v>
      </c>
    </row>
    <row r="226" spans="1:45">
      <c r="A226" t="s">
        <v>49</v>
      </c>
      <c r="B226">
        <v>96</v>
      </c>
      <c r="C226">
        <v>7</v>
      </c>
      <c r="D226">
        <v>126</v>
      </c>
      <c r="E226">
        <v>31</v>
      </c>
      <c r="F226">
        <v>0</v>
      </c>
      <c r="G226">
        <v>17</v>
      </c>
      <c r="H226">
        <v>2</v>
      </c>
      <c r="I226">
        <v>144</v>
      </c>
      <c r="J226">
        <v>26</v>
      </c>
      <c r="K226">
        <v>0</v>
      </c>
      <c r="L226">
        <v>2</v>
      </c>
      <c r="M226" t="s">
        <v>38</v>
      </c>
      <c r="N226">
        <v>66</v>
      </c>
      <c r="O226">
        <v>57</v>
      </c>
      <c r="P226">
        <v>281</v>
      </c>
      <c r="Q226">
        <v>37</v>
      </c>
      <c r="R226">
        <v>3</v>
      </c>
      <c r="S226">
        <v>26</v>
      </c>
      <c r="T226">
        <v>0</v>
      </c>
      <c r="U226">
        <v>183</v>
      </c>
      <c r="V226">
        <v>38</v>
      </c>
      <c r="W226">
        <v>5</v>
      </c>
      <c r="X226">
        <v>0</v>
      </c>
      <c r="Y226" t="s">
        <v>19</v>
      </c>
      <c r="Z226">
        <v>6</v>
      </c>
      <c r="AA226">
        <f>IF(AND(Table1[[#This Row],[Throw Out Pass Eff]]="N", Table1[[#This Row],[Against FCS Team]]="N"), ROUND(((5.45 * D226) + (150 * F226) + (100 * G226) - (300 * H226)) / E226, 2), " ")</f>
        <v>57.64</v>
      </c>
      <c r="AB226">
        <f>IF(AND(Table1[[#This Row],[Throw Out Pass Def Eff]]="N", Table1[[#This Row],[Against FCS Team]]="N"),200 - ROUND(((5.45 * P226) + (150 * R226) + (100 * S226) - (300 * T226)) / Q226, 2), " ")</f>
        <v>76.180000000000007</v>
      </c>
      <c r="AC226">
        <f>IF(AND(Table1[[#This Row],[Throw Out Rush Eff]]="N", Table1[[#This Row],[Against FCS Team]]="N"), ROUND(((23.2 * I226) + (150 * K226) - (300 * L226)) / J226, 2), " ")</f>
        <v>105.42</v>
      </c>
      <c r="AD226" s="3">
        <f>IF(AND(Table1[[#This Row],[Throw Out Rush Def Eff]]="N", Table1[[#This Row],[Against FCS Team]]="N"), 200 - ROUND(((23.2 * U226) + (150 * W226) - (300 * X226)) / V226, 2), " ")</f>
        <v>68.539999999999992</v>
      </c>
      <c r="AE226" s="3">
        <f>ROUND(Table1[[#This Row],[Opp Passing Attempts]]/(Table1[[#This Row],[Opp Passing Attempts]]+Table1[[#This Row],[Opp Rushing Attempts]]), 2)</f>
        <v>0.49</v>
      </c>
      <c r="AF226" s="3">
        <f>1-Table1[[#This Row],[Passing Weight]]</f>
        <v>0.51</v>
      </c>
      <c r="AG226" s="3" t="str">
        <f>IF(COUNTIF(A:A,Table1[[#This Row],[Opp Team Name]]) &gt; 0, "N", "Y")</f>
        <v>N</v>
      </c>
      <c r="AH226" s="3" t="str">
        <f>IF(Table1[[#This Row],[Passing Attempts]] &lt;15, "Y", "N")</f>
        <v>N</v>
      </c>
      <c r="AI226" s="3" t="str">
        <f>IF(Table1[[#This Row],[Rushing Attempts]] &lt; 15, "Y", "N")</f>
        <v>N</v>
      </c>
      <c r="AJ226" s="3" t="str">
        <f>IF(Table1[[#This Row],[Opp Passing Attempts]]&lt;15, "Y", "N")</f>
        <v>N</v>
      </c>
      <c r="AK226" s="3" t="str">
        <f>IF(Table1[[#This Row],[Opp Rushing Attempts]]&lt;15, "Y", "N")</f>
        <v>N</v>
      </c>
      <c r="AL2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73.06</v>
      </c>
      <c r="AM2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</v>
      </c>
      <c r="AN2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120.99</v>
      </c>
      <c r="AO2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78.62</v>
      </c>
      <c r="AP226" s="3">
        <f>ABS(Table1[[#This Row],[Team Score]]-Table1[[#This Row],[Opp Team Score]])</f>
        <v>50</v>
      </c>
      <c r="AQ226" s="3">
        <f>SUM(Table1[[#This Row],[Team Score]], Table1[[#This Row],[Opp Team Score]])</f>
        <v>64</v>
      </c>
      <c r="AR2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92.22</v>
      </c>
      <c r="AS226" s="3">
        <f>IF(Table1[[#This Row],[Efficiency Difference]] = " ", " ", ROUND((Table1[[#This Row],[Winning Margin]]*100)/Table1[[#This Row],[Efficiency Difference]], 2))</f>
        <v>54.22</v>
      </c>
    </row>
    <row r="227" spans="1:45">
      <c r="A227" t="s">
        <v>49</v>
      </c>
      <c r="B227">
        <v>96</v>
      </c>
      <c r="C227">
        <v>31</v>
      </c>
      <c r="D227">
        <v>248</v>
      </c>
      <c r="E227">
        <v>39</v>
      </c>
      <c r="F227">
        <v>2</v>
      </c>
      <c r="G227">
        <v>23</v>
      </c>
      <c r="H227">
        <v>0</v>
      </c>
      <c r="I227">
        <v>155</v>
      </c>
      <c r="J227">
        <v>36</v>
      </c>
      <c r="K227">
        <v>2</v>
      </c>
      <c r="L227">
        <v>2</v>
      </c>
      <c r="M227" t="s">
        <v>33</v>
      </c>
      <c r="N227">
        <v>731</v>
      </c>
      <c r="O227">
        <v>21</v>
      </c>
      <c r="P227">
        <v>204</v>
      </c>
      <c r="Q227">
        <v>32</v>
      </c>
      <c r="R227">
        <v>1</v>
      </c>
      <c r="S227">
        <v>16</v>
      </c>
      <c r="T227">
        <v>0</v>
      </c>
      <c r="U227">
        <v>250</v>
      </c>
      <c r="V227">
        <v>41</v>
      </c>
      <c r="W227">
        <v>2</v>
      </c>
      <c r="X227">
        <v>1</v>
      </c>
      <c r="Y227" t="s">
        <v>16</v>
      </c>
      <c r="Z227">
        <v>7</v>
      </c>
      <c r="AA227">
        <f>IF(AND(Table1[[#This Row],[Throw Out Pass Eff]]="N", Table1[[#This Row],[Against FCS Team]]="N"), ROUND(((5.45 * D227) + (150 * F227) + (100 * G227) - (300 * H227)) / E227, 2), " ")</f>
        <v>101.32</v>
      </c>
      <c r="AB227">
        <f>IF(AND(Table1[[#This Row],[Throw Out Pass Def Eff]]="N", Table1[[#This Row],[Against FCS Team]]="N"),200 - ROUND(((5.45 * P227) + (150 * R227) + (100 * S227) - (300 * T227)) / Q227, 2), " ")</f>
        <v>110.57</v>
      </c>
      <c r="AC227">
        <f>IF(AND(Table1[[#This Row],[Throw Out Rush Eff]]="N", Table1[[#This Row],[Against FCS Team]]="N"), ROUND(((23.2 * I227) + (150 * K227) - (300 * L227)) / J227, 2), " ")</f>
        <v>91.56</v>
      </c>
      <c r="AD227" s="3">
        <f>IF(AND(Table1[[#This Row],[Throw Out Rush Def Eff]]="N", Table1[[#This Row],[Against FCS Team]]="N"), 200 - ROUND(((23.2 * U227) + (150 * W227) - (300 * X227)) / V227, 2), " ")</f>
        <v>58.539999999999992</v>
      </c>
      <c r="AE227" s="3">
        <f>ROUND(Table1[[#This Row],[Opp Passing Attempts]]/(Table1[[#This Row],[Opp Passing Attempts]]+Table1[[#This Row],[Opp Rushing Attempts]]), 2)</f>
        <v>0.44</v>
      </c>
      <c r="AF227" s="3">
        <f>1-Table1[[#This Row],[Passing Weight]]</f>
        <v>0.56000000000000005</v>
      </c>
      <c r="AG227" s="3" t="str">
        <f>IF(COUNTIF(A:A,Table1[[#This Row],[Opp Team Name]]) &gt; 0, "N", "Y")</f>
        <v>N</v>
      </c>
      <c r="AH227" s="3" t="str">
        <f>IF(Table1[[#This Row],[Passing Attempts]] &lt;15, "Y", "N")</f>
        <v>N</v>
      </c>
      <c r="AI227" s="3" t="str">
        <f>IF(Table1[[#This Row],[Rushing Attempts]] &lt; 15, "Y", "N")</f>
        <v>N</v>
      </c>
      <c r="AJ227" s="3" t="str">
        <f>IF(Table1[[#This Row],[Opp Passing Attempts]]&lt;15, "Y", "N")</f>
        <v>N</v>
      </c>
      <c r="AK227" s="3" t="str">
        <f>IF(Table1[[#This Row],[Opp Rushing Attempts]]&lt;15, "Y", "N")</f>
        <v>N</v>
      </c>
      <c r="AL2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100.47</v>
      </c>
      <c r="AM22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114.76</v>
      </c>
      <c r="AN2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111.77</v>
      </c>
      <c r="AO2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76.5</v>
      </c>
      <c r="AP227" s="3">
        <f>ABS(Table1[[#This Row],[Team Score]]-Table1[[#This Row],[Opp Team Score]])</f>
        <v>10</v>
      </c>
      <c r="AQ227" s="3">
        <f>SUM(Table1[[#This Row],[Team Score]], Table1[[#This Row],[Opp Team Score]])</f>
        <v>52</v>
      </c>
      <c r="AR22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38.010000000000019</v>
      </c>
      <c r="AS227" s="3">
        <f>IF(Table1[[#This Row],[Efficiency Difference]] = " ", " ", ROUND((Table1[[#This Row],[Winning Margin]]*100)/Table1[[#This Row],[Efficiency Difference]], 2))</f>
        <v>26.31</v>
      </c>
    </row>
    <row r="228" spans="1:45">
      <c r="A228" t="s">
        <v>49</v>
      </c>
      <c r="B228">
        <v>96</v>
      </c>
      <c r="C228">
        <v>38</v>
      </c>
      <c r="D228">
        <v>315</v>
      </c>
      <c r="E228">
        <v>37</v>
      </c>
      <c r="F228">
        <v>3</v>
      </c>
      <c r="G228">
        <v>20</v>
      </c>
      <c r="H228">
        <v>0</v>
      </c>
      <c r="I228">
        <v>207</v>
      </c>
      <c r="J228">
        <v>33</v>
      </c>
      <c r="K228">
        <v>2</v>
      </c>
      <c r="L228">
        <v>2</v>
      </c>
      <c r="M228" t="s">
        <v>181</v>
      </c>
      <c r="N228">
        <v>466</v>
      </c>
      <c r="O228">
        <v>45</v>
      </c>
      <c r="P228">
        <v>313</v>
      </c>
      <c r="Q228">
        <v>27</v>
      </c>
      <c r="R228">
        <v>1</v>
      </c>
      <c r="S228">
        <v>19</v>
      </c>
      <c r="T228">
        <v>0</v>
      </c>
      <c r="U228">
        <v>268</v>
      </c>
      <c r="V228">
        <v>48</v>
      </c>
      <c r="W228">
        <v>2</v>
      </c>
      <c r="X228">
        <v>0</v>
      </c>
      <c r="Y228" t="s">
        <v>19</v>
      </c>
      <c r="Z228">
        <v>8</v>
      </c>
      <c r="AA228" s="3">
        <f>IF(AND(Table1[[#This Row],[Throw Out Pass Eff]]="N", Table1[[#This Row],[Against FCS Team]]="N"), ROUND(((5.45 * D228) + (150 * F228) + (100 * G228) - (300 * H228)) / E228, 2), " ")</f>
        <v>112.61</v>
      </c>
      <c r="AB228" s="3">
        <f>IF(AND(Table1[[#This Row],[Throw Out Pass Def Eff]]="N", Table1[[#This Row],[Against FCS Team]]="N"),200 - ROUND(((5.45 * P228) + (150 * R228) + (100 * S228) - (300 * T228)) / Q228, 2), " ")</f>
        <v>60.889999999999986</v>
      </c>
      <c r="AC228" s="3">
        <f>IF(AND(Table1[[#This Row],[Throw Out Rush Eff]]="N", Table1[[#This Row],[Against FCS Team]]="N"), ROUND(((23.2 * I228) + (150 * K228) - (300 * L228)) / J228, 2), " ")</f>
        <v>136.44</v>
      </c>
      <c r="AD228" s="3">
        <f>IF(AND(Table1[[#This Row],[Throw Out Rush Def Eff]]="N", Table1[[#This Row],[Against FCS Team]]="N"), 200 - ROUND(((23.2 * U228) + (150 * W228) - (300 * X228)) / V228, 2), " ")</f>
        <v>64.22</v>
      </c>
      <c r="AE228" s="3">
        <f>ROUND(Table1[[#This Row],[Opp Passing Attempts]]/(Table1[[#This Row],[Opp Passing Attempts]]+Table1[[#This Row],[Opp Rushing Attempts]]), 2)</f>
        <v>0.36</v>
      </c>
      <c r="AF228" s="3">
        <f>1-Table1[[#This Row],[Passing Weight]]</f>
        <v>0.64</v>
      </c>
      <c r="AG228" s="3" t="str">
        <f>IF(COUNTIF(A:A,Table1[[#This Row],[Opp Team Name]]) &gt; 0, "N", "Y")</f>
        <v>N</v>
      </c>
      <c r="AH228" s="3" t="str">
        <f>IF(Table1[[#This Row],[Passing Attempts]] &lt;15, "Y", "N")</f>
        <v>N</v>
      </c>
      <c r="AI228" s="3" t="str">
        <f>IF(Table1[[#This Row],[Rushing Attempts]] &lt; 15, "Y", "N")</f>
        <v>N</v>
      </c>
      <c r="AJ228" s="3" t="str">
        <f>IF(Table1[[#This Row],[Opp Passing Attempts]]&lt;15, "Y", "N")</f>
        <v>N</v>
      </c>
      <c r="AK228" s="3" t="str">
        <f>IF(Table1[[#This Row],[Opp Rushing Attempts]]&lt;15, "Y", "N")</f>
        <v>N</v>
      </c>
      <c r="AL2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119.66</v>
      </c>
      <c r="AM2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60.29</v>
      </c>
      <c r="AN2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117.77</v>
      </c>
      <c r="AO2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75.59</v>
      </c>
      <c r="AP228" s="3">
        <f>ABS(Table1[[#This Row],[Team Score]]-Table1[[#This Row],[Opp Team Score]])</f>
        <v>7</v>
      </c>
      <c r="AQ228" s="3">
        <f>SUM(Table1[[#This Row],[Team Score]], Table1[[#This Row],[Opp Team Score]])</f>
        <v>83</v>
      </c>
      <c r="AR2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25.839999999999975</v>
      </c>
      <c r="AS228" s="3">
        <f>IF(Table1[[#This Row],[Efficiency Difference]] = " ", " ", ROUND((Table1[[#This Row],[Winning Margin]]*100)/Table1[[#This Row],[Efficiency Difference]], 2))</f>
        <v>27.09</v>
      </c>
    </row>
    <row r="229" spans="1:45">
      <c r="A229" t="s">
        <v>39</v>
      </c>
      <c r="B229">
        <v>257</v>
      </c>
      <c r="C229">
        <v>59</v>
      </c>
      <c r="D229">
        <v>276</v>
      </c>
      <c r="E229">
        <v>36</v>
      </c>
      <c r="F229">
        <v>4</v>
      </c>
      <c r="G229">
        <v>25</v>
      </c>
      <c r="H229">
        <v>0</v>
      </c>
      <c r="I229">
        <v>194</v>
      </c>
      <c r="J229">
        <v>47</v>
      </c>
      <c r="K229">
        <v>4</v>
      </c>
      <c r="L229">
        <v>1</v>
      </c>
      <c r="M229" t="s">
        <v>195</v>
      </c>
      <c r="N229">
        <v>149</v>
      </c>
      <c r="O229">
        <v>0</v>
      </c>
      <c r="P229">
        <v>49</v>
      </c>
      <c r="Q229">
        <v>26</v>
      </c>
      <c r="R229">
        <v>0</v>
      </c>
      <c r="S229">
        <v>14</v>
      </c>
      <c r="T229">
        <v>1</v>
      </c>
      <c r="U229">
        <v>63</v>
      </c>
      <c r="V229">
        <v>27</v>
      </c>
      <c r="W229">
        <v>0</v>
      </c>
      <c r="X229">
        <v>2</v>
      </c>
      <c r="Y229" t="s">
        <v>16</v>
      </c>
      <c r="Z229">
        <v>3</v>
      </c>
      <c r="AA229" t="str">
        <f>IF(AND(Table1[[#This Row],[Throw Out Pass Eff]]="N", Table1[[#This Row],[Against FCS Team]]="N"), ROUND(((5.45 * D229) + (150 * F229) + (100 * G229) - (300 * H229)) / E229, 2), " ")</f>
        <v xml:space="preserve"> </v>
      </c>
      <c r="AB229" t="str">
        <f>IF(AND(Table1[[#This Row],[Throw Out Pass Def Eff]]="N", Table1[[#This Row],[Against FCS Team]]="N"),200 - ROUND(((5.45 * P229) + (150 * R229) + (100 * S229) - (300 * T229)) / Q229, 2), " ")</f>
        <v xml:space="preserve"> </v>
      </c>
      <c r="AC229" t="str">
        <f>IF(AND(Table1[[#This Row],[Throw Out Rush Eff]]="N", Table1[[#This Row],[Against FCS Team]]="N"), ROUND(((23.2 * I229) + (150 * K229) - (300 * L229)) / J229, 2), " ")</f>
        <v xml:space="preserve"> </v>
      </c>
      <c r="AD229" s="3" t="str">
        <f>IF(AND(Table1[[#This Row],[Throw Out Rush Def Eff]]="N", Table1[[#This Row],[Against FCS Team]]="N"), 200 - ROUND(((23.2 * U229) + (150 * W229) - (300 * X229)) / V229, 2), " ")</f>
        <v xml:space="preserve"> </v>
      </c>
      <c r="AE229" s="3">
        <f>ROUND(Table1[[#This Row],[Opp Passing Attempts]]/(Table1[[#This Row],[Opp Passing Attempts]]+Table1[[#This Row],[Opp Rushing Attempts]]), 2)</f>
        <v>0.49</v>
      </c>
      <c r="AF229" s="3">
        <f>1-Table1[[#This Row],[Passing Weight]]</f>
        <v>0.51</v>
      </c>
      <c r="AG229" s="3" t="str">
        <f>IF(COUNTIF(A:A,Table1[[#This Row],[Opp Team Name]]) &gt; 0, "N", "Y")</f>
        <v>Y</v>
      </c>
      <c r="AH229" s="3" t="str">
        <f>IF(Table1[[#This Row],[Passing Attempts]] &lt;15, "Y", "N")</f>
        <v>N</v>
      </c>
      <c r="AI229" s="3" t="str">
        <f>IF(Table1[[#This Row],[Rushing Attempts]] &lt; 15, "Y", "N")</f>
        <v>N</v>
      </c>
      <c r="AJ229" s="3" t="str">
        <f>IF(Table1[[#This Row],[Opp Passing Attempts]]&lt;15, "Y", "N")</f>
        <v>N</v>
      </c>
      <c r="AK229" s="3" t="str">
        <f>IF(Table1[[#This Row],[Opp Rushing Attempts]]&lt;15, "Y", "N")</f>
        <v>N</v>
      </c>
      <c r="AL22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29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29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29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29" s="3">
        <f>ABS(Table1[[#This Row],[Team Score]]-Table1[[#This Row],[Opp Team Score]])</f>
        <v>59</v>
      </c>
      <c r="AQ229" s="3">
        <f>SUM(Table1[[#This Row],[Team Score]], Table1[[#This Row],[Opp Team Score]])</f>
        <v>59</v>
      </c>
      <c r="AR22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29" s="3" t="str">
        <f>IF(Table1[[#This Row],[Efficiency Difference]] = " ", " ", ROUND((Table1[[#This Row],[Winning Margin]]*100)/Table1[[#This Row],[Efficiency Difference]], 2))</f>
        <v xml:space="preserve"> </v>
      </c>
    </row>
    <row r="230" spans="1:45">
      <c r="A230" t="s">
        <v>39</v>
      </c>
      <c r="B230">
        <v>257</v>
      </c>
      <c r="C230">
        <v>21</v>
      </c>
      <c r="D230">
        <v>236</v>
      </c>
      <c r="E230">
        <v>29</v>
      </c>
      <c r="F230">
        <v>2</v>
      </c>
      <c r="G230">
        <v>16</v>
      </c>
      <c r="H230">
        <v>1</v>
      </c>
      <c r="I230">
        <v>137</v>
      </c>
      <c r="J230">
        <v>31</v>
      </c>
      <c r="K230">
        <v>1</v>
      </c>
      <c r="L230">
        <v>0</v>
      </c>
      <c r="M230" t="s">
        <v>38</v>
      </c>
      <c r="N230">
        <v>66</v>
      </c>
      <c r="O230">
        <v>35</v>
      </c>
      <c r="P230">
        <v>261</v>
      </c>
      <c r="Q230">
        <v>34</v>
      </c>
      <c r="R230">
        <v>3</v>
      </c>
      <c r="S230">
        <v>28</v>
      </c>
      <c r="T230">
        <v>1</v>
      </c>
      <c r="U230">
        <v>129</v>
      </c>
      <c r="V230">
        <v>37</v>
      </c>
      <c r="W230">
        <v>2</v>
      </c>
      <c r="X230">
        <v>0</v>
      </c>
      <c r="Y230" t="s">
        <v>19</v>
      </c>
      <c r="Z230">
        <v>1</v>
      </c>
      <c r="AA230">
        <f>IF(AND(Table1[[#This Row],[Throw Out Pass Eff]]="N", Table1[[#This Row],[Against FCS Team]]="N"), ROUND(((5.45 * D230) + (150 * F230) + (100 * G230) - (300 * H230)) / E230, 2), " ")</f>
        <v>99.52</v>
      </c>
      <c r="AB230">
        <f>IF(AND(Table1[[#This Row],[Throw Out Pass Def Eff]]="N", Table1[[#This Row],[Against FCS Team]]="N"),200 - ROUND(((5.45 * P230) + (150 * R230) + (100 * S230) - (300 * T230)) / Q230, 2), " ")</f>
        <v>71.400000000000006</v>
      </c>
      <c r="AC230">
        <f>IF(AND(Table1[[#This Row],[Throw Out Rush Eff]]="N", Table1[[#This Row],[Against FCS Team]]="N"), ROUND(((23.2 * I230) + (150 * K230) - (300 * L230)) / J230, 2), " ")</f>
        <v>107.37</v>
      </c>
      <c r="AD230" s="3">
        <f>IF(AND(Table1[[#This Row],[Throw Out Rush Def Eff]]="N", Table1[[#This Row],[Against FCS Team]]="N"), 200 - ROUND(((23.2 * U230) + (150 * W230) - (300 * X230)) / V230, 2), " ")</f>
        <v>111.01</v>
      </c>
      <c r="AE230" s="3">
        <f>ROUND(Table1[[#This Row],[Opp Passing Attempts]]/(Table1[[#This Row],[Opp Passing Attempts]]+Table1[[#This Row],[Opp Rushing Attempts]]), 2)</f>
        <v>0.48</v>
      </c>
      <c r="AF230" s="3">
        <f>1-Table1[[#This Row],[Passing Weight]]</f>
        <v>0.52</v>
      </c>
      <c r="AG230" s="3" t="str">
        <f>IF(COUNTIF(A:A,Table1[[#This Row],[Opp Team Name]]) &gt; 0, "N", "Y")</f>
        <v>N</v>
      </c>
      <c r="AH230" s="3" t="str">
        <f>IF(Table1[[#This Row],[Passing Attempts]] &lt;15, "Y", "N")</f>
        <v>N</v>
      </c>
      <c r="AI230" s="3" t="str">
        <f>IF(Table1[[#This Row],[Rushing Attempts]] &lt; 15, "Y", "N")</f>
        <v>N</v>
      </c>
      <c r="AJ230" s="3" t="str">
        <f>IF(Table1[[#This Row],[Opp Passing Attempts]]&lt;15, "Y", "N")</f>
        <v>N</v>
      </c>
      <c r="AK230" s="3" t="str">
        <f>IF(Table1[[#This Row],[Opp Rushing Attempts]]&lt;15, "Y", "N")</f>
        <v>N</v>
      </c>
      <c r="AL2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126.14</v>
      </c>
      <c r="AM2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93.72</v>
      </c>
      <c r="AN2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123.23</v>
      </c>
      <c r="AO2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127.33</v>
      </c>
      <c r="AP230" s="3">
        <f>ABS(Table1[[#This Row],[Team Score]]-Table1[[#This Row],[Opp Team Score]])</f>
        <v>14</v>
      </c>
      <c r="AQ230" s="3">
        <f>SUM(Table1[[#This Row],[Team Score]], Table1[[#This Row],[Opp Team Score]])</f>
        <v>56</v>
      </c>
      <c r="AR2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10.699999999999989</v>
      </c>
      <c r="AS230" s="3">
        <f>IF(Table1[[#This Row],[Efficiency Difference]] = " ", " ", ROUND((Table1[[#This Row],[Winning Margin]]*100)/Table1[[#This Row],[Efficiency Difference]], 2))</f>
        <v>130.84</v>
      </c>
    </row>
    <row r="231" spans="1:45">
      <c r="A231" t="s">
        <v>39</v>
      </c>
      <c r="B231">
        <v>257</v>
      </c>
      <c r="C231">
        <v>42</v>
      </c>
      <c r="D231">
        <v>248</v>
      </c>
      <c r="E231">
        <v>29</v>
      </c>
      <c r="F231">
        <v>4</v>
      </c>
      <c r="G231">
        <v>19</v>
      </c>
      <c r="H231">
        <v>1</v>
      </c>
      <c r="I231">
        <v>188</v>
      </c>
      <c r="J231">
        <v>38</v>
      </c>
      <c r="K231">
        <v>1</v>
      </c>
      <c r="L231">
        <v>2</v>
      </c>
      <c r="M231" t="s">
        <v>65</v>
      </c>
      <c r="N231">
        <v>648</v>
      </c>
      <c r="O231">
        <v>45</v>
      </c>
      <c r="P231">
        <v>142</v>
      </c>
      <c r="Q231">
        <v>26</v>
      </c>
      <c r="R231">
        <v>1</v>
      </c>
      <c r="S231">
        <v>11</v>
      </c>
      <c r="T231">
        <v>2</v>
      </c>
      <c r="U231">
        <v>253</v>
      </c>
      <c r="V231">
        <v>41</v>
      </c>
      <c r="W231">
        <v>3</v>
      </c>
      <c r="X231">
        <v>0</v>
      </c>
      <c r="Y231" t="s">
        <v>19</v>
      </c>
      <c r="Z231">
        <v>2</v>
      </c>
      <c r="AA231">
        <f>IF(AND(Table1[[#This Row],[Throw Out Pass Eff]]="N", Table1[[#This Row],[Against FCS Team]]="N"), ROUND(((5.45 * D231) + (150 * F231) + (100 * G231) - (300 * H231)) / E231, 2), " ")</f>
        <v>122.47</v>
      </c>
      <c r="AB231">
        <f>IF(AND(Table1[[#This Row],[Throw Out Pass Def Eff]]="N", Table1[[#This Row],[Against FCS Team]]="N"),200 - ROUND(((5.45 * P231) + (150 * R231) + (100 * S231) - (300 * T231)) / Q231, 2), " ")</f>
        <v>145.22999999999999</v>
      </c>
      <c r="AC231">
        <f>IF(AND(Table1[[#This Row],[Throw Out Rush Eff]]="N", Table1[[#This Row],[Against FCS Team]]="N"), ROUND(((23.2 * I231) + (150 * K231) - (300 * L231)) / J231, 2), " ")</f>
        <v>102.94</v>
      </c>
      <c r="AD231" s="3">
        <f>IF(AND(Table1[[#This Row],[Throw Out Rush Def Eff]]="N", Table1[[#This Row],[Against FCS Team]]="N"), 200 - ROUND(((23.2 * U231) + (150 * W231) - (300 * X231)) / V231, 2), " ")</f>
        <v>45.860000000000014</v>
      </c>
      <c r="AE231" s="3">
        <f>ROUND(Table1[[#This Row],[Opp Passing Attempts]]/(Table1[[#This Row],[Opp Passing Attempts]]+Table1[[#This Row],[Opp Rushing Attempts]]), 2)</f>
        <v>0.39</v>
      </c>
      <c r="AF231" s="3">
        <f>1-Table1[[#This Row],[Passing Weight]]</f>
        <v>0.61</v>
      </c>
      <c r="AG231" s="3" t="str">
        <f>IF(COUNTIF(A:A,Table1[[#This Row],[Opp Team Name]]) &gt; 0, "N", "Y")</f>
        <v>N</v>
      </c>
      <c r="AH231" s="3" t="str">
        <f>IF(Table1[[#This Row],[Passing Attempts]] &lt;15, "Y", "N")</f>
        <v>N</v>
      </c>
      <c r="AI231" s="3" t="str">
        <f>IF(Table1[[#This Row],[Rushing Attempts]] &lt; 15, "Y", "N")</f>
        <v>N</v>
      </c>
      <c r="AJ231" s="3" t="str">
        <f>IF(Table1[[#This Row],[Opp Passing Attempts]]&lt;15, "Y", "N")</f>
        <v>N</v>
      </c>
      <c r="AK231" s="3" t="str">
        <f>IF(Table1[[#This Row],[Opp Rushing Attempts]]&lt;15, "Y", "N")</f>
        <v>N</v>
      </c>
      <c r="AL23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173.93</v>
      </c>
      <c r="AM23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117.98</v>
      </c>
      <c r="AN23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135.94</v>
      </c>
      <c r="AO23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51.37</v>
      </c>
      <c r="AP231" s="3">
        <f>ABS(Table1[[#This Row],[Team Score]]-Table1[[#This Row],[Opp Team Score]])</f>
        <v>3</v>
      </c>
      <c r="AQ231" s="3">
        <f>SUM(Table1[[#This Row],[Team Score]], Table1[[#This Row],[Opp Team Score]])</f>
        <v>87</v>
      </c>
      <c r="AR23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16.5</v>
      </c>
      <c r="AS231" s="3">
        <f>IF(Table1[[#This Row],[Efficiency Difference]] = " ", " ", ROUND((Table1[[#This Row],[Winning Margin]]*100)/Table1[[#This Row],[Efficiency Difference]], 2))</f>
        <v>18.18</v>
      </c>
    </row>
    <row r="232" spans="1:45">
      <c r="A232" t="s">
        <v>39</v>
      </c>
      <c r="B232">
        <v>257</v>
      </c>
      <c r="C232">
        <v>27</v>
      </c>
      <c r="D232">
        <v>268</v>
      </c>
      <c r="E232">
        <v>26</v>
      </c>
      <c r="F232">
        <v>2</v>
      </c>
      <c r="G232">
        <v>17</v>
      </c>
      <c r="H232">
        <v>1</v>
      </c>
      <c r="I232">
        <v>207</v>
      </c>
      <c r="J232">
        <v>56</v>
      </c>
      <c r="K232">
        <v>1</v>
      </c>
      <c r="L232">
        <v>0</v>
      </c>
      <c r="M232" t="s">
        <v>47</v>
      </c>
      <c r="N232">
        <v>433</v>
      </c>
      <c r="O232">
        <v>13</v>
      </c>
      <c r="P232">
        <v>149</v>
      </c>
      <c r="Q232">
        <v>30</v>
      </c>
      <c r="R232">
        <v>1</v>
      </c>
      <c r="S232">
        <v>12</v>
      </c>
      <c r="T232">
        <v>2</v>
      </c>
      <c r="U232">
        <v>34</v>
      </c>
      <c r="V232">
        <v>26</v>
      </c>
      <c r="W232">
        <v>0</v>
      </c>
      <c r="X232">
        <v>0</v>
      </c>
      <c r="Y232" t="s">
        <v>16</v>
      </c>
      <c r="Z232">
        <v>4</v>
      </c>
      <c r="AA232">
        <f>IF(AND(Table1[[#This Row],[Throw Out Pass Eff]]="N", Table1[[#This Row],[Against FCS Team]]="N"), ROUND(((5.45 * D232) + (150 * F232) + (100 * G232) - (300 * H232)) / E232, 2), " ")</f>
        <v>121.56</v>
      </c>
      <c r="AB232">
        <f>IF(AND(Table1[[#This Row],[Throw Out Pass Def Eff]]="N", Table1[[#This Row],[Against FCS Team]]="N"),200 - ROUND(((5.45 * P232) + (150 * R232) + (100 * S232) - (300 * T232)) / Q232, 2), " ")</f>
        <v>147.93</v>
      </c>
      <c r="AC232">
        <f>IF(AND(Table1[[#This Row],[Throw Out Rush Eff]]="N", Table1[[#This Row],[Against FCS Team]]="N"), ROUND(((23.2 * I232) + (150 * K232) - (300 * L232)) / J232, 2), " ")</f>
        <v>88.44</v>
      </c>
      <c r="AD232" s="3">
        <f>IF(AND(Table1[[#This Row],[Throw Out Rush Def Eff]]="N", Table1[[#This Row],[Against FCS Team]]="N"), 200 - ROUND(((23.2 * U232) + (150 * W232) - (300 * X232)) / V232, 2), " ")</f>
        <v>169.66</v>
      </c>
      <c r="AE232" s="3">
        <f>ROUND(Table1[[#This Row],[Opp Passing Attempts]]/(Table1[[#This Row],[Opp Passing Attempts]]+Table1[[#This Row],[Opp Rushing Attempts]]), 2)</f>
        <v>0.54</v>
      </c>
      <c r="AF232" s="3">
        <f>1-Table1[[#This Row],[Passing Weight]]</f>
        <v>0.45999999999999996</v>
      </c>
      <c r="AG232" s="3" t="str">
        <f>IF(COUNTIF(A:A,Table1[[#This Row],[Opp Team Name]]) &gt; 0, "N", "Y")</f>
        <v>N</v>
      </c>
      <c r="AH232" s="3" t="str">
        <f>IF(Table1[[#This Row],[Passing Attempts]] &lt;15, "Y", "N")</f>
        <v>N</v>
      </c>
      <c r="AI232" s="3" t="str">
        <f>IF(Table1[[#This Row],[Rushing Attempts]] &lt; 15, "Y", "N")</f>
        <v>N</v>
      </c>
      <c r="AJ232" s="3" t="str">
        <f>IF(Table1[[#This Row],[Opp Passing Attempts]]&lt;15, "Y", "N")</f>
        <v>N</v>
      </c>
      <c r="AK232" s="3" t="str">
        <f>IF(Table1[[#This Row],[Opp Rushing Attempts]]&lt;15, "Y", "N")</f>
        <v>N</v>
      </c>
      <c r="AL23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117.85</v>
      </c>
      <c r="AM23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109.9</v>
      </c>
      <c r="AN23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58.67</v>
      </c>
      <c r="AO2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97.71</v>
      </c>
      <c r="AP232" s="3">
        <f>ABS(Table1[[#This Row],[Team Score]]-Table1[[#This Row],[Opp Team Score]])</f>
        <v>14</v>
      </c>
      <c r="AQ232" s="3">
        <f>SUM(Table1[[#This Row],[Team Score]], Table1[[#This Row],[Opp Team Score]])</f>
        <v>40</v>
      </c>
      <c r="AR23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127.59000000000003</v>
      </c>
      <c r="AS232" s="3">
        <f>IF(Table1[[#This Row],[Efficiency Difference]] = " ", " ", ROUND((Table1[[#This Row],[Winning Margin]]*100)/Table1[[#This Row],[Efficiency Difference]], 2))</f>
        <v>10.97</v>
      </c>
    </row>
    <row r="233" spans="1:45">
      <c r="A233" t="s">
        <v>39</v>
      </c>
      <c r="B233">
        <v>257</v>
      </c>
      <c r="C233">
        <v>24</v>
      </c>
      <c r="D233">
        <v>160</v>
      </c>
      <c r="E233">
        <v>25</v>
      </c>
      <c r="F233">
        <v>2</v>
      </c>
      <c r="G233">
        <v>13</v>
      </c>
      <c r="H233">
        <v>3</v>
      </c>
      <c r="I233">
        <v>155</v>
      </c>
      <c r="J233">
        <v>49</v>
      </c>
      <c r="K233">
        <v>1</v>
      </c>
      <c r="L233">
        <v>0</v>
      </c>
      <c r="M233" t="s">
        <v>95</v>
      </c>
      <c r="N233">
        <v>430</v>
      </c>
      <c r="O233">
        <v>10</v>
      </c>
      <c r="P233">
        <v>157</v>
      </c>
      <c r="Q233">
        <v>33</v>
      </c>
      <c r="R233">
        <v>0</v>
      </c>
      <c r="S233">
        <v>19</v>
      </c>
      <c r="T233">
        <v>2</v>
      </c>
      <c r="U233">
        <v>56</v>
      </c>
      <c r="V233">
        <v>34</v>
      </c>
      <c r="W233">
        <v>0</v>
      </c>
      <c r="X233">
        <v>1</v>
      </c>
      <c r="Y233" t="s">
        <v>16</v>
      </c>
      <c r="Z233">
        <v>5</v>
      </c>
      <c r="AA233">
        <f>IF(AND(Table1[[#This Row],[Throw Out Pass Eff]]="N", Table1[[#This Row],[Against FCS Team]]="N"), ROUND(((5.45 * D233) + (150 * F233) + (100 * G233) - (300 * H233)) / E233, 2), " ")</f>
        <v>62.88</v>
      </c>
      <c r="AB233">
        <f>IF(AND(Table1[[#This Row],[Throw Out Pass Def Eff]]="N", Table1[[#This Row],[Against FCS Team]]="N"),200 - ROUND(((5.45 * P233) + (150 * R233) + (100 * S233) - (300 * T233)) / Q233, 2), " ")</f>
        <v>134.68</v>
      </c>
      <c r="AC233">
        <f>IF(AND(Table1[[#This Row],[Throw Out Rush Eff]]="N", Table1[[#This Row],[Against FCS Team]]="N"), ROUND(((23.2 * I233) + (150 * K233) - (300 * L233)) / J233, 2), " ")</f>
        <v>76.45</v>
      </c>
      <c r="AD233" s="3">
        <f>IF(AND(Table1[[#This Row],[Throw Out Rush Def Eff]]="N", Table1[[#This Row],[Against FCS Team]]="N"), 200 - ROUND(((23.2 * U233) + (150 * W233) - (300 * X233)) / V233, 2), " ")</f>
        <v>170.61</v>
      </c>
      <c r="AE233" s="3">
        <f>ROUND(Table1[[#This Row],[Opp Passing Attempts]]/(Table1[[#This Row],[Opp Passing Attempts]]+Table1[[#This Row],[Opp Rushing Attempts]]), 2)</f>
        <v>0.49</v>
      </c>
      <c r="AF233" s="3">
        <f>1-Table1[[#This Row],[Passing Weight]]</f>
        <v>0.51</v>
      </c>
      <c r="AG233" s="3" t="str">
        <f>IF(COUNTIF(A:A,Table1[[#This Row],[Opp Team Name]]) &gt; 0, "N", "Y")</f>
        <v>N</v>
      </c>
      <c r="AH233" s="3" t="str">
        <f>IF(Table1[[#This Row],[Passing Attempts]] &lt;15, "Y", "N")</f>
        <v>N</v>
      </c>
      <c r="AI233" s="3" t="str">
        <f>IF(Table1[[#This Row],[Rushing Attempts]] &lt; 15, "Y", "N")</f>
        <v>N</v>
      </c>
      <c r="AJ233" s="3" t="str">
        <f>IF(Table1[[#This Row],[Opp Passing Attempts]]&lt;15, "Y", "N")</f>
        <v>N</v>
      </c>
      <c r="AK233" s="3" t="str">
        <f>IF(Table1[[#This Row],[Opp Rushing Attempts]]&lt;15, "Y", "N")</f>
        <v>N</v>
      </c>
      <c r="AL2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70.13</v>
      </c>
      <c r="AM2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120.31</v>
      </c>
      <c r="AN2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86.13</v>
      </c>
      <c r="AO2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166.02</v>
      </c>
      <c r="AP233" s="3">
        <f>ABS(Table1[[#This Row],[Team Score]]-Table1[[#This Row],[Opp Team Score]])</f>
        <v>14</v>
      </c>
      <c r="AQ233" s="3">
        <f>SUM(Table1[[#This Row],[Team Score]], Table1[[#This Row],[Opp Team Score]])</f>
        <v>34</v>
      </c>
      <c r="AR2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44.620000000000033</v>
      </c>
      <c r="AS233" s="3">
        <f>IF(Table1[[#This Row],[Efficiency Difference]] = " ", " ", ROUND((Table1[[#This Row],[Winning Margin]]*100)/Table1[[#This Row],[Efficiency Difference]], 2))</f>
        <v>31.38</v>
      </c>
    </row>
    <row r="234" spans="1:45">
      <c r="A234" t="s">
        <v>39</v>
      </c>
      <c r="B234">
        <v>257</v>
      </c>
      <c r="C234">
        <v>20</v>
      </c>
      <c r="D234">
        <v>227</v>
      </c>
      <c r="E234">
        <v>25</v>
      </c>
      <c r="F234">
        <v>0</v>
      </c>
      <c r="G234">
        <v>15</v>
      </c>
      <c r="H234">
        <v>0</v>
      </c>
      <c r="I234">
        <v>139</v>
      </c>
      <c r="J234">
        <v>38</v>
      </c>
      <c r="K234">
        <v>2</v>
      </c>
      <c r="L234">
        <v>0</v>
      </c>
      <c r="M234" t="s">
        <v>134</v>
      </c>
      <c r="N234">
        <v>694</v>
      </c>
      <c r="O234">
        <v>12</v>
      </c>
      <c r="P234">
        <v>290</v>
      </c>
      <c r="Q234">
        <v>40</v>
      </c>
      <c r="R234">
        <v>0</v>
      </c>
      <c r="S234">
        <v>22</v>
      </c>
      <c r="T234">
        <v>0</v>
      </c>
      <c r="U234">
        <v>-21</v>
      </c>
      <c r="V234">
        <v>23</v>
      </c>
      <c r="W234">
        <v>1</v>
      </c>
      <c r="X234">
        <v>0</v>
      </c>
      <c r="Y234" t="s">
        <v>16</v>
      </c>
      <c r="Z234">
        <v>6</v>
      </c>
      <c r="AA234">
        <f>IF(AND(Table1[[#This Row],[Throw Out Pass Eff]]="N", Table1[[#This Row],[Against FCS Team]]="N"), ROUND(((5.45 * D234) + (150 * F234) + (100 * G234) - (300 * H234)) / E234, 2), " ")</f>
        <v>109.49</v>
      </c>
      <c r="AB234">
        <f>IF(AND(Table1[[#This Row],[Throw Out Pass Def Eff]]="N", Table1[[#This Row],[Against FCS Team]]="N"),200 - ROUND(((5.45 * P234) + (150 * R234) + (100 * S234) - (300 * T234)) / Q234, 2), " ")</f>
        <v>105.49</v>
      </c>
      <c r="AC234">
        <f>IF(AND(Table1[[#This Row],[Throw Out Rush Eff]]="N", Table1[[#This Row],[Against FCS Team]]="N"), ROUND(((23.2 * I234) + (150 * K234) - (300 * L234)) / J234, 2), " ")</f>
        <v>92.76</v>
      </c>
      <c r="AD234" s="3">
        <f>IF(AND(Table1[[#This Row],[Throw Out Rush Def Eff]]="N", Table1[[#This Row],[Against FCS Team]]="N"), 200 - ROUND(((23.2 * U234) + (150 * W234) - (300 * X234)) / V234, 2), " ")</f>
        <v>214.66</v>
      </c>
      <c r="AE234" s="3">
        <f>ROUND(Table1[[#This Row],[Opp Passing Attempts]]/(Table1[[#This Row],[Opp Passing Attempts]]+Table1[[#This Row],[Opp Rushing Attempts]]), 2)</f>
        <v>0.63</v>
      </c>
      <c r="AF234" s="3">
        <f>1-Table1[[#This Row],[Passing Weight]]</f>
        <v>0.37</v>
      </c>
      <c r="AG234" s="3" t="str">
        <f>IF(COUNTIF(A:A,Table1[[#This Row],[Opp Team Name]]) &gt; 0, "N", "Y")</f>
        <v>N</v>
      </c>
      <c r="AH234" s="3" t="str">
        <f>IF(Table1[[#This Row],[Passing Attempts]] &lt;15, "Y", "N")</f>
        <v>N</v>
      </c>
      <c r="AI234" s="3" t="str">
        <f>IF(Table1[[#This Row],[Rushing Attempts]] &lt; 15, "Y", "N")</f>
        <v>N</v>
      </c>
      <c r="AJ234" s="3" t="str">
        <f>IF(Table1[[#This Row],[Opp Passing Attempts]]&lt;15, "Y", "N")</f>
        <v>N</v>
      </c>
      <c r="AK234" s="3" t="str">
        <f>IF(Table1[[#This Row],[Opp Rushing Attempts]]&lt;15, "Y", "N")</f>
        <v>N</v>
      </c>
      <c r="AL23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99.44</v>
      </c>
      <c r="AM23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99.19</v>
      </c>
      <c r="AN23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84.2</v>
      </c>
      <c r="AO23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106.02</v>
      </c>
      <c r="AP234" s="3">
        <f>ABS(Table1[[#This Row],[Team Score]]-Table1[[#This Row],[Opp Team Score]])</f>
        <v>8</v>
      </c>
      <c r="AQ234" s="3">
        <f>SUM(Table1[[#This Row],[Team Score]], Table1[[#This Row],[Opp Team Score]])</f>
        <v>32</v>
      </c>
      <c r="AR23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122.39999999999998</v>
      </c>
      <c r="AS234" s="3">
        <f>IF(Table1[[#This Row],[Efficiency Difference]] = " ", " ", ROUND((Table1[[#This Row],[Winning Margin]]*100)/Table1[[#This Row],[Efficiency Difference]], 2))</f>
        <v>6.54</v>
      </c>
    </row>
    <row r="235" spans="1:45">
      <c r="A235" t="s">
        <v>39</v>
      </c>
      <c r="B235">
        <v>257</v>
      </c>
      <c r="C235">
        <v>33</v>
      </c>
      <c r="D235">
        <v>326</v>
      </c>
      <c r="E235">
        <v>38</v>
      </c>
      <c r="F235">
        <v>3</v>
      </c>
      <c r="G235">
        <v>22</v>
      </c>
      <c r="H235">
        <v>1</v>
      </c>
      <c r="I235">
        <v>117</v>
      </c>
      <c r="J235">
        <v>34</v>
      </c>
      <c r="K235">
        <v>0</v>
      </c>
      <c r="L235">
        <v>0</v>
      </c>
      <c r="M235" t="s">
        <v>152</v>
      </c>
      <c r="N235">
        <v>736</v>
      </c>
      <c r="O235">
        <v>28</v>
      </c>
      <c r="P235">
        <v>149</v>
      </c>
      <c r="Q235">
        <v>31</v>
      </c>
      <c r="R235">
        <v>1</v>
      </c>
      <c r="S235">
        <v>11</v>
      </c>
      <c r="T235">
        <v>3</v>
      </c>
      <c r="U235">
        <v>199</v>
      </c>
      <c r="V235">
        <v>36</v>
      </c>
      <c r="W235">
        <v>2</v>
      </c>
      <c r="X235">
        <v>1</v>
      </c>
      <c r="Y235" t="s">
        <v>16</v>
      </c>
      <c r="Z235">
        <v>7</v>
      </c>
      <c r="AA235">
        <f>IF(AND(Table1[[#This Row],[Throw Out Pass Eff]]="N", Table1[[#This Row],[Against FCS Team]]="N"), ROUND(((5.45 * D235) + (150 * F235) + (100 * G235) - (300 * H235)) / E235, 2), " ")</f>
        <v>108.6</v>
      </c>
      <c r="AB235">
        <f>IF(AND(Table1[[#This Row],[Throw Out Pass Def Eff]]="N", Table1[[#This Row],[Against FCS Team]]="N"),200 - ROUND(((5.45 * P235) + (150 * R235) + (100 * S235) - (300 * T235)) / Q235, 2), " ")</f>
        <v>162.51</v>
      </c>
      <c r="AC235">
        <f>IF(AND(Table1[[#This Row],[Throw Out Rush Eff]]="N", Table1[[#This Row],[Against FCS Team]]="N"), ROUND(((23.2 * I235) + (150 * K235) - (300 * L235)) / J235, 2), " ")</f>
        <v>79.84</v>
      </c>
      <c r="AD235" s="3">
        <f>IF(AND(Table1[[#This Row],[Throw Out Rush Def Eff]]="N", Table1[[#This Row],[Against FCS Team]]="N"), 200 - ROUND(((23.2 * U235) + (150 * W235) - (300 * X235)) / V235, 2), " ")</f>
        <v>71.759999999999991</v>
      </c>
      <c r="AE235" s="3">
        <f>ROUND(Table1[[#This Row],[Opp Passing Attempts]]/(Table1[[#This Row],[Opp Passing Attempts]]+Table1[[#This Row],[Opp Rushing Attempts]]), 2)</f>
        <v>0.46</v>
      </c>
      <c r="AF235" s="3">
        <f>1-Table1[[#This Row],[Passing Weight]]</f>
        <v>0.54</v>
      </c>
      <c r="AG235" s="3" t="str">
        <f>IF(COUNTIF(A:A,Table1[[#This Row],[Opp Team Name]]) &gt; 0, "N", "Y")</f>
        <v>N</v>
      </c>
      <c r="AH235" s="3" t="str">
        <f>IF(Table1[[#This Row],[Passing Attempts]] &lt;15, "Y", "N")</f>
        <v>N</v>
      </c>
      <c r="AI235" s="3" t="str">
        <f>IF(Table1[[#This Row],[Rushing Attempts]] &lt; 15, "Y", "N")</f>
        <v>N</v>
      </c>
      <c r="AJ235" s="3" t="str">
        <f>IF(Table1[[#This Row],[Opp Passing Attempts]]&lt;15, "Y", "N")</f>
        <v>N</v>
      </c>
      <c r="AK235" s="3" t="str">
        <f>IF(Table1[[#This Row],[Opp Rushing Attempts]]&lt;15, "Y", "N")</f>
        <v>N</v>
      </c>
      <c r="AL2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137.16</v>
      </c>
      <c r="AM2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102.05</v>
      </c>
      <c r="AN2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97.5</v>
      </c>
      <c r="AO2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63.45</v>
      </c>
      <c r="AP235" s="3">
        <f>ABS(Table1[[#This Row],[Team Score]]-Table1[[#This Row],[Opp Team Score]])</f>
        <v>5</v>
      </c>
      <c r="AQ235" s="3">
        <f>SUM(Table1[[#This Row],[Team Score]], Table1[[#This Row],[Opp Team Score]])</f>
        <v>61</v>
      </c>
      <c r="AR23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22.70999999999998</v>
      </c>
      <c r="AS235" s="3">
        <f>IF(Table1[[#This Row],[Efficiency Difference]] = " ", " ", ROUND((Table1[[#This Row],[Winning Margin]]*100)/Table1[[#This Row],[Efficiency Difference]], 2))</f>
        <v>22.02</v>
      </c>
    </row>
    <row r="236" spans="1:45">
      <c r="A236" t="s">
        <v>72</v>
      </c>
      <c r="B236">
        <v>255</v>
      </c>
      <c r="C236">
        <v>63</v>
      </c>
      <c r="D236">
        <v>365</v>
      </c>
      <c r="E236">
        <v>16</v>
      </c>
      <c r="F236">
        <v>3</v>
      </c>
      <c r="G236">
        <v>11</v>
      </c>
      <c r="H236">
        <v>0</v>
      </c>
      <c r="I236">
        <v>297</v>
      </c>
      <c r="J236">
        <v>48</v>
      </c>
      <c r="K236">
        <v>6</v>
      </c>
      <c r="L236">
        <v>2</v>
      </c>
      <c r="M236" t="s">
        <v>73</v>
      </c>
      <c r="N236">
        <v>769</v>
      </c>
      <c r="O236">
        <v>21</v>
      </c>
      <c r="P236">
        <v>197</v>
      </c>
      <c r="Q236">
        <v>37</v>
      </c>
      <c r="R236">
        <v>0</v>
      </c>
      <c r="S236">
        <v>22</v>
      </c>
      <c r="T236">
        <v>1</v>
      </c>
      <c r="U236">
        <v>104</v>
      </c>
      <c r="V236">
        <v>40</v>
      </c>
      <c r="W236">
        <v>2</v>
      </c>
      <c r="X236">
        <v>2</v>
      </c>
      <c r="Y236" t="s">
        <v>16</v>
      </c>
      <c r="Z236">
        <v>1</v>
      </c>
      <c r="AA236" t="str">
        <f>IF(AND(Table1[[#This Row],[Throw Out Pass Eff]]="N", Table1[[#This Row],[Against FCS Team]]="N"), ROUND(((5.45 * D236) + (150 * F236) + (100 * G236) - (300 * H236)) / E236, 2), " ")</f>
        <v xml:space="preserve"> </v>
      </c>
      <c r="AB236" t="str">
        <f>IF(AND(Table1[[#This Row],[Throw Out Pass Def Eff]]="N", Table1[[#This Row],[Against FCS Team]]="N"),200 - ROUND(((5.45 * P236) + (150 * R236) + (100 * S236) - (300 * T236)) / Q236, 2), " ")</f>
        <v xml:space="preserve"> </v>
      </c>
      <c r="AC236" t="str">
        <f>IF(AND(Table1[[#This Row],[Throw Out Rush Eff]]="N", Table1[[#This Row],[Against FCS Team]]="N"), ROUND(((23.2 * I236) + (150 * K236) - (300 * L236)) / J236, 2), " ")</f>
        <v xml:space="preserve"> </v>
      </c>
      <c r="AD236" s="3" t="str">
        <f>IF(AND(Table1[[#This Row],[Throw Out Rush Def Eff]]="N", Table1[[#This Row],[Against FCS Team]]="N"), 200 - ROUND(((23.2 * U236) + (150 * W236) - (300 * X236)) / V236, 2), " ")</f>
        <v xml:space="preserve"> </v>
      </c>
      <c r="AE236" s="3">
        <f>ROUND(Table1[[#This Row],[Opp Passing Attempts]]/(Table1[[#This Row],[Opp Passing Attempts]]+Table1[[#This Row],[Opp Rushing Attempts]]), 2)</f>
        <v>0.48</v>
      </c>
      <c r="AF236" s="3">
        <f>1-Table1[[#This Row],[Passing Weight]]</f>
        <v>0.52</v>
      </c>
      <c r="AG236" s="3" t="str">
        <f>IF(COUNTIF(A:A,Table1[[#This Row],[Opp Team Name]]) &gt; 0, "N", "Y")</f>
        <v>Y</v>
      </c>
      <c r="AH236" s="3" t="str">
        <f>IF(Table1[[#This Row],[Passing Attempts]] &lt;15, "Y", "N")</f>
        <v>N</v>
      </c>
      <c r="AI236" s="3" t="str">
        <f>IF(Table1[[#This Row],[Rushing Attempts]] &lt; 15, "Y", "N")</f>
        <v>N</v>
      </c>
      <c r="AJ236" s="3" t="str">
        <f>IF(Table1[[#This Row],[Opp Passing Attempts]]&lt;15, "Y", "N")</f>
        <v>N</v>
      </c>
      <c r="AK236" s="3" t="str">
        <f>IF(Table1[[#This Row],[Opp Rushing Attempts]]&lt;15, "Y", "N")</f>
        <v>N</v>
      </c>
      <c r="AL236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3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36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3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36" s="3">
        <f>ABS(Table1[[#This Row],[Team Score]]-Table1[[#This Row],[Opp Team Score]])</f>
        <v>42</v>
      </c>
      <c r="AQ236" s="3">
        <f>SUM(Table1[[#This Row],[Team Score]], Table1[[#This Row],[Opp Team Score]])</f>
        <v>84</v>
      </c>
      <c r="AR23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36" s="3" t="str">
        <f>IF(Table1[[#This Row],[Efficiency Difference]] = " ", " ", ROUND((Table1[[#This Row],[Winning Margin]]*100)/Table1[[#This Row],[Efficiency Difference]], 2))</f>
        <v xml:space="preserve"> </v>
      </c>
    </row>
    <row r="237" spans="1:45">
      <c r="A237" t="s">
        <v>72</v>
      </c>
      <c r="B237">
        <v>255</v>
      </c>
      <c r="C237">
        <v>49</v>
      </c>
      <c r="D237">
        <v>214</v>
      </c>
      <c r="E237">
        <v>10</v>
      </c>
      <c r="F237">
        <v>2</v>
      </c>
      <c r="G237">
        <v>6</v>
      </c>
      <c r="H237">
        <v>0</v>
      </c>
      <c r="I237">
        <v>382</v>
      </c>
      <c r="J237">
        <v>65</v>
      </c>
      <c r="K237">
        <v>5</v>
      </c>
      <c r="L237">
        <v>1</v>
      </c>
      <c r="M237" t="s">
        <v>100</v>
      </c>
      <c r="N237">
        <v>419</v>
      </c>
      <c r="O237">
        <v>21</v>
      </c>
      <c r="P237">
        <v>198</v>
      </c>
      <c r="Q237">
        <v>36</v>
      </c>
      <c r="R237">
        <v>1</v>
      </c>
      <c r="S237">
        <v>23</v>
      </c>
      <c r="T237">
        <v>1</v>
      </c>
      <c r="U237">
        <v>144</v>
      </c>
      <c r="V237">
        <v>28</v>
      </c>
      <c r="W237">
        <v>2</v>
      </c>
      <c r="X237">
        <v>2</v>
      </c>
      <c r="Y237" t="s">
        <v>16</v>
      </c>
      <c r="Z237">
        <v>2</v>
      </c>
      <c r="AA237" t="str">
        <f>IF(AND(Table1[[#This Row],[Throw Out Pass Eff]]="N", Table1[[#This Row],[Against FCS Team]]="N"), ROUND(((5.45 * D237) + (150 * F237) + (100 * G237) - (300 * H237)) / E237, 2), " ")</f>
        <v xml:space="preserve"> </v>
      </c>
      <c r="AB237">
        <f>IF(AND(Table1[[#This Row],[Throw Out Pass Def Eff]]="N", Table1[[#This Row],[Against FCS Team]]="N"),200 - ROUND(((5.45 * P237) + (150 * R237) + (100 * S237) - (300 * T237)) / Q237, 2), " ")</f>
        <v>110.3</v>
      </c>
      <c r="AC237">
        <f>IF(AND(Table1[[#This Row],[Throw Out Rush Eff]]="N", Table1[[#This Row],[Against FCS Team]]="N"), ROUND(((23.2 * I237) + (150 * K237) - (300 * L237)) / J237, 2), " ")</f>
        <v>143.27000000000001</v>
      </c>
      <c r="AD237" s="3">
        <f>IF(AND(Table1[[#This Row],[Throw Out Rush Def Eff]]="N", Table1[[#This Row],[Against FCS Team]]="N"), 200 - ROUND(((23.2 * U237) + (150 * W237) - (300 * X237)) / V237, 2), " ")</f>
        <v>91.4</v>
      </c>
      <c r="AE237" s="3">
        <f>ROUND(Table1[[#This Row],[Opp Passing Attempts]]/(Table1[[#This Row],[Opp Passing Attempts]]+Table1[[#This Row],[Opp Rushing Attempts]]), 2)</f>
        <v>0.56000000000000005</v>
      </c>
      <c r="AF237" s="3">
        <f>1-Table1[[#This Row],[Passing Weight]]</f>
        <v>0.43999999999999995</v>
      </c>
      <c r="AG237" s="3" t="str">
        <f>IF(COUNTIF(A:A,Table1[[#This Row],[Opp Team Name]]) &gt; 0, "N", "Y")</f>
        <v>N</v>
      </c>
      <c r="AH237" s="3" t="str">
        <f>IF(Table1[[#This Row],[Passing Attempts]] &lt;15, "Y", "N")</f>
        <v>Y</v>
      </c>
      <c r="AI237" s="3" t="str">
        <f>IF(Table1[[#This Row],[Rushing Attempts]] &lt; 15, "Y", "N")</f>
        <v>N</v>
      </c>
      <c r="AJ237" s="3" t="str">
        <f>IF(Table1[[#This Row],[Opp Passing Attempts]]&lt;15, "Y", "N")</f>
        <v>N</v>
      </c>
      <c r="AK237" s="3" t="str">
        <f>IF(Table1[[#This Row],[Opp Rushing Attempts]]&lt;15, "Y", "N")</f>
        <v>N</v>
      </c>
      <c r="AL23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107.77</v>
      </c>
      <c r="AN2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157.22</v>
      </c>
      <c r="AO2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99.36</v>
      </c>
      <c r="AP237" s="3">
        <f>ABS(Table1[[#This Row],[Team Score]]-Table1[[#This Row],[Opp Team Score]])</f>
        <v>28</v>
      </c>
      <c r="AQ237" s="3">
        <f>SUM(Table1[[#This Row],[Team Score]], Table1[[#This Row],[Opp Team Score]])</f>
        <v>70</v>
      </c>
      <c r="AR23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37" s="3" t="str">
        <f>IF(Table1[[#This Row],[Efficiency Difference]] = " ", " ", ROUND((Table1[[#This Row],[Winning Margin]]*100)/Table1[[#This Row],[Efficiency Difference]], 2))</f>
        <v xml:space="preserve"> </v>
      </c>
    </row>
    <row r="238" spans="1:45">
      <c r="A238" t="s">
        <v>72</v>
      </c>
      <c r="B238">
        <v>255</v>
      </c>
      <c r="C238">
        <v>66</v>
      </c>
      <c r="D238">
        <v>164</v>
      </c>
      <c r="E238">
        <v>7</v>
      </c>
      <c r="F238">
        <v>2</v>
      </c>
      <c r="G238">
        <v>4</v>
      </c>
      <c r="H238">
        <v>0</v>
      </c>
      <c r="I238">
        <v>604</v>
      </c>
      <c r="J238">
        <v>50</v>
      </c>
      <c r="K238">
        <v>7</v>
      </c>
      <c r="L238">
        <v>0</v>
      </c>
      <c r="M238" t="s">
        <v>80</v>
      </c>
      <c r="N238">
        <v>328</v>
      </c>
      <c r="O238">
        <v>24</v>
      </c>
      <c r="P238">
        <v>211</v>
      </c>
      <c r="Q238">
        <v>27</v>
      </c>
      <c r="R238">
        <v>1</v>
      </c>
      <c r="S238">
        <v>17</v>
      </c>
      <c r="T238">
        <v>0</v>
      </c>
      <c r="U238">
        <v>151</v>
      </c>
      <c r="V238">
        <v>42</v>
      </c>
      <c r="W238">
        <v>2</v>
      </c>
      <c r="X238">
        <v>0</v>
      </c>
      <c r="Y238" t="s">
        <v>16</v>
      </c>
      <c r="Z238">
        <v>3</v>
      </c>
      <c r="AA238" t="str">
        <f>IF(AND(Table1[[#This Row],[Throw Out Pass Eff]]="N", Table1[[#This Row],[Against FCS Team]]="N"), ROUND(((5.45 * D238) + (150 * F238) + (100 * G238) - (300 * H238)) / E238, 2), " ")</f>
        <v xml:space="preserve"> </v>
      </c>
      <c r="AB238">
        <f>IF(AND(Table1[[#This Row],[Throw Out Pass Def Eff]]="N", Table1[[#This Row],[Against FCS Team]]="N"),200 - ROUND(((5.45 * P238) + (150 * R238) + (100 * S238) - (300 * T238)) / Q238, 2), " ")</f>
        <v>88.89</v>
      </c>
      <c r="AC238">
        <f>IF(AND(Table1[[#This Row],[Throw Out Rush Eff]]="N", Table1[[#This Row],[Against FCS Team]]="N"), ROUND(((23.2 * I238) + (150 * K238) - (300 * L238)) / J238, 2), " ")</f>
        <v>301.26</v>
      </c>
      <c r="AD238" s="3">
        <f>IF(AND(Table1[[#This Row],[Throw Out Rush Def Eff]]="N", Table1[[#This Row],[Against FCS Team]]="N"), 200 - ROUND(((23.2 * U238) + (150 * W238) - (300 * X238)) / V238, 2), " ")</f>
        <v>109.45</v>
      </c>
      <c r="AE238" s="3">
        <f>ROUND(Table1[[#This Row],[Opp Passing Attempts]]/(Table1[[#This Row],[Opp Passing Attempts]]+Table1[[#This Row],[Opp Rushing Attempts]]), 2)</f>
        <v>0.39</v>
      </c>
      <c r="AF238" s="3">
        <f>1-Table1[[#This Row],[Passing Weight]]</f>
        <v>0.61</v>
      </c>
      <c r="AG238" s="3" t="str">
        <f>IF(COUNTIF(A:A,Table1[[#This Row],[Opp Team Name]]) &gt; 0, "N", "Y")</f>
        <v>N</v>
      </c>
      <c r="AH238" s="3" t="str">
        <f>IF(Table1[[#This Row],[Passing Attempts]] &lt;15, "Y", "N")</f>
        <v>Y</v>
      </c>
      <c r="AI238" s="3" t="str">
        <f>IF(Table1[[#This Row],[Rushing Attempts]] &lt; 15, "Y", "N")</f>
        <v>N</v>
      </c>
      <c r="AJ238" s="3" t="str">
        <f>IF(Table1[[#This Row],[Opp Passing Attempts]]&lt;15, "Y", "N")</f>
        <v>N</v>
      </c>
      <c r="AK238" s="3" t="str">
        <f>IF(Table1[[#This Row],[Opp Rushing Attempts]]&lt;15, "Y", "N")</f>
        <v>N</v>
      </c>
      <c r="AL23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3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96.86</v>
      </c>
      <c r="AN23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165.5</v>
      </c>
      <c r="AO23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100.05</v>
      </c>
      <c r="AP238" s="3">
        <f>ABS(Table1[[#This Row],[Team Score]]-Table1[[#This Row],[Opp Team Score]])</f>
        <v>42</v>
      </c>
      <c r="AQ238" s="3">
        <f>SUM(Table1[[#This Row],[Team Score]], Table1[[#This Row],[Opp Team Score]])</f>
        <v>90</v>
      </c>
      <c r="AR23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38" s="3" t="str">
        <f>IF(Table1[[#This Row],[Efficiency Difference]] = " ", " ", ROUND((Table1[[#This Row],[Winning Margin]]*100)/Table1[[#This Row],[Efficiency Difference]], 2))</f>
        <v xml:space="preserve"> </v>
      </c>
    </row>
    <row r="239" spans="1:45">
      <c r="A239" t="s">
        <v>72</v>
      </c>
      <c r="B239">
        <v>255</v>
      </c>
      <c r="C239">
        <v>35</v>
      </c>
      <c r="D239">
        <v>184</v>
      </c>
      <c r="E239">
        <v>14</v>
      </c>
      <c r="F239">
        <v>1</v>
      </c>
      <c r="G239">
        <v>10</v>
      </c>
      <c r="H239">
        <v>1</v>
      </c>
      <c r="I239">
        <v>312</v>
      </c>
      <c r="J239">
        <v>58</v>
      </c>
      <c r="K239">
        <v>3</v>
      </c>
      <c r="L239">
        <v>1</v>
      </c>
      <c r="M239" t="s">
        <v>110</v>
      </c>
      <c r="N239">
        <v>457</v>
      </c>
      <c r="O239">
        <v>28</v>
      </c>
      <c r="P239">
        <v>204</v>
      </c>
      <c r="Q239">
        <v>25</v>
      </c>
      <c r="R239">
        <v>2</v>
      </c>
      <c r="S239">
        <v>17</v>
      </c>
      <c r="T239">
        <v>2</v>
      </c>
      <c r="U239">
        <v>128</v>
      </c>
      <c r="V239">
        <v>27</v>
      </c>
      <c r="W239">
        <v>2</v>
      </c>
      <c r="X239">
        <v>0</v>
      </c>
      <c r="Y239" t="s">
        <v>16</v>
      </c>
      <c r="Z239">
        <v>4</v>
      </c>
      <c r="AA239" t="str">
        <f>IF(AND(Table1[[#This Row],[Throw Out Pass Eff]]="N", Table1[[#This Row],[Against FCS Team]]="N"), ROUND(((5.45 * D239) + (150 * F239) + (100 * G239) - (300 * H239)) / E239, 2), " ")</f>
        <v xml:space="preserve"> </v>
      </c>
      <c r="AB239">
        <f>IF(AND(Table1[[#This Row],[Throw Out Pass Def Eff]]="N", Table1[[#This Row],[Against FCS Team]]="N"),200 - ROUND(((5.45 * P239) + (150 * R239) + (100 * S239) - (300 * T239)) / Q239, 2), " ")</f>
        <v>99.53</v>
      </c>
      <c r="AC239">
        <f>IF(AND(Table1[[#This Row],[Throw Out Rush Eff]]="N", Table1[[#This Row],[Against FCS Team]]="N"), ROUND(((23.2 * I239) + (150 * K239) - (300 * L239)) / J239, 2), " ")</f>
        <v>127.39</v>
      </c>
      <c r="AD239" s="3">
        <f>IF(AND(Table1[[#This Row],[Throw Out Rush Def Eff]]="N", Table1[[#This Row],[Against FCS Team]]="N"), 200 - ROUND(((23.2 * U239) + (150 * W239) - (300 * X239)) / V239, 2), " ")</f>
        <v>78.900000000000006</v>
      </c>
      <c r="AE239" s="3">
        <f>ROUND(Table1[[#This Row],[Opp Passing Attempts]]/(Table1[[#This Row],[Opp Passing Attempts]]+Table1[[#This Row],[Opp Rushing Attempts]]), 2)</f>
        <v>0.48</v>
      </c>
      <c r="AF239" s="3">
        <f>1-Table1[[#This Row],[Passing Weight]]</f>
        <v>0.52</v>
      </c>
      <c r="AG239" s="3" t="str">
        <f>IF(COUNTIF(A:A,Table1[[#This Row],[Opp Team Name]]) &gt; 0, "N", "Y")</f>
        <v>N</v>
      </c>
      <c r="AH239" s="3" t="str">
        <f>IF(Table1[[#This Row],[Passing Attempts]] &lt;15, "Y", "N")</f>
        <v>Y</v>
      </c>
      <c r="AI239" s="3" t="str">
        <f>IF(Table1[[#This Row],[Rushing Attempts]] &lt; 15, "Y", "N")</f>
        <v>N</v>
      </c>
      <c r="AJ239" s="3" t="str">
        <f>IF(Table1[[#This Row],[Opp Passing Attempts]]&lt;15, "Y", "N")</f>
        <v>N</v>
      </c>
      <c r="AK239" s="3" t="str">
        <f>IF(Table1[[#This Row],[Opp Rushing Attempts]]&lt;15, "Y", "N")</f>
        <v>N</v>
      </c>
      <c r="AL23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117.35</v>
      </c>
      <c r="AN2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177.4</v>
      </c>
      <c r="AO2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74.92</v>
      </c>
      <c r="AP239" s="3">
        <f>ABS(Table1[[#This Row],[Team Score]]-Table1[[#This Row],[Opp Team Score]])</f>
        <v>7</v>
      </c>
      <c r="AQ239" s="3">
        <f>SUM(Table1[[#This Row],[Team Score]], Table1[[#This Row],[Opp Team Score]])</f>
        <v>63</v>
      </c>
      <c r="AR23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39" s="3" t="str">
        <f>IF(Table1[[#This Row],[Efficiency Difference]] = " ", " ", ROUND((Table1[[#This Row],[Winning Margin]]*100)/Table1[[#This Row],[Efficiency Difference]], 2))</f>
        <v xml:space="preserve"> </v>
      </c>
    </row>
    <row r="240" spans="1:45">
      <c r="A240" t="s">
        <v>72</v>
      </c>
      <c r="B240">
        <v>255</v>
      </c>
      <c r="C240">
        <v>45</v>
      </c>
      <c r="D240">
        <v>117</v>
      </c>
      <c r="E240">
        <v>12</v>
      </c>
      <c r="F240">
        <v>2</v>
      </c>
      <c r="G240">
        <v>4</v>
      </c>
      <c r="H240">
        <v>0</v>
      </c>
      <c r="I240">
        <v>296</v>
      </c>
      <c r="J240">
        <v>52</v>
      </c>
      <c r="K240">
        <v>3</v>
      </c>
      <c r="L240">
        <v>1</v>
      </c>
      <c r="M240" t="s">
        <v>112</v>
      </c>
      <c r="N240">
        <v>490</v>
      </c>
      <c r="O240">
        <v>35</v>
      </c>
      <c r="P240">
        <v>192</v>
      </c>
      <c r="Q240">
        <v>36</v>
      </c>
      <c r="R240">
        <v>3</v>
      </c>
      <c r="S240">
        <v>23</v>
      </c>
      <c r="T240">
        <v>1</v>
      </c>
      <c r="U240">
        <v>195</v>
      </c>
      <c r="V240">
        <v>38</v>
      </c>
      <c r="W240">
        <v>1</v>
      </c>
      <c r="X240">
        <v>0</v>
      </c>
      <c r="Y240" t="s">
        <v>16</v>
      </c>
      <c r="Z240">
        <v>5</v>
      </c>
      <c r="AA240" t="str">
        <f>IF(AND(Table1[[#This Row],[Throw Out Pass Eff]]="N", Table1[[#This Row],[Against FCS Team]]="N"), ROUND(((5.45 * D240) + (150 * F240) + (100 * G240) - (300 * H240)) / E240, 2), " ")</f>
        <v xml:space="preserve"> </v>
      </c>
      <c r="AB240">
        <f>IF(AND(Table1[[#This Row],[Throw Out Pass Def Eff]]="N", Table1[[#This Row],[Against FCS Team]]="N"),200 - ROUND(((5.45 * P240) + (150 * R240) + (100 * S240) - (300 * T240)) / Q240, 2), " ")</f>
        <v>102.88</v>
      </c>
      <c r="AC240">
        <f>IF(AND(Table1[[#This Row],[Throw Out Rush Eff]]="N", Table1[[#This Row],[Against FCS Team]]="N"), ROUND(((23.2 * I240) + (150 * K240) - (300 * L240)) / J240, 2), " ")</f>
        <v>134.94999999999999</v>
      </c>
      <c r="AD240" s="3">
        <f>IF(AND(Table1[[#This Row],[Throw Out Rush Def Eff]]="N", Table1[[#This Row],[Against FCS Team]]="N"), 200 - ROUND(((23.2 * U240) + (150 * W240) - (300 * X240)) / V240, 2), " ")</f>
        <v>77</v>
      </c>
      <c r="AE240" s="3">
        <f>ROUND(Table1[[#This Row],[Opp Passing Attempts]]/(Table1[[#This Row],[Opp Passing Attempts]]+Table1[[#This Row],[Opp Rushing Attempts]]), 2)</f>
        <v>0.49</v>
      </c>
      <c r="AF240" s="3">
        <f>1-Table1[[#This Row],[Passing Weight]]</f>
        <v>0.51</v>
      </c>
      <c r="AG240" s="3" t="str">
        <f>IF(COUNTIF(A:A,Table1[[#This Row],[Opp Team Name]]) &gt; 0, "N", "Y")</f>
        <v>N</v>
      </c>
      <c r="AH240" s="3" t="str">
        <f>IF(Table1[[#This Row],[Passing Attempts]] &lt;15, "Y", "N")</f>
        <v>Y</v>
      </c>
      <c r="AI240" s="3" t="str">
        <f>IF(Table1[[#This Row],[Rushing Attempts]] &lt; 15, "Y", "N")</f>
        <v>N</v>
      </c>
      <c r="AJ240" s="3" t="str">
        <f>IF(Table1[[#This Row],[Opp Passing Attempts]]&lt;15, "Y", "N")</f>
        <v>N</v>
      </c>
      <c r="AK240" s="3" t="str">
        <f>IF(Table1[[#This Row],[Opp Rushing Attempts]]&lt;15, "Y", "N")</f>
        <v>N</v>
      </c>
      <c r="AL240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104.24</v>
      </c>
      <c r="AN2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112.14</v>
      </c>
      <c r="AO2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50.67</v>
      </c>
      <c r="AP240" s="3">
        <f>ABS(Table1[[#This Row],[Team Score]]-Table1[[#This Row],[Opp Team Score]])</f>
        <v>10</v>
      </c>
      <c r="AQ240" s="3">
        <f>SUM(Table1[[#This Row],[Team Score]], Table1[[#This Row],[Opp Team Score]])</f>
        <v>80</v>
      </c>
      <c r="AR24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40" s="3" t="str">
        <f>IF(Table1[[#This Row],[Efficiency Difference]] = " ", " ", ROUND((Table1[[#This Row],[Winning Margin]]*100)/Table1[[#This Row],[Efficiency Difference]], 2))</f>
        <v xml:space="preserve"> </v>
      </c>
    </row>
    <row r="241" spans="1:45">
      <c r="A241" t="s">
        <v>72</v>
      </c>
      <c r="B241">
        <v>255</v>
      </c>
      <c r="C241">
        <v>21</v>
      </c>
      <c r="D241">
        <v>114</v>
      </c>
      <c r="E241">
        <v>21</v>
      </c>
      <c r="F241">
        <v>0</v>
      </c>
      <c r="G241">
        <v>6</v>
      </c>
      <c r="H241">
        <v>1</v>
      </c>
      <c r="I241">
        <v>272</v>
      </c>
      <c r="J241">
        <v>60</v>
      </c>
      <c r="K241">
        <v>3</v>
      </c>
      <c r="L241">
        <v>0</v>
      </c>
      <c r="M241" t="s">
        <v>178</v>
      </c>
      <c r="N241">
        <v>392</v>
      </c>
      <c r="O241">
        <v>16</v>
      </c>
      <c r="P241">
        <v>87</v>
      </c>
      <c r="Q241">
        <v>24</v>
      </c>
      <c r="R241">
        <v>0</v>
      </c>
      <c r="S241">
        <v>6</v>
      </c>
      <c r="T241">
        <v>2</v>
      </c>
      <c r="U241">
        <v>246</v>
      </c>
      <c r="V241">
        <v>41</v>
      </c>
      <c r="W241">
        <v>2</v>
      </c>
      <c r="X241">
        <v>0</v>
      </c>
      <c r="Y241" t="s">
        <v>16</v>
      </c>
      <c r="Z241">
        <v>6</v>
      </c>
      <c r="AA241">
        <f>IF(AND(Table1[[#This Row],[Throw Out Pass Eff]]="N", Table1[[#This Row],[Against FCS Team]]="N"), ROUND(((5.45 * D241) + (150 * F241) + (100 * G241) - (300 * H241)) / E241, 2), " ")</f>
        <v>43.87</v>
      </c>
      <c r="AB241">
        <f>IF(AND(Table1[[#This Row],[Throw Out Pass Def Eff]]="N", Table1[[#This Row],[Against FCS Team]]="N"),200 - ROUND(((5.45 * P241) + (150 * R241) + (100 * S241) - (300 * T241)) / Q241, 2), " ")</f>
        <v>180.24</v>
      </c>
      <c r="AC241">
        <f>IF(AND(Table1[[#This Row],[Throw Out Rush Eff]]="N", Table1[[#This Row],[Against FCS Team]]="N"), ROUND(((23.2 * I241) + (150 * K241) - (300 * L241)) / J241, 2), " ")</f>
        <v>112.67</v>
      </c>
      <c r="AD241" s="3">
        <f>IF(AND(Table1[[#This Row],[Throw Out Rush Def Eff]]="N", Table1[[#This Row],[Against FCS Team]]="N"), 200 - ROUND(((23.2 * U241) + (150 * W241) - (300 * X241)) / V241, 2), " ")</f>
        <v>53.47999999999999</v>
      </c>
      <c r="AE241" s="3">
        <f>ROUND(Table1[[#This Row],[Opp Passing Attempts]]/(Table1[[#This Row],[Opp Passing Attempts]]+Table1[[#This Row],[Opp Rushing Attempts]]), 2)</f>
        <v>0.37</v>
      </c>
      <c r="AF241" s="3">
        <f>1-Table1[[#This Row],[Passing Weight]]</f>
        <v>0.63</v>
      </c>
      <c r="AG241" s="3" t="str">
        <f>IF(COUNTIF(A:A,Table1[[#This Row],[Opp Team Name]]) &gt; 0, "N", "Y")</f>
        <v>N</v>
      </c>
      <c r="AH241" s="3" t="str">
        <f>IF(Table1[[#This Row],[Passing Attempts]] &lt;15, "Y", "N")</f>
        <v>N</v>
      </c>
      <c r="AI241" s="3" t="str">
        <f>IF(Table1[[#This Row],[Rushing Attempts]] &lt; 15, "Y", "N")</f>
        <v>N</v>
      </c>
      <c r="AJ241" s="3" t="str">
        <f>IF(Table1[[#This Row],[Opp Passing Attempts]]&lt;15, "Y", "N")</f>
        <v>N</v>
      </c>
      <c r="AK241" s="3" t="str">
        <f>IF(Table1[[#This Row],[Opp Rushing Attempts]]&lt;15, "Y", "N")</f>
        <v>N</v>
      </c>
      <c r="AL24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46.01</v>
      </c>
      <c r="AM24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140.77000000000001</v>
      </c>
      <c r="AN24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97.77</v>
      </c>
      <c r="AO24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55.3</v>
      </c>
      <c r="AP241" s="3">
        <f>ABS(Table1[[#This Row],[Team Score]]-Table1[[#This Row],[Opp Team Score]])</f>
        <v>5</v>
      </c>
      <c r="AQ241" s="3">
        <f>SUM(Table1[[#This Row],[Team Score]], Table1[[#This Row],[Opp Team Score]])</f>
        <v>37</v>
      </c>
      <c r="AR24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9.7400000000000091</v>
      </c>
      <c r="AS241" s="3">
        <f>IF(Table1[[#This Row],[Efficiency Difference]] = " ", " ", ROUND((Table1[[#This Row],[Winning Margin]]*100)/Table1[[#This Row],[Efficiency Difference]], 2))</f>
        <v>51.33</v>
      </c>
    </row>
    <row r="242" spans="1:45">
      <c r="A242" t="s">
        <v>72</v>
      </c>
      <c r="B242">
        <v>255</v>
      </c>
      <c r="C242">
        <v>21</v>
      </c>
      <c r="D242">
        <v>24</v>
      </c>
      <c r="E242">
        <v>8</v>
      </c>
      <c r="F242">
        <v>0</v>
      </c>
      <c r="G242">
        <v>2</v>
      </c>
      <c r="H242">
        <v>2</v>
      </c>
      <c r="I242">
        <v>272</v>
      </c>
      <c r="J242">
        <v>53</v>
      </c>
      <c r="K242">
        <v>2</v>
      </c>
      <c r="L242">
        <v>0</v>
      </c>
      <c r="M242" t="s">
        <v>154</v>
      </c>
      <c r="N242">
        <v>746</v>
      </c>
      <c r="O242">
        <v>24</v>
      </c>
      <c r="P242">
        <v>135</v>
      </c>
      <c r="Q242">
        <v>19</v>
      </c>
      <c r="R242">
        <v>1</v>
      </c>
      <c r="S242">
        <v>9</v>
      </c>
      <c r="T242">
        <v>1</v>
      </c>
      <c r="U242">
        <v>274</v>
      </c>
      <c r="V242">
        <v>47</v>
      </c>
      <c r="W242">
        <v>2</v>
      </c>
      <c r="X242">
        <v>0</v>
      </c>
      <c r="Y242" t="s">
        <v>19</v>
      </c>
      <c r="Z242">
        <v>7</v>
      </c>
      <c r="AA242" t="str">
        <f>IF(AND(Table1[[#This Row],[Throw Out Pass Eff]]="N", Table1[[#This Row],[Against FCS Team]]="N"), ROUND(((5.45 * D242) + (150 * F242) + (100 * G242) - (300 * H242)) / E242, 2), " ")</f>
        <v xml:space="preserve"> </v>
      </c>
      <c r="AB242">
        <f>IF(AND(Table1[[#This Row],[Throw Out Pass Def Eff]]="N", Table1[[#This Row],[Against FCS Team]]="N"),200 - ROUND(((5.45 * P242) + (150 * R242) + (100 * S242) - (300 * T242)) / Q242, 2), " ")</f>
        <v>121.8</v>
      </c>
      <c r="AC242">
        <f>IF(AND(Table1[[#This Row],[Throw Out Rush Eff]]="N", Table1[[#This Row],[Against FCS Team]]="N"), ROUND(((23.2 * I242) + (150 * K242) - (300 * L242)) / J242, 2), " ")</f>
        <v>124.72</v>
      </c>
      <c r="AD242" s="3">
        <f>IF(AND(Table1[[#This Row],[Throw Out Rush Def Eff]]="N", Table1[[#This Row],[Against FCS Team]]="N"), 200 - ROUND(((23.2 * U242) + (150 * W242) - (300 * X242)) / V242, 2), " ")</f>
        <v>58.370000000000005</v>
      </c>
      <c r="AE242" s="3">
        <f>ROUND(Table1[[#This Row],[Opp Passing Attempts]]/(Table1[[#This Row],[Opp Passing Attempts]]+Table1[[#This Row],[Opp Rushing Attempts]]), 2)</f>
        <v>0.28999999999999998</v>
      </c>
      <c r="AF242" s="3">
        <f>1-Table1[[#This Row],[Passing Weight]]</f>
        <v>0.71</v>
      </c>
      <c r="AG242" s="3" t="str">
        <f>IF(COUNTIF(A:A,Table1[[#This Row],[Opp Team Name]]) &gt; 0, "N", "Y")</f>
        <v>N</v>
      </c>
      <c r="AH242" s="3" t="str">
        <f>IF(Table1[[#This Row],[Passing Attempts]] &lt;15, "Y", "N")</f>
        <v>Y</v>
      </c>
      <c r="AI242" s="3" t="str">
        <f>IF(Table1[[#This Row],[Rushing Attempts]] &lt; 15, "Y", "N")</f>
        <v>N</v>
      </c>
      <c r="AJ242" s="3" t="str">
        <f>IF(Table1[[#This Row],[Opp Passing Attempts]]&lt;15, "Y", "N")</f>
        <v>N</v>
      </c>
      <c r="AK242" s="3" t="str">
        <f>IF(Table1[[#This Row],[Opp Rushing Attempts]]&lt;15, "Y", "N")</f>
        <v>N</v>
      </c>
      <c r="AL24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87.68</v>
      </c>
      <c r="AN2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144.4</v>
      </c>
      <c r="AO2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58.16</v>
      </c>
      <c r="AP242" s="3">
        <f>ABS(Table1[[#This Row],[Team Score]]-Table1[[#This Row],[Opp Team Score]])</f>
        <v>3</v>
      </c>
      <c r="AQ242" s="3">
        <f>SUM(Table1[[#This Row],[Team Score]], Table1[[#This Row],[Opp Team Score]])</f>
        <v>45</v>
      </c>
      <c r="AR24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42" s="3" t="str">
        <f>IF(Table1[[#This Row],[Efficiency Difference]] = " ", " ", ROUND((Table1[[#This Row],[Winning Margin]]*100)/Table1[[#This Row],[Efficiency Difference]], 2))</f>
        <v xml:space="preserve"> </v>
      </c>
    </row>
    <row r="243" spans="1:45">
      <c r="A243" t="s">
        <v>72</v>
      </c>
      <c r="B243">
        <v>255</v>
      </c>
      <c r="C243">
        <v>7</v>
      </c>
      <c r="D243">
        <v>77</v>
      </c>
      <c r="E243">
        <v>14</v>
      </c>
      <c r="F243">
        <v>0</v>
      </c>
      <c r="G243">
        <v>7</v>
      </c>
      <c r="H243">
        <v>1</v>
      </c>
      <c r="I243">
        <v>134</v>
      </c>
      <c r="J243">
        <v>48</v>
      </c>
      <c r="K243">
        <v>1</v>
      </c>
      <c r="L243">
        <v>2</v>
      </c>
      <c r="M243" t="s">
        <v>179</v>
      </c>
      <c r="N243">
        <v>415</v>
      </c>
      <c r="O243">
        <v>24</v>
      </c>
      <c r="P243">
        <v>140</v>
      </c>
      <c r="Q243">
        <v>23</v>
      </c>
      <c r="R243">
        <v>0</v>
      </c>
      <c r="S243">
        <v>8</v>
      </c>
      <c r="T243">
        <v>1</v>
      </c>
      <c r="U243">
        <v>122</v>
      </c>
      <c r="V243">
        <v>41</v>
      </c>
      <c r="W243">
        <v>2</v>
      </c>
      <c r="X243">
        <v>0</v>
      </c>
      <c r="Y243" t="s">
        <v>19</v>
      </c>
      <c r="Z243">
        <v>8</v>
      </c>
      <c r="AA243" s="3" t="str">
        <f>IF(AND(Table1[[#This Row],[Throw Out Pass Eff]]="N", Table1[[#This Row],[Against FCS Team]]="N"), ROUND(((5.45 * D243) + (150 * F243) + (100 * G243) - (300 * H243)) / E243, 2), " ")</f>
        <v xml:space="preserve"> </v>
      </c>
      <c r="AB243" s="3">
        <f>IF(AND(Table1[[#This Row],[Throw Out Pass Def Eff]]="N", Table1[[#This Row],[Against FCS Team]]="N"),200 - ROUND(((5.45 * P243) + (150 * R243) + (100 * S243) - (300 * T243)) / Q243, 2), " ")</f>
        <v>145.09</v>
      </c>
      <c r="AC243" s="3">
        <f>IF(AND(Table1[[#This Row],[Throw Out Rush Eff]]="N", Table1[[#This Row],[Against FCS Team]]="N"), ROUND(((23.2 * I243) + (150 * K243) - (300 * L243)) / J243, 2), " ")</f>
        <v>55.39</v>
      </c>
      <c r="AD243" s="3">
        <f>IF(AND(Table1[[#This Row],[Throw Out Rush Def Eff]]="N", Table1[[#This Row],[Against FCS Team]]="N"), 200 - ROUND(((23.2 * U243) + (150 * W243) - (300 * X243)) / V243, 2), " ")</f>
        <v>123.65</v>
      </c>
      <c r="AE243" s="3">
        <f>ROUND(Table1[[#This Row],[Opp Passing Attempts]]/(Table1[[#This Row],[Opp Passing Attempts]]+Table1[[#This Row],[Opp Rushing Attempts]]), 2)</f>
        <v>0.36</v>
      </c>
      <c r="AF243" s="3">
        <f>1-Table1[[#This Row],[Passing Weight]]</f>
        <v>0.64</v>
      </c>
      <c r="AG243" s="3" t="str">
        <f>IF(COUNTIF(A:A,Table1[[#This Row],[Opp Team Name]]) &gt; 0, "N", "Y")</f>
        <v>N</v>
      </c>
      <c r="AH243" s="3" t="str">
        <f>IF(Table1[[#This Row],[Passing Attempts]] &lt;15, "Y", "N")</f>
        <v>Y</v>
      </c>
      <c r="AI243" s="3" t="str">
        <f>IF(Table1[[#This Row],[Rushing Attempts]] &lt; 15, "Y", "N")</f>
        <v>N</v>
      </c>
      <c r="AJ243" s="3" t="str">
        <f>IF(Table1[[#This Row],[Opp Passing Attempts]]&lt;15, "Y", "N")</f>
        <v>N</v>
      </c>
      <c r="AK243" s="3" t="str">
        <f>IF(Table1[[#This Row],[Opp Rushing Attempts]]&lt;15, "Y", "N")</f>
        <v>N</v>
      </c>
      <c r="AL24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152.76</v>
      </c>
      <c r="AN2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57.41</v>
      </c>
      <c r="AO2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125.34</v>
      </c>
      <c r="AP243" s="3">
        <f>ABS(Table1[[#This Row],[Team Score]]-Table1[[#This Row],[Opp Team Score]])</f>
        <v>17</v>
      </c>
      <c r="AQ243" s="3">
        <f>SUM(Table1[[#This Row],[Team Score]], Table1[[#This Row],[Opp Team Score]])</f>
        <v>31</v>
      </c>
      <c r="AR24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43" s="3" t="str">
        <f>IF(Table1[[#This Row],[Efficiency Difference]] = " ", " ", ROUND((Table1[[#This Row],[Winning Margin]]*100)/Table1[[#This Row],[Efficiency Difference]], 2))</f>
        <v xml:space="preserve"> </v>
      </c>
    </row>
    <row r="244" spans="1:45">
      <c r="A244" t="s">
        <v>57</v>
      </c>
      <c r="B244">
        <v>277</v>
      </c>
      <c r="C244">
        <v>34</v>
      </c>
      <c r="D244">
        <v>178</v>
      </c>
      <c r="E244">
        <v>33</v>
      </c>
      <c r="F244">
        <v>1</v>
      </c>
      <c r="G244">
        <v>20</v>
      </c>
      <c r="H244">
        <v>0</v>
      </c>
      <c r="I244">
        <v>165</v>
      </c>
      <c r="J244">
        <v>32</v>
      </c>
      <c r="K244">
        <v>3</v>
      </c>
      <c r="L244">
        <v>1</v>
      </c>
      <c r="M244" t="s">
        <v>56</v>
      </c>
      <c r="N244">
        <v>157</v>
      </c>
      <c r="O244">
        <v>17</v>
      </c>
      <c r="P244">
        <v>223</v>
      </c>
      <c r="Q244">
        <v>30</v>
      </c>
      <c r="R244">
        <v>2</v>
      </c>
      <c r="S244">
        <v>16</v>
      </c>
      <c r="T244">
        <v>1</v>
      </c>
      <c r="U244">
        <v>17</v>
      </c>
      <c r="V244">
        <v>28</v>
      </c>
      <c r="W244">
        <v>0</v>
      </c>
      <c r="X244">
        <v>0</v>
      </c>
      <c r="Y244" t="s">
        <v>16</v>
      </c>
      <c r="Z244">
        <v>1</v>
      </c>
      <c r="AA244">
        <f>IF(AND(Table1[[#This Row],[Throw Out Pass Eff]]="N", Table1[[#This Row],[Against FCS Team]]="N"), ROUND(((5.45 * D244) + (150 * F244) + (100 * G244) - (300 * H244)) / E244, 2), " ")</f>
        <v>94.55</v>
      </c>
      <c r="AB244">
        <f>IF(AND(Table1[[#This Row],[Throw Out Pass Def Eff]]="N", Table1[[#This Row],[Against FCS Team]]="N"),200 - ROUND(((5.45 * P244) + (150 * R244) + (100 * S244) - (300 * T244)) / Q244, 2), " ")</f>
        <v>106.15</v>
      </c>
      <c r="AC244">
        <f>IF(AND(Table1[[#This Row],[Throw Out Rush Eff]]="N", Table1[[#This Row],[Against FCS Team]]="N"), ROUND(((23.2 * I244) + (150 * K244) - (300 * L244)) / J244, 2), " ")</f>
        <v>124.31</v>
      </c>
      <c r="AD244" s="3">
        <f>IF(AND(Table1[[#This Row],[Throw Out Rush Def Eff]]="N", Table1[[#This Row],[Against FCS Team]]="N"), 200 - ROUND(((23.2 * U244) + (150 * W244) - (300 * X244)) / V244, 2), " ")</f>
        <v>185.91</v>
      </c>
      <c r="AE244" s="3">
        <f>ROUND(Table1[[#This Row],[Opp Passing Attempts]]/(Table1[[#This Row],[Opp Passing Attempts]]+Table1[[#This Row],[Opp Rushing Attempts]]), 2)</f>
        <v>0.52</v>
      </c>
      <c r="AF244" s="3">
        <f>1-Table1[[#This Row],[Passing Weight]]</f>
        <v>0.48</v>
      </c>
      <c r="AG244" s="3" t="str">
        <f>IF(COUNTIF(A:A,Table1[[#This Row],[Opp Team Name]]) &gt; 0, "N", "Y")</f>
        <v>N</v>
      </c>
      <c r="AH244" s="3" t="str">
        <f>IF(Table1[[#This Row],[Passing Attempts]] &lt;15, "Y", "N")</f>
        <v>N</v>
      </c>
      <c r="AI244" s="3" t="str">
        <f>IF(Table1[[#This Row],[Rushing Attempts]] &lt; 15, "Y", "N")</f>
        <v>N</v>
      </c>
      <c r="AJ244" s="3" t="str">
        <f>IF(Table1[[#This Row],[Opp Passing Attempts]]&lt;15, "Y", "N")</f>
        <v>N</v>
      </c>
      <c r="AK244" s="3" t="str">
        <f>IF(Table1[[#This Row],[Opp Rushing Attempts]]&lt;15, "Y", "N")</f>
        <v>N</v>
      </c>
      <c r="AL2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81.34</v>
      </c>
      <c r="AM2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98.78</v>
      </c>
      <c r="AN2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104.72</v>
      </c>
      <c r="AO2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125.83</v>
      </c>
      <c r="AP244" s="3">
        <f>ABS(Table1[[#This Row],[Team Score]]-Table1[[#This Row],[Opp Team Score]])</f>
        <v>17</v>
      </c>
      <c r="AQ244" s="3">
        <f>SUM(Table1[[#This Row],[Team Score]], Table1[[#This Row],[Opp Team Score]])</f>
        <v>51</v>
      </c>
      <c r="AR2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110.92000000000002</v>
      </c>
      <c r="AS244" s="3">
        <f>IF(Table1[[#This Row],[Efficiency Difference]] = " ", " ", ROUND((Table1[[#This Row],[Winning Margin]]*100)/Table1[[#This Row],[Efficiency Difference]], 2))</f>
        <v>15.33</v>
      </c>
    </row>
    <row r="245" spans="1:45">
      <c r="A245" t="s">
        <v>57</v>
      </c>
      <c r="B245">
        <v>277</v>
      </c>
      <c r="C245">
        <v>32</v>
      </c>
      <c r="D245">
        <v>333</v>
      </c>
      <c r="E245">
        <v>45</v>
      </c>
      <c r="F245">
        <v>1</v>
      </c>
      <c r="G245">
        <v>31</v>
      </c>
      <c r="H245">
        <v>1</v>
      </c>
      <c r="I245">
        <v>55</v>
      </c>
      <c r="J245">
        <v>22</v>
      </c>
      <c r="K245">
        <v>3</v>
      </c>
      <c r="L245">
        <v>1</v>
      </c>
      <c r="M245" t="s">
        <v>158</v>
      </c>
      <c r="N245">
        <v>756</v>
      </c>
      <c r="O245">
        <v>40</v>
      </c>
      <c r="P245">
        <v>315</v>
      </c>
      <c r="Q245">
        <v>26</v>
      </c>
      <c r="R245">
        <v>4</v>
      </c>
      <c r="S245">
        <v>18</v>
      </c>
      <c r="T245">
        <v>1</v>
      </c>
      <c r="U245">
        <v>151</v>
      </c>
      <c r="V245">
        <v>34</v>
      </c>
      <c r="W245">
        <v>1</v>
      </c>
      <c r="X245">
        <v>0</v>
      </c>
      <c r="Y245" t="s">
        <v>19</v>
      </c>
      <c r="Z245">
        <v>2</v>
      </c>
      <c r="AA245">
        <f>IF(AND(Table1[[#This Row],[Throw Out Pass Eff]]="N", Table1[[#This Row],[Against FCS Team]]="N"), ROUND(((5.45 * D245) + (150 * F245) + (100 * G245) - (300 * H245)) / E245, 2), " ")</f>
        <v>105.89</v>
      </c>
      <c r="AB245">
        <f>IF(AND(Table1[[#This Row],[Throw Out Pass Def Eff]]="N", Table1[[#This Row],[Against FCS Team]]="N"),200 - ROUND(((5.45 * P245) + (150 * R245) + (100 * S245) - (300 * T245)) / Q245, 2), " ")</f>
        <v>53.199999999999989</v>
      </c>
      <c r="AC245">
        <f>IF(AND(Table1[[#This Row],[Throw Out Rush Eff]]="N", Table1[[#This Row],[Against FCS Team]]="N"), ROUND(((23.2 * I245) + (150 * K245) - (300 * L245)) / J245, 2), " ")</f>
        <v>64.819999999999993</v>
      </c>
      <c r="AD245" s="3">
        <f>IF(AND(Table1[[#This Row],[Throw Out Rush Def Eff]]="N", Table1[[#This Row],[Against FCS Team]]="N"), 200 - ROUND(((23.2 * U245) + (150 * W245) - (300 * X245)) / V245, 2), " ")</f>
        <v>92.55</v>
      </c>
      <c r="AE245" s="3">
        <f>ROUND(Table1[[#This Row],[Opp Passing Attempts]]/(Table1[[#This Row],[Opp Passing Attempts]]+Table1[[#This Row],[Opp Rushing Attempts]]), 2)</f>
        <v>0.43</v>
      </c>
      <c r="AF245" s="3">
        <f>1-Table1[[#This Row],[Passing Weight]]</f>
        <v>0.57000000000000006</v>
      </c>
      <c r="AG245" s="3" t="str">
        <f>IF(COUNTIF(A:A,Table1[[#This Row],[Opp Team Name]]) &gt; 0, "N", "Y")</f>
        <v>N</v>
      </c>
      <c r="AH245" s="3" t="str">
        <f>IF(Table1[[#This Row],[Passing Attempts]] &lt;15, "Y", "N")</f>
        <v>N</v>
      </c>
      <c r="AI245" s="3" t="str">
        <f>IF(Table1[[#This Row],[Rushing Attempts]] &lt; 15, "Y", "N")</f>
        <v>N</v>
      </c>
      <c r="AJ245" s="3" t="str">
        <f>IF(Table1[[#This Row],[Opp Passing Attempts]]&lt;15, "Y", "N")</f>
        <v>N</v>
      </c>
      <c r="AK245" s="3" t="str">
        <f>IF(Table1[[#This Row],[Opp Rushing Attempts]]&lt;15, "Y", "N")</f>
        <v>N</v>
      </c>
      <c r="AL24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99.37</v>
      </c>
      <c r="AM24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66.900000000000006</v>
      </c>
      <c r="AN24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67.44</v>
      </c>
      <c r="AO24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109.36</v>
      </c>
      <c r="AP245" s="3">
        <f>ABS(Table1[[#This Row],[Team Score]]-Table1[[#This Row],[Opp Team Score]])</f>
        <v>8</v>
      </c>
      <c r="AQ245" s="3">
        <f>SUM(Table1[[#This Row],[Team Score]], Table1[[#This Row],[Opp Team Score]])</f>
        <v>72</v>
      </c>
      <c r="AR24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83.54000000000002</v>
      </c>
      <c r="AS245" s="3">
        <f>IF(Table1[[#This Row],[Efficiency Difference]] = " ", " ", ROUND((Table1[[#This Row],[Winning Margin]]*100)/Table1[[#This Row],[Efficiency Difference]], 2))</f>
        <v>9.58</v>
      </c>
    </row>
    <row r="246" spans="1:45">
      <c r="A246" t="s">
        <v>57</v>
      </c>
      <c r="B246">
        <v>277</v>
      </c>
      <c r="C246">
        <v>20</v>
      </c>
      <c r="D246">
        <v>284</v>
      </c>
      <c r="E246">
        <v>41</v>
      </c>
      <c r="F246">
        <v>2</v>
      </c>
      <c r="G246">
        <v>25</v>
      </c>
      <c r="H246">
        <v>0</v>
      </c>
      <c r="I246">
        <v>6</v>
      </c>
      <c r="J246">
        <v>16</v>
      </c>
      <c r="K246">
        <v>1</v>
      </c>
      <c r="L246">
        <v>4</v>
      </c>
      <c r="M246" t="s">
        <v>144</v>
      </c>
      <c r="N246">
        <v>465</v>
      </c>
      <c r="O246">
        <v>40</v>
      </c>
      <c r="P246">
        <v>179</v>
      </c>
      <c r="Q246">
        <v>30</v>
      </c>
      <c r="R246">
        <v>2</v>
      </c>
      <c r="S246">
        <v>18</v>
      </c>
      <c r="T246">
        <v>1</v>
      </c>
      <c r="U246">
        <v>186</v>
      </c>
      <c r="V246">
        <v>42</v>
      </c>
      <c r="W246">
        <v>3</v>
      </c>
      <c r="X246">
        <v>0</v>
      </c>
      <c r="Y246" t="s">
        <v>19</v>
      </c>
      <c r="Z246">
        <v>3</v>
      </c>
      <c r="AA246">
        <f>IF(AND(Table1[[#This Row],[Throw Out Pass Eff]]="N", Table1[[#This Row],[Against FCS Team]]="N"), ROUND(((5.45 * D246) + (150 * F246) + (100 * G246) - (300 * H246)) / E246, 2), " ")</f>
        <v>106.04</v>
      </c>
      <c r="AB246">
        <f>IF(AND(Table1[[#This Row],[Throw Out Pass Def Eff]]="N", Table1[[#This Row],[Against FCS Team]]="N"),200 - ROUND(((5.45 * P246) + (150 * R246) + (100 * S246) - (300 * T246)) / Q246, 2), " ")</f>
        <v>107.48</v>
      </c>
      <c r="AC246">
        <f>IF(AND(Table1[[#This Row],[Throw Out Rush Eff]]="N", Table1[[#This Row],[Against FCS Team]]="N"), ROUND(((23.2 * I246) + (150 * K246) - (300 * L246)) / J246, 2), " ")</f>
        <v>-56.93</v>
      </c>
      <c r="AD246" s="3">
        <f>IF(AND(Table1[[#This Row],[Throw Out Rush Def Eff]]="N", Table1[[#This Row],[Against FCS Team]]="N"), 200 - ROUND(((23.2 * U246) + (150 * W246) - (300 * X246)) / V246, 2), " ")</f>
        <v>86.54</v>
      </c>
      <c r="AE246" s="3">
        <f>ROUND(Table1[[#This Row],[Opp Passing Attempts]]/(Table1[[#This Row],[Opp Passing Attempts]]+Table1[[#This Row],[Opp Rushing Attempts]]), 2)</f>
        <v>0.42</v>
      </c>
      <c r="AF246" s="3">
        <f>1-Table1[[#This Row],[Passing Weight]]</f>
        <v>0.58000000000000007</v>
      </c>
      <c r="AG246" s="3" t="str">
        <f>IF(COUNTIF(A:A,Table1[[#This Row],[Opp Team Name]]) &gt; 0, "N", "Y")</f>
        <v>N</v>
      </c>
      <c r="AH246" s="3" t="str">
        <f>IF(Table1[[#This Row],[Passing Attempts]] &lt;15, "Y", "N")</f>
        <v>N</v>
      </c>
      <c r="AI246" s="3" t="str">
        <f>IF(Table1[[#This Row],[Rushing Attempts]] &lt; 15, "Y", "N")</f>
        <v>N</v>
      </c>
      <c r="AJ246" s="3" t="str">
        <f>IF(Table1[[#This Row],[Opp Passing Attempts]]&lt;15, "Y", "N")</f>
        <v>N</v>
      </c>
      <c r="AK246" s="3" t="str">
        <f>IF(Table1[[#This Row],[Opp Rushing Attempts]]&lt;15, "Y", "N")</f>
        <v>N</v>
      </c>
      <c r="AL2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80.17</v>
      </c>
      <c r="AM2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87.34</v>
      </c>
      <c r="AN2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-67.150000000000006</v>
      </c>
      <c r="AO24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63.14</v>
      </c>
      <c r="AP246" s="3">
        <f>ABS(Table1[[#This Row],[Team Score]]-Table1[[#This Row],[Opp Team Score]])</f>
        <v>20</v>
      </c>
      <c r="AQ246" s="3">
        <f>SUM(Table1[[#This Row],[Team Score]], Table1[[#This Row],[Opp Team Score]])</f>
        <v>60</v>
      </c>
      <c r="AR24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156.86999999999998</v>
      </c>
      <c r="AS246" s="3">
        <f>IF(Table1[[#This Row],[Efficiency Difference]] = " ", " ", ROUND((Table1[[#This Row],[Winning Margin]]*100)/Table1[[#This Row],[Efficiency Difference]], 2))</f>
        <v>12.75</v>
      </c>
    </row>
    <row r="247" spans="1:45">
      <c r="A247" t="s">
        <v>57</v>
      </c>
      <c r="B247">
        <v>277</v>
      </c>
      <c r="C247">
        <v>56</v>
      </c>
      <c r="D247">
        <v>512</v>
      </c>
      <c r="E247">
        <v>60</v>
      </c>
      <c r="F247">
        <v>7</v>
      </c>
      <c r="G247">
        <v>43</v>
      </c>
      <c r="H247">
        <v>0</v>
      </c>
      <c r="I247">
        <v>125</v>
      </c>
      <c r="J247">
        <v>24</v>
      </c>
      <c r="K247">
        <v>1</v>
      </c>
      <c r="L247">
        <v>1</v>
      </c>
      <c r="M247" t="s">
        <v>25</v>
      </c>
      <c r="N247">
        <v>108</v>
      </c>
      <c r="O247">
        <v>14</v>
      </c>
      <c r="P247">
        <v>147</v>
      </c>
      <c r="Q247">
        <v>27</v>
      </c>
      <c r="R247">
        <v>1</v>
      </c>
      <c r="S247">
        <v>12</v>
      </c>
      <c r="T247">
        <v>1</v>
      </c>
      <c r="U247">
        <v>49</v>
      </c>
      <c r="V247">
        <v>24</v>
      </c>
      <c r="W247">
        <v>1</v>
      </c>
      <c r="X247">
        <v>2</v>
      </c>
      <c r="Y247" t="s">
        <v>16</v>
      </c>
      <c r="Z247">
        <v>4</v>
      </c>
      <c r="AA247">
        <f>IF(AND(Table1[[#This Row],[Throw Out Pass Eff]]="N", Table1[[#This Row],[Against FCS Team]]="N"), ROUND(((5.45 * D247) + (150 * F247) + (100 * G247) - (300 * H247)) / E247, 2), " ")</f>
        <v>135.66999999999999</v>
      </c>
      <c r="AB247">
        <f>IF(AND(Table1[[#This Row],[Throw Out Pass Def Eff]]="N", Table1[[#This Row],[Against FCS Team]]="N"),200 - ROUND(((5.45 * P247) + (150 * R247) + (100 * S247) - (300 * T247)) / Q247, 2), " ")</f>
        <v>131.44</v>
      </c>
      <c r="AC247">
        <f>IF(AND(Table1[[#This Row],[Throw Out Rush Eff]]="N", Table1[[#This Row],[Against FCS Team]]="N"), ROUND(((23.2 * I247) + (150 * K247) - (300 * L247)) / J247, 2), " ")</f>
        <v>114.58</v>
      </c>
      <c r="AD247" s="3">
        <f>IF(AND(Table1[[#This Row],[Throw Out Rush Def Eff]]="N", Table1[[#This Row],[Against FCS Team]]="N"), 200 - ROUND(((23.2 * U247) + (150 * W247) - (300 * X247)) / V247, 2), " ")</f>
        <v>171.38</v>
      </c>
      <c r="AE247" s="3">
        <f>ROUND(Table1[[#This Row],[Opp Passing Attempts]]/(Table1[[#This Row],[Opp Passing Attempts]]+Table1[[#This Row],[Opp Rushing Attempts]]), 2)</f>
        <v>0.53</v>
      </c>
      <c r="AF247" s="3">
        <f>1-Table1[[#This Row],[Passing Weight]]</f>
        <v>0.47</v>
      </c>
      <c r="AG247" s="3" t="str">
        <f>IF(COUNTIF(A:A,Table1[[#This Row],[Opp Team Name]]) &gt; 0, "N", "Y")</f>
        <v>N</v>
      </c>
      <c r="AH247" s="3" t="str">
        <f>IF(Table1[[#This Row],[Passing Attempts]] &lt;15, "Y", "N")</f>
        <v>N</v>
      </c>
      <c r="AI247" s="3" t="str">
        <f>IF(Table1[[#This Row],[Rushing Attempts]] &lt; 15, "Y", "N")</f>
        <v>N</v>
      </c>
      <c r="AJ247" s="3" t="str">
        <f>IF(Table1[[#This Row],[Opp Passing Attempts]]&lt;15, "Y", "N")</f>
        <v>N</v>
      </c>
      <c r="AK247" s="3" t="str">
        <f>IF(Table1[[#This Row],[Opp Rushing Attempts]]&lt;15, "Y", "N")</f>
        <v>N</v>
      </c>
      <c r="AL2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100.63</v>
      </c>
      <c r="AM2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174.99</v>
      </c>
      <c r="AN24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164.95</v>
      </c>
      <c r="AO2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127.8</v>
      </c>
      <c r="AP247" s="3">
        <f>ABS(Table1[[#This Row],[Team Score]]-Table1[[#This Row],[Opp Team Score]])</f>
        <v>42</v>
      </c>
      <c r="AQ247" s="3">
        <f>SUM(Table1[[#This Row],[Team Score]], Table1[[#This Row],[Opp Team Score]])</f>
        <v>70</v>
      </c>
      <c r="AR24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153.07</v>
      </c>
      <c r="AS247" s="3">
        <f>IF(Table1[[#This Row],[Efficiency Difference]] = " ", " ", ROUND((Table1[[#This Row],[Winning Margin]]*100)/Table1[[#This Row],[Efficiency Difference]], 2))</f>
        <v>27.44</v>
      </c>
    </row>
    <row r="248" spans="1:45">
      <c r="A248" t="s">
        <v>57</v>
      </c>
      <c r="B248">
        <v>277</v>
      </c>
      <c r="C248">
        <v>44</v>
      </c>
      <c r="D248">
        <v>410</v>
      </c>
      <c r="E248">
        <v>55</v>
      </c>
      <c r="F248">
        <v>4</v>
      </c>
      <c r="G248">
        <v>34</v>
      </c>
      <c r="H248">
        <v>0</v>
      </c>
      <c r="I248">
        <v>84</v>
      </c>
      <c r="J248">
        <v>25</v>
      </c>
      <c r="K248">
        <v>0</v>
      </c>
      <c r="L248">
        <v>0</v>
      </c>
      <c r="M248" t="s">
        <v>88</v>
      </c>
      <c r="N248">
        <v>366</v>
      </c>
      <c r="O248">
        <v>26</v>
      </c>
      <c r="P248">
        <v>305</v>
      </c>
      <c r="Q248">
        <v>51</v>
      </c>
      <c r="R248">
        <v>3</v>
      </c>
      <c r="S248">
        <v>29</v>
      </c>
      <c r="T248">
        <v>2</v>
      </c>
      <c r="U248">
        <v>63</v>
      </c>
      <c r="V248">
        <v>26</v>
      </c>
      <c r="W248">
        <v>1</v>
      </c>
      <c r="X248">
        <v>1</v>
      </c>
      <c r="Y248" t="s">
        <v>16</v>
      </c>
      <c r="Z248">
        <v>5</v>
      </c>
      <c r="AA248">
        <f>IF(AND(Table1[[#This Row],[Throw Out Pass Eff]]="N", Table1[[#This Row],[Against FCS Team]]="N"), ROUND(((5.45 * D248) + (150 * F248) + (100 * G248) - (300 * H248)) / E248, 2), " ")</f>
        <v>113.35</v>
      </c>
      <c r="AB248">
        <f>IF(AND(Table1[[#This Row],[Throw Out Pass Def Eff]]="N", Table1[[#This Row],[Against FCS Team]]="N"),200 - ROUND(((5.45 * P248) + (150 * R248) + (100 * S248) - (300 * T248)) / Q248, 2), " ")</f>
        <v>113.49</v>
      </c>
      <c r="AC248">
        <f>IF(AND(Table1[[#This Row],[Throw Out Rush Eff]]="N", Table1[[#This Row],[Against FCS Team]]="N"), ROUND(((23.2 * I248) + (150 * K248) - (300 * L248)) / J248, 2), " ")</f>
        <v>77.95</v>
      </c>
      <c r="AD248" s="3">
        <f>IF(AND(Table1[[#This Row],[Throw Out Rush Def Eff]]="N", Table1[[#This Row],[Against FCS Team]]="N"), 200 - ROUND(((23.2 * U248) + (150 * W248) - (300 * X248)) / V248, 2), " ")</f>
        <v>149.55000000000001</v>
      </c>
      <c r="AE248" s="3">
        <f>ROUND(Table1[[#This Row],[Opp Passing Attempts]]/(Table1[[#This Row],[Opp Passing Attempts]]+Table1[[#This Row],[Opp Rushing Attempts]]), 2)</f>
        <v>0.66</v>
      </c>
      <c r="AF248" s="3">
        <f>1-Table1[[#This Row],[Passing Weight]]</f>
        <v>0.33999999999999997</v>
      </c>
      <c r="AG248" s="3" t="str">
        <f>IF(COUNTIF(A:A,Table1[[#This Row],[Opp Team Name]]) &gt; 0, "N", "Y")</f>
        <v>N</v>
      </c>
      <c r="AH248" s="3" t="str">
        <f>IF(Table1[[#This Row],[Passing Attempts]] &lt;15, "Y", "N")</f>
        <v>N</v>
      </c>
      <c r="AI248" s="3" t="str">
        <f>IF(Table1[[#This Row],[Rushing Attempts]] &lt; 15, "Y", "N")</f>
        <v>N</v>
      </c>
      <c r="AJ248" s="3" t="str">
        <f>IF(Table1[[#This Row],[Opp Passing Attempts]]&lt;15, "Y", "N")</f>
        <v>N</v>
      </c>
      <c r="AK248" s="3" t="str">
        <f>IF(Table1[[#This Row],[Opp Rushing Attempts]]&lt;15, "Y", "N")</f>
        <v>N</v>
      </c>
      <c r="AL2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131.03</v>
      </c>
      <c r="AM2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98.7</v>
      </c>
      <c r="AN2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96.82</v>
      </c>
      <c r="AO2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100.29</v>
      </c>
      <c r="AP248" s="3">
        <f>ABS(Table1[[#This Row],[Team Score]]-Table1[[#This Row],[Opp Team Score]])</f>
        <v>18</v>
      </c>
      <c r="AQ248" s="3">
        <f>SUM(Table1[[#This Row],[Team Score]], Table1[[#This Row],[Opp Team Score]])</f>
        <v>70</v>
      </c>
      <c r="AR2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54.340000000000032</v>
      </c>
      <c r="AS248" s="3">
        <f>IF(Table1[[#This Row],[Efficiency Difference]] = " ", " ", ROUND((Table1[[#This Row],[Winning Margin]]*100)/Table1[[#This Row],[Efficiency Difference]], 2))</f>
        <v>33.119999999999997</v>
      </c>
    </row>
    <row r="249" spans="1:45">
      <c r="A249" t="s">
        <v>57</v>
      </c>
      <c r="B249">
        <v>277</v>
      </c>
      <c r="C249">
        <v>27</v>
      </c>
      <c r="D249">
        <v>303</v>
      </c>
      <c r="E249">
        <v>46</v>
      </c>
      <c r="F249">
        <v>2</v>
      </c>
      <c r="G249">
        <v>27</v>
      </c>
      <c r="H249">
        <v>3</v>
      </c>
      <c r="I249">
        <v>142</v>
      </c>
      <c r="J249">
        <v>17</v>
      </c>
      <c r="K249">
        <v>2</v>
      </c>
      <c r="L249">
        <v>3</v>
      </c>
      <c r="M249" t="s">
        <v>128</v>
      </c>
      <c r="N249">
        <v>630</v>
      </c>
      <c r="O249">
        <v>28</v>
      </c>
      <c r="P249">
        <v>366</v>
      </c>
      <c r="Q249">
        <v>41</v>
      </c>
      <c r="R249">
        <v>1</v>
      </c>
      <c r="S249">
        <v>27</v>
      </c>
      <c r="T249">
        <v>3</v>
      </c>
      <c r="U249">
        <v>103</v>
      </c>
      <c r="V249">
        <v>40</v>
      </c>
      <c r="W249">
        <v>1</v>
      </c>
      <c r="X249">
        <v>3</v>
      </c>
      <c r="Y249" t="s">
        <v>19</v>
      </c>
      <c r="Z249">
        <v>7</v>
      </c>
      <c r="AA249">
        <f>IF(AND(Table1[[#This Row],[Throw Out Pass Eff]]="N", Table1[[#This Row],[Against FCS Team]]="N"), ROUND(((5.45 * D249) + (150 * F249) + (100 * G249) - (300 * H249)) / E249, 2), " ")</f>
        <v>81.55</v>
      </c>
      <c r="AB249">
        <f>IF(AND(Table1[[#This Row],[Throw Out Pass Def Eff]]="N", Table1[[#This Row],[Against FCS Team]]="N"),200 - ROUND(((5.45 * P249) + (150 * R249) + (100 * S249) - (300 * T249)) / Q249, 2), " ")</f>
        <v>103.79</v>
      </c>
      <c r="AC249">
        <f>IF(AND(Table1[[#This Row],[Throw Out Rush Eff]]="N", Table1[[#This Row],[Against FCS Team]]="N"), ROUND(((23.2 * I249) + (150 * K249) - (300 * L249)) / J249, 2), " ")</f>
        <v>158.49</v>
      </c>
      <c r="AD249" s="3">
        <f>IF(AND(Table1[[#This Row],[Throw Out Rush Def Eff]]="N", Table1[[#This Row],[Against FCS Team]]="N"), 200 - ROUND(((23.2 * U249) + (150 * W249) - (300 * X249)) / V249, 2), " ")</f>
        <v>159.01</v>
      </c>
      <c r="AE249" s="3">
        <f>ROUND(Table1[[#This Row],[Opp Passing Attempts]]/(Table1[[#This Row],[Opp Passing Attempts]]+Table1[[#This Row],[Opp Rushing Attempts]]), 2)</f>
        <v>0.51</v>
      </c>
      <c r="AF249" s="3">
        <f>1-Table1[[#This Row],[Passing Weight]]</f>
        <v>0.49</v>
      </c>
      <c r="AG249" s="3" t="str">
        <f>IF(COUNTIF(A:A,Table1[[#This Row],[Opp Team Name]]) &gt; 0, "N", "Y")</f>
        <v>N</v>
      </c>
      <c r="AH249" s="3" t="str">
        <f>IF(Table1[[#This Row],[Passing Attempts]] &lt;15, "Y", "N")</f>
        <v>N</v>
      </c>
      <c r="AI249" s="3" t="str">
        <f>IF(Table1[[#This Row],[Rushing Attempts]] &lt; 15, "Y", "N")</f>
        <v>N</v>
      </c>
      <c r="AJ249" s="3" t="str">
        <f>IF(Table1[[#This Row],[Opp Passing Attempts]]&lt;15, "Y", "N")</f>
        <v>N</v>
      </c>
      <c r="AK249" s="3" t="str">
        <f>IF(Table1[[#This Row],[Opp Rushing Attempts]]&lt;15, "Y", "N")</f>
        <v>N</v>
      </c>
      <c r="AL2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86.08</v>
      </c>
      <c r="AM2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88.26</v>
      </c>
      <c r="AN2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134.34</v>
      </c>
      <c r="AO2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129.47</v>
      </c>
      <c r="AP249" s="3">
        <f>ABS(Table1[[#This Row],[Team Score]]-Table1[[#This Row],[Opp Team Score]])</f>
        <v>1</v>
      </c>
      <c r="AQ249" s="3">
        <f>SUM(Table1[[#This Row],[Team Score]], Table1[[#This Row],[Opp Team Score]])</f>
        <v>55</v>
      </c>
      <c r="AR2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102.84000000000003</v>
      </c>
      <c r="AS249" s="3">
        <f>IF(Table1[[#This Row],[Efficiency Difference]] = " ", " ", ROUND((Table1[[#This Row],[Winning Margin]]*100)/Table1[[#This Row],[Efficiency Difference]], 2))</f>
        <v>0.97</v>
      </c>
    </row>
    <row r="250" spans="1:45">
      <c r="A250" t="s">
        <v>57</v>
      </c>
      <c r="B250">
        <v>277</v>
      </c>
      <c r="C250">
        <v>45</v>
      </c>
      <c r="D250">
        <v>276</v>
      </c>
      <c r="E250">
        <v>41</v>
      </c>
      <c r="F250">
        <v>2</v>
      </c>
      <c r="G250">
        <v>26</v>
      </c>
      <c r="H250">
        <v>0</v>
      </c>
      <c r="I250">
        <v>227</v>
      </c>
      <c r="J250">
        <v>37</v>
      </c>
      <c r="K250">
        <v>4</v>
      </c>
      <c r="L250">
        <v>1</v>
      </c>
      <c r="M250" t="s">
        <v>108</v>
      </c>
      <c r="N250">
        <v>472</v>
      </c>
      <c r="O250">
        <v>34</v>
      </c>
      <c r="P250">
        <v>284</v>
      </c>
      <c r="Q250">
        <v>37</v>
      </c>
      <c r="R250">
        <v>3</v>
      </c>
      <c r="S250">
        <v>20</v>
      </c>
      <c r="T250">
        <v>0</v>
      </c>
      <c r="U250">
        <v>148</v>
      </c>
      <c r="V250">
        <v>32</v>
      </c>
      <c r="W250">
        <v>2</v>
      </c>
      <c r="X250">
        <v>1</v>
      </c>
      <c r="Y250" t="s">
        <v>16</v>
      </c>
      <c r="Z250">
        <v>8</v>
      </c>
      <c r="AA250" s="3">
        <f>IF(AND(Table1[[#This Row],[Throw Out Pass Eff]]="N", Table1[[#This Row],[Against FCS Team]]="N"), ROUND(((5.45 * D250) + (150 * F250) + (100 * G250) - (300 * H250)) / E250, 2), " ")</f>
        <v>107.42</v>
      </c>
      <c r="AB250" s="3">
        <f>IF(AND(Table1[[#This Row],[Throw Out Pass Def Eff]]="N", Table1[[#This Row],[Against FCS Team]]="N"),200 - ROUND(((5.45 * P250) + (150 * R250) + (100 * S250) - (300 * T250)) / Q250, 2), " ")</f>
        <v>91.95</v>
      </c>
      <c r="AC250" s="3">
        <f>IF(AND(Table1[[#This Row],[Throw Out Rush Eff]]="N", Table1[[#This Row],[Against FCS Team]]="N"), ROUND(((23.2 * I250) + (150 * K250) - (300 * L250)) / J250, 2), " ")</f>
        <v>150.44</v>
      </c>
      <c r="AD250" s="3">
        <f>IF(AND(Table1[[#This Row],[Throw Out Rush Def Eff]]="N", Table1[[#This Row],[Against FCS Team]]="N"), 200 - ROUND(((23.2 * U250) + (150 * W250) - (300 * X250)) / V250, 2), " ")</f>
        <v>92.7</v>
      </c>
      <c r="AE250" s="3">
        <f>ROUND(Table1[[#This Row],[Opp Passing Attempts]]/(Table1[[#This Row],[Opp Passing Attempts]]+Table1[[#This Row],[Opp Rushing Attempts]]), 2)</f>
        <v>0.54</v>
      </c>
      <c r="AF250" s="3">
        <f>1-Table1[[#This Row],[Passing Weight]]</f>
        <v>0.45999999999999996</v>
      </c>
      <c r="AG250" s="3" t="str">
        <f>IF(COUNTIF(A:A,Table1[[#This Row],[Opp Team Name]]) &gt; 0, "N", "Y")</f>
        <v>N</v>
      </c>
      <c r="AH250" s="3" t="str">
        <f>IF(Table1[[#This Row],[Passing Attempts]] &lt;15, "Y", "N")</f>
        <v>N</v>
      </c>
      <c r="AI250" s="3" t="str">
        <f>IF(Table1[[#This Row],[Rushing Attempts]] &lt; 15, "Y", "N")</f>
        <v>N</v>
      </c>
      <c r="AJ250" s="3" t="str">
        <f>IF(Table1[[#This Row],[Opp Passing Attempts]]&lt;15, "Y", "N")</f>
        <v>N</v>
      </c>
      <c r="AK250" s="3" t="str">
        <f>IF(Table1[[#This Row],[Opp Rushing Attempts]]&lt;15, "Y", "N")</f>
        <v>N</v>
      </c>
      <c r="AL2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122.74</v>
      </c>
      <c r="AM2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101.95</v>
      </c>
      <c r="AN2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124.97</v>
      </c>
      <c r="AO2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73.94</v>
      </c>
      <c r="AP250" s="3">
        <f>ABS(Table1[[#This Row],[Team Score]]-Table1[[#This Row],[Opp Team Score]])</f>
        <v>11</v>
      </c>
      <c r="AQ250" s="3">
        <f>SUM(Table1[[#This Row],[Team Score]], Table1[[#This Row],[Opp Team Score]])</f>
        <v>79</v>
      </c>
      <c r="AR2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42.510000000000019</v>
      </c>
      <c r="AS250" s="3">
        <f>IF(Table1[[#This Row],[Efficiency Difference]] = " ", " ", ROUND((Table1[[#This Row],[Winning Margin]]*100)/Table1[[#This Row],[Efficiency Difference]], 2))</f>
        <v>25.88</v>
      </c>
    </row>
    <row r="251" spans="1:45">
      <c r="A251" t="s">
        <v>74</v>
      </c>
      <c r="B251">
        <v>288</v>
      </c>
      <c r="C251">
        <v>56</v>
      </c>
      <c r="D251">
        <v>561</v>
      </c>
      <c r="E251">
        <v>50</v>
      </c>
      <c r="F251">
        <v>3</v>
      </c>
      <c r="G251">
        <v>40</v>
      </c>
      <c r="H251">
        <v>0</v>
      </c>
      <c r="I251">
        <v>171</v>
      </c>
      <c r="J251">
        <v>39</v>
      </c>
      <c r="K251">
        <v>5</v>
      </c>
      <c r="L251">
        <v>2</v>
      </c>
      <c r="M251" t="s">
        <v>205</v>
      </c>
      <c r="N251">
        <v>254</v>
      </c>
      <c r="O251">
        <v>0</v>
      </c>
      <c r="P251">
        <v>133</v>
      </c>
      <c r="Q251">
        <v>27</v>
      </c>
      <c r="R251">
        <v>0</v>
      </c>
      <c r="S251">
        <v>12</v>
      </c>
      <c r="T251">
        <v>1</v>
      </c>
      <c r="U251">
        <v>108</v>
      </c>
      <c r="V251">
        <v>35</v>
      </c>
      <c r="W251">
        <v>0</v>
      </c>
      <c r="X251">
        <v>1</v>
      </c>
      <c r="Y251" t="s">
        <v>16</v>
      </c>
      <c r="Z251">
        <v>4</v>
      </c>
      <c r="AA251" t="str">
        <f>IF(AND(Table1[[#This Row],[Throw Out Pass Eff]]="N", Table1[[#This Row],[Against FCS Team]]="N"), ROUND(((5.45 * D251) + (150 * F251) + (100 * G251) - (300 * H251)) / E251, 2), " ")</f>
        <v xml:space="preserve"> </v>
      </c>
      <c r="AB251" t="str">
        <f>IF(AND(Table1[[#This Row],[Throw Out Pass Def Eff]]="N", Table1[[#This Row],[Against FCS Team]]="N"),200 - ROUND(((5.45 * P251) + (150 * R251) + (100 * S251) - (300 * T251)) / Q251, 2), " ")</f>
        <v xml:space="preserve"> </v>
      </c>
      <c r="AC251" t="str">
        <f>IF(AND(Table1[[#This Row],[Throw Out Rush Eff]]="N", Table1[[#This Row],[Against FCS Team]]="N"), ROUND(((23.2 * I251) + (150 * K251) - (300 * L251)) / J251, 2), " ")</f>
        <v xml:space="preserve"> </v>
      </c>
      <c r="AD251" s="3" t="str">
        <f>IF(AND(Table1[[#This Row],[Throw Out Rush Def Eff]]="N", Table1[[#This Row],[Against FCS Team]]="N"), 200 - ROUND(((23.2 * U251) + (150 * W251) - (300 * X251)) / V251, 2), " ")</f>
        <v xml:space="preserve"> </v>
      </c>
      <c r="AE251" s="3">
        <f>ROUND(Table1[[#This Row],[Opp Passing Attempts]]/(Table1[[#This Row],[Opp Passing Attempts]]+Table1[[#This Row],[Opp Rushing Attempts]]), 2)</f>
        <v>0.44</v>
      </c>
      <c r="AF251" s="3">
        <f>1-Table1[[#This Row],[Passing Weight]]</f>
        <v>0.56000000000000005</v>
      </c>
      <c r="AG251" s="3" t="str">
        <f>IF(COUNTIF(A:A,Table1[[#This Row],[Opp Team Name]]) &gt; 0, "N", "Y")</f>
        <v>Y</v>
      </c>
      <c r="AH251" s="3" t="str">
        <f>IF(Table1[[#This Row],[Passing Attempts]] &lt;15, "Y", "N")</f>
        <v>N</v>
      </c>
      <c r="AI251" s="3" t="str">
        <f>IF(Table1[[#This Row],[Rushing Attempts]] &lt; 15, "Y", "N")</f>
        <v>N</v>
      </c>
      <c r="AJ251" s="3" t="str">
        <f>IF(Table1[[#This Row],[Opp Passing Attempts]]&lt;15, "Y", "N")</f>
        <v>N</v>
      </c>
      <c r="AK251" s="3" t="str">
        <f>IF(Table1[[#This Row],[Opp Rushing Attempts]]&lt;15, "Y", "N")</f>
        <v>N</v>
      </c>
      <c r="AL25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5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5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5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51" s="3">
        <f>ABS(Table1[[#This Row],[Team Score]]-Table1[[#This Row],[Opp Team Score]])</f>
        <v>56</v>
      </c>
      <c r="AQ251" s="3">
        <f>SUM(Table1[[#This Row],[Team Score]], Table1[[#This Row],[Opp Team Score]])</f>
        <v>56</v>
      </c>
      <c r="AR25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51" s="3" t="str">
        <f>IF(Table1[[#This Row],[Efficiency Difference]] = " ", " ", ROUND((Table1[[#This Row],[Winning Margin]]*100)/Table1[[#This Row],[Efficiency Difference]], 2))</f>
        <v xml:space="preserve"> </v>
      </c>
    </row>
    <row r="252" spans="1:45">
      <c r="A252" t="s">
        <v>74</v>
      </c>
      <c r="B252">
        <v>288</v>
      </c>
      <c r="C252">
        <v>38</v>
      </c>
      <c r="D252">
        <v>310</v>
      </c>
      <c r="E252">
        <v>40</v>
      </c>
      <c r="F252">
        <v>2</v>
      </c>
      <c r="G252">
        <v>30</v>
      </c>
      <c r="H252">
        <v>0</v>
      </c>
      <c r="I252">
        <v>159</v>
      </c>
      <c r="J252">
        <v>31</v>
      </c>
      <c r="K252">
        <v>3</v>
      </c>
      <c r="L252">
        <v>1</v>
      </c>
      <c r="M252" t="s">
        <v>75</v>
      </c>
      <c r="N252">
        <v>110</v>
      </c>
      <c r="O252">
        <v>34</v>
      </c>
      <c r="P252">
        <v>322</v>
      </c>
      <c r="Q252">
        <v>29</v>
      </c>
      <c r="R252">
        <v>2</v>
      </c>
      <c r="S252">
        <v>20</v>
      </c>
      <c r="T252">
        <v>0</v>
      </c>
      <c r="U252">
        <v>232</v>
      </c>
      <c r="V252">
        <v>42</v>
      </c>
      <c r="W252">
        <v>3</v>
      </c>
      <c r="X252">
        <v>1</v>
      </c>
      <c r="Y252" t="s">
        <v>16</v>
      </c>
      <c r="Z252">
        <v>1</v>
      </c>
      <c r="AA252">
        <f>IF(AND(Table1[[#This Row],[Throw Out Pass Eff]]="N", Table1[[#This Row],[Against FCS Team]]="N"), ROUND(((5.45 * D252) + (150 * F252) + (100 * G252) - (300 * H252)) / E252, 2), " ")</f>
        <v>124.74</v>
      </c>
      <c r="AB252">
        <f>IF(AND(Table1[[#This Row],[Throw Out Pass Def Eff]]="N", Table1[[#This Row],[Against FCS Team]]="N"),200 - ROUND(((5.45 * P252) + (150 * R252) + (100 * S252) - (300 * T252)) / Q252, 2), " ")</f>
        <v>60.180000000000007</v>
      </c>
      <c r="AC252">
        <f>IF(AND(Table1[[#This Row],[Throw Out Rush Eff]]="N", Table1[[#This Row],[Against FCS Team]]="N"), ROUND(((23.2 * I252) + (150 * K252) - (300 * L252)) / J252, 2), " ")</f>
        <v>123.83</v>
      </c>
      <c r="AD252" s="3">
        <f>IF(AND(Table1[[#This Row],[Throw Out Rush Def Eff]]="N", Table1[[#This Row],[Against FCS Team]]="N"), 200 - ROUND(((23.2 * U252) + (150 * W252) - (300 * X252)) / V252, 2), " ")</f>
        <v>68.28</v>
      </c>
      <c r="AE252" s="3">
        <f>ROUND(Table1[[#This Row],[Opp Passing Attempts]]/(Table1[[#This Row],[Opp Passing Attempts]]+Table1[[#This Row],[Opp Rushing Attempts]]), 2)</f>
        <v>0.41</v>
      </c>
      <c r="AF252" s="3">
        <f>1-Table1[[#This Row],[Passing Weight]]</f>
        <v>0.59000000000000008</v>
      </c>
      <c r="AG252" s="3" t="str">
        <f>IF(COUNTIF(A:A,Table1[[#This Row],[Opp Team Name]]) &gt; 0, "N", "Y")</f>
        <v>N</v>
      </c>
      <c r="AH252" s="3" t="str">
        <f>IF(Table1[[#This Row],[Passing Attempts]] &lt;15, "Y", "N")</f>
        <v>N</v>
      </c>
      <c r="AI252" s="3" t="str">
        <f>IF(Table1[[#This Row],[Rushing Attempts]] &lt; 15, "Y", "N")</f>
        <v>N</v>
      </c>
      <c r="AJ252" s="3" t="str">
        <f>IF(Table1[[#This Row],[Opp Passing Attempts]]&lt;15, "Y", "N")</f>
        <v>N</v>
      </c>
      <c r="AK252" s="3" t="str">
        <f>IF(Table1[[#This Row],[Opp Rushing Attempts]]&lt;15, "Y", "N")</f>
        <v>N</v>
      </c>
      <c r="AL2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109.93</v>
      </c>
      <c r="AM25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58.84</v>
      </c>
      <c r="AN2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99.05</v>
      </c>
      <c r="AO2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69.16</v>
      </c>
      <c r="AP252" s="3">
        <f>ABS(Table1[[#This Row],[Team Score]]-Table1[[#This Row],[Opp Team Score]])</f>
        <v>4</v>
      </c>
      <c r="AQ252" s="3">
        <f>SUM(Table1[[#This Row],[Team Score]], Table1[[#This Row],[Opp Team Score]])</f>
        <v>72</v>
      </c>
      <c r="AR25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22.96999999999997</v>
      </c>
      <c r="AS252" s="3">
        <f>IF(Table1[[#This Row],[Efficiency Difference]] = " ", " ", ROUND((Table1[[#This Row],[Winning Margin]]*100)/Table1[[#This Row],[Efficiency Difference]], 2))</f>
        <v>17.41</v>
      </c>
    </row>
    <row r="253" spans="1:45">
      <c r="A253" t="s">
        <v>74</v>
      </c>
      <c r="B253">
        <v>288</v>
      </c>
      <c r="C253">
        <v>48</v>
      </c>
      <c r="D253">
        <v>563</v>
      </c>
      <c r="E253">
        <v>59</v>
      </c>
      <c r="F253">
        <v>5</v>
      </c>
      <c r="G253">
        <v>39</v>
      </c>
      <c r="H253">
        <v>1</v>
      </c>
      <c r="I253">
        <v>127</v>
      </c>
      <c r="J253">
        <v>31</v>
      </c>
      <c r="K253">
        <v>1</v>
      </c>
      <c r="L253">
        <v>1</v>
      </c>
      <c r="M253" t="s">
        <v>67</v>
      </c>
      <c r="N253">
        <v>497</v>
      </c>
      <c r="O253">
        <v>23</v>
      </c>
      <c r="P253">
        <v>172</v>
      </c>
      <c r="Q253">
        <v>34</v>
      </c>
      <c r="R253">
        <v>1</v>
      </c>
      <c r="S253">
        <v>21</v>
      </c>
      <c r="T253">
        <v>1</v>
      </c>
      <c r="U253">
        <v>118</v>
      </c>
      <c r="V253">
        <v>34</v>
      </c>
      <c r="W253">
        <v>2</v>
      </c>
      <c r="X253">
        <v>2</v>
      </c>
      <c r="Y253" t="s">
        <v>16</v>
      </c>
      <c r="Z253">
        <v>2</v>
      </c>
      <c r="AA253">
        <f>IF(AND(Table1[[#This Row],[Throw Out Pass Eff]]="N", Table1[[#This Row],[Against FCS Team]]="N"), ROUND(((5.45 * D253) + (150 * F253) + (100 * G253) - (300 * H253)) / E253, 2), " ")</f>
        <v>125.73</v>
      </c>
      <c r="AB253">
        <f>IF(AND(Table1[[#This Row],[Throw Out Pass Def Eff]]="N", Table1[[#This Row],[Against FCS Team]]="N"),200 - ROUND(((5.45 * P253) + (150 * R253) + (100 * S253) - (300 * T253)) / Q253, 2), " ")</f>
        <v>115.08</v>
      </c>
      <c r="AC253">
        <f>IF(AND(Table1[[#This Row],[Throw Out Rush Eff]]="N", Table1[[#This Row],[Against FCS Team]]="N"), ROUND(((23.2 * I253) + (150 * K253) - (300 * L253)) / J253, 2), " ")</f>
        <v>90.21</v>
      </c>
      <c r="AD253" s="3">
        <f>IF(AND(Table1[[#This Row],[Throw Out Rush Def Eff]]="N", Table1[[#This Row],[Against FCS Team]]="N"), 200 - ROUND(((23.2 * U253) + (150 * W253) - (300 * X253)) / V253, 2), " ")</f>
        <v>128.31</v>
      </c>
      <c r="AE253" s="3">
        <f>ROUND(Table1[[#This Row],[Opp Passing Attempts]]/(Table1[[#This Row],[Opp Passing Attempts]]+Table1[[#This Row],[Opp Rushing Attempts]]), 2)</f>
        <v>0.5</v>
      </c>
      <c r="AF253" s="3">
        <f>1-Table1[[#This Row],[Passing Weight]]</f>
        <v>0.5</v>
      </c>
      <c r="AG253" s="3" t="str">
        <f>IF(COUNTIF(A:A,Table1[[#This Row],[Opp Team Name]]) &gt; 0, "N", "Y")</f>
        <v>N</v>
      </c>
      <c r="AH253" s="3" t="str">
        <f>IF(Table1[[#This Row],[Passing Attempts]] &lt;15, "Y", "N")</f>
        <v>N</v>
      </c>
      <c r="AI253" s="3" t="str">
        <f>IF(Table1[[#This Row],[Rushing Attempts]] &lt; 15, "Y", "N")</f>
        <v>N</v>
      </c>
      <c r="AJ253" s="3" t="str">
        <f>IF(Table1[[#This Row],[Opp Passing Attempts]]&lt;15, "Y", "N")</f>
        <v>N</v>
      </c>
      <c r="AK253" s="3" t="str">
        <f>IF(Table1[[#This Row],[Opp Rushing Attempts]]&lt;15, "Y", "N")</f>
        <v>N</v>
      </c>
      <c r="AL2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117.71</v>
      </c>
      <c r="AM2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102.81</v>
      </c>
      <c r="AN2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87.27</v>
      </c>
      <c r="AO2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86.42</v>
      </c>
      <c r="AP253" s="3">
        <f>ABS(Table1[[#This Row],[Team Score]]-Table1[[#This Row],[Opp Team Score]])</f>
        <v>25</v>
      </c>
      <c r="AQ253" s="3">
        <f>SUM(Table1[[#This Row],[Team Score]], Table1[[#This Row],[Opp Team Score]])</f>
        <v>71</v>
      </c>
      <c r="AR2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59.329999999999984</v>
      </c>
      <c r="AS253" s="3">
        <f>IF(Table1[[#This Row],[Efficiency Difference]] = " ", " ", ROUND((Table1[[#This Row],[Winning Margin]]*100)/Table1[[#This Row],[Efficiency Difference]], 2))</f>
        <v>42.14</v>
      </c>
    </row>
    <row r="254" spans="1:45">
      <c r="A254" t="s">
        <v>74</v>
      </c>
      <c r="B254">
        <v>288</v>
      </c>
      <c r="C254">
        <v>35</v>
      </c>
      <c r="D254">
        <v>351</v>
      </c>
      <c r="E254">
        <v>40</v>
      </c>
      <c r="F254">
        <v>3</v>
      </c>
      <c r="G254">
        <v>25</v>
      </c>
      <c r="H254">
        <v>2</v>
      </c>
      <c r="I254">
        <v>98</v>
      </c>
      <c r="J254">
        <v>35</v>
      </c>
      <c r="K254">
        <v>2</v>
      </c>
      <c r="L254">
        <v>1</v>
      </c>
      <c r="M254" t="s">
        <v>88</v>
      </c>
      <c r="N254">
        <v>366</v>
      </c>
      <c r="O254">
        <v>34</v>
      </c>
      <c r="P254">
        <v>211</v>
      </c>
      <c r="Q254">
        <v>32</v>
      </c>
      <c r="R254">
        <v>1</v>
      </c>
      <c r="S254">
        <v>21</v>
      </c>
      <c r="T254">
        <v>2</v>
      </c>
      <c r="U254">
        <v>233</v>
      </c>
      <c r="V254">
        <v>66</v>
      </c>
      <c r="W254">
        <v>3</v>
      </c>
      <c r="X254">
        <v>1</v>
      </c>
      <c r="Y254" t="s">
        <v>16</v>
      </c>
      <c r="Z254">
        <v>3</v>
      </c>
      <c r="AA254">
        <f>IF(AND(Table1[[#This Row],[Throw Out Pass Eff]]="N", Table1[[#This Row],[Against FCS Team]]="N"), ROUND(((5.45 * D254) + (150 * F254) + (100 * G254) - (300 * H254)) / E254, 2), " ")</f>
        <v>106.57</v>
      </c>
      <c r="AB254">
        <f>IF(AND(Table1[[#This Row],[Throw Out Pass Def Eff]]="N", Table1[[#This Row],[Against FCS Team]]="N"),200 - ROUND(((5.45 * P254) + (150 * R254) + (100 * S254) - (300 * T254)) / Q254, 2), " ")</f>
        <v>112.5</v>
      </c>
      <c r="AC254">
        <f>IF(AND(Table1[[#This Row],[Throw Out Rush Eff]]="N", Table1[[#This Row],[Against FCS Team]]="N"), ROUND(((23.2 * I254) + (150 * K254) - (300 * L254)) / J254, 2), " ")</f>
        <v>64.959999999999994</v>
      </c>
      <c r="AD254" s="3">
        <f>IF(AND(Table1[[#This Row],[Throw Out Rush Def Eff]]="N", Table1[[#This Row],[Against FCS Team]]="N"), 200 - ROUND(((23.2 * U254) + (150 * W254) - (300 * X254)) / V254, 2), " ")</f>
        <v>115.82</v>
      </c>
      <c r="AE254" s="3">
        <f>ROUND(Table1[[#This Row],[Opp Passing Attempts]]/(Table1[[#This Row],[Opp Passing Attempts]]+Table1[[#This Row],[Opp Rushing Attempts]]), 2)</f>
        <v>0.33</v>
      </c>
      <c r="AF254" s="3">
        <f>1-Table1[[#This Row],[Passing Weight]]</f>
        <v>0.66999999999999993</v>
      </c>
      <c r="AG254" s="3" t="str">
        <f>IF(COUNTIF(A:A,Table1[[#This Row],[Opp Team Name]]) &gt; 0, "N", "Y")</f>
        <v>N</v>
      </c>
      <c r="AH254" s="3" t="str">
        <f>IF(Table1[[#This Row],[Passing Attempts]] &lt;15, "Y", "N")</f>
        <v>N</v>
      </c>
      <c r="AI254" s="3" t="str">
        <f>IF(Table1[[#This Row],[Rushing Attempts]] &lt; 15, "Y", "N")</f>
        <v>N</v>
      </c>
      <c r="AJ254" s="3" t="str">
        <f>IF(Table1[[#This Row],[Opp Passing Attempts]]&lt;15, "Y", "N")</f>
        <v>N</v>
      </c>
      <c r="AK254" s="3" t="str">
        <f>IF(Table1[[#This Row],[Opp Rushing Attempts]]&lt;15, "Y", "N")</f>
        <v>N</v>
      </c>
      <c r="AL25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123.19</v>
      </c>
      <c r="AM2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97.84</v>
      </c>
      <c r="AN2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80.69</v>
      </c>
      <c r="AO2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77.67</v>
      </c>
      <c r="AP254" s="3">
        <f>ABS(Table1[[#This Row],[Team Score]]-Table1[[#This Row],[Opp Team Score]])</f>
        <v>1</v>
      </c>
      <c r="AQ254" s="3">
        <f>SUM(Table1[[#This Row],[Team Score]], Table1[[#This Row],[Opp Team Score]])</f>
        <v>69</v>
      </c>
      <c r="AR25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0.15000000000003411</v>
      </c>
      <c r="AS254" s="3">
        <f>IF(Table1[[#This Row],[Efficiency Difference]] = " ", " ", ROUND((Table1[[#This Row],[Winning Margin]]*100)/Table1[[#This Row],[Efficiency Difference]], 2))</f>
        <v>666.67</v>
      </c>
    </row>
    <row r="255" spans="1:45">
      <c r="A255" t="s">
        <v>74</v>
      </c>
      <c r="B255">
        <v>288</v>
      </c>
      <c r="C255">
        <v>49</v>
      </c>
      <c r="D255">
        <v>471</v>
      </c>
      <c r="E255">
        <v>46</v>
      </c>
      <c r="F255">
        <v>2</v>
      </c>
      <c r="G255">
        <v>30</v>
      </c>
      <c r="H255">
        <v>0</v>
      </c>
      <c r="I255">
        <v>239</v>
      </c>
      <c r="J255">
        <v>31</v>
      </c>
      <c r="K255">
        <v>3</v>
      </c>
      <c r="L255">
        <v>0</v>
      </c>
      <c r="M255" t="s">
        <v>148</v>
      </c>
      <c r="N255">
        <v>704</v>
      </c>
      <c r="O255">
        <v>42</v>
      </c>
      <c r="P255">
        <v>267</v>
      </c>
      <c r="Q255">
        <v>29</v>
      </c>
      <c r="R255">
        <v>3</v>
      </c>
      <c r="S255">
        <v>19</v>
      </c>
      <c r="T255">
        <v>1</v>
      </c>
      <c r="U255">
        <v>271</v>
      </c>
      <c r="V255">
        <v>41</v>
      </c>
      <c r="W255">
        <v>3</v>
      </c>
      <c r="X255">
        <v>1</v>
      </c>
      <c r="Y255" t="s">
        <v>16</v>
      </c>
      <c r="Z255">
        <v>5</v>
      </c>
      <c r="AA255">
        <f>IF(AND(Table1[[#This Row],[Throw Out Pass Eff]]="N", Table1[[#This Row],[Against FCS Team]]="N"), ROUND(((5.45 * D255) + (150 * F255) + (100 * G255) - (300 * H255)) / E255, 2), " ")</f>
        <v>127.54</v>
      </c>
      <c r="AB255">
        <f>IF(AND(Table1[[#This Row],[Throw Out Pass Def Eff]]="N", Table1[[#This Row],[Against FCS Team]]="N"),200 - ROUND(((5.45 * P255) + (150 * R255) + (100 * S255) - (300 * T255)) / Q255, 2), " ")</f>
        <v>79.13</v>
      </c>
      <c r="AC255">
        <f>IF(AND(Table1[[#This Row],[Throw Out Rush Eff]]="N", Table1[[#This Row],[Against FCS Team]]="N"), ROUND(((23.2 * I255) + (150 * K255) - (300 * L255)) / J255, 2), " ")</f>
        <v>193.38</v>
      </c>
      <c r="AD255" s="3">
        <f>IF(AND(Table1[[#This Row],[Throw Out Rush Def Eff]]="N", Table1[[#This Row],[Against FCS Team]]="N"), 200 - ROUND(((23.2 * U255) + (150 * W255) - (300 * X255)) / V255, 2), " ")</f>
        <v>43</v>
      </c>
      <c r="AE255" s="3">
        <f>ROUND(Table1[[#This Row],[Opp Passing Attempts]]/(Table1[[#This Row],[Opp Passing Attempts]]+Table1[[#This Row],[Opp Rushing Attempts]]), 2)</f>
        <v>0.41</v>
      </c>
      <c r="AF255" s="3">
        <f>1-Table1[[#This Row],[Passing Weight]]</f>
        <v>0.59000000000000008</v>
      </c>
      <c r="AG255" s="3" t="str">
        <f>IF(COUNTIF(A:A,Table1[[#This Row],[Opp Team Name]]) &gt; 0, "N", "Y")</f>
        <v>N</v>
      </c>
      <c r="AH255" s="3" t="str">
        <f>IF(Table1[[#This Row],[Passing Attempts]] &lt;15, "Y", "N")</f>
        <v>N</v>
      </c>
      <c r="AI255" s="3" t="str">
        <f>IF(Table1[[#This Row],[Rushing Attempts]] &lt; 15, "Y", "N")</f>
        <v>N</v>
      </c>
      <c r="AJ255" s="3" t="str">
        <f>IF(Table1[[#This Row],[Opp Passing Attempts]]&lt;15, "Y", "N")</f>
        <v>N</v>
      </c>
      <c r="AK255" s="3" t="str">
        <f>IF(Table1[[#This Row],[Opp Rushing Attempts]]&lt;15, "Y", "N")</f>
        <v>N</v>
      </c>
      <c r="AL25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137.25</v>
      </c>
      <c r="AM2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61.29</v>
      </c>
      <c r="AN2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165.11</v>
      </c>
      <c r="AO2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52.05</v>
      </c>
      <c r="AP255" s="3">
        <f>ABS(Table1[[#This Row],[Team Score]]-Table1[[#This Row],[Opp Team Score]])</f>
        <v>7</v>
      </c>
      <c r="AQ255" s="3">
        <f>SUM(Table1[[#This Row],[Team Score]], Table1[[#This Row],[Opp Team Score]])</f>
        <v>91</v>
      </c>
      <c r="AR25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43.050000000000011</v>
      </c>
      <c r="AS255" s="3">
        <f>IF(Table1[[#This Row],[Efficiency Difference]] = " ", " ", ROUND((Table1[[#This Row],[Winning Margin]]*100)/Table1[[#This Row],[Efficiency Difference]], 2))</f>
        <v>16.260000000000002</v>
      </c>
    </row>
    <row r="256" spans="1:45">
      <c r="A256" t="s">
        <v>74</v>
      </c>
      <c r="B256">
        <v>288</v>
      </c>
      <c r="C256">
        <v>56</v>
      </c>
      <c r="D256">
        <v>357</v>
      </c>
      <c r="E256">
        <v>48</v>
      </c>
      <c r="F256">
        <v>3</v>
      </c>
      <c r="G256">
        <v>36</v>
      </c>
      <c r="H256">
        <v>0</v>
      </c>
      <c r="I256">
        <v>215</v>
      </c>
      <c r="J256">
        <v>37</v>
      </c>
      <c r="K256">
        <v>5</v>
      </c>
      <c r="L256">
        <v>0</v>
      </c>
      <c r="M256" t="s">
        <v>64</v>
      </c>
      <c r="N256">
        <v>196</v>
      </c>
      <c r="O256">
        <v>3</v>
      </c>
      <c r="P256">
        <v>263</v>
      </c>
      <c r="Q256">
        <v>44</v>
      </c>
      <c r="R256">
        <v>0</v>
      </c>
      <c r="S256">
        <v>26</v>
      </c>
      <c r="T256">
        <v>4</v>
      </c>
      <c r="U256">
        <v>21</v>
      </c>
      <c r="V256">
        <v>30</v>
      </c>
      <c r="W256">
        <v>0</v>
      </c>
      <c r="X256">
        <v>0</v>
      </c>
      <c r="Y256" t="s">
        <v>16</v>
      </c>
      <c r="Z256">
        <v>6</v>
      </c>
      <c r="AA256">
        <f>IF(AND(Table1[[#This Row],[Throw Out Pass Eff]]="N", Table1[[#This Row],[Against FCS Team]]="N"), ROUND(((5.45 * D256) + (150 * F256) + (100 * G256) - (300 * H256)) / E256, 2), " ")</f>
        <v>124.91</v>
      </c>
      <c r="AB256">
        <f>IF(AND(Table1[[#This Row],[Throw Out Pass Def Eff]]="N", Table1[[#This Row],[Against FCS Team]]="N"),200 - ROUND(((5.45 * P256) + (150 * R256) + (100 * S256) - (300 * T256)) / Q256, 2), " ")</f>
        <v>135.61000000000001</v>
      </c>
      <c r="AC256">
        <f>IF(AND(Table1[[#This Row],[Throw Out Rush Eff]]="N", Table1[[#This Row],[Against FCS Team]]="N"), ROUND(((23.2 * I256) + (150 * K256) - (300 * L256)) / J256, 2), " ")</f>
        <v>155.08000000000001</v>
      </c>
      <c r="AD256" s="3">
        <f>IF(AND(Table1[[#This Row],[Throw Out Rush Def Eff]]="N", Table1[[#This Row],[Against FCS Team]]="N"), 200 - ROUND(((23.2 * U256) + (150 * W256) - (300 * X256)) / V256, 2), " ")</f>
        <v>183.76</v>
      </c>
      <c r="AE256" s="3">
        <f>ROUND(Table1[[#This Row],[Opp Passing Attempts]]/(Table1[[#This Row],[Opp Passing Attempts]]+Table1[[#This Row],[Opp Rushing Attempts]]), 2)</f>
        <v>0.59</v>
      </c>
      <c r="AF256" s="3">
        <f>1-Table1[[#This Row],[Passing Weight]]</f>
        <v>0.41000000000000003</v>
      </c>
      <c r="AG256" s="3" t="str">
        <f>IF(COUNTIF(A:A,Table1[[#This Row],[Opp Team Name]]) &gt; 0, "N", "Y")</f>
        <v>N</v>
      </c>
      <c r="AH256" s="3" t="str">
        <f>IF(Table1[[#This Row],[Passing Attempts]] &lt;15, "Y", "N")</f>
        <v>N</v>
      </c>
      <c r="AI256" s="3" t="str">
        <f>IF(Table1[[#This Row],[Rushing Attempts]] &lt; 15, "Y", "N")</f>
        <v>N</v>
      </c>
      <c r="AJ256" s="3" t="str">
        <f>IF(Table1[[#This Row],[Opp Passing Attempts]]&lt;15, "Y", "N")</f>
        <v>N</v>
      </c>
      <c r="AK256" s="3" t="str">
        <f>IF(Table1[[#This Row],[Opp Rushing Attempts]]&lt;15, "Y", "N")</f>
        <v>N</v>
      </c>
      <c r="AL2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129.65</v>
      </c>
      <c r="AM2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141.15</v>
      </c>
      <c r="AN2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140.63</v>
      </c>
      <c r="AO2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94.49</v>
      </c>
      <c r="AP256" s="3">
        <f>ABS(Table1[[#This Row],[Team Score]]-Table1[[#This Row],[Opp Team Score]])</f>
        <v>53</v>
      </c>
      <c r="AQ256" s="3">
        <f>SUM(Table1[[#This Row],[Team Score]], Table1[[#This Row],[Opp Team Score]])</f>
        <v>59</v>
      </c>
      <c r="AR25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199.36</v>
      </c>
      <c r="AS256" s="3">
        <f>IF(Table1[[#This Row],[Efficiency Difference]] = " ", " ", ROUND((Table1[[#This Row],[Winning Margin]]*100)/Table1[[#This Row],[Efficiency Difference]], 2))</f>
        <v>26.59</v>
      </c>
    </row>
    <row r="257" spans="1:45">
      <c r="A257" t="s">
        <v>74</v>
      </c>
      <c r="B257">
        <v>288</v>
      </c>
      <c r="C257">
        <v>63</v>
      </c>
      <c r="D257">
        <v>479</v>
      </c>
      <c r="E257">
        <v>37</v>
      </c>
      <c r="F257">
        <v>7</v>
      </c>
      <c r="G257">
        <v>29</v>
      </c>
      <c r="H257">
        <v>0</v>
      </c>
      <c r="I257">
        <v>142</v>
      </c>
      <c r="J257">
        <v>20</v>
      </c>
      <c r="K257">
        <v>1</v>
      </c>
      <c r="L257">
        <v>0</v>
      </c>
      <c r="M257" t="s">
        <v>176</v>
      </c>
      <c r="N257">
        <v>388</v>
      </c>
      <c r="O257">
        <v>28</v>
      </c>
      <c r="P257">
        <v>309</v>
      </c>
      <c r="Q257">
        <v>39</v>
      </c>
      <c r="R257">
        <v>3</v>
      </c>
      <c r="S257">
        <v>29</v>
      </c>
      <c r="T257">
        <v>2</v>
      </c>
      <c r="U257">
        <v>197</v>
      </c>
      <c r="V257">
        <v>47</v>
      </c>
      <c r="W257">
        <v>1</v>
      </c>
      <c r="X257">
        <v>0</v>
      </c>
      <c r="Y257" t="s">
        <v>16</v>
      </c>
      <c r="Z257">
        <v>8</v>
      </c>
      <c r="AA257" s="3">
        <f>IF(AND(Table1[[#This Row],[Throw Out Pass Eff]]="N", Table1[[#This Row],[Against FCS Team]]="N"), ROUND(((5.45 * D257) + (150 * F257) + (100 * G257) - (300 * H257)) / E257, 2), " ")</f>
        <v>177.31</v>
      </c>
      <c r="AB257" s="3">
        <f>IF(AND(Table1[[#This Row],[Throw Out Pass Def Eff]]="N", Table1[[#This Row],[Against FCS Team]]="N"),200 - ROUND(((5.45 * P257) + (150 * R257) + (100 * S257) - (300 * T257)) / Q257, 2), " ")</f>
        <v>86.31</v>
      </c>
      <c r="AC257" s="3">
        <f>IF(AND(Table1[[#This Row],[Throw Out Rush Eff]]="N", Table1[[#This Row],[Against FCS Team]]="N"), ROUND(((23.2 * I257) + (150 * K257) - (300 * L257)) / J257, 2), " ")</f>
        <v>172.22</v>
      </c>
      <c r="AD257" s="3">
        <f>IF(AND(Table1[[#This Row],[Throw Out Rush Def Eff]]="N", Table1[[#This Row],[Against FCS Team]]="N"), 200 - ROUND(((23.2 * U257) + (150 * W257) - (300 * X257)) / V257, 2), " ")</f>
        <v>99.57</v>
      </c>
      <c r="AE257" s="3">
        <f>ROUND(Table1[[#This Row],[Opp Passing Attempts]]/(Table1[[#This Row],[Opp Passing Attempts]]+Table1[[#This Row],[Opp Rushing Attempts]]), 2)</f>
        <v>0.45</v>
      </c>
      <c r="AF257" s="3">
        <f>1-Table1[[#This Row],[Passing Weight]]</f>
        <v>0.55000000000000004</v>
      </c>
      <c r="AG257" s="3" t="str">
        <f>IF(COUNTIF(A:A,Table1[[#This Row],[Opp Team Name]]) &gt; 0, "N", "Y")</f>
        <v>N</v>
      </c>
      <c r="AH257" s="3" t="str">
        <f>IF(Table1[[#This Row],[Passing Attempts]] &lt;15, "Y", "N")</f>
        <v>N</v>
      </c>
      <c r="AI257" s="3" t="str">
        <f>IF(Table1[[#This Row],[Rushing Attempts]] &lt; 15, "Y", "N")</f>
        <v>N</v>
      </c>
      <c r="AJ257" s="3" t="str">
        <f>IF(Table1[[#This Row],[Opp Passing Attempts]]&lt;15, "Y", "N")</f>
        <v>N</v>
      </c>
      <c r="AK257" s="3" t="str">
        <f>IF(Table1[[#This Row],[Opp Rushing Attempts]]&lt;15, "Y", "N")</f>
        <v>N</v>
      </c>
      <c r="AL25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156.01</v>
      </c>
      <c r="AM25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71.28</v>
      </c>
      <c r="AN25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186.08</v>
      </c>
      <c r="AO25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68.67</v>
      </c>
      <c r="AP257" s="3">
        <f>ABS(Table1[[#This Row],[Team Score]]-Table1[[#This Row],[Opp Team Score]])</f>
        <v>35</v>
      </c>
      <c r="AQ257" s="3">
        <f>SUM(Table1[[#This Row],[Team Score]], Table1[[#This Row],[Opp Team Score]])</f>
        <v>91</v>
      </c>
      <c r="AR25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135.40999999999997</v>
      </c>
      <c r="AS257" s="3">
        <f>IF(Table1[[#This Row],[Efficiency Difference]] = " ", " ", ROUND((Table1[[#This Row],[Winning Margin]]*100)/Table1[[#This Row],[Efficiency Difference]], 2))</f>
        <v>25.85</v>
      </c>
    </row>
    <row r="258" spans="1:45">
      <c r="A258" t="s">
        <v>43</v>
      </c>
      <c r="B258">
        <v>295</v>
      </c>
      <c r="C258">
        <v>44</v>
      </c>
      <c r="D258">
        <v>307</v>
      </c>
      <c r="E258">
        <v>40</v>
      </c>
      <c r="F258">
        <v>4</v>
      </c>
      <c r="G258">
        <v>28</v>
      </c>
      <c r="H258">
        <v>0</v>
      </c>
      <c r="I258">
        <v>117</v>
      </c>
      <c r="J258">
        <v>38</v>
      </c>
      <c r="K258">
        <v>1</v>
      </c>
      <c r="L258">
        <v>0</v>
      </c>
      <c r="M258" t="s">
        <v>171</v>
      </c>
      <c r="N258">
        <v>494</v>
      </c>
      <c r="O258">
        <v>14</v>
      </c>
      <c r="P258">
        <v>168</v>
      </c>
      <c r="Q258">
        <v>34</v>
      </c>
      <c r="R258">
        <v>1</v>
      </c>
      <c r="S258">
        <v>16</v>
      </c>
      <c r="T258">
        <v>2</v>
      </c>
      <c r="U258">
        <v>29</v>
      </c>
      <c r="V258">
        <v>20</v>
      </c>
      <c r="W258">
        <v>0</v>
      </c>
      <c r="X258">
        <v>0</v>
      </c>
      <c r="Y258" t="s">
        <v>16</v>
      </c>
      <c r="Z258">
        <v>2</v>
      </c>
      <c r="AA258" t="str">
        <f>IF(AND(Table1[[#This Row],[Throw Out Pass Eff]]="N", Table1[[#This Row],[Against FCS Team]]="N"), ROUND(((5.45 * D258) + (150 * F258) + (100 * G258) - (300 * H258)) / E258, 2), " ")</f>
        <v xml:space="preserve"> </v>
      </c>
      <c r="AB258" t="str">
        <f>IF(AND(Table1[[#This Row],[Throw Out Pass Def Eff]]="N", Table1[[#This Row],[Against FCS Team]]="N"),200 - ROUND(((5.45 * P258) + (150 * R258) + (100 * S258) - (300 * T258)) / Q258, 2), " ")</f>
        <v xml:space="preserve"> </v>
      </c>
      <c r="AC258" t="str">
        <f>IF(AND(Table1[[#This Row],[Throw Out Rush Eff]]="N", Table1[[#This Row],[Against FCS Team]]="N"), ROUND(((23.2 * I258) + (150 * K258) - (300 * L258)) / J258, 2), " ")</f>
        <v xml:space="preserve"> </v>
      </c>
      <c r="AD258" s="3" t="str">
        <f>IF(AND(Table1[[#This Row],[Throw Out Rush Def Eff]]="N", Table1[[#This Row],[Against FCS Team]]="N"), 200 - ROUND(((23.2 * U258) + (150 * W258) - (300 * X258)) / V258, 2), " ")</f>
        <v xml:space="preserve"> </v>
      </c>
      <c r="AE258" s="3">
        <f>ROUND(Table1[[#This Row],[Opp Passing Attempts]]/(Table1[[#This Row],[Opp Passing Attempts]]+Table1[[#This Row],[Opp Rushing Attempts]]), 2)</f>
        <v>0.63</v>
      </c>
      <c r="AF258" s="3">
        <f>1-Table1[[#This Row],[Passing Weight]]</f>
        <v>0.37</v>
      </c>
      <c r="AG258" s="3" t="str">
        <f>IF(COUNTIF(A:A,Table1[[#This Row],[Opp Team Name]]) &gt; 0, "N", "Y")</f>
        <v>Y</v>
      </c>
      <c r="AH258" s="3" t="str">
        <f>IF(Table1[[#This Row],[Passing Attempts]] &lt;15, "Y", "N")</f>
        <v>N</v>
      </c>
      <c r="AI258" s="3" t="str">
        <f>IF(Table1[[#This Row],[Rushing Attempts]] &lt; 15, "Y", "N")</f>
        <v>N</v>
      </c>
      <c r="AJ258" s="3" t="str">
        <f>IF(Table1[[#This Row],[Opp Passing Attempts]]&lt;15, "Y", "N")</f>
        <v>N</v>
      </c>
      <c r="AK258" s="3" t="str">
        <f>IF(Table1[[#This Row],[Opp Rushing Attempts]]&lt;15, "Y", "N")</f>
        <v>N</v>
      </c>
      <c r="AL25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5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5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5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58" s="3">
        <f>ABS(Table1[[#This Row],[Team Score]]-Table1[[#This Row],[Opp Team Score]])</f>
        <v>30</v>
      </c>
      <c r="AQ258" s="3">
        <f>SUM(Table1[[#This Row],[Team Score]], Table1[[#This Row],[Opp Team Score]])</f>
        <v>58</v>
      </c>
      <c r="AR25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58" s="3" t="str">
        <f>IF(Table1[[#This Row],[Efficiency Difference]] = " ", " ", ROUND((Table1[[#This Row],[Winning Margin]]*100)/Table1[[#This Row],[Efficiency Difference]], 2))</f>
        <v xml:space="preserve"> </v>
      </c>
    </row>
    <row r="259" spans="1:45">
      <c r="A259" t="s">
        <v>43</v>
      </c>
      <c r="B259">
        <v>295</v>
      </c>
      <c r="C259">
        <v>15</v>
      </c>
      <c r="D259">
        <v>228</v>
      </c>
      <c r="E259">
        <v>44</v>
      </c>
      <c r="F259">
        <v>2</v>
      </c>
      <c r="G259">
        <v>20</v>
      </c>
      <c r="H259">
        <v>1</v>
      </c>
      <c r="I259">
        <v>52</v>
      </c>
      <c r="J259">
        <v>21</v>
      </c>
      <c r="K259">
        <v>0</v>
      </c>
      <c r="L259">
        <v>2</v>
      </c>
      <c r="M259" t="s">
        <v>42</v>
      </c>
      <c r="N259">
        <v>71</v>
      </c>
      <c r="O259">
        <v>32</v>
      </c>
      <c r="P259">
        <v>291</v>
      </c>
      <c r="Q259">
        <v>31</v>
      </c>
      <c r="R259">
        <v>2</v>
      </c>
      <c r="S259">
        <v>19</v>
      </c>
      <c r="T259">
        <v>0</v>
      </c>
      <c r="U259">
        <v>187</v>
      </c>
      <c r="V259">
        <v>48</v>
      </c>
      <c r="W259">
        <v>2</v>
      </c>
      <c r="X259">
        <v>0</v>
      </c>
      <c r="Y259" t="s">
        <v>19</v>
      </c>
      <c r="Z259">
        <v>1</v>
      </c>
      <c r="AA259">
        <f>IF(AND(Table1[[#This Row],[Throw Out Pass Eff]]="N", Table1[[#This Row],[Against FCS Team]]="N"), ROUND(((5.45 * D259) + (150 * F259) + (100 * G259) - (300 * H259)) / E259, 2), " ")</f>
        <v>73.7</v>
      </c>
      <c r="AB259">
        <f>IF(AND(Table1[[#This Row],[Throw Out Pass Def Eff]]="N", Table1[[#This Row],[Against FCS Team]]="N"),200 - ROUND(((5.45 * P259) + (150 * R259) + (100 * S259) - (300 * T259)) / Q259, 2), " ")</f>
        <v>77.87</v>
      </c>
      <c r="AC259">
        <f>IF(AND(Table1[[#This Row],[Throw Out Rush Eff]]="N", Table1[[#This Row],[Against FCS Team]]="N"), ROUND(((23.2 * I259) + (150 * K259) - (300 * L259)) / J259, 2), " ")</f>
        <v>28.88</v>
      </c>
      <c r="AD259" s="3">
        <f>IF(AND(Table1[[#This Row],[Throw Out Rush Def Eff]]="N", Table1[[#This Row],[Against FCS Team]]="N"), 200 - ROUND(((23.2 * U259) + (150 * W259) - (300 * X259)) / V259, 2), " ")</f>
        <v>103.37</v>
      </c>
      <c r="AE259" s="3">
        <f>ROUND(Table1[[#This Row],[Opp Passing Attempts]]/(Table1[[#This Row],[Opp Passing Attempts]]+Table1[[#This Row],[Opp Rushing Attempts]]), 2)</f>
        <v>0.39</v>
      </c>
      <c r="AF259" s="3">
        <f>1-Table1[[#This Row],[Passing Weight]]</f>
        <v>0.61</v>
      </c>
      <c r="AG259" s="3" t="str">
        <f>IF(COUNTIF(A:A,Table1[[#This Row],[Opp Team Name]]) &gt; 0, "N", "Y")</f>
        <v>N</v>
      </c>
      <c r="AH259" s="3" t="str">
        <f>IF(Table1[[#This Row],[Passing Attempts]] &lt;15, "Y", "N")</f>
        <v>N</v>
      </c>
      <c r="AI259" s="3" t="str">
        <f>IF(Table1[[#This Row],[Rushing Attempts]] &lt; 15, "Y", "N")</f>
        <v>N</v>
      </c>
      <c r="AJ259" s="3" t="str">
        <f>IF(Table1[[#This Row],[Opp Passing Attempts]]&lt;15, "Y", "N")</f>
        <v>N</v>
      </c>
      <c r="AK259" s="3" t="str">
        <f>IF(Table1[[#This Row],[Opp Rushing Attempts]]&lt;15, "Y", "N")</f>
        <v>N</v>
      </c>
      <c r="AL2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72.349999999999994</v>
      </c>
      <c r="AM2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74.180000000000007</v>
      </c>
      <c r="AN2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25.67</v>
      </c>
      <c r="AO2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77.87</v>
      </c>
      <c r="AP259" s="3">
        <f>ABS(Table1[[#This Row],[Team Score]]-Table1[[#This Row],[Opp Team Score]])</f>
        <v>17</v>
      </c>
      <c r="AQ259" s="3">
        <f>SUM(Table1[[#This Row],[Team Score]], Table1[[#This Row],[Opp Team Score]])</f>
        <v>47</v>
      </c>
      <c r="AR2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116.17999999999999</v>
      </c>
      <c r="AS259" s="3">
        <f>IF(Table1[[#This Row],[Efficiency Difference]] = " ", " ", ROUND((Table1[[#This Row],[Winning Margin]]*100)/Table1[[#This Row],[Efficiency Difference]], 2))</f>
        <v>14.63</v>
      </c>
    </row>
    <row r="260" spans="1:45">
      <c r="A260" t="s">
        <v>43</v>
      </c>
      <c r="B260">
        <v>295</v>
      </c>
      <c r="C260">
        <v>7</v>
      </c>
      <c r="D260">
        <v>131</v>
      </c>
      <c r="E260">
        <v>29</v>
      </c>
      <c r="F260">
        <v>0</v>
      </c>
      <c r="G260">
        <v>17</v>
      </c>
      <c r="H260">
        <v>0</v>
      </c>
      <c r="I260">
        <v>56</v>
      </c>
      <c r="J260">
        <v>29</v>
      </c>
      <c r="K260">
        <v>1</v>
      </c>
      <c r="L260">
        <v>0</v>
      </c>
      <c r="M260" t="s">
        <v>187</v>
      </c>
      <c r="N260">
        <v>697</v>
      </c>
      <c r="O260">
        <v>37</v>
      </c>
      <c r="P260">
        <v>377</v>
      </c>
      <c r="Q260">
        <v>43</v>
      </c>
      <c r="R260">
        <v>2</v>
      </c>
      <c r="S260">
        <v>30</v>
      </c>
      <c r="T260">
        <v>1</v>
      </c>
      <c r="U260">
        <v>140</v>
      </c>
      <c r="V260">
        <v>38</v>
      </c>
      <c r="W260">
        <v>2</v>
      </c>
      <c r="X260">
        <v>1</v>
      </c>
      <c r="Y260" t="s">
        <v>19</v>
      </c>
      <c r="Z260">
        <v>3</v>
      </c>
      <c r="AA260">
        <f>IF(AND(Table1[[#This Row],[Throw Out Pass Eff]]="N", Table1[[#This Row],[Against FCS Team]]="N"), ROUND(((5.45 * D260) + (150 * F260) + (100 * G260) - (300 * H260)) / E260, 2), " ")</f>
        <v>83.24</v>
      </c>
      <c r="AB260">
        <f>IF(AND(Table1[[#This Row],[Throw Out Pass Def Eff]]="N", Table1[[#This Row],[Against FCS Team]]="N"),200 - ROUND(((5.45 * P260) + (150 * R260) + (100 * S260) - (300 * T260)) / Q260, 2), " ")</f>
        <v>82.45</v>
      </c>
      <c r="AC260">
        <f>IF(AND(Table1[[#This Row],[Throw Out Rush Eff]]="N", Table1[[#This Row],[Against FCS Team]]="N"), ROUND(((23.2 * I260) + (150 * K260) - (300 * L260)) / J260, 2), " ")</f>
        <v>49.97</v>
      </c>
      <c r="AD260" s="3">
        <f>IF(AND(Table1[[#This Row],[Throw Out Rush Def Eff]]="N", Table1[[#This Row],[Against FCS Team]]="N"), 200 - ROUND(((23.2 * U260) + (150 * W260) - (300 * X260)) / V260, 2), " ")</f>
        <v>114.53</v>
      </c>
      <c r="AE260" s="3">
        <f>ROUND(Table1[[#This Row],[Opp Passing Attempts]]/(Table1[[#This Row],[Opp Passing Attempts]]+Table1[[#This Row],[Opp Rushing Attempts]]), 2)</f>
        <v>0.53</v>
      </c>
      <c r="AF260" s="3">
        <f>1-Table1[[#This Row],[Passing Weight]]</f>
        <v>0.47</v>
      </c>
      <c r="AG260" s="3" t="str">
        <f>IF(COUNTIF(A:A,Table1[[#This Row],[Opp Team Name]]) &gt; 0, "N", "Y")</f>
        <v>N</v>
      </c>
      <c r="AH260" s="3" t="str">
        <f>IF(Table1[[#This Row],[Passing Attempts]] &lt;15, "Y", "N")</f>
        <v>N</v>
      </c>
      <c r="AI260" s="3" t="str">
        <f>IF(Table1[[#This Row],[Rushing Attempts]] &lt; 15, "Y", "N")</f>
        <v>N</v>
      </c>
      <c r="AJ260" s="3" t="str">
        <f>IF(Table1[[#This Row],[Opp Passing Attempts]]&lt;15, "Y", "N")</f>
        <v>N</v>
      </c>
      <c r="AK260" s="3" t="str">
        <f>IF(Table1[[#This Row],[Opp Rushing Attempts]]&lt;15, "Y", "N")</f>
        <v>N</v>
      </c>
      <c r="AL2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81.96</v>
      </c>
      <c r="AM2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92.97</v>
      </c>
      <c r="AN2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69.63</v>
      </c>
      <c r="AO2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148.6</v>
      </c>
      <c r="AP260" s="3">
        <f>ABS(Table1[[#This Row],[Team Score]]-Table1[[#This Row],[Opp Team Score]])</f>
        <v>30</v>
      </c>
      <c r="AQ260" s="3">
        <f>SUM(Table1[[#This Row],[Team Score]], Table1[[#This Row],[Opp Team Score]])</f>
        <v>44</v>
      </c>
      <c r="AR2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69.81</v>
      </c>
      <c r="AS260" s="3">
        <f>IF(Table1[[#This Row],[Efficiency Difference]] = " ", " ", ROUND((Table1[[#This Row],[Winning Margin]]*100)/Table1[[#This Row],[Efficiency Difference]], 2))</f>
        <v>42.97</v>
      </c>
    </row>
    <row r="261" spans="1:45">
      <c r="A261" t="s">
        <v>43</v>
      </c>
      <c r="B261">
        <v>295</v>
      </c>
      <c r="C261">
        <v>24</v>
      </c>
      <c r="D261">
        <v>239</v>
      </c>
      <c r="E261">
        <v>43</v>
      </c>
      <c r="F261">
        <v>2</v>
      </c>
      <c r="G261">
        <v>23</v>
      </c>
      <c r="H261">
        <v>0</v>
      </c>
      <c r="I261">
        <v>44</v>
      </c>
      <c r="J261">
        <v>24</v>
      </c>
      <c r="K261">
        <v>1</v>
      </c>
      <c r="L261">
        <v>1</v>
      </c>
      <c r="M261" t="s">
        <v>49</v>
      </c>
      <c r="N261">
        <v>96</v>
      </c>
      <c r="O261">
        <v>48</v>
      </c>
      <c r="P261">
        <v>371</v>
      </c>
      <c r="Q261">
        <v>37</v>
      </c>
      <c r="R261">
        <v>5</v>
      </c>
      <c r="S261">
        <v>24</v>
      </c>
      <c r="T261">
        <v>2</v>
      </c>
      <c r="U261">
        <v>142</v>
      </c>
      <c r="V261">
        <v>34</v>
      </c>
      <c r="W261">
        <v>0</v>
      </c>
      <c r="X261">
        <v>0</v>
      </c>
      <c r="Y261" t="s">
        <v>19</v>
      </c>
      <c r="Z261">
        <v>4</v>
      </c>
      <c r="AA261">
        <f>IF(AND(Table1[[#This Row],[Throw Out Pass Eff]]="N", Table1[[#This Row],[Against FCS Team]]="N"), ROUND(((5.45 * D261) + (150 * F261) + (100 * G261) - (300 * H261)) / E261, 2), " ")</f>
        <v>90.76</v>
      </c>
      <c r="AB261">
        <f>IF(AND(Table1[[#This Row],[Throw Out Pass Def Eff]]="N", Table1[[#This Row],[Against FCS Team]]="N"),200 - ROUND(((5.45 * P261) + (150 * R261) + (100 * S261) - (300 * T261)) / Q261, 2), " ")</f>
        <v>76.430000000000007</v>
      </c>
      <c r="AC261">
        <f>IF(AND(Table1[[#This Row],[Throw Out Rush Eff]]="N", Table1[[#This Row],[Against FCS Team]]="N"), ROUND(((23.2 * I261) + (150 * K261) - (300 * L261)) / J261, 2), " ")</f>
        <v>36.28</v>
      </c>
      <c r="AD261" s="3">
        <f>IF(AND(Table1[[#This Row],[Throw Out Rush Def Eff]]="N", Table1[[#This Row],[Against FCS Team]]="N"), 200 - ROUND(((23.2 * U261) + (150 * W261) - (300 * X261)) / V261, 2), " ")</f>
        <v>103.11</v>
      </c>
      <c r="AE261" s="3">
        <f>ROUND(Table1[[#This Row],[Opp Passing Attempts]]/(Table1[[#This Row],[Opp Passing Attempts]]+Table1[[#This Row],[Opp Rushing Attempts]]), 2)</f>
        <v>0.52</v>
      </c>
      <c r="AF261" s="3">
        <f>1-Table1[[#This Row],[Passing Weight]]</f>
        <v>0.48</v>
      </c>
      <c r="AG261" s="3" t="str">
        <f>IF(COUNTIF(A:A,Table1[[#This Row],[Opp Team Name]]) &gt; 0, "N", "Y")</f>
        <v>N</v>
      </c>
      <c r="AH261" s="3" t="str">
        <f>IF(Table1[[#This Row],[Passing Attempts]] &lt;15, "Y", "N")</f>
        <v>N</v>
      </c>
      <c r="AI261" s="3" t="str">
        <f>IF(Table1[[#This Row],[Rushing Attempts]] &lt; 15, "Y", "N")</f>
        <v>N</v>
      </c>
      <c r="AJ261" s="3" t="str">
        <f>IF(Table1[[#This Row],[Opp Passing Attempts]]&lt;15, "Y", "N")</f>
        <v>N</v>
      </c>
      <c r="AK261" s="3" t="str">
        <f>IF(Table1[[#This Row],[Opp Rushing Attempts]]&lt;15, "Y", "N")</f>
        <v>N</v>
      </c>
      <c r="AL2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86.76</v>
      </c>
      <c r="AM2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72.86</v>
      </c>
      <c r="AN2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29.29</v>
      </c>
      <c r="AO2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103.56</v>
      </c>
      <c r="AP261" s="3">
        <f>ABS(Table1[[#This Row],[Team Score]]-Table1[[#This Row],[Opp Team Score]])</f>
        <v>24</v>
      </c>
      <c r="AQ261" s="3">
        <f>SUM(Table1[[#This Row],[Team Score]], Table1[[#This Row],[Opp Team Score]])</f>
        <v>72</v>
      </c>
      <c r="AR2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93.419999999999973</v>
      </c>
      <c r="AS261" s="3">
        <f>IF(Table1[[#This Row],[Efficiency Difference]] = " ", " ", ROUND((Table1[[#This Row],[Winning Margin]]*100)/Table1[[#This Row],[Efficiency Difference]], 2))</f>
        <v>25.69</v>
      </c>
    </row>
    <row r="262" spans="1:45">
      <c r="A262" t="s">
        <v>43</v>
      </c>
      <c r="B262">
        <v>295</v>
      </c>
      <c r="C262">
        <v>20</v>
      </c>
      <c r="D262">
        <v>193</v>
      </c>
      <c r="E262">
        <v>41</v>
      </c>
      <c r="F262">
        <v>1</v>
      </c>
      <c r="G262">
        <v>17</v>
      </c>
      <c r="H262">
        <v>2</v>
      </c>
      <c r="I262">
        <v>103</v>
      </c>
      <c r="J262">
        <v>31</v>
      </c>
      <c r="K262">
        <v>0</v>
      </c>
      <c r="L262">
        <v>0</v>
      </c>
      <c r="M262" t="s">
        <v>154</v>
      </c>
      <c r="N262">
        <v>746</v>
      </c>
      <c r="O262">
        <v>21</v>
      </c>
      <c r="P262">
        <v>335</v>
      </c>
      <c r="Q262">
        <v>50</v>
      </c>
      <c r="R262">
        <v>2</v>
      </c>
      <c r="S262">
        <v>30</v>
      </c>
      <c r="T262">
        <v>1</v>
      </c>
      <c r="U262">
        <v>161</v>
      </c>
      <c r="V262">
        <v>41</v>
      </c>
      <c r="W262">
        <v>1</v>
      </c>
      <c r="X262">
        <v>2</v>
      </c>
      <c r="Y262" t="s">
        <v>19</v>
      </c>
      <c r="Z262">
        <v>5</v>
      </c>
      <c r="AA262">
        <f>IF(AND(Table1[[#This Row],[Throw Out Pass Eff]]="N", Table1[[#This Row],[Against FCS Team]]="N"), ROUND(((5.45 * D262) + (150 * F262) + (100 * G262) - (300 * H262)) / E262, 2), " ")</f>
        <v>56.14</v>
      </c>
      <c r="AB262">
        <f>IF(AND(Table1[[#This Row],[Throw Out Pass Def Eff]]="N", Table1[[#This Row],[Against FCS Team]]="N"),200 - ROUND(((5.45 * P262) + (150 * R262) + (100 * S262) - (300 * T262)) / Q262, 2), " ")</f>
        <v>103.48</v>
      </c>
      <c r="AC262">
        <f>IF(AND(Table1[[#This Row],[Throw Out Rush Eff]]="N", Table1[[#This Row],[Against FCS Team]]="N"), ROUND(((23.2 * I262) + (150 * K262) - (300 * L262)) / J262, 2), " ")</f>
        <v>77.08</v>
      </c>
      <c r="AD262" s="3">
        <f>IF(AND(Table1[[#This Row],[Throw Out Rush Def Eff]]="N", Table1[[#This Row],[Against FCS Team]]="N"), 200 - ROUND(((23.2 * U262) + (150 * W262) - (300 * X262)) / V262, 2), " ")</f>
        <v>119.87</v>
      </c>
      <c r="AE262" s="3">
        <f>ROUND(Table1[[#This Row],[Opp Passing Attempts]]/(Table1[[#This Row],[Opp Passing Attempts]]+Table1[[#This Row],[Opp Rushing Attempts]]), 2)</f>
        <v>0.55000000000000004</v>
      </c>
      <c r="AF262" s="3">
        <f>1-Table1[[#This Row],[Passing Weight]]</f>
        <v>0.44999999999999996</v>
      </c>
      <c r="AG262" s="3" t="str">
        <f>IF(COUNTIF(A:A,Table1[[#This Row],[Opp Team Name]]) &gt; 0, "N", "Y")</f>
        <v>N</v>
      </c>
      <c r="AH262" s="3" t="str">
        <f>IF(Table1[[#This Row],[Passing Attempts]] &lt;15, "Y", "N")</f>
        <v>N</v>
      </c>
      <c r="AI262" s="3" t="str">
        <f>IF(Table1[[#This Row],[Rushing Attempts]] &lt; 15, "Y", "N")</f>
        <v>N</v>
      </c>
      <c r="AJ262" s="3" t="str">
        <f>IF(Table1[[#This Row],[Opp Passing Attempts]]&lt;15, "Y", "N")</f>
        <v>N</v>
      </c>
      <c r="AK262" s="3" t="str">
        <f>IF(Table1[[#This Row],[Opp Rushing Attempts]]&lt;15, "Y", "N")</f>
        <v>N</v>
      </c>
      <c r="AL2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60.63</v>
      </c>
      <c r="AM2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74.489999999999995</v>
      </c>
      <c r="AN26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89.24</v>
      </c>
      <c r="AO2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119.45</v>
      </c>
      <c r="AP262" s="3">
        <f>ABS(Table1[[#This Row],[Team Score]]-Table1[[#This Row],[Opp Team Score]])</f>
        <v>1</v>
      </c>
      <c r="AQ262" s="3">
        <f>SUM(Table1[[#This Row],[Team Score]], Table1[[#This Row],[Opp Team Score]])</f>
        <v>41</v>
      </c>
      <c r="AR26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43.429999999999978</v>
      </c>
      <c r="AS262" s="3">
        <f>IF(Table1[[#This Row],[Efficiency Difference]] = " ", " ", ROUND((Table1[[#This Row],[Winning Margin]]*100)/Table1[[#This Row],[Efficiency Difference]], 2))</f>
        <v>2.2999999999999998</v>
      </c>
    </row>
    <row r="263" spans="1:45">
      <c r="A263" t="s">
        <v>43</v>
      </c>
      <c r="B263">
        <v>295</v>
      </c>
      <c r="C263">
        <v>11</v>
      </c>
      <c r="D263">
        <v>244</v>
      </c>
      <c r="E263">
        <v>47</v>
      </c>
      <c r="F263">
        <v>0</v>
      </c>
      <c r="G263">
        <v>19</v>
      </c>
      <c r="H263">
        <v>3</v>
      </c>
      <c r="I263">
        <v>47</v>
      </c>
      <c r="J263">
        <v>22</v>
      </c>
      <c r="K263">
        <v>0</v>
      </c>
      <c r="L263">
        <v>1</v>
      </c>
      <c r="M263" t="s">
        <v>88</v>
      </c>
      <c r="N263">
        <v>366</v>
      </c>
      <c r="O263">
        <v>24</v>
      </c>
      <c r="P263">
        <v>163</v>
      </c>
      <c r="Q263">
        <v>39</v>
      </c>
      <c r="R263">
        <v>1</v>
      </c>
      <c r="S263">
        <v>25</v>
      </c>
      <c r="T263">
        <v>0</v>
      </c>
      <c r="U263">
        <v>190</v>
      </c>
      <c r="V263">
        <v>48</v>
      </c>
      <c r="W263">
        <v>1</v>
      </c>
      <c r="X263">
        <v>0</v>
      </c>
      <c r="Y263" t="s">
        <v>19</v>
      </c>
      <c r="Z263">
        <v>6</v>
      </c>
      <c r="AA263">
        <f>IF(AND(Table1[[#This Row],[Throw Out Pass Eff]]="N", Table1[[#This Row],[Against FCS Team]]="N"), ROUND(((5.45 * D263) + (150 * F263) + (100 * G263) - (300 * H263)) / E263, 2), " ")</f>
        <v>49.57</v>
      </c>
      <c r="AB263">
        <f>IF(AND(Table1[[#This Row],[Throw Out Pass Def Eff]]="N", Table1[[#This Row],[Against FCS Team]]="N"),200 - ROUND(((5.45 * P263) + (150 * R263) + (100 * S263) - (300 * T263)) / Q263, 2), " ")</f>
        <v>109.27</v>
      </c>
      <c r="AC263">
        <f>IF(AND(Table1[[#This Row],[Throw Out Rush Eff]]="N", Table1[[#This Row],[Against FCS Team]]="N"), ROUND(((23.2 * I263) + (150 * K263) - (300 * L263)) / J263, 2), " ")</f>
        <v>35.93</v>
      </c>
      <c r="AD263" s="3">
        <f>IF(AND(Table1[[#This Row],[Throw Out Rush Def Eff]]="N", Table1[[#This Row],[Against FCS Team]]="N"), 200 - ROUND(((23.2 * U263) + (150 * W263) - (300 * X263)) / V263, 2), " ")</f>
        <v>105.04</v>
      </c>
      <c r="AE263" s="3">
        <f>ROUND(Table1[[#This Row],[Opp Passing Attempts]]/(Table1[[#This Row],[Opp Passing Attempts]]+Table1[[#This Row],[Opp Rushing Attempts]]), 2)</f>
        <v>0.45</v>
      </c>
      <c r="AF263" s="3">
        <f>1-Table1[[#This Row],[Passing Weight]]</f>
        <v>0.55000000000000004</v>
      </c>
      <c r="AG263" s="3" t="str">
        <f>IF(COUNTIF(A:A,Table1[[#This Row],[Opp Team Name]]) &gt; 0, "N", "Y")</f>
        <v>N</v>
      </c>
      <c r="AH263" s="3" t="str">
        <f>IF(Table1[[#This Row],[Passing Attempts]] &lt;15, "Y", "N")</f>
        <v>N</v>
      </c>
      <c r="AI263" s="3" t="str">
        <f>IF(Table1[[#This Row],[Rushing Attempts]] &lt; 15, "Y", "N")</f>
        <v>N</v>
      </c>
      <c r="AJ263" s="3" t="str">
        <f>IF(Table1[[#This Row],[Opp Passing Attempts]]&lt;15, "Y", "N")</f>
        <v>N</v>
      </c>
      <c r="AK263" s="3" t="str">
        <f>IF(Table1[[#This Row],[Opp Rushing Attempts]]&lt;15, "Y", "N")</f>
        <v>N</v>
      </c>
      <c r="AL2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57.3</v>
      </c>
      <c r="AM26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95.03</v>
      </c>
      <c r="AN2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44.63</v>
      </c>
      <c r="AO26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70.44</v>
      </c>
      <c r="AP263" s="3">
        <f>ABS(Table1[[#This Row],[Team Score]]-Table1[[#This Row],[Opp Team Score]])</f>
        <v>13</v>
      </c>
      <c r="AQ263" s="3">
        <f>SUM(Table1[[#This Row],[Team Score]], Table1[[#This Row],[Opp Team Score]])</f>
        <v>35</v>
      </c>
      <c r="AR26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100.19</v>
      </c>
      <c r="AS263" s="3">
        <f>IF(Table1[[#This Row],[Efficiency Difference]] = " ", " ", ROUND((Table1[[#This Row],[Winning Margin]]*100)/Table1[[#This Row],[Efficiency Difference]], 2))</f>
        <v>12.98</v>
      </c>
    </row>
    <row r="264" spans="1:45">
      <c r="A264" t="s">
        <v>43</v>
      </c>
      <c r="B264">
        <v>295</v>
      </c>
      <c r="C264">
        <v>24</v>
      </c>
      <c r="D264">
        <v>167</v>
      </c>
      <c r="E264">
        <v>35</v>
      </c>
      <c r="F264">
        <v>0</v>
      </c>
      <c r="G264">
        <v>22</v>
      </c>
      <c r="H264">
        <v>1</v>
      </c>
      <c r="I264">
        <v>114</v>
      </c>
      <c r="J264">
        <v>29</v>
      </c>
      <c r="K264">
        <v>1</v>
      </c>
      <c r="L264">
        <v>3</v>
      </c>
      <c r="M264" t="s">
        <v>108</v>
      </c>
      <c r="N264">
        <v>472</v>
      </c>
      <c r="O264">
        <v>31</v>
      </c>
      <c r="P264">
        <v>202</v>
      </c>
      <c r="Q264">
        <v>23</v>
      </c>
      <c r="R264">
        <v>2</v>
      </c>
      <c r="S264">
        <v>15</v>
      </c>
      <c r="T264">
        <v>0</v>
      </c>
      <c r="U264">
        <v>192</v>
      </c>
      <c r="V264">
        <v>41</v>
      </c>
      <c r="W264">
        <v>1</v>
      </c>
      <c r="X264">
        <v>1</v>
      </c>
      <c r="Y264" t="s">
        <v>19</v>
      </c>
      <c r="Z264">
        <v>7</v>
      </c>
      <c r="AA264">
        <f>IF(AND(Table1[[#This Row],[Throw Out Pass Eff]]="N", Table1[[#This Row],[Against FCS Team]]="N"), ROUND(((5.45 * D264) + (150 * F264) + (100 * G264) - (300 * H264)) / E264, 2), " ")</f>
        <v>80.290000000000006</v>
      </c>
      <c r="AB264">
        <f>IF(AND(Table1[[#This Row],[Throw Out Pass Def Eff]]="N", Table1[[#This Row],[Against FCS Team]]="N"),200 - ROUND(((5.45 * P264) + (150 * R264) + (100 * S264) - (300 * T264)) / Q264, 2), " ")</f>
        <v>73.87</v>
      </c>
      <c r="AC264">
        <f>IF(AND(Table1[[#This Row],[Throw Out Rush Eff]]="N", Table1[[#This Row],[Against FCS Team]]="N"), ROUND(((23.2 * I264) + (150 * K264) - (300 * L264)) / J264, 2), " ")</f>
        <v>65.34</v>
      </c>
      <c r="AD264" s="3">
        <f>IF(AND(Table1[[#This Row],[Throw Out Rush Def Eff]]="N", Table1[[#This Row],[Against FCS Team]]="N"), 200 - ROUND(((23.2 * U264) + (150 * W264) - (300 * X264)) / V264, 2), " ")</f>
        <v>95.01</v>
      </c>
      <c r="AE264" s="3">
        <f>ROUND(Table1[[#This Row],[Opp Passing Attempts]]/(Table1[[#This Row],[Opp Passing Attempts]]+Table1[[#This Row],[Opp Rushing Attempts]]), 2)</f>
        <v>0.36</v>
      </c>
      <c r="AF264" s="3">
        <f>1-Table1[[#This Row],[Passing Weight]]</f>
        <v>0.64</v>
      </c>
      <c r="AG264" s="3" t="str">
        <f>IF(COUNTIF(A:A,Table1[[#This Row],[Opp Team Name]]) &gt; 0, "N", "Y")</f>
        <v>N</v>
      </c>
      <c r="AH264" s="3" t="str">
        <f>IF(Table1[[#This Row],[Passing Attempts]] &lt;15, "Y", "N")</f>
        <v>N</v>
      </c>
      <c r="AI264" s="3" t="str">
        <f>IF(Table1[[#This Row],[Rushing Attempts]] &lt; 15, "Y", "N")</f>
        <v>N</v>
      </c>
      <c r="AJ264" s="3" t="str">
        <f>IF(Table1[[#This Row],[Opp Passing Attempts]]&lt;15, "Y", "N")</f>
        <v>N</v>
      </c>
      <c r="AK264" s="3" t="str">
        <f>IF(Table1[[#This Row],[Opp Rushing Attempts]]&lt;15, "Y", "N")</f>
        <v>N</v>
      </c>
      <c r="AL2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91.74</v>
      </c>
      <c r="AM2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81.91</v>
      </c>
      <c r="AN26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54.28</v>
      </c>
      <c r="AO2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75.790000000000006</v>
      </c>
      <c r="AP264" s="3">
        <f>ABS(Table1[[#This Row],[Team Score]]-Table1[[#This Row],[Opp Team Score]])</f>
        <v>7</v>
      </c>
      <c r="AQ264" s="3">
        <f>SUM(Table1[[#This Row],[Team Score]], Table1[[#This Row],[Opp Team Score]])</f>
        <v>55</v>
      </c>
      <c r="AR26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85.490000000000009</v>
      </c>
      <c r="AS264" s="3">
        <f>IF(Table1[[#This Row],[Efficiency Difference]] = " ", " ", ROUND((Table1[[#This Row],[Winning Margin]]*100)/Table1[[#This Row],[Efficiency Difference]], 2))</f>
        <v>8.19</v>
      </c>
    </row>
    <row r="265" spans="1:45">
      <c r="A265" t="s">
        <v>29</v>
      </c>
      <c r="B265">
        <v>301</v>
      </c>
      <c r="C265">
        <v>56</v>
      </c>
      <c r="D265">
        <v>155</v>
      </c>
      <c r="E265">
        <v>18</v>
      </c>
      <c r="F265">
        <v>1</v>
      </c>
      <c r="G265">
        <v>16</v>
      </c>
      <c r="H265">
        <v>0</v>
      </c>
      <c r="I265">
        <v>364</v>
      </c>
      <c r="J265">
        <v>50</v>
      </c>
      <c r="K265">
        <v>6</v>
      </c>
      <c r="L265">
        <v>0</v>
      </c>
      <c r="M265" t="s">
        <v>172</v>
      </c>
      <c r="N265">
        <v>649</v>
      </c>
      <c r="O265">
        <v>3</v>
      </c>
      <c r="P265">
        <v>71</v>
      </c>
      <c r="Q265">
        <v>22</v>
      </c>
      <c r="R265">
        <v>0</v>
      </c>
      <c r="S265">
        <v>11</v>
      </c>
      <c r="T265">
        <v>2</v>
      </c>
      <c r="U265">
        <v>25</v>
      </c>
      <c r="V265">
        <v>24</v>
      </c>
      <c r="W265">
        <v>0</v>
      </c>
      <c r="X265">
        <v>0</v>
      </c>
      <c r="Y265" t="s">
        <v>16</v>
      </c>
      <c r="Z265">
        <v>2</v>
      </c>
      <c r="AA265" t="str">
        <f>IF(AND(Table1[[#This Row],[Throw Out Pass Eff]]="N", Table1[[#This Row],[Against FCS Team]]="N"), ROUND(((5.45 * D265) + (150 * F265) + (100 * G265) - (300 * H265)) / E265, 2), " ")</f>
        <v xml:space="preserve"> </v>
      </c>
      <c r="AB265" t="str">
        <f>IF(AND(Table1[[#This Row],[Throw Out Pass Def Eff]]="N", Table1[[#This Row],[Against FCS Team]]="N"),200 - ROUND(((5.45 * P265) + (150 * R265) + (100 * S265) - (300 * T265)) / Q265, 2), " ")</f>
        <v xml:space="preserve"> </v>
      </c>
      <c r="AC265" t="str">
        <f>IF(AND(Table1[[#This Row],[Throw Out Rush Eff]]="N", Table1[[#This Row],[Against FCS Team]]="N"), ROUND(((23.2 * I265) + (150 * K265) - (300 * L265)) / J265, 2), " ")</f>
        <v xml:space="preserve"> </v>
      </c>
      <c r="AD265" s="3" t="str">
        <f>IF(AND(Table1[[#This Row],[Throw Out Rush Def Eff]]="N", Table1[[#This Row],[Against FCS Team]]="N"), 200 - ROUND(((23.2 * U265) + (150 * W265) - (300 * X265)) / V265, 2), " ")</f>
        <v xml:space="preserve"> </v>
      </c>
      <c r="AE265" s="3">
        <f>ROUND(Table1[[#This Row],[Opp Passing Attempts]]/(Table1[[#This Row],[Opp Passing Attempts]]+Table1[[#This Row],[Opp Rushing Attempts]]), 2)</f>
        <v>0.48</v>
      </c>
      <c r="AF265" s="3">
        <f>1-Table1[[#This Row],[Passing Weight]]</f>
        <v>0.52</v>
      </c>
      <c r="AG265" s="3" t="str">
        <f>IF(COUNTIF(A:A,Table1[[#This Row],[Opp Team Name]]) &gt; 0, "N", "Y")</f>
        <v>Y</v>
      </c>
      <c r="AH265" s="3" t="str">
        <f>IF(Table1[[#This Row],[Passing Attempts]] &lt;15, "Y", "N")</f>
        <v>N</v>
      </c>
      <c r="AI265" s="3" t="str">
        <f>IF(Table1[[#This Row],[Rushing Attempts]] &lt; 15, "Y", "N")</f>
        <v>N</v>
      </c>
      <c r="AJ265" s="3" t="str">
        <f>IF(Table1[[#This Row],[Opp Passing Attempts]]&lt;15, "Y", "N")</f>
        <v>N</v>
      </c>
      <c r="AK265" s="3" t="str">
        <f>IF(Table1[[#This Row],[Opp Rushing Attempts]]&lt;15, "Y", "N")</f>
        <v>N</v>
      </c>
      <c r="AL26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6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6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6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65" s="3">
        <f>ABS(Table1[[#This Row],[Team Score]]-Table1[[#This Row],[Opp Team Score]])</f>
        <v>53</v>
      </c>
      <c r="AQ265" s="3">
        <f>SUM(Table1[[#This Row],[Team Score]], Table1[[#This Row],[Opp Team Score]])</f>
        <v>59</v>
      </c>
      <c r="AR26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65" s="3" t="str">
        <f>IF(Table1[[#This Row],[Efficiency Difference]] = " ", " ", ROUND((Table1[[#This Row],[Winning Margin]]*100)/Table1[[#This Row],[Efficiency Difference]], 2))</f>
        <v xml:space="preserve"> </v>
      </c>
    </row>
    <row r="266" spans="1:45">
      <c r="A266" t="s">
        <v>29</v>
      </c>
      <c r="B266">
        <v>301</v>
      </c>
      <c r="C266">
        <v>33</v>
      </c>
      <c r="D266">
        <v>271</v>
      </c>
      <c r="E266">
        <v>25</v>
      </c>
      <c r="F266">
        <v>2</v>
      </c>
      <c r="G266">
        <v>17</v>
      </c>
      <c r="H266">
        <v>0</v>
      </c>
      <c r="I266">
        <v>202</v>
      </c>
      <c r="J266">
        <v>50</v>
      </c>
      <c r="K266">
        <v>2</v>
      </c>
      <c r="L266">
        <v>1</v>
      </c>
      <c r="M266" t="s">
        <v>28</v>
      </c>
      <c r="N266">
        <v>30</v>
      </c>
      <c r="O266">
        <v>15</v>
      </c>
      <c r="P266">
        <v>290</v>
      </c>
      <c r="Q266">
        <v>32</v>
      </c>
      <c r="R266">
        <v>0</v>
      </c>
      <c r="S266">
        <v>20</v>
      </c>
      <c r="T266">
        <v>1</v>
      </c>
      <c r="U266">
        <v>60</v>
      </c>
      <c r="V266">
        <v>32</v>
      </c>
      <c r="W266">
        <v>1</v>
      </c>
      <c r="X266">
        <v>2</v>
      </c>
      <c r="Y266" t="s">
        <v>16</v>
      </c>
      <c r="Z266">
        <v>1</v>
      </c>
      <c r="AA266">
        <f>IF(AND(Table1[[#This Row],[Throw Out Pass Eff]]="N", Table1[[#This Row],[Against FCS Team]]="N"), ROUND(((5.45 * D266) + (150 * F266) + (100 * G266) - (300 * H266)) / E266, 2), " ")</f>
        <v>139.08000000000001</v>
      </c>
      <c r="AB266">
        <f>IF(AND(Table1[[#This Row],[Throw Out Pass Def Eff]]="N", Table1[[#This Row],[Against FCS Team]]="N"),200 - ROUND(((5.45 * P266) + (150 * R266) + (100 * S266) - (300 * T266)) / Q266, 2), " ")</f>
        <v>97.48</v>
      </c>
      <c r="AC266">
        <f>IF(AND(Table1[[#This Row],[Throw Out Rush Eff]]="N", Table1[[#This Row],[Against FCS Team]]="N"), ROUND(((23.2 * I266) + (150 * K266) - (300 * L266)) / J266, 2), " ")</f>
        <v>93.73</v>
      </c>
      <c r="AD266" s="3">
        <f>IF(AND(Table1[[#This Row],[Throw Out Rush Def Eff]]="N", Table1[[#This Row],[Against FCS Team]]="N"), 200 - ROUND(((23.2 * U266) + (150 * W266) - (300 * X266)) / V266, 2), " ")</f>
        <v>170.56</v>
      </c>
      <c r="AE266" s="3">
        <f>ROUND(Table1[[#This Row],[Opp Passing Attempts]]/(Table1[[#This Row],[Opp Passing Attempts]]+Table1[[#This Row],[Opp Rushing Attempts]]), 2)</f>
        <v>0.5</v>
      </c>
      <c r="AF266" s="3">
        <f>1-Table1[[#This Row],[Passing Weight]]</f>
        <v>0.5</v>
      </c>
      <c r="AG266" s="3" t="str">
        <f>IF(COUNTIF(A:A,Table1[[#This Row],[Opp Team Name]]) &gt; 0, "N", "Y")</f>
        <v>N</v>
      </c>
      <c r="AH266" s="3" t="str">
        <f>IF(Table1[[#This Row],[Passing Attempts]] &lt;15, "Y", "N")</f>
        <v>N</v>
      </c>
      <c r="AI266" s="3" t="str">
        <f>IF(Table1[[#This Row],[Rushing Attempts]] &lt; 15, "Y", "N")</f>
        <v>N</v>
      </c>
      <c r="AJ266" s="3" t="str">
        <f>IF(Table1[[#This Row],[Opp Passing Attempts]]&lt;15, "Y", "N")</f>
        <v>N</v>
      </c>
      <c r="AK266" s="3" t="str">
        <f>IF(Table1[[#This Row],[Opp Rushing Attempts]]&lt;15, "Y", "N")</f>
        <v>N</v>
      </c>
      <c r="AL2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152.57</v>
      </c>
      <c r="AM2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99.4</v>
      </c>
      <c r="AN2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125.77</v>
      </c>
      <c r="AO2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122.78</v>
      </c>
      <c r="AP266" s="3">
        <f>ABS(Table1[[#This Row],[Team Score]]-Table1[[#This Row],[Opp Team Score]])</f>
        <v>18</v>
      </c>
      <c r="AQ266" s="3">
        <f>SUM(Table1[[#This Row],[Team Score]], Table1[[#This Row],[Opp Team Score]])</f>
        <v>48</v>
      </c>
      <c r="AR2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100.85000000000002</v>
      </c>
      <c r="AS266" s="3">
        <f>IF(Table1[[#This Row],[Efficiency Difference]] = " ", " ", ROUND((Table1[[#This Row],[Winning Margin]]*100)/Table1[[#This Row],[Efficiency Difference]], 2))</f>
        <v>17.850000000000001</v>
      </c>
    </row>
    <row r="267" spans="1:45">
      <c r="A267" t="s">
        <v>29</v>
      </c>
      <c r="B267">
        <v>301</v>
      </c>
      <c r="C267">
        <v>17</v>
      </c>
      <c r="D267">
        <v>135</v>
      </c>
      <c r="E267">
        <v>15</v>
      </c>
      <c r="F267">
        <v>1</v>
      </c>
      <c r="G267">
        <v>11</v>
      </c>
      <c r="H267">
        <v>1</v>
      </c>
      <c r="I267">
        <v>105</v>
      </c>
      <c r="J267">
        <v>45</v>
      </c>
      <c r="K267">
        <v>1</v>
      </c>
      <c r="L267">
        <v>2</v>
      </c>
      <c r="M267" t="s">
        <v>24</v>
      </c>
      <c r="N267">
        <v>28</v>
      </c>
      <c r="O267">
        <v>14</v>
      </c>
      <c r="P267">
        <v>256</v>
      </c>
      <c r="Q267">
        <v>45</v>
      </c>
      <c r="R267">
        <v>1</v>
      </c>
      <c r="S267">
        <v>25</v>
      </c>
      <c r="T267">
        <v>2</v>
      </c>
      <c r="U267">
        <v>106</v>
      </c>
      <c r="V267">
        <v>34</v>
      </c>
      <c r="W267">
        <v>1</v>
      </c>
      <c r="X267">
        <v>1</v>
      </c>
      <c r="Y267" t="s">
        <v>16</v>
      </c>
      <c r="Z267">
        <v>3</v>
      </c>
      <c r="AA267">
        <f>IF(AND(Table1[[#This Row],[Throw Out Pass Eff]]="N", Table1[[#This Row],[Against FCS Team]]="N"), ROUND(((5.45 * D267) + (150 * F267) + (100 * G267) - (300 * H267)) / E267, 2), " ")</f>
        <v>112.38</v>
      </c>
      <c r="AB267">
        <f>IF(AND(Table1[[#This Row],[Throw Out Pass Def Eff]]="N", Table1[[#This Row],[Against FCS Team]]="N"),200 - ROUND(((5.45 * P267) + (150 * R267) + (100 * S267) - (300 * T267)) / Q267, 2), " ")</f>
        <v>123.44</v>
      </c>
      <c r="AC267">
        <f>IF(AND(Table1[[#This Row],[Throw Out Rush Eff]]="N", Table1[[#This Row],[Against FCS Team]]="N"), ROUND(((23.2 * I267) + (150 * K267) - (300 * L267)) / J267, 2), " ")</f>
        <v>44.13</v>
      </c>
      <c r="AD267" s="3">
        <f>IF(AND(Table1[[#This Row],[Throw Out Rush Def Eff]]="N", Table1[[#This Row],[Against FCS Team]]="N"), 200 - ROUND(((23.2 * U267) + (150 * W267) - (300 * X267)) / V267, 2), " ")</f>
        <v>132.07999999999998</v>
      </c>
      <c r="AE267" s="3">
        <f>ROUND(Table1[[#This Row],[Opp Passing Attempts]]/(Table1[[#This Row],[Opp Passing Attempts]]+Table1[[#This Row],[Opp Rushing Attempts]]), 2)</f>
        <v>0.56999999999999995</v>
      </c>
      <c r="AF267" s="3">
        <f>1-Table1[[#This Row],[Passing Weight]]</f>
        <v>0.43000000000000005</v>
      </c>
      <c r="AG267" s="3" t="str">
        <f>IF(COUNTIF(A:A,Table1[[#This Row],[Opp Team Name]]) &gt; 0, "N", "Y")</f>
        <v>N</v>
      </c>
      <c r="AH267" s="3" t="str">
        <f>IF(Table1[[#This Row],[Passing Attempts]] &lt;15, "Y", "N")</f>
        <v>N</v>
      </c>
      <c r="AI267" s="3" t="str">
        <f>IF(Table1[[#This Row],[Rushing Attempts]] &lt; 15, "Y", "N")</f>
        <v>N</v>
      </c>
      <c r="AJ267" s="3" t="str">
        <f>IF(Table1[[#This Row],[Opp Passing Attempts]]&lt;15, "Y", "N")</f>
        <v>N</v>
      </c>
      <c r="AK267" s="3" t="str">
        <f>IF(Table1[[#This Row],[Opp Rushing Attempts]]&lt;15, "Y", "N")</f>
        <v>N</v>
      </c>
      <c r="AL2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118.41</v>
      </c>
      <c r="AM2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137.36000000000001</v>
      </c>
      <c r="AN2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45.11</v>
      </c>
      <c r="AO2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119.07</v>
      </c>
      <c r="AP267" s="3">
        <f>ABS(Table1[[#This Row],[Team Score]]-Table1[[#This Row],[Opp Team Score]])</f>
        <v>3</v>
      </c>
      <c r="AQ267" s="3">
        <f>SUM(Table1[[#This Row],[Team Score]], Table1[[#This Row],[Opp Team Score]])</f>
        <v>31</v>
      </c>
      <c r="AR2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12.029999999999973</v>
      </c>
      <c r="AS267" s="3">
        <f>IF(Table1[[#This Row],[Efficiency Difference]] = " ", " ", ROUND((Table1[[#This Row],[Winning Margin]]*100)/Table1[[#This Row],[Efficiency Difference]], 2))</f>
        <v>24.94</v>
      </c>
    </row>
    <row r="268" spans="1:45">
      <c r="A268" t="s">
        <v>29</v>
      </c>
      <c r="B268">
        <v>301</v>
      </c>
      <c r="C268">
        <v>23</v>
      </c>
      <c r="D268">
        <v>167</v>
      </c>
      <c r="E268">
        <v>26</v>
      </c>
      <c r="F268">
        <v>1</v>
      </c>
      <c r="G268">
        <v>17</v>
      </c>
      <c r="H268">
        <v>1</v>
      </c>
      <c r="I268">
        <v>296</v>
      </c>
      <c r="J268">
        <v>52</v>
      </c>
      <c r="K268">
        <v>1</v>
      </c>
      <c r="L268">
        <v>1</v>
      </c>
      <c r="M268" t="s">
        <v>191</v>
      </c>
      <c r="N268">
        <v>774</v>
      </c>
      <c r="O268">
        <v>20</v>
      </c>
      <c r="P268">
        <v>306</v>
      </c>
      <c r="Q268">
        <v>48</v>
      </c>
      <c r="R268">
        <v>2</v>
      </c>
      <c r="S268">
        <v>30</v>
      </c>
      <c r="T268">
        <v>1</v>
      </c>
      <c r="U268">
        <v>35</v>
      </c>
      <c r="V268">
        <v>21</v>
      </c>
      <c r="W268">
        <v>0</v>
      </c>
      <c r="X268">
        <v>0</v>
      </c>
      <c r="Y268" t="s">
        <v>16</v>
      </c>
      <c r="Z268">
        <v>4</v>
      </c>
      <c r="AA268">
        <f>IF(AND(Table1[[#This Row],[Throw Out Pass Eff]]="N", Table1[[#This Row],[Against FCS Team]]="N"), ROUND(((5.45 * D268) + (150 * F268) + (100 * G268) - (300 * H268)) / E268, 2), " ")</f>
        <v>94.62</v>
      </c>
      <c r="AB268">
        <f>IF(AND(Table1[[#This Row],[Throw Out Pass Def Eff]]="N", Table1[[#This Row],[Against FCS Team]]="N"),200 - ROUND(((5.45 * P268) + (150 * R268) + (100 * S268) - (300 * T268)) / Q268, 2), " ")</f>
        <v>102.76</v>
      </c>
      <c r="AC268">
        <f>IF(AND(Table1[[#This Row],[Throw Out Rush Eff]]="N", Table1[[#This Row],[Against FCS Team]]="N"), ROUND(((23.2 * I268) + (150 * K268) - (300 * L268)) / J268, 2), " ")</f>
        <v>129.18</v>
      </c>
      <c r="AD268" s="3">
        <f>IF(AND(Table1[[#This Row],[Throw Out Rush Def Eff]]="N", Table1[[#This Row],[Against FCS Team]]="N"), 200 - ROUND(((23.2 * U268) + (150 * W268) - (300 * X268)) / V268, 2), " ")</f>
        <v>161.32999999999998</v>
      </c>
      <c r="AE268" s="3">
        <f>ROUND(Table1[[#This Row],[Opp Passing Attempts]]/(Table1[[#This Row],[Opp Passing Attempts]]+Table1[[#This Row],[Opp Rushing Attempts]]), 2)</f>
        <v>0.7</v>
      </c>
      <c r="AF268" s="3">
        <f>1-Table1[[#This Row],[Passing Weight]]</f>
        <v>0.30000000000000004</v>
      </c>
      <c r="AG268" s="3" t="str">
        <f>IF(COUNTIF(A:A,Table1[[#This Row],[Opp Team Name]]) &gt; 0, "N", "Y")</f>
        <v>N</v>
      </c>
      <c r="AH268" s="3" t="str">
        <f>IF(Table1[[#This Row],[Passing Attempts]] &lt;15, "Y", "N")</f>
        <v>N</v>
      </c>
      <c r="AI268" s="3" t="str">
        <f>IF(Table1[[#This Row],[Rushing Attempts]] &lt; 15, "Y", "N")</f>
        <v>N</v>
      </c>
      <c r="AJ268" s="3" t="str">
        <f>IF(Table1[[#This Row],[Opp Passing Attempts]]&lt;15, "Y", "N")</f>
        <v>N</v>
      </c>
      <c r="AK268" s="3" t="str">
        <f>IF(Table1[[#This Row],[Opp Rushing Attempts]]&lt;15, "Y", "N")</f>
        <v>N</v>
      </c>
      <c r="AL26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99.94</v>
      </c>
      <c r="AM26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114.3</v>
      </c>
      <c r="AN26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94.6</v>
      </c>
      <c r="AO26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118.69</v>
      </c>
      <c r="AP268" s="3">
        <f>ABS(Table1[[#This Row],[Team Score]]-Table1[[#This Row],[Opp Team Score]])</f>
        <v>3</v>
      </c>
      <c r="AQ268" s="3">
        <f>SUM(Table1[[#This Row],[Team Score]], Table1[[#This Row],[Opp Team Score]])</f>
        <v>43</v>
      </c>
      <c r="AR26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87.889999999999986</v>
      </c>
      <c r="AS268" s="3">
        <f>IF(Table1[[#This Row],[Efficiency Difference]] = " ", " ", ROUND((Table1[[#This Row],[Winning Margin]]*100)/Table1[[#This Row],[Efficiency Difference]], 2))</f>
        <v>3.41</v>
      </c>
    </row>
    <row r="269" spans="1:45">
      <c r="A269" t="s">
        <v>29</v>
      </c>
      <c r="B269">
        <v>301</v>
      </c>
      <c r="C269">
        <v>38</v>
      </c>
      <c r="D269">
        <v>391</v>
      </c>
      <c r="E269">
        <v>32</v>
      </c>
      <c r="F269">
        <v>3</v>
      </c>
      <c r="G269">
        <v>21</v>
      </c>
      <c r="H269">
        <v>1</v>
      </c>
      <c r="I269">
        <v>82</v>
      </c>
      <c r="J269">
        <v>38</v>
      </c>
      <c r="K269">
        <v>2</v>
      </c>
      <c r="L269">
        <v>2</v>
      </c>
      <c r="M269" t="s">
        <v>41</v>
      </c>
      <c r="N269">
        <v>509</v>
      </c>
      <c r="O269">
        <v>35</v>
      </c>
      <c r="P269">
        <v>160</v>
      </c>
      <c r="Q269">
        <v>16</v>
      </c>
      <c r="R269">
        <v>4</v>
      </c>
      <c r="S269">
        <v>12</v>
      </c>
      <c r="T269">
        <v>0</v>
      </c>
      <c r="U269">
        <v>169</v>
      </c>
      <c r="V269">
        <v>51</v>
      </c>
      <c r="W269">
        <v>1</v>
      </c>
      <c r="X269">
        <v>1</v>
      </c>
      <c r="Y269" t="s">
        <v>16</v>
      </c>
      <c r="Z269">
        <v>5</v>
      </c>
      <c r="AA269">
        <f>IF(AND(Table1[[#This Row],[Throw Out Pass Eff]]="N", Table1[[#This Row],[Against FCS Team]]="N"), ROUND(((5.45 * D269) + (150 * F269) + (100 * G269) - (300 * H269)) / E269, 2), " ")</f>
        <v>136.9</v>
      </c>
      <c r="AB269">
        <f>IF(AND(Table1[[#This Row],[Throw Out Pass Def Eff]]="N", Table1[[#This Row],[Against FCS Team]]="N"),200 - ROUND(((5.45 * P269) + (150 * R269) + (100 * S269) - (300 * T269)) / Q269, 2), " ")</f>
        <v>33</v>
      </c>
      <c r="AC269">
        <f>IF(AND(Table1[[#This Row],[Throw Out Rush Eff]]="N", Table1[[#This Row],[Against FCS Team]]="N"), ROUND(((23.2 * I269) + (150 * K269) - (300 * L269)) / J269, 2), " ")</f>
        <v>42.17</v>
      </c>
      <c r="AD269" s="3">
        <f>IF(AND(Table1[[#This Row],[Throw Out Rush Def Eff]]="N", Table1[[#This Row],[Against FCS Team]]="N"), 200 - ROUND(((23.2 * U269) + (150 * W269) - (300 * X269)) / V269, 2), " ")</f>
        <v>126.06</v>
      </c>
      <c r="AE269" s="3">
        <f>ROUND(Table1[[#This Row],[Opp Passing Attempts]]/(Table1[[#This Row],[Opp Passing Attempts]]+Table1[[#This Row],[Opp Rushing Attempts]]), 2)</f>
        <v>0.24</v>
      </c>
      <c r="AF269" s="3">
        <f>1-Table1[[#This Row],[Passing Weight]]</f>
        <v>0.76</v>
      </c>
      <c r="AG269" s="3" t="str">
        <f>IF(COUNTIF(A:A,Table1[[#This Row],[Opp Team Name]]) &gt; 0, "N", "Y")</f>
        <v>N</v>
      </c>
      <c r="AH269" s="3" t="str">
        <f>IF(Table1[[#This Row],[Passing Attempts]] &lt;15, "Y", "N")</f>
        <v>N</v>
      </c>
      <c r="AI269" s="3" t="str">
        <f>IF(Table1[[#This Row],[Rushing Attempts]] &lt; 15, "Y", "N")</f>
        <v>N</v>
      </c>
      <c r="AJ269" s="3" t="str">
        <f>IF(Table1[[#This Row],[Opp Passing Attempts]]&lt;15, "Y", "N")</f>
        <v>N</v>
      </c>
      <c r="AK269" s="3" t="str">
        <f>IF(Table1[[#This Row],[Opp Rushing Attempts]]&lt;15, "Y", "N")</f>
        <v>N</v>
      </c>
      <c r="AL2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115.83</v>
      </c>
      <c r="AM2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38.51</v>
      </c>
      <c r="AN2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41.68</v>
      </c>
      <c r="AO2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112.17</v>
      </c>
      <c r="AP269" s="3">
        <f>ABS(Table1[[#This Row],[Team Score]]-Table1[[#This Row],[Opp Team Score]])</f>
        <v>3</v>
      </c>
      <c r="AQ269" s="3">
        <f>SUM(Table1[[#This Row],[Team Score]], Table1[[#This Row],[Opp Team Score]])</f>
        <v>73</v>
      </c>
      <c r="AR2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61.870000000000005</v>
      </c>
      <c r="AS269" s="3">
        <f>IF(Table1[[#This Row],[Efficiency Difference]] = " ", " ", ROUND((Table1[[#This Row],[Winning Margin]]*100)/Table1[[#This Row],[Efficiency Difference]], 2))</f>
        <v>4.8499999999999996</v>
      </c>
    </row>
    <row r="270" spans="1:45">
      <c r="A270" t="s">
        <v>29</v>
      </c>
      <c r="B270">
        <v>301</v>
      </c>
      <c r="C270">
        <v>41</v>
      </c>
      <c r="D270">
        <v>210</v>
      </c>
      <c r="E270">
        <v>22</v>
      </c>
      <c r="F270">
        <v>3</v>
      </c>
      <c r="G270">
        <v>12</v>
      </c>
      <c r="H270">
        <v>0</v>
      </c>
      <c r="I270">
        <v>308</v>
      </c>
      <c r="J270">
        <v>55</v>
      </c>
      <c r="K270">
        <v>2</v>
      </c>
      <c r="L270">
        <v>2</v>
      </c>
      <c r="M270" t="s">
        <v>35</v>
      </c>
      <c r="N270">
        <v>306</v>
      </c>
      <c r="O270">
        <v>20</v>
      </c>
      <c r="P270">
        <v>219</v>
      </c>
      <c r="Q270">
        <v>36</v>
      </c>
      <c r="R270">
        <v>0</v>
      </c>
      <c r="S270">
        <v>17</v>
      </c>
      <c r="T270">
        <v>1</v>
      </c>
      <c r="U270">
        <v>83</v>
      </c>
      <c r="V270">
        <v>42</v>
      </c>
      <c r="W270">
        <v>1</v>
      </c>
      <c r="X270">
        <v>1</v>
      </c>
      <c r="Y270" t="s">
        <v>16</v>
      </c>
      <c r="Z270">
        <v>6</v>
      </c>
      <c r="AA270">
        <f>IF(AND(Table1[[#This Row],[Throw Out Pass Eff]]="N", Table1[[#This Row],[Against FCS Team]]="N"), ROUND(((5.45 * D270) + (150 * F270) + (100 * G270) - (300 * H270)) / E270, 2), " ")</f>
        <v>127.02</v>
      </c>
      <c r="AB270">
        <f>IF(AND(Table1[[#This Row],[Throw Out Pass Def Eff]]="N", Table1[[#This Row],[Against FCS Team]]="N"),200 - ROUND(((5.45 * P270) + (150 * R270) + (100 * S270) - (300 * T270)) / Q270, 2), " ")</f>
        <v>127.96</v>
      </c>
      <c r="AC270">
        <f>IF(AND(Table1[[#This Row],[Throw Out Rush Eff]]="N", Table1[[#This Row],[Against FCS Team]]="N"), ROUND(((23.2 * I270) + (150 * K270) - (300 * L270)) / J270, 2), " ")</f>
        <v>124.47</v>
      </c>
      <c r="AD270" s="3">
        <f>IF(AND(Table1[[#This Row],[Throw Out Rush Def Eff]]="N", Table1[[#This Row],[Against FCS Team]]="N"), 200 - ROUND(((23.2 * U270) + (150 * W270) - (300 * X270)) / V270, 2), " ")</f>
        <v>157.72</v>
      </c>
      <c r="AE270" s="3">
        <f>ROUND(Table1[[#This Row],[Opp Passing Attempts]]/(Table1[[#This Row],[Opp Passing Attempts]]+Table1[[#This Row],[Opp Rushing Attempts]]), 2)</f>
        <v>0.46</v>
      </c>
      <c r="AF270" s="3">
        <f>1-Table1[[#This Row],[Passing Weight]]</f>
        <v>0.54</v>
      </c>
      <c r="AG270" s="3" t="str">
        <f>IF(COUNTIF(A:A,Table1[[#This Row],[Opp Team Name]]) &gt; 0, "N", "Y")</f>
        <v>N</v>
      </c>
      <c r="AH270" s="3" t="str">
        <f>IF(Table1[[#This Row],[Passing Attempts]] &lt;15, "Y", "N")</f>
        <v>N</v>
      </c>
      <c r="AI270" s="3" t="str">
        <f>IF(Table1[[#This Row],[Rushing Attempts]] &lt; 15, "Y", "N")</f>
        <v>N</v>
      </c>
      <c r="AJ270" s="3" t="str">
        <f>IF(Table1[[#This Row],[Opp Passing Attempts]]&lt;15, "Y", "N")</f>
        <v>N</v>
      </c>
      <c r="AK270" s="3" t="str">
        <f>IF(Table1[[#This Row],[Opp Rushing Attempts]]&lt;15, "Y", "N")</f>
        <v>N</v>
      </c>
      <c r="AL2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103.4</v>
      </c>
      <c r="AM27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104.22</v>
      </c>
      <c r="AN2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104.01</v>
      </c>
      <c r="AO2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112.49</v>
      </c>
      <c r="AP270" s="3">
        <f>ABS(Table1[[#This Row],[Team Score]]-Table1[[#This Row],[Opp Team Score]])</f>
        <v>21</v>
      </c>
      <c r="AQ270" s="3">
        <f>SUM(Table1[[#This Row],[Team Score]], Table1[[#This Row],[Opp Team Score]])</f>
        <v>61</v>
      </c>
      <c r="AR27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137.17000000000002</v>
      </c>
      <c r="AS270" s="3">
        <f>IF(Table1[[#This Row],[Efficiency Difference]] = " ", " ", ROUND((Table1[[#This Row],[Winning Margin]]*100)/Table1[[#This Row],[Efficiency Difference]], 2))</f>
        <v>15.31</v>
      </c>
    </row>
    <row r="271" spans="1:45">
      <c r="A271" t="s">
        <v>29</v>
      </c>
      <c r="B271">
        <v>301</v>
      </c>
      <c r="C271">
        <v>7</v>
      </c>
      <c r="D271">
        <v>169</v>
      </c>
      <c r="E271">
        <v>34</v>
      </c>
      <c r="F271">
        <v>1</v>
      </c>
      <c r="G271">
        <v>20</v>
      </c>
      <c r="H271">
        <v>2</v>
      </c>
      <c r="I271">
        <v>116</v>
      </c>
      <c r="J271">
        <v>35</v>
      </c>
      <c r="K271">
        <v>0</v>
      </c>
      <c r="L271">
        <v>1</v>
      </c>
      <c r="M271" t="s">
        <v>18</v>
      </c>
      <c r="N271">
        <v>518</v>
      </c>
      <c r="O271">
        <v>17</v>
      </c>
      <c r="P271">
        <v>17</v>
      </c>
      <c r="Q271">
        <v>4</v>
      </c>
      <c r="R271">
        <v>1</v>
      </c>
      <c r="S271">
        <v>1</v>
      </c>
      <c r="T271">
        <v>0</v>
      </c>
      <c r="U271">
        <v>211</v>
      </c>
      <c r="V271">
        <v>51</v>
      </c>
      <c r="W271">
        <v>1</v>
      </c>
      <c r="X271">
        <v>0</v>
      </c>
      <c r="Y271" t="s">
        <v>19</v>
      </c>
      <c r="Z271">
        <v>7</v>
      </c>
      <c r="AA271">
        <f>IF(AND(Table1[[#This Row],[Throw Out Pass Eff]]="N", Table1[[#This Row],[Against FCS Team]]="N"), ROUND(((5.45 * D271) + (150 * F271) + (100 * G271) - (300 * H271)) / E271, 2), " ")</f>
        <v>72.680000000000007</v>
      </c>
      <c r="AB271" t="str">
        <f>IF(AND(Table1[[#This Row],[Throw Out Pass Def Eff]]="N", Table1[[#This Row],[Against FCS Team]]="N"),200 - ROUND(((5.45 * P271) + (150 * R271) + (100 * S271) - (300 * T271)) / Q271, 2), " ")</f>
        <v xml:space="preserve"> </v>
      </c>
      <c r="AC271">
        <f>IF(AND(Table1[[#This Row],[Throw Out Rush Eff]]="N", Table1[[#This Row],[Against FCS Team]]="N"), ROUND(((23.2 * I271) + (150 * K271) - (300 * L271)) / J271, 2), " ")</f>
        <v>68.319999999999993</v>
      </c>
      <c r="AD271" s="3">
        <f>IF(AND(Table1[[#This Row],[Throw Out Rush Def Eff]]="N", Table1[[#This Row],[Against FCS Team]]="N"), 200 - ROUND(((23.2 * U271) + (150 * W271) - (300 * X271)) / V271, 2), " ")</f>
        <v>101.07</v>
      </c>
      <c r="AE271" s="3">
        <f>ROUND(Table1[[#This Row],[Opp Passing Attempts]]/(Table1[[#This Row],[Opp Passing Attempts]]+Table1[[#This Row],[Opp Rushing Attempts]]), 2)</f>
        <v>7.0000000000000007E-2</v>
      </c>
      <c r="AF271" s="3">
        <f>1-Table1[[#This Row],[Passing Weight]]</f>
        <v>0.92999999999999994</v>
      </c>
      <c r="AG271" s="3" t="str">
        <f>IF(COUNTIF(A:A,Table1[[#This Row],[Opp Team Name]]) &gt; 0, "N", "Y")</f>
        <v>N</v>
      </c>
      <c r="AH271" s="3" t="str">
        <f>IF(Table1[[#This Row],[Passing Attempts]] &lt;15, "Y", "N")</f>
        <v>N</v>
      </c>
      <c r="AI271" s="3" t="str">
        <f>IF(Table1[[#This Row],[Rushing Attempts]] &lt; 15, "Y", "N")</f>
        <v>N</v>
      </c>
      <c r="AJ271" s="3" t="str">
        <f>IF(Table1[[#This Row],[Opp Passing Attempts]]&lt;15, "Y", "N")</f>
        <v>Y</v>
      </c>
      <c r="AK271" s="3" t="str">
        <f>IF(Table1[[#This Row],[Opp Rushing Attempts]]&lt;15, "Y", "N")</f>
        <v>N</v>
      </c>
      <c r="AL2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83.95</v>
      </c>
      <c r="AM27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87.58</v>
      </c>
      <c r="AO2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94.5</v>
      </c>
      <c r="AP271" s="3">
        <f>ABS(Table1[[#This Row],[Team Score]]-Table1[[#This Row],[Opp Team Score]])</f>
        <v>10</v>
      </c>
      <c r="AQ271" s="3">
        <f>SUM(Table1[[#This Row],[Team Score]], Table1[[#This Row],[Opp Team Score]])</f>
        <v>24</v>
      </c>
      <c r="AR27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71" s="3" t="str">
        <f>IF(Table1[[#This Row],[Efficiency Difference]] = " ", " ", ROUND((Table1[[#This Row],[Winning Margin]]*100)/Table1[[#This Row],[Efficiency Difference]], 2))</f>
        <v xml:space="preserve"> </v>
      </c>
    </row>
    <row r="272" spans="1:45">
      <c r="A272" t="s">
        <v>29</v>
      </c>
      <c r="B272">
        <v>301</v>
      </c>
      <c r="C272">
        <v>14</v>
      </c>
      <c r="D272">
        <v>245</v>
      </c>
      <c r="E272">
        <v>41</v>
      </c>
      <c r="F272">
        <v>0</v>
      </c>
      <c r="G272">
        <v>26</v>
      </c>
      <c r="H272">
        <v>1</v>
      </c>
      <c r="I272">
        <v>121</v>
      </c>
      <c r="J272">
        <v>33</v>
      </c>
      <c r="K272">
        <v>2</v>
      </c>
      <c r="L272">
        <v>0</v>
      </c>
      <c r="M272" t="s">
        <v>101</v>
      </c>
      <c r="N272">
        <v>559</v>
      </c>
      <c r="O272">
        <v>21</v>
      </c>
      <c r="P272">
        <v>178</v>
      </c>
      <c r="Q272">
        <v>25</v>
      </c>
      <c r="R272">
        <v>2</v>
      </c>
      <c r="S272">
        <v>16</v>
      </c>
      <c r="T272">
        <v>0</v>
      </c>
      <c r="U272">
        <v>126</v>
      </c>
      <c r="V272">
        <v>42</v>
      </c>
      <c r="W272">
        <v>1</v>
      </c>
      <c r="X272">
        <v>1</v>
      </c>
      <c r="Y272" t="s">
        <v>19</v>
      </c>
      <c r="Z272">
        <v>8</v>
      </c>
      <c r="AA272" s="3">
        <f>IF(AND(Table1[[#This Row],[Throw Out Pass Eff]]="N", Table1[[#This Row],[Against FCS Team]]="N"), ROUND(((5.45 * D272) + (150 * F272) + (100 * G272) - (300 * H272)) / E272, 2), " ")</f>
        <v>88.66</v>
      </c>
      <c r="AB272" s="3">
        <f>IF(AND(Table1[[#This Row],[Throw Out Pass Def Eff]]="N", Table1[[#This Row],[Against FCS Team]]="N"),200 - ROUND(((5.45 * P272) + (150 * R272) + (100 * S272) - (300 * T272)) / Q272, 2), " ")</f>
        <v>85.2</v>
      </c>
      <c r="AC272" s="3">
        <f>IF(AND(Table1[[#This Row],[Throw Out Rush Eff]]="N", Table1[[#This Row],[Against FCS Team]]="N"), ROUND(((23.2 * I272) + (150 * K272) - (300 * L272)) / J272, 2), " ")</f>
        <v>94.16</v>
      </c>
      <c r="AD272" s="3">
        <f>IF(AND(Table1[[#This Row],[Throw Out Rush Def Eff]]="N", Table1[[#This Row],[Against FCS Team]]="N"), 200 - ROUND(((23.2 * U272) + (150 * W272) - (300 * X272)) / V272, 2), " ")</f>
        <v>133.97</v>
      </c>
      <c r="AE272" s="3">
        <f>ROUND(Table1[[#This Row],[Opp Passing Attempts]]/(Table1[[#This Row],[Opp Passing Attempts]]+Table1[[#This Row],[Opp Rushing Attempts]]), 2)</f>
        <v>0.37</v>
      </c>
      <c r="AF272" s="3">
        <f>1-Table1[[#This Row],[Passing Weight]]</f>
        <v>0.63</v>
      </c>
      <c r="AG272" s="3" t="str">
        <f>IF(COUNTIF(A:A,Table1[[#This Row],[Opp Team Name]]) &gt; 0, "N", "Y")</f>
        <v>N</v>
      </c>
      <c r="AH272" s="3" t="str">
        <f>IF(Table1[[#This Row],[Passing Attempts]] &lt;15, "Y", "N")</f>
        <v>N</v>
      </c>
      <c r="AI272" s="3" t="str">
        <f>IF(Table1[[#This Row],[Rushing Attempts]] &lt; 15, "Y", "N")</f>
        <v>N</v>
      </c>
      <c r="AJ272" s="3" t="str">
        <f>IF(Table1[[#This Row],[Opp Passing Attempts]]&lt;15, "Y", "N")</f>
        <v>N</v>
      </c>
      <c r="AK272" s="3" t="str">
        <f>IF(Table1[[#This Row],[Opp Rushing Attempts]]&lt;15, "Y", "N")</f>
        <v>N</v>
      </c>
      <c r="AL2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98.12</v>
      </c>
      <c r="AM2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75.66</v>
      </c>
      <c r="AN2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99.65</v>
      </c>
      <c r="AO2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129.69</v>
      </c>
      <c r="AP272" s="3">
        <f>ABS(Table1[[#This Row],[Team Score]]-Table1[[#This Row],[Opp Team Score]])</f>
        <v>7</v>
      </c>
      <c r="AQ272" s="3">
        <f>SUM(Table1[[#This Row],[Team Score]], Table1[[#This Row],[Opp Team Score]])</f>
        <v>35</v>
      </c>
      <c r="AR2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1.9900000000000091</v>
      </c>
      <c r="AS272" s="3">
        <f>IF(Table1[[#This Row],[Efficiency Difference]] = " ", " ", ROUND((Table1[[#This Row],[Winning Margin]]*100)/Table1[[#This Row],[Efficiency Difference]], 2))</f>
        <v>351.76</v>
      </c>
    </row>
    <row r="273" spans="1:45">
      <c r="A273" t="s">
        <v>35</v>
      </c>
      <c r="B273">
        <v>306</v>
      </c>
      <c r="C273">
        <v>38</v>
      </c>
      <c r="D273">
        <v>300</v>
      </c>
      <c r="E273">
        <v>33</v>
      </c>
      <c r="F273">
        <v>2</v>
      </c>
      <c r="G273">
        <v>25</v>
      </c>
      <c r="H273">
        <v>0</v>
      </c>
      <c r="I273">
        <v>257</v>
      </c>
      <c r="J273">
        <v>58</v>
      </c>
      <c r="K273">
        <v>3</v>
      </c>
      <c r="L273">
        <v>1</v>
      </c>
      <c r="M273" t="s">
        <v>51</v>
      </c>
      <c r="N273">
        <v>647</v>
      </c>
      <c r="O273">
        <v>21</v>
      </c>
      <c r="P273">
        <v>216</v>
      </c>
      <c r="Q273">
        <v>30</v>
      </c>
      <c r="R273">
        <v>2</v>
      </c>
      <c r="S273">
        <v>15</v>
      </c>
      <c r="T273">
        <v>0</v>
      </c>
      <c r="U273">
        <v>161</v>
      </c>
      <c r="V273">
        <v>38</v>
      </c>
      <c r="W273">
        <v>1</v>
      </c>
      <c r="X273">
        <v>1</v>
      </c>
      <c r="Y273" t="s">
        <v>16</v>
      </c>
      <c r="Z273">
        <v>3</v>
      </c>
      <c r="AA273" t="str">
        <f>IF(AND(Table1[[#This Row],[Throw Out Pass Eff]]="N", Table1[[#This Row],[Against FCS Team]]="N"), ROUND(((5.45 * D273) + (150 * F273) + (100 * G273) - (300 * H273)) / E273, 2), " ")</f>
        <v xml:space="preserve"> </v>
      </c>
      <c r="AB273" t="str">
        <f>IF(AND(Table1[[#This Row],[Throw Out Pass Def Eff]]="N", Table1[[#This Row],[Against FCS Team]]="N"),200 - ROUND(((5.45 * P273) + (150 * R273) + (100 * S273) - (300 * T273)) / Q273, 2), " ")</f>
        <v xml:space="preserve"> </v>
      </c>
      <c r="AC273" t="str">
        <f>IF(AND(Table1[[#This Row],[Throw Out Rush Eff]]="N", Table1[[#This Row],[Against FCS Team]]="N"), ROUND(((23.2 * I273) + (150 * K273) - (300 * L273)) / J273, 2), " ")</f>
        <v xml:space="preserve"> </v>
      </c>
      <c r="AD273" s="3" t="str">
        <f>IF(AND(Table1[[#This Row],[Throw Out Rush Def Eff]]="N", Table1[[#This Row],[Against FCS Team]]="N"), 200 - ROUND(((23.2 * U273) + (150 * W273) - (300 * X273)) / V273, 2), " ")</f>
        <v xml:space="preserve"> </v>
      </c>
      <c r="AE273" s="3">
        <f>ROUND(Table1[[#This Row],[Opp Passing Attempts]]/(Table1[[#This Row],[Opp Passing Attempts]]+Table1[[#This Row],[Opp Rushing Attempts]]), 2)</f>
        <v>0.44</v>
      </c>
      <c r="AF273" s="3">
        <f>1-Table1[[#This Row],[Passing Weight]]</f>
        <v>0.56000000000000005</v>
      </c>
      <c r="AG273" s="3" t="str">
        <f>IF(COUNTIF(A:A,Table1[[#This Row],[Opp Team Name]]) &gt; 0, "N", "Y")</f>
        <v>Y</v>
      </c>
      <c r="AH273" s="3" t="str">
        <f>IF(Table1[[#This Row],[Passing Attempts]] &lt;15, "Y", "N")</f>
        <v>N</v>
      </c>
      <c r="AI273" s="3" t="str">
        <f>IF(Table1[[#This Row],[Rushing Attempts]] &lt; 15, "Y", "N")</f>
        <v>N</v>
      </c>
      <c r="AJ273" s="3" t="str">
        <f>IF(Table1[[#This Row],[Opp Passing Attempts]]&lt;15, "Y", "N")</f>
        <v>N</v>
      </c>
      <c r="AK273" s="3" t="str">
        <f>IF(Table1[[#This Row],[Opp Rushing Attempts]]&lt;15, "Y", "N")</f>
        <v>N</v>
      </c>
      <c r="AL27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73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73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73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73" s="3">
        <f>ABS(Table1[[#This Row],[Team Score]]-Table1[[#This Row],[Opp Team Score]])</f>
        <v>17</v>
      </c>
      <c r="AQ273" s="3">
        <f>SUM(Table1[[#This Row],[Team Score]], Table1[[#This Row],[Opp Team Score]])</f>
        <v>59</v>
      </c>
      <c r="AR27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73" s="3" t="str">
        <f>IF(Table1[[#This Row],[Efficiency Difference]] = " ", " ", ROUND((Table1[[#This Row],[Winning Margin]]*100)/Table1[[#This Row],[Efficiency Difference]], 2))</f>
        <v xml:space="preserve"> </v>
      </c>
    </row>
    <row r="274" spans="1:45">
      <c r="A274" t="s">
        <v>35</v>
      </c>
      <c r="B274">
        <v>306</v>
      </c>
      <c r="C274">
        <v>20</v>
      </c>
      <c r="D274">
        <v>272</v>
      </c>
      <c r="E274">
        <v>32</v>
      </c>
      <c r="F274">
        <v>1</v>
      </c>
      <c r="G274">
        <v>20</v>
      </c>
      <c r="H274">
        <v>0</v>
      </c>
      <c r="I274">
        <v>103</v>
      </c>
      <c r="J274">
        <v>32</v>
      </c>
      <c r="K274">
        <v>1</v>
      </c>
      <c r="L274">
        <v>0</v>
      </c>
      <c r="M274" t="s">
        <v>34</v>
      </c>
      <c r="N274">
        <v>47</v>
      </c>
      <c r="O274">
        <v>27</v>
      </c>
      <c r="P274">
        <v>173</v>
      </c>
      <c r="Q274">
        <v>29</v>
      </c>
      <c r="R274">
        <v>2</v>
      </c>
      <c r="S274">
        <v>23</v>
      </c>
      <c r="T274">
        <v>0</v>
      </c>
      <c r="U274">
        <v>210</v>
      </c>
      <c r="V274">
        <v>46</v>
      </c>
      <c r="W274">
        <v>1</v>
      </c>
      <c r="X274">
        <v>0</v>
      </c>
      <c r="Y274" t="s">
        <v>19</v>
      </c>
      <c r="Z274">
        <v>1</v>
      </c>
      <c r="AA274">
        <f>IF(AND(Table1[[#This Row],[Throw Out Pass Eff]]="N", Table1[[#This Row],[Against FCS Team]]="N"), ROUND(((5.45 * D274) + (150 * F274) + (100 * G274) - (300 * H274)) / E274, 2), " ")</f>
        <v>113.51</v>
      </c>
      <c r="AB274">
        <f>IF(AND(Table1[[#This Row],[Throw Out Pass Def Eff]]="N", Table1[[#This Row],[Against FCS Team]]="N"),200 - ROUND(((5.45 * P274) + (150 * R274) + (100 * S274) - (300 * T274)) / Q274, 2), " ")</f>
        <v>77.83</v>
      </c>
      <c r="AC274">
        <f>IF(AND(Table1[[#This Row],[Throw Out Rush Eff]]="N", Table1[[#This Row],[Against FCS Team]]="N"), ROUND(((23.2 * I274) + (150 * K274) - (300 * L274)) / J274, 2), " ")</f>
        <v>79.36</v>
      </c>
      <c r="AD274" s="3">
        <f>IF(AND(Table1[[#This Row],[Throw Out Rush Def Eff]]="N", Table1[[#This Row],[Against FCS Team]]="N"), 200 - ROUND(((23.2 * U274) + (150 * W274) - (300 * X274)) / V274, 2), " ")</f>
        <v>90.83</v>
      </c>
      <c r="AE274" s="3">
        <f>ROUND(Table1[[#This Row],[Opp Passing Attempts]]/(Table1[[#This Row],[Opp Passing Attempts]]+Table1[[#This Row],[Opp Rushing Attempts]]), 2)</f>
        <v>0.39</v>
      </c>
      <c r="AF274" s="3">
        <f>1-Table1[[#This Row],[Passing Weight]]</f>
        <v>0.61</v>
      </c>
      <c r="AG274" s="3" t="str">
        <f>IF(COUNTIF(A:A,Table1[[#This Row],[Opp Team Name]]) &gt; 0, "N", "Y")</f>
        <v>N</v>
      </c>
      <c r="AH274" s="3" t="str">
        <f>IF(Table1[[#This Row],[Passing Attempts]] &lt;15, "Y", "N")</f>
        <v>N</v>
      </c>
      <c r="AI274" s="3" t="str">
        <f>IF(Table1[[#This Row],[Rushing Attempts]] &lt; 15, "Y", "N")</f>
        <v>N</v>
      </c>
      <c r="AJ274" s="3" t="str">
        <f>IF(Table1[[#This Row],[Opp Passing Attempts]]&lt;15, "Y", "N")</f>
        <v>N</v>
      </c>
      <c r="AK274" s="3" t="str">
        <f>IF(Table1[[#This Row],[Opp Rushing Attempts]]&lt;15, "Y", "N")</f>
        <v>N</v>
      </c>
      <c r="AL2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96.47</v>
      </c>
      <c r="AM2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75.760000000000005</v>
      </c>
      <c r="AN2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68.64</v>
      </c>
      <c r="AO2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78.209999999999994</v>
      </c>
      <c r="AP274" s="3">
        <f>ABS(Table1[[#This Row],[Team Score]]-Table1[[#This Row],[Opp Team Score]])</f>
        <v>7</v>
      </c>
      <c r="AQ274" s="3">
        <f>SUM(Table1[[#This Row],[Team Score]], Table1[[#This Row],[Opp Team Score]])</f>
        <v>47</v>
      </c>
      <c r="AR2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38.47</v>
      </c>
      <c r="AS274" s="3">
        <f>IF(Table1[[#This Row],[Efficiency Difference]] = " ", " ", ROUND((Table1[[#This Row],[Winning Margin]]*100)/Table1[[#This Row],[Efficiency Difference]], 2))</f>
        <v>18.2</v>
      </c>
    </row>
    <row r="275" spans="1:45">
      <c r="A275" t="s">
        <v>35</v>
      </c>
      <c r="B275">
        <v>306</v>
      </c>
      <c r="C275">
        <v>31</v>
      </c>
      <c r="D275">
        <v>171</v>
      </c>
      <c r="E275">
        <v>31</v>
      </c>
      <c r="F275">
        <v>1</v>
      </c>
      <c r="G275">
        <v>16</v>
      </c>
      <c r="H275">
        <v>1</v>
      </c>
      <c r="I275">
        <v>148</v>
      </c>
      <c r="J275">
        <v>41</v>
      </c>
      <c r="K275">
        <v>2</v>
      </c>
      <c r="L275">
        <v>2</v>
      </c>
      <c r="M275" t="s">
        <v>154</v>
      </c>
      <c r="N275">
        <v>746</v>
      </c>
      <c r="O275">
        <v>34</v>
      </c>
      <c r="P275">
        <v>198</v>
      </c>
      <c r="Q275">
        <v>30</v>
      </c>
      <c r="R275">
        <v>0</v>
      </c>
      <c r="S275">
        <v>16</v>
      </c>
      <c r="T275">
        <v>2</v>
      </c>
      <c r="U275">
        <v>162</v>
      </c>
      <c r="V275">
        <v>40</v>
      </c>
      <c r="W275">
        <v>3</v>
      </c>
      <c r="X275">
        <v>2</v>
      </c>
      <c r="Y275" t="s">
        <v>19</v>
      </c>
      <c r="Z275">
        <v>2</v>
      </c>
      <c r="AA275">
        <f>IF(AND(Table1[[#This Row],[Throw Out Pass Eff]]="N", Table1[[#This Row],[Against FCS Team]]="N"), ROUND(((5.45 * D275) + (150 * F275) + (100 * G275) - (300 * H275)) / E275, 2), " ")</f>
        <v>76.84</v>
      </c>
      <c r="AB275">
        <f>IF(AND(Table1[[#This Row],[Throw Out Pass Def Eff]]="N", Table1[[#This Row],[Against FCS Team]]="N"),200 - ROUND(((5.45 * P275) + (150 * R275) + (100 * S275) - (300 * T275)) / Q275, 2), " ")</f>
        <v>130.69999999999999</v>
      </c>
      <c r="AC275">
        <f>IF(AND(Table1[[#This Row],[Throw Out Rush Eff]]="N", Table1[[#This Row],[Against FCS Team]]="N"), ROUND(((23.2 * I275) + (150 * K275) - (300 * L275)) / J275, 2), " ")</f>
        <v>76.430000000000007</v>
      </c>
      <c r="AD275" s="3">
        <f>IF(AND(Table1[[#This Row],[Throw Out Rush Def Eff]]="N", Table1[[#This Row],[Against FCS Team]]="N"), 200 - ROUND(((23.2 * U275) + (150 * W275) - (300 * X275)) / V275, 2), " ")</f>
        <v>109.79</v>
      </c>
      <c r="AE275" s="3">
        <f>ROUND(Table1[[#This Row],[Opp Passing Attempts]]/(Table1[[#This Row],[Opp Passing Attempts]]+Table1[[#This Row],[Opp Rushing Attempts]]), 2)</f>
        <v>0.43</v>
      </c>
      <c r="AF275" s="3">
        <f>1-Table1[[#This Row],[Passing Weight]]</f>
        <v>0.57000000000000006</v>
      </c>
      <c r="AG275" s="3" t="str">
        <f>IF(COUNTIF(A:A,Table1[[#This Row],[Opp Team Name]]) &gt; 0, "N", "Y")</f>
        <v>N</v>
      </c>
      <c r="AH275" s="3" t="str">
        <f>IF(Table1[[#This Row],[Passing Attempts]] &lt;15, "Y", "N")</f>
        <v>N</v>
      </c>
      <c r="AI275" s="3" t="str">
        <f>IF(Table1[[#This Row],[Rushing Attempts]] &lt; 15, "Y", "N")</f>
        <v>N</v>
      </c>
      <c r="AJ275" s="3" t="str">
        <f>IF(Table1[[#This Row],[Opp Passing Attempts]]&lt;15, "Y", "N")</f>
        <v>N</v>
      </c>
      <c r="AK275" s="3" t="str">
        <f>IF(Table1[[#This Row],[Opp Rushing Attempts]]&lt;15, "Y", "N")</f>
        <v>N</v>
      </c>
      <c r="AL2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82.99</v>
      </c>
      <c r="AM2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94.09</v>
      </c>
      <c r="AN2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88.49</v>
      </c>
      <c r="AO2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109.4</v>
      </c>
      <c r="AP275" s="3">
        <f>ABS(Table1[[#This Row],[Team Score]]-Table1[[#This Row],[Opp Team Score]])</f>
        <v>3</v>
      </c>
      <c r="AQ275" s="3">
        <f>SUM(Table1[[#This Row],[Team Score]], Table1[[#This Row],[Opp Team Score]])</f>
        <v>65</v>
      </c>
      <c r="AR27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6.2399999999999807</v>
      </c>
      <c r="AS275" s="3">
        <f>IF(Table1[[#This Row],[Efficiency Difference]] = " ", " ", ROUND((Table1[[#This Row],[Winning Margin]]*100)/Table1[[#This Row],[Efficiency Difference]], 2))</f>
        <v>48.08</v>
      </c>
    </row>
    <row r="276" spans="1:45">
      <c r="A276" t="s">
        <v>35</v>
      </c>
      <c r="B276">
        <v>306</v>
      </c>
      <c r="C276">
        <v>21</v>
      </c>
      <c r="D276">
        <v>354</v>
      </c>
      <c r="E276">
        <v>52</v>
      </c>
      <c r="F276">
        <v>2</v>
      </c>
      <c r="G276">
        <v>30</v>
      </c>
      <c r="H276">
        <v>1</v>
      </c>
      <c r="I276">
        <v>50</v>
      </c>
      <c r="J276">
        <v>27</v>
      </c>
      <c r="K276">
        <v>0</v>
      </c>
      <c r="L276">
        <v>1</v>
      </c>
      <c r="M276" t="s">
        <v>67</v>
      </c>
      <c r="N276">
        <v>497</v>
      </c>
      <c r="O276">
        <v>24</v>
      </c>
      <c r="P276">
        <v>201</v>
      </c>
      <c r="Q276">
        <v>20</v>
      </c>
      <c r="R276">
        <v>3</v>
      </c>
      <c r="S276">
        <v>10</v>
      </c>
      <c r="T276">
        <v>1</v>
      </c>
      <c r="U276">
        <v>226</v>
      </c>
      <c r="V276">
        <v>48</v>
      </c>
      <c r="W276">
        <v>0</v>
      </c>
      <c r="X276">
        <v>2</v>
      </c>
      <c r="Y276" t="s">
        <v>19</v>
      </c>
      <c r="Z276">
        <v>4</v>
      </c>
      <c r="AA276">
        <f>IF(AND(Table1[[#This Row],[Throw Out Pass Eff]]="N", Table1[[#This Row],[Against FCS Team]]="N"), ROUND(((5.45 * D276) + (150 * F276) + (100 * G276) - (300 * H276)) / E276, 2), " ")</f>
        <v>94.79</v>
      </c>
      <c r="AB276">
        <f>IF(AND(Table1[[#This Row],[Throw Out Pass Def Eff]]="N", Table1[[#This Row],[Against FCS Team]]="N"),200 - ROUND(((5.45 * P276) + (150 * R276) + (100 * S276) - (300 * T276)) / Q276, 2), " ")</f>
        <v>87.73</v>
      </c>
      <c r="AC276">
        <f>IF(AND(Table1[[#This Row],[Throw Out Rush Eff]]="N", Table1[[#This Row],[Against FCS Team]]="N"), ROUND(((23.2 * I276) + (150 * K276) - (300 * L276)) / J276, 2), " ")</f>
        <v>31.85</v>
      </c>
      <c r="AD276" s="3">
        <f>IF(AND(Table1[[#This Row],[Throw Out Rush Def Eff]]="N", Table1[[#This Row],[Against FCS Team]]="N"), 200 - ROUND(((23.2 * U276) + (150 * W276) - (300 * X276)) / V276, 2), " ")</f>
        <v>103.27</v>
      </c>
      <c r="AE276" s="3">
        <f>ROUND(Table1[[#This Row],[Opp Passing Attempts]]/(Table1[[#This Row],[Opp Passing Attempts]]+Table1[[#This Row],[Opp Rushing Attempts]]), 2)</f>
        <v>0.28999999999999998</v>
      </c>
      <c r="AF276" s="3">
        <f>1-Table1[[#This Row],[Passing Weight]]</f>
        <v>0.71</v>
      </c>
      <c r="AG276" s="3" t="str">
        <f>IF(COUNTIF(A:A,Table1[[#This Row],[Opp Team Name]]) &gt; 0, "N", "Y")</f>
        <v>N</v>
      </c>
      <c r="AH276" s="3" t="str">
        <f>IF(Table1[[#This Row],[Passing Attempts]] &lt;15, "Y", "N")</f>
        <v>N</v>
      </c>
      <c r="AI276" s="3" t="str">
        <f>IF(Table1[[#This Row],[Rushing Attempts]] &lt; 15, "Y", "N")</f>
        <v>N</v>
      </c>
      <c r="AJ276" s="3" t="str">
        <f>IF(Table1[[#This Row],[Opp Passing Attempts]]&lt;15, "Y", "N")</f>
        <v>N</v>
      </c>
      <c r="AK276" s="3" t="str">
        <f>IF(Table1[[#This Row],[Opp Rushing Attempts]]&lt;15, "Y", "N")</f>
        <v>N</v>
      </c>
      <c r="AL27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88.74</v>
      </c>
      <c r="AM27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78.37</v>
      </c>
      <c r="AN27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30.81</v>
      </c>
      <c r="AO27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69.55</v>
      </c>
      <c r="AP276" s="3">
        <f>ABS(Table1[[#This Row],[Team Score]]-Table1[[#This Row],[Opp Team Score]])</f>
        <v>3</v>
      </c>
      <c r="AQ276" s="3">
        <f>SUM(Table1[[#This Row],[Team Score]], Table1[[#This Row],[Opp Team Score]])</f>
        <v>45</v>
      </c>
      <c r="AR27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82.359999999999985</v>
      </c>
      <c r="AS276" s="3">
        <f>IF(Table1[[#This Row],[Efficiency Difference]] = " ", " ", ROUND((Table1[[#This Row],[Winning Margin]]*100)/Table1[[#This Row],[Efficiency Difference]], 2))</f>
        <v>3.64</v>
      </c>
    </row>
    <row r="277" spans="1:45">
      <c r="A277" t="s">
        <v>35</v>
      </c>
      <c r="B277">
        <v>306</v>
      </c>
      <c r="C277">
        <v>10</v>
      </c>
      <c r="D277">
        <v>184</v>
      </c>
      <c r="E277">
        <v>45</v>
      </c>
      <c r="F277">
        <v>1</v>
      </c>
      <c r="G277">
        <v>22</v>
      </c>
      <c r="H277">
        <v>1</v>
      </c>
      <c r="I277">
        <v>72</v>
      </c>
      <c r="J277">
        <v>31</v>
      </c>
      <c r="K277">
        <v>0</v>
      </c>
      <c r="L277">
        <v>1</v>
      </c>
      <c r="M277" t="s">
        <v>120</v>
      </c>
      <c r="N277">
        <v>539</v>
      </c>
      <c r="O277">
        <v>16</v>
      </c>
      <c r="P277">
        <v>271</v>
      </c>
      <c r="Q277">
        <v>36</v>
      </c>
      <c r="R277">
        <v>1</v>
      </c>
      <c r="S277">
        <v>16</v>
      </c>
      <c r="T277">
        <v>1</v>
      </c>
      <c r="U277">
        <v>193</v>
      </c>
      <c r="V277">
        <v>50</v>
      </c>
      <c r="W277">
        <v>0</v>
      </c>
      <c r="X277">
        <v>2</v>
      </c>
      <c r="Y277" t="s">
        <v>19</v>
      </c>
      <c r="Z277">
        <v>5</v>
      </c>
      <c r="AA277">
        <f>IF(AND(Table1[[#This Row],[Throw Out Pass Eff]]="N", Table1[[#This Row],[Against FCS Team]]="N"), ROUND(((5.45 * D277) + (150 * F277) + (100 * G277) - (300 * H277)) / E277, 2), " ")</f>
        <v>67.84</v>
      </c>
      <c r="AB277">
        <f>IF(AND(Table1[[#This Row],[Throw Out Pass Def Eff]]="N", Table1[[#This Row],[Against FCS Team]]="N"),200 - ROUND(((5.45 * P277) + (150 * R277) + (100 * S277) - (300 * T277)) / Q277, 2), " ")</f>
        <v>118.7</v>
      </c>
      <c r="AC277">
        <f>IF(AND(Table1[[#This Row],[Throw Out Rush Eff]]="N", Table1[[#This Row],[Against FCS Team]]="N"), ROUND(((23.2 * I277) + (150 * K277) - (300 * L277)) / J277, 2), " ")</f>
        <v>44.21</v>
      </c>
      <c r="AD277" s="3">
        <f>IF(AND(Table1[[#This Row],[Throw Out Rush Def Eff]]="N", Table1[[#This Row],[Against FCS Team]]="N"), 200 - ROUND(((23.2 * U277) + (150 * W277) - (300 * X277)) / V277, 2), " ")</f>
        <v>122.45</v>
      </c>
      <c r="AE277" s="3">
        <f>ROUND(Table1[[#This Row],[Opp Passing Attempts]]/(Table1[[#This Row],[Opp Passing Attempts]]+Table1[[#This Row],[Opp Rushing Attempts]]), 2)</f>
        <v>0.42</v>
      </c>
      <c r="AF277" s="3">
        <f>1-Table1[[#This Row],[Passing Weight]]</f>
        <v>0.58000000000000007</v>
      </c>
      <c r="AG277" s="3" t="str">
        <f>IF(COUNTIF(A:A,Table1[[#This Row],[Opp Team Name]]) &gt; 0, "N", "Y")</f>
        <v>N</v>
      </c>
      <c r="AH277" s="3" t="str">
        <f>IF(Table1[[#This Row],[Passing Attempts]] &lt;15, "Y", "N")</f>
        <v>N</v>
      </c>
      <c r="AI277" s="3" t="str">
        <f>IF(Table1[[#This Row],[Rushing Attempts]] &lt; 15, "Y", "N")</f>
        <v>N</v>
      </c>
      <c r="AJ277" s="3" t="str">
        <f>IF(Table1[[#This Row],[Opp Passing Attempts]]&lt;15, "Y", "N")</f>
        <v>N</v>
      </c>
      <c r="AK277" s="3" t="str">
        <f>IF(Table1[[#This Row],[Opp Rushing Attempts]]&lt;15, "Y", "N")</f>
        <v>N</v>
      </c>
      <c r="AL27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85.52</v>
      </c>
      <c r="AM27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103.78</v>
      </c>
      <c r="AN27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58.24</v>
      </c>
      <c r="AO27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107.83</v>
      </c>
      <c r="AP277" s="3">
        <f>ABS(Table1[[#This Row],[Team Score]]-Table1[[#This Row],[Opp Team Score]])</f>
        <v>6</v>
      </c>
      <c r="AQ277" s="3">
        <f>SUM(Table1[[#This Row],[Team Score]], Table1[[#This Row],[Opp Team Score]])</f>
        <v>26</v>
      </c>
      <c r="AR27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46.799999999999983</v>
      </c>
      <c r="AS277" s="3">
        <f>IF(Table1[[#This Row],[Efficiency Difference]] = " ", " ", ROUND((Table1[[#This Row],[Winning Margin]]*100)/Table1[[#This Row],[Efficiency Difference]], 2))</f>
        <v>12.82</v>
      </c>
    </row>
    <row r="278" spans="1:45">
      <c r="A278" t="s">
        <v>35</v>
      </c>
      <c r="B278">
        <v>306</v>
      </c>
      <c r="C278">
        <v>20</v>
      </c>
      <c r="D278">
        <v>219</v>
      </c>
      <c r="E278">
        <v>36</v>
      </c>
      <c r="F278">
        <v>0</v>
      </c>
      <c r="G278">
        <v>17</v>
      </c>
      <c r="H278">
        <v>1</v>
      </c>
      <c r="I278">
        <v>83</v>
      </c>
      <c r="J278">
        <v>42</v>
      </c>
      <c r="K278">
        <v>1</v>
      </c>
      <c r="L278">
        <v>1</v>
      </c>
      <c r="M278" t="s">
        <v>29</v>
      </c>
      <c r="N278">
        <v>301</v>
      </c>
      <c r="O278">
        <v>41</v>
      </c>
      <c r="P278">
        <v>210</v>
      </c>
      <c r="Q278">
        <v>22</v>
      </c>
      <c r="R278">
        <v>3</v>
      </c>
      <c r="S278">
        <v>12</v>
      </c>
      <c r="T278">
        <v>0</v>
      </c>
      <c r="U278">
        <v>308</v>
      </c>
      <c r="V278">
        <v>55</v>
      </c>
      <c r="W278">
        <v>2</v>
      </c>
      <c r="X278">
        <v>2</v>
      </c>
      <c r="Y278" t="s">
        <v>19</v>
      </c>
      <c r="Z278">
        <v>6</v>
      </c>
      <c r="AA278">
        <f>IF(AND(Table1[[#This Row],[Throw Out Pass Eff]]="N", Table1[[#This Row],[Against FCS Team]]="N"), ROUND(((5.45 * D278) + (150 * F278) + (100 * G278) - (300 * H278)) / E278, 2), " ")</f>
        <v>72.040000000000006</v>
      </c>
      <c r="AB278">
        <f>IF(AND(Table1[[#This Row],[Throw Out Pass Def Eff]]="N", Table1[[#This Row],[Against FCS Team]]="N"),200 - ROUND(((5.45 * P278) + (150 * R278) + (100 * S278) - (300 * T278)) / Q278, 2), " ")</f>
        <v>72.98</v>
      </c>
      <c r="AC278">
        <f>IF(AND(Table1[[#This Row],[Throw Out Rush Eff]]="N", Table1[[#This Row],[Against FCS Team]]="N"), ROUND(((23.2 * I278) + (150 * K278) - (300 * L278)) / J278, 2), " ")</f>
        <v>42.28</v>
      </c>
      <c r="AD278" s="3">
        <f>IF(AND(Table1[[#This Row],[Throw Out Rush Def Eff]]="N", Table1[[#This Row],[Against FCS Team]]="N"), 200 - ROUND(((23.2 * U278) + (150 * W278) - (300 * X278)) / V278, 2), " ")</f>
        <v>75.53</v>
      </c>
      <c r="AE278" s="3">
        <f>ROUND(Table1[[#This Row],[Opp Passing Attempts]]/(Table1[[#This Row],[Opp Passing Attempts]]+Table1[[#This Row],[Opp Rushing Attempts]]), 2)</f>
        <v>0.28999999999999998</v>
      </c>
      <c r="AF278" s="3">
        <f>1-Table1[[#This Row],[Passing Weight]]</f>
        <v>0.71</v>
      </c>
      <c r="AG278" s="3" t="str">
        <f>IF(COUNTIF(A:A,Table1[[#This Row],[Opp Team Name]]) &gt; 0, "N", "Y")</f>
        <v>N</v>
      </c>
      <c r="AH278" s="3" t="str">
        <f>IF(Table1[[#This Row],[Passing Attempts]] &lt;15, "Y", "N")</f>
        <v>N</v>
      </c>
      <c r="AI278" s="3" t="str">
        <f>IF(Table1[[#This Row],[Rushing Attempts]] &lt; 15, "Y", "N")</f>
        <v>N</v>
      </c>
      <c r="AJ278" s="3" t="str">
        <f>IF(Table1[[#This Row],[Opp Passing Attempts]]&lt;15, "Y", "N")</f>
        <v>N</v>
      </c>
      <c r="AK278" s="3" t="str">
        <f>IF(Table1[[#This Row],[Opp Rushing Attempts]]&lt;15, "Y", "N")</f>
        <v>N</v>
      </c>
      <c r="AL2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68.42</v>
      </c>
      <c r="AM2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80.42</v>
      </c>
      <c r="AN2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59.36</v>
      </c>
      <c r="AO2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64.33</v>
      </c>
      <c r="AP278" s="3">
        <f>ABS(Table1[[#This Row],[Team Score]]-Table1[[#This Row],[Opp Team Score]])</f>
        <v>21</v>
      </c>
      <c r="AQ278" s="3">
        <f>SUM(Table1[[#This Row],[Team Score]], Table1[[#This Row],[Opp Team Score]])</f>
        <v>61</v>
      </c>
      <c r="AR2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137.17000000000002</v>
      </c>
      <c r="AS278" s="3">
        <f>IF(Table1[[#This Row],[Efficiency Difference]] = " ", " ", ROUND((Table1[[#This Row],[Winning Margin]]*100)/Table1[[#This Row],[Efficiency Difference]], 2))</f>
        <v>15.31</v>
      </c>
    </row>
    <row r="279" spans="1:45">
      <c r="A279" t="s">
        <v>35</v>
      </c>
      <c r="B279">
        <v>306</v>
      </c>
      <c r="C279">
        <v>7</v>
      </c>
      <c r="D279">
        <v>64</v>
      </c>
      <c r="E279">
        <v>20</v>
      </c>
      <c r="F279">
        <v>0</v>
      </c>
      <c r="G279">
        <v>8</v>
      </c>
      <c r="H279">
        <v>2</v>
      </c>
      <c r="I279">
        <v>223</v>
      </c>
      <c r="J279">
        <v>45</v>
      </c>
      <c r="K279">
        <v>1</v>
      </c>
      <c r="L279">
        <v>1</v>
      </c>
      <c r="M279" t="s">
        <v>145</v>
      </c>
      <c r="N279">
        <v>796</v>
      </c>
      <c r="O279">
        <v>59</v>
      </c>
      <c r="P279">
        <v>192</v>
      </c>
      <c r="Q279">
        <v>23</v>
      </c>
      <c r="R279">
        <v>2</v>
      </c>
      <c r="S279">
        <v>14</v>
      </c>
      <c r="T279">
        <v>0</v>
      </c>
      <c r="U279">
        <v>332</v>
      </c>
      <c r="V279">
        <v>42</v>
      </c>
      <c r="W279">
        <v>4</v>
      </c>
      <c r="X279">
        <v>0</v>
      </c>
      <c r="Y279" t="s">
        <v>19</v>
      </c>
      <c r="Z279">
        <v>7</v>
      </c>
      <c r="AA279">
        <f>IF(AND(Table1[[#This Row],[Throw Out Pass Eff]]="N", Table1[[#This Row],[Against FCS Team]]="N"), ROUND(((5.45 * D279) + (150 * F279) + (100 * G279) - (300 * H279)) / E279, 2), " ")</f>
        <v>27.44</v>
      </c>
      <c r="AB279">
        <f>IF(AND(Table1[[#This Row],[Throw Out Pass Def Eff]]="N", Table1[[#This Row],[Against FCS Team]]="N"),200 - ROUND(((5.45 * P279) + (150 * R279) + (100 * S279) - (300 * T279)) / Q279, 2), " ")</f>
        <v>80.59</v>
      </c>
      <c r="AC279">
        <f>IF(AND(Table1[[#This Row],[Throw Out Rush Eff]]="N", Table1[[#This Row],[Against FCS Team]]="N"), ROUND(((23.2 * I279) + (150 * K279) - (300 * L279)) / J279, 2), " ")</f>
        <v>111.64</v>
      </c>
      <c r="AD279" s="3">
        <f>IF(AND(Table1[[#This Row],[Throw Out Rush Def Eff]]="N", Table1[[#This Row],[Against FCS Team]]="N"), 200 - ROUND(((23.2 * U279) + (150 * W279) - (300 * X279)) / V279, 2), " ")</f>
        <v>2.3199999999999932</v>
      </c>
      <c r="AE279" s="3">
        <f>ROUND(Table1[[#This Row],[Opp Passing Attempts]]/(Table1[[#This Row],[Opp Passing Attempts]]+Table1[[#This Row],[Opp Rushing Attempts]]), 2)</f>
        <v>0.35</v>
      </c>
      <c r="AF279" s="3">
        <f>1-Table1[[#This Row],[Passing Weight]]</f>
        <v>0.65</v>
      </c>
      <c r="AG279" s="3" t="str">
        <f>IF(COUNTIF(A:A,Table1[[#This Row],[Opp Team Name]]) &gt; 0, "N", "Y")</f>
        <v>N</v>
      </c>
      <c r="AH279" s="3" t="str">
        <f>IF(Table1[[#This Row],[Passing Attempts]] &lt;15, "Y", "N")</f>
        <v>N</v>
      </c>
      <c r="AI279" s="3" t="str">
        <f>IF(Table1[[#This Row],[Rushing Attempts]] &lt; 15, "Y", "N")</f>
        <v>N</v>
      </c>
      <c r="AJ279" s="3" t="str">
        <f>IF(Table1[[#This Row],[Opp Passing Attempts]]&lt;15, "Y", "N")</f>
        <v>N</v>
      </c>
      <c r="AK279" s="3" t="str">
        <f>IF(Table1[[#This Row],[Opp Rushing Attempts]]&lt;15, "Y", "N")</f>
        <v>N</v>
      </c>
      <c r="AL2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30.99</v>
      </c>
      <c r="AM2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113.86</v>
      </c>
      <c r="AN2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140.85</v>
      </c>
      <c r="AO2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3.39</v>
      </c>
      <c r="AP279" s="3">
        <f>ABS(Table1[[#This Row],[Team Score]]-Table1[[#This Row],[Opp Team Score]])</f>
        <v>52</v>
      </c>
      <c r="AQ279" s="3">
        <f>SUM(Table1[[#This Row],[Team Score]], Table1[[#This Row],[Opp Team Score]])</f>
        <v>66</v>
      </c>
      <c r="AR2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178.01000000000002</v>
      </c>
      <c r="AS279" s="3">
        <f>IF(Table1[[#This Row],[Efficiency Difference]] = " ", " ", ROUND((Table1[[#This Row],[Winning Margin]]*100)/Table1[[#This Row],[Efficiency Difference]], 2))</f>
        <v>29.21</v>
      </c>
    </row>
    <row r="280" spans="1:45">
      <c r="A280" t="s">
        <v>35</v>
      </c>
      <c r="B280">
        <v>306</v>
      </c>
      <c r="C280">
        <v>24</v>
      </c>
      <c r="D280">
        <v>197</v>
      </c>
      <c r="E280">
        <v>24</v>
      </c>
      <c r="F280">
        <v>1</v>
      </c>
      <c r="G280">
        <v>16</v>
      </c>
      <c r="H280">
        <v>0</v>
      </c>
      <c r="I280">
        <v>217</v>
      </c>
      <c r="J280">
        <v>47</v>
      </c>
      <c r="K280">
        <v>2</v>
      </c>
      <c r="L280">
        <v>0</v>
      </c>
      <c r="M280" t="s">
        <v>76</v>
      </c>
      <c r="N280">
        <v>312</v>
      </c>
      <c r="O280">
        <v>45</v>
      </c>
      <c r="P280">
        <v>253</v>
      </c>
      <c r="Q280">
        <v>16</v>
      </c>
      <c r="R280">
        <v>4</v>
      </c>
      <c r="S280">
        <v>12</v>
      </c>
      <c r="T280">
        <v>0</v>
      </c>
      <c r="U280">
        <v>203</v>
      </c>
      <c r="V280">
        <v>42</v>
      </c>
      <c r="W280">
        <v>2</v>
      </c>
      <c r="X280">
        <v>0</v>
      </c>
      <c r="Y280" t="s">
        <v>19</v>
      </c>
      <c r="Z280">
        <v>8</v>
      </c>
      <c r="AA280" s="3">
        <f>IF(AND(Table1[[#This Row],[Throw Out Pass Eff]]="N", Table1[[#This Row],[Against FCS Team]]="N"), ROUND(((5.45 * D280) + (150 * F280) + (100 * G280) - (300 * H280)) / E280, 2), " ")</f>
        <v>117.65</v>
      </c>
      <c r="AB280" s="3">
        <f>IF(AND(Table1[[#This Row],[Throw Out Pass Def Eff]]="N", Table1[[#This Row],[Against FCS Team]]="N"),200 - ROUND(((5.45 * P280) + (150 * R280) + (100 * S280) - (300 * T280)) / Q280, 2), " ")</f>
        <v>1.3199999999999932</v>
      </c>
      <c r="AC280" s="3">
        <f>IF(AND(Table1[[#This Row],[Throw Out Rush Eff]]="N", Table1[[#This Row],[Against FCS Team]]="N"), ROUND(((23.2 * I280) + (150 * K280) - (300 * L280)) / J280, 2), " ")</f>
        <v>113.5</v>
      </c>
      <c r="AD280" s="3">
        <f>IF(AND(Table1[[#This Row],[Throw Out Rush Def Eff]]="N", Table1[[#This Row],[Against FCS Team]]="N"), 200 - ROUND(((23.2 * U280) + (150 * W280) - (300 * X280)) / V280, 2), " ")</f>
        <v>80.72</v>
      </c>
      <c r="AE280" s="3">
        <f>ROUND(Table1[[#This Row],[Opp Passing Attempts]]/(Table1[[#This Row],[Opp Passing Attempts]]+Table1[[#This Row],[Opp Rushing Attempts]]), 2)</f>
        <v>0.28000000000000003</v>
      </c>
      <c r="AF280" s="3">
        <f>1-Table1[[#This Row],[Passing Weight]]</f>
        <v>0.72</v>
      </c>
      <c r="AG280" s="3" t="str">
        <f>IF(COUNTIF(A:A,Table1[[#This Row],[Opp Team Name]]) &gt; 0, "N", "Y")</f>
        <v>N</v>
      </c>
      <c r="AH280" s="3" t="str">
        <f>IF(Table1[[#This Row],[Passing Attempts]] &lt;15, "Y", "N")</f>
        <v>N</v>
      </c>
      <c r="AI280" s="3" t="str">
        <f>IF(Table1[[#This Row],[Rushing Attempts]] &lt; 15, "Y", "N")</f>
        <v>N</v>
      </c>
      <c r="AJ280" s="3" t="str">
        <f>IF(Table1[[#This Row],[Opp Passing Attempts]]&lt;15, "Y", "N")</f>
        <v>N</v>
      </c>
      <c r="AK280" s="3" t="str">
        <f>IF(Table1[[#This Row],[Opp Rushing Attempts]]&lt;15, "Y", "N")</f>
        <v>N</v>
      </c>
      <c r="AL2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107.52</v>
      </c>
      <c r="AM2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1.58</v>
      </c>
      <c r="AN2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128.38</v>
      </c>
      <c r="AO2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78.55</v>
      </c>
      <c r="AP280" s="3">
        <f>ABS(Table1[[#This Row],[Team Score]]-Table1[[#This Row],[Opp Team Score]])</f>
        <v>21</v>
      </c>
      <c r="AQ280" s="3">
        <f>SUM(Table1[[#This Row],[Team Score]], Table1[[#This Row],[Opp Team Score]])</f>
        <v>69</v>
      </c>
      <c r="AR2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86.810000000000031</v>
      </c>
      <c r="AS280" s="3">
        <f>IF(Table1[[#This Row],[Efficiency Difference]] = " ", " ", ROUND((Table1[[#This Row],[Winning Margin]]*100)/Table1[[#This Row],[Efficiency Difference]], 2))</f>
        <v>24.19</v>
      </c>
    </row>
    <row r="281" spans="1:45">
      <c r="A281" t="s">
        <v>76</v>
      </c>
      <c r="B281">
        <v>312</v>
      </c>
      <c r="C281">
        <v>34</v>
      </c>
      <c r="D281">
        <v>246</v>
      </c>
      <c r="E281">
        <v>26</v>
      </c>
      <c r="F281">
        <v>2</v>
      </c>
      <c r="G281">
        <v>15</v>
      </c>
      <c r="H281">
        <v>0</v>
      </c>
      <c r="I281">
        <v>148</v>
      </c>
      <c r="J281">
        <v>33</v>
      </c>
      <c r="K281">
        <v>1</v>
      </c>
      <c r="L281">
        <v>1</v>
      </c>
      <c r="M281" t="s">
        <v>77</v>
      </c>
      <c r="N281">
        <v>692</v>
      </c>
      <c r="O281">
        <v>7</v>
      </c>
      <c r="P281">
        <v>156</v>
      </c>
      <c r="Q281">
        <v>28</v>
      </c>
      <c r="R281">
        <v>0</v>
      </c>
      <c r="S281">
        <v>17</v>
      </c>
      <c r="T281">
        <v>2</v>
      </c>
      <c r="U281">
        <v>140</v>
      </c>
      <c r="V281">
        <v>45</v>
      </c>
      <c r="W281">
        <v>1</v>
      </c>
      <c r="X281">
        <v>0</v>
      </c>
      <c r="Y281" t="s">
        <v>16</v>
      </c>
      <c r="Z281">
        <v>1</v>
      </c>
      <c r="AA281" t="str">
        <f>IF(AND(Table1[[#This Row],[Throw Out Pass Eff]]="N", Table1[[#This Row],[Against FCS Team]]="N"), ROUND(((5.45 * D281) + (150 * F281) + (100 * G281) - (300 * H281)) / E281, 2), " ")</f>
        <v xml:space="preserve"> </v>
      </c>
      <c r="AB281" t="str">
        <f>IF(AND(Table1[[#This Row],[Throw Out Pass Def Eff]]="N", Table1[[#This Row],[Against FCS Team]]="N"),200 - ROUND(((5.45 * P281) + (150 * R281) + (100 * S281) - (300 * T281)) / Q281, 2), " ")</f>
        <v xml:space="preserve"> </v>
      </c>
      <c r="AC281" t="str">
        <f>IF(AND(Table1[[#This Row],[Throw Out Rush Eff]]="N", Table1[[#This Row],[Against FCS Team]]="N"), ROUND(((23.2 * I281) + (150 * K281) - (300 * L281)) / J281, 2), " ")</f>
        <v xml:space="preserve"> </v>
      </c>
      <c r="AD281" s="3" t="str">
        <f>IF(AND(Table1[[#This Row],[Throw Out Rush Def Eff]]="N", Table1[[#This Row],[Against FCS Team]]="N"), 200 - ROUND(((23.2 * U281) + (150 * W281) - (300 * X281)) / V281, 2), " ")</f>
        <v xml:space="preserve"> </v>
      </c>
      <c r="AE281" s="3">
        <f>ROUND(Table1[[#This Row],[Opp Passing Attempts]]/(Table1[[#This Row],[Opp Passing Attempts]]+Table1[[#This Row],[Opp Rushing Attempts]]), 2)</f>
        <v>0.38</v>
      </c>
      <c r="AF281" s="3">
        <f>1-Table1[[#This Row],[Passing Weight]]</f>
        <v>0.62</v>
      </c>
      <c r="AG281" s="3" t="str">
        <f>IF(COUNTIF(A:A,Table1[[#This Row],[Opp Team Name]]) &gt; 0, "N", "Y")</f>
        <v>Y</v>
      </c>
      <c r="AH281" s="3" t="str">
        <f>IF(Table1[[#This Row],[Passing Attempts]] &lt;15, "Y", "N")</f>
        <v>N</v>
      </c>
      <c r="AI281" s="3" t="str">
        <f>IF(Table1[[#This Row],[Rushing Attempts]] &lt; 15, "Y", "N")</f>
        <v>N</v>
      </c>
      <c r="AJ281" s="3" t="str">
        <f>IF(Table1[[#This Row],[Opp Passing Attempts]]&lt;15, "Y", "N")</f>
        <v>N</v>
      </c>
      <c r="AK281" s="3" t="str">
        <f>IF(Table1[[#This Row],[Opp Rushing Attempts]]&lt;15, "Y", "N")</f>
        <v>N</v>
      </c>
      <c r="AL28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8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8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8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81" s="3">
        <f>ABS(Table1[[#This Row],[Team Score]]-Table1[[#This Row],[Opp Team Score]])</f>
        <v>27</v>
      </c>
      <c r="AQ281" s="3">
        <f>SUM(Table1[[#This Row],[Team Score]], Table1[[#This Row],[Opp Team Score]])</f>
        <v>41</v>
      </c>
      <c r="AR28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81" s="3" t="str">
        <f>IF(Table1[[#This Row],[Efficiency Difference]] = " ", " ", ROUND((Table1[[#This Row],[Winning Margin]]*100)/Table1[[#This Row],[Efficiency Difference]], 2))</f>
        <v xml:space="preserve"> </v>
      </c>
    </row>
    <row r="282" spans="1:45">
      <c r="A282" t="s">
        <v>76</v>
      </c>
      <c r="B282">
        <v>312</v>
      </c>
      <c r="C282">
        <v>41</v>
      </c>
      <c r="D282">
        <v>207</v>
      </c>
      <c r="E282">
        <v>29</v>
      </c>
      <c r="F282">
        <v>2</v>
      </c>
      <c r="G282">
        <v>16</v>
      </c>
      <c r="H282">
        <v>0</v>
      </c>
      <c r="I282">
        <v>158</v>
      </c>
      <c r="J282">
        <v>43</v>
      </c>
      <c r="K282">
        <v>2</v>
      </c>
      <c r="L282">
        <v>1</v>
      </c>
      <c r="M282" t="s">
        <v>78</v>
      </c>
      <c r="N282">
        <v>311</v>
      </c>
      <c r="O282">
        <v>44</v>
      </c>
      <c r="P282">
        <v>279</v>
      </c>
      <c r="Q282">
        <v>38</v>
      </c>
      <c r="R282">
        <v>4</v>
      </c>
      <c r="S282">
        <v>25</v>
      </c>
      <c r="T282">
        <v>0</v>
      </c>
      <c r="U282">
        <v>194</v>
      </c>
      <c r="V282">
        <v>52</v>
      </c>
      <c r="W282">
        <v>2</v>
      </c>
      <c r="X282">
        <v>3</v>
      </c>
      <c r="Y282" t="s">
        <v>19</v>
      </c>
      <c r="Z282">
        <v>2</v>
      </c>
      <c r="AA282">
        <f>IF(AND(Table1[[#This Row],[Throw Out Pass Eff]]="N", Table1[[#This Row],[Against FCS Team]]="N"), ROUND(((5.45 * D282) + (150 * F282) + (100 * G282) - (300 * H282)) / E282, 2), " ")</f>
        <v>104.42</v>
      </c>
      <c r="AB282">
        <f>IF(AND(Table1[[#This Row],[Throw Out Pass Def Eff]]="N", Table1[[#This Row],[Against FCS Team]]="N"),200 - ROUND(((5.45 * P282) + (150 * R282) + (100 * S282) - (300 * T282)) / Q282, 2), " ")</f>
        <v>78.41</v>
      </c>
      <c r="AC282">
        <f>IF(AND(Table1[[#This Row],[Throw Out Rush Eff]]="N", Table1[[#This Row],[Against FCS Team]]="N"), ROUND(((23.2 * I282) + (150 * K282) - (300 * L282)) / J282, 2), " ")</f>
        <v>85.25</v>
      </c>
      <c r="AD282" s="3">
        <f>IF(AND(Table1[[#This Row],[Throw Out Rush Def Eff]]="N", Table1[[#This Row],[Against FCS Team]]="N"), 200 - ROUND(((23.2 * U282) + (150 * W282) - (300 * X282)) / V282, 2), " ")</f>
        <v>124.98</v>
      </c>
      <c r="AE282" s="3">
        <f>ROUND(Table1[[#This Row],[Opp Passing Attempts]]/(Table1[[#This Row],[Opp Passing Attempts]]+Table1[[#This Row],[Opp Rushing Attempts]]), 2)</f>
        <v>0.42</v>
      </c>
      <c r="AF282" s="3">
        <f>1-Table1[[#This Row],[Passing Weight]]</f>
        <v>0.58000000000000007</v>
      </c>
      <c r="AG282" s="3" t="str">
        <f>IF(COUNTIF(A:A,Table1[[#This Row],[Opp Team Name]]) &gt; 0, "N", "Y")</f>
        <v>N</v>
      </c>
      <c r="AH282" s="3" t="str">
        <f>IF(Table1[[#This Row],[Passing Attempts]] &lt;15, "Y", "N")</f>
        <v>N</v>
      </c>
      <c r="AI282" s="3" t="str">
        <f>IF(Table1[[#This Row],[Rushing Attempts]] &lt; 15, "Y", "N")</f>
        <v>N</v>
      </c>
      <c r="AJ282" s="3" t="str">
        <f>IF(Table1[[#This Row],[Opp Passing Attempts]]&lt;15, "Y", "N")</f>
        <v>N</v>
      </c>
      <c r="AK282" s="3" t="str">
        <f>IF(Table1[[#This Row],[Opp Rushing Attempts]]&lt;15, "Y", "N")</f>
        <v>N</v>
      </c>
      <c r="AL28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98.03</v>
      </c>
      <c r="AM28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65.739999999999995</v>
      </c>
      <c r="AN28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84.57</v>
      </c>
      <c r="AO28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109.07</v>
      </c>
      <c r="AP282" s="3">
        <f>ABS(Table1[[#This Row],[Team Score]]-Table1[[#This Row],[Opp Team Score]])</f>
        <v>3</v>
      </c>
      <c r="AQ282" s="3">
        <f>SUM(Table1[[#This Row],[Team Score]], Table1[[#This Row],[Opp Team Score]])</f>
        <v>85</v>
      </c>
      <c r="AR28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6.9399999999999977</v>
      </c>
      <c r="AS282" s="3">
        <f>IF(Table1[[#This Row],[Efficiency Difference]] = " ", " ", ROUND((Table1[[#This Row],[Winning Margin]]*100)/Table1[[#This Row],[Efficiency Difference]], 2))</f>
        <v>43.23</v>
      </c>
    </row>
    <row r="283" spans="1:45">
      <c r="A283" t="s">
        <v>76</v>
      </c>
      <c r="B283">
        <v>312</v>
      </c>
      <c r="C283">
        <v>31</v>
      </c>
      <c r="D283">
        <v>399</v>
      </c>
      <c r="E283">
        <v>48</v>
      </c>
      <c r="F283">
        <v>3</v>
      </c>
      <c r="G283">
        <v>31</v>
      </c>
      <c r="H283">
        <v>1</v>
      </c>
      <c r="I283">
        <v>76</v>
      </c>
      <c r="J283">
        <v>33</v>
      </c>
      <c r="K283">
        <v>1</v>
      </c>
      <c r="L283">
        <v>0</v>
      </c>
      <c r="M283" t="s">
        <v>45</v>
      </c>
      <c r="N283">
        <v>545</v>
      </c>
      <c r="O283">
        <v>27</v>
      </c>
      <c r="P283">
        <v>285</v>
      </c>
      <c r="Q283">
        <v>34</v>
      </c>
      <c r="R283">
        <v>3</v>
      </c>
      <c r="S283">
        <v>24</v>
      </c>
      <c r="T283">
        <v>2</v>
      </c>
      <c r="U283">
        <v>137</v>
      </c>
      <c r="V283">
        <v>37</v>
      </c>
      <c r="W283">
        <v>0</v>
      </c>
      <c r="X283">
        <v>1</v>
      </c>
      <c r="Y283" t="s">
        <v>16</v>
      </c>
      <c r="Z283">
        <v>3</v>
      </c>
      <c r="AA283">
        <f>IF(AND(Table1[[#This Row],[Throw Out Pass Eff]]="N", Table1[[#This Row],[Against FCS Team]]="N"), ROUND(((5.45 * D283) + (150 * F283) + (100 * G283) - (300 * H283)) / E283, 2), " ")</f>
        <v>113.01</v>
      </c>
      <c r="AB283">
        <f>IF(AND(Table1[[#This Row],[Throw Out Pass Def Eff]]="N", Table1[[#This Row],[Against FCS Team]]="N"),200 - ROUND(((5.45 * P283) + (150 * R283) + (100 * S283) - (300 * T283)) / Q283, 2), " ")</f>
        <v>88.14</v>
      </c>
      <c r="AC283">
        <f>IF(AND(Table1[[#This Row],[Throw Out Rush Eff]]="N", Table1[[#This Row],[Against FCS Team]]="N"), ROUND(((23.2 * I283) + (150 * K283) - (300 * L283)) / J283, 2), " ")</f>
        <v>57.98</v>
      </c>
      <c r="AD283" s="3">
        <f>IF(AND(Table1[[#This Row],[Throw Out Rush Def Eff]]="N", Table1[[#This Row],[Against FCS Team]]="N"), 200 - ROUND(((23.2 * U283) + (150 * W283) - (300 * X283)) / V283, 2), " ")</f>
        <v>122.21</v>
      </c>
      <c r="AE283" s="3">
        <f>ROUND(Table1[[#This Row],[Opp Passing Attempts]]/(Table1[[#This Row],[Opp Passing Attempts]]+Table1[[#This Row],[Opp Rushing Attempts]]), 2)</f>
        <v>0.48</v>
      </c>
      <c r="AF283" s="3">
        <f>1-Table1[[#This Row],[Passing Weight]]</f>
        <v>0.52</v>
      </c>
      <c r="AG283" s="3" t="str">
        <f>IF(COUNTIF(A:A,Table1[[#This Row],[Opp Team Name]]) &gt; 0, "N", "Y")</f>
        <v>N</v>
      </c>
      <c r="AH283" s="3" t="str">
        <f>IF(Table1[[#This Row],[Passing Attempts]] &lt;15, "Y", "N")</f>
        <v>N</v>
      </c>
      <c r="AI283" s="3" t="str">
        <f>IF(Table1[[#This Row],[Rushing Attempts]] &lt; 15, "Y", "N")</f>
        <v>N</v>
      </c>
      <c r="AJ283" s="3" t="str">
        <f>IF(Table1[[#This Row],[Opp Passing Attempts]]&lt;15, "Y", "N")</f>
        <v>N</v>
      </c>
      <c r="AK283" s="3" t="str">
        <f>IF(Table1[[#This Row],[Opp Rushing Attempts]]&lt;15, "Y", "N")</f>
        <v>N</v>
      </c>
      <c r="AL28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119.49</v>
      </c>
      <c r="AM28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69.260000000000005</v>
      </c>
      <c r="AN28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69.599999999999994</v>
      </c>
      <c r="AO28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112.72</v>
      </c>
      <c r="AP283" s="3">
        <f>ABS(Table1[[#This Row],[Team Score]]-Table1[[#This Row],[Opp Team Score]])</f>
        <v>4</v>
      </c>
      <c r="AQ283" s="3">
        <f>SUM(Table1[[#This Row],[Team Score]], Table1[[#This Row],[Opp Team Score]])</f>
        <v>58</v>
      </c>
      <c r="AR28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18.659999999999997</v>
      </c>
      <c r="AS283" s="3">
        <f>IF(Table1[[#This Row],[Efficiency Difference]] = " ", " ", ROUND((Table1[[#This Row],[Winning Margin]]*100)/Table1[[#This Row],[Efficiency Difference]], 2))</f>
        <v>21.44</v>
      </c>
    </row>
    <row r="284" spans="1:45">
      <c r="A284" t="s">
        <v>76</v>
      </c>
      <c r="B284">
        <v>312</v>
      </c>
      <c r="C284">
        <v>45</v>
      </c>
      <c r="D284">
        <v>273</v>
      </c>
      <c r="E284">
        <v>33</v>
      </c>
      <c r="F284">
        <v>3</v>
      </c>
      <c r="G284">
        <v>22</v>
      </c>
      <c r="H284">
        <v>0</v>
      </c>
      <c r="I284">
        <v>180</v>
      </c>
      <c r="J284">
        <v>34</v>
      </c>
      <c r="K284">
        <v>3</v>
      </c>
      <c r="L284">
        <v>1</v>
      </c>
      <c r="M284" t="s">
        <v>71</v>
      </c>
      <c r="N284">
        <v>498</v>
      </c>
      <c r="O284">
        <v>17</v>
      </c>
      <c r="P284">
        <v>293</v>
      </c>
      <c r="Q284">
        <v>44</v>
      </c>
      <c r="R284">
        <v>0</v>
      </c>
      <c r="S284">
        <v>29</v>
      </c>
      <c r="T284">
        <v>0</v>
      </c>
      <c r="U284">
        <v>59</v>
      </c>
      <c r="V284">
        <v>30</v>
      </c>
      <c r="W284">
        <v>2</v>
      </c>
      <c r="X284">
        <v>0</v>
      </c>
      <c r="Y284" t="s">
        <v>16</v>
      </c>
      <c r="Z284">
        <v>4</v>
      </c>
      <c r="AA284">
        <f>IF(AND(Table1[[#This Row],[Throw Out Pass Eff]]="N", Table1[[#This Row],[Against FCS Team]]="N"), ROUND(((5.45 * D284) + (150 * F284) + (100 * G284) - (300 * H284)) / E284, 2), " ")</f>
        <v>125.39</v>
      </c>
      <c r="AB284">
        <f>IF(AND(Table1[[#This Row],[Throw Out Pass Def Eff]]="N", Table1[[#This Row],[Against FCS Team]]="N"),200 - ROUND(((5.45 * P284) + (150 * R284) + (100 * S284) - (300 * T284)) / Q284, 2), " ")</f>
        <v>97.8</v>
      </c>
      <c r="AC284">
        <f>IF(AND(Table1[[#This Row],[Throw Out Rush Eff]]="N", Table1[[#This Row],[Against FCS Team]]="N"), ROUND(((23.2 * I284) + (150 * K284) - (300 * L284)) / J284, 2), " ")</f>
        <v>127.24</v>
      </c>
      <c r="AD284" s="3">
        <f>IF(AND(Table1[[#This Row],[Throw Out Rush Def Eff]]="N", Table1[[#This Row],[Against FCS Team]]="N"), 200 - ROUND(((23.2 * U284) + (150 * W284) - (300 * X284)) / V284, 2), " ")</f>
        <v>144.37</v>
      </c>
      <c r="AE284" s="3">
        <f>ROUND(Table1[[#This Row],[Opp Passing Attempts]]/(Table1[[#This Row],[Opp Passing Attempts]]+Table1[[#This Row],[Opp Rushing Attempts]]), 2)</f>
        <v>0.59</v>
      </c>
      <c r="AF284" s="3">
        <f>1-Table1[[#This Row],[Passing Weight]]</f>
        <v>0.41000000000000003</v>
      </c>
      <c r="AG284" s="3" t="str">
        <f>IF(COUNTIF(A:A,Table1[[#This Row],[Opp Team Name]]) &gt; 0, "N", "Y")</f>
        <v>N</v>
      </c>
      <c r="AH284" s="3" t="str">
        <f>IF(Table1[[#This Row],[Passing Attempts]] &lt;15, "Y", "N")</f>
        <v>N</v>
      </c>
      <c r="AI284" s="3" t="str">
        <f>IF(Table1[[#This Row],[Rushing Attempts]] &lt; 15, "Y", "N")</f>
        <v>N</v>
      </c>
      <c r="AJ284" s="3" t="str">
        <f>IF(Table1[[#This Row],[Opp Passing Attempts]]&lt;15, "Y", "N")</f>
        <v>N</v>
      </c>
      <c r="AK284" s="3" t="str">
        <f>IF(Table1[[#This Row],[Opp Rushing Attempts]]&lt;15, "Y", "N")</f>
        <v>N</v>
      </c>
      <c r="AL28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122.36</v>
      </c>
      <c r="AM28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87.25</v>
      </c>
      <c r="AN28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157.91</v>
      </c>
      <c r="AO28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103.32</v>
      </c>
      <c r="AP284" s="3">
        <f>ABS(Table1[[#This Row],[Team Score]]-Table1[[#This Row],[Opp Team Score]])</f>
        <v>28</v>
      </c>
      <c r="AQ284" s="3">
        <f>SUM(Table1[[#This Row],[Team Score]], Table1[[#This Row],[Opp Team Score]])</f>
        <v>62</v>
      </c>
      <c r="AR28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94.800000000000011</v>
      </c>
      <c r="AS284" s="3">
        <f>IF(Table1[[#This Row],[Efficiency Difference]] = " ", " ", ROUND((Table1[[#This Row],[Winning Margin]]*100)/Table1[[#This Row],[Efficiency Difference]], 2))</f>
        <v>29.54</v>
      </c>
    </row>
    <row r="285" spans="1:45">
      <c r="A285" t="s">
        <v>76</v>
      </c>
      <c r="B285">
        <v>312</v>
      </c>
      <c r="C285">
        <v>3</v>
      </c>
      <c r="D285">
        <v>169</v>
      </c>
      <c r="E285">
        <v>34</v>
      </c>
      <c r="F285">
        <v>0</v>
      </c>
      <c r="G285">
        <v>17</v>
      </c>
      <c r="H285">
        <v>2</v>
      </c>
      <c r="I285">
        <v>84</v>
      </c>
      <c r="J285">
        <v>30</v>
      </c>
      <c r="K285">
        <v>0</v>
      </c>
      <c r="L285">
        <v>1</v>
      </c>
      <c r="M285" t="s">
        <v>120</v>
      </c>
      <c r="N285">
        <v>539</v>
      </c>
      <c r="O285">
        <v>13</v>
      </c>
      <c r="P285">
        <v>164</v>
      </c>
      <c r="Q285">
        <v>26</v>
      </c>
      <c r="R285">
        <v>1</v>
      </c>
      <c r="S285">
        <v>15</v>
      </c>
      <c r="T285">
        <v>1</v>
      </c>
      <c r="U285">
        <v>231</v>
      </c>
      <c r="V285">
        <v>46</v>
      </c>
      <c r="W285">
        <v>0</v>
      </c>
      <c r="X285">
        <v>0</v>
      </c>
      <c r="Y285" t="s">
        <v>19</v>
      </c>
      <c r="Z285">
        <v>6</v>
      </c>
      <c r="AA285">
        <f>IF(AND(Table1[[#This Row],[Throw Out Pass Eff]]="N", Table1[[#This Row],[Against FCS Team]]="N"), ROUND(((5.45 * D285) + (150 * F285) + (100 * G285) - (300 * H285)) / E285, 2), " ")</f>
        <v>59.44</v>
      </c>
      <c r="AB285">
        <f>IF(AND(Table1[[#This Row],[Throw Out Pass Def Eff]]="N", Table1[[#This Row],[Against FCS Team]]="N"),200 - ROUND(((5.45 * P285) + (150 * R285) + (100 * S285) - (300 * T285)) / Q285, 2), " ")</f>
        <v>113.7</v>
      </c>
      <c r="AC285">
        <f>IF(AND(Table1[[#This Row],[Throw Out Rush Eff]]="N", Table1[[#This Row],[Against FCS Team]]="N"), ROUND(((23.2 * I285) + (150 * K285) - (300 * L285)) / J285, 2), " ")</f>
        <v>54.96</v>
      </c>
      <c r="AD285" s="3">
        <f>IF(AND(Table1[[#This Row],[Throw Out Rush Def Eff]]="N", Table1[[#This Row],[Against FCS Team]]="N"), 200 - ROUND(((23.2 * U285) + (150 * W285) - (300 * X285)) / V285, 2), " ")</f>
        <v>83.5</v>
      </c>
      <c r="AE285" s="3">
        <f>ROUND(Table1[[#This Row],[Opp Passing Attempts]]/(Table1[[#This Row],[Opp Passing Attempts]]+Table1[[#This Row],[Opp Rushing Attempts]]), 2)</f>
        <v>0.36</v>
      </c>
      <c r="AF285" s="3">
        <f>1-Table1[[#This Row],[Passing Weight]]</f>
        <v>0.64</v>
      </c>
      <c r="AG285" s="3" t="str">
        <f>IF(COUNTIF(A:A,Table1[[#This Row],[Opp Team Name]]) &gt; 0, "N", "Y")</f>
        <v>N</v>
      </c>
      <c r="AH285" s="3" t="str">
        <f>IF(Table1[[#This Row],[Passing Attempts]] &lt;15, "Y", "N")</f>
        <v>N</v>
      </c>
      <c r="AI285" s="3" t="str">
        <f>IF(Table1[[#This Row],[Rushing Attempts]] &lt; 15, "Y", "N")</f>
        <v>N</v>
      </c>
      <c r="AJ285" s="3" t="str">
        <f>IF(Table1[[#This Row],[Opp Passing Attempts]]&lt;15, "Y", "N")</f>
        <v>N</v>
      </c>
      <c r="AK285" s="3" t="str">
        <f>IF(Table1[[#This Row],[Opp Rushing Attempts]]&lt;15, "Y", "N")</f>
        <v>N</v>
      </c>
      <c r="AL28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74.930000000000007</v>
      </c>
      <c r="AM28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99.41</v>
      </c>
      <c r="AN28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72.400000000000006</v>
      </c>
      <c r="AO28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73.53</v>
      </c>
      <c r="AP285" s="3">
        <f>ABS(Table1[[#This Row],[Team Score]]-Table1[[#This Row],[Opp Team Score]])</f>
        <v>10</v>
      </c>
      <c r="AQ285" s="3">
        <f>SUM(Table1[[#This Row],[Team Score]], Table1[[#This Row],[Opp Team Score]])</f>
        <v>16</v>
      </c>
      <c r="AR28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88.4</v>
      </c>
      <c r="AS285" s="3">
        <f>IF(Table1[[#This Row],[Efficiency Difference]] = " ", " ", ROUND((Table1[[#This Row],[Winning Margin]]*100)/Table1[[#This Row],[Efficiency Difference]], 2))</f>
        <v>11.31</v>
      </c>
    </row>
    <row r="286" spans="1:45">
      <c r="A286" t="s">
        <v>76</v>
      </c>
      <c r="B286">
        <v>312</v>
      </c>
      <c r="C286">
        <v>41</v>
      </c>
      <c r="D286">
        <v>224</v>
      </c>
      <c r="E286">
        <v>22</v>
      </c>
      <c r="F286">
        <v>2</v>
      </c>
      <c r="G286">
        <v>14</v>
      </c>
      <c r="H286">
        <v>1</v>
      </c>
      <c r="I286">
        <v>155</v>
      </c>
      <c r="J286">
        <v>28</v>
      </c>
      <c r="K286">
        <v>2</v>
      </c>
      <c r="L286">
        <v>0</v>
      </c>
      <c r="M286" t="s">
        <v>41</v>
      </c>
      <c r="N286">
        <v>509</v>
      </c>
      <c r="O286">
        <v>31</v>
      </c>
      <c r="P286">
        <v>342</v>
      </c>
      <c r="Q286">
        <v>51</v>
      </c>
      <c r="R286">
        <v>3</v>
      </c>
      <c r="S286">
        <v>37</v>
      </c>
      <c r="T286">
        <v>1</v>
      </c>
      <c r="U286">
        <v>153</v>
      </c>
      <c r="V286">
        <v>41</v>
      </c>
      <c r="W286">
        <v>1</v>
      </c>
      <c r="X286">
        <v>1</v>
      </c>
      <c r="Y286" t="s">
        <v>16</v>
      </c>
      <c r="Z286">
        <v>7</v>
      </c>
      <c r="AA286">
        <f>IF(AND(Table1[[#This Row],[Throw Out Pass Eff]]="N", Table1[[#This Row],[Against FCS Team]]="N"), ROUND(((5.45 * D286) + (150 * F286) + (100 * G286) - (300 * H286)) / E286, 2), " ")</f>
        <v>119.13</v>
      </c>
      <c r="AB286">
        <f>IF(AND(Table1[[#This Row],[Throw Out Pass Def Eff]]="N", Table1[[#This Row],[Against FCS Team]]="N"),200 - ROUND(((5.45 * P286) + (150 * R286) + (100 * S286) - (300 * T286)) / Q286, 2), " ")</f>
        <v>87.96</v>
      </c>
      <c r="AC286">
        <f>IF(AND(Table1[[#This Row],[Throw Out Rush Eff]]="N", Table1[[#This Row],[Against FCS Team]]="N"), ROUND(((23.2 * I286) + (150 * K286) - (300 * L286)) / J286, 2), " ")</f>
        <v>139.13999999999999</v>
      </c>
      <c r="AD286" s="3">
        <f>IF(AND(Table1[[#This Row],[Throw Out Rush Def Eff]]="N", Table1[[#This Row],[Against FCS Team]]="N"), 200 - ROUND(((23.2 * U286) + (150 * W286) - (300 * X286)) / V286, 2), " ")</f>
        <v>117.08</v>
      </c>
      <c r="AE286" s="3">
        <f>ROUND(Table1[[#This Row],[Opp Passing Attempts]]/(Table1[[#This Row],[Opp Passing Attempts]]+Table1[[#This Row],[Opp Rushing Attempts]]), 2)</f>
        <v>0.55000000000000004</v>
      </c>
      <c r="AF286" s="3">
        <f>1-Table1[[#This Row],[Passing Weight]]</f>
        <v>0.44999999999999996</v>
      </c>
      <c r="AG286" s="3" t="str">
        <f>IF(COUNTIF(A:A,Table1[[#This Row],[Opp Team Name]]) &gt; 0, "N", "Y")</f>
        <v>N</v>
      </c>
      <c r="AH286" s="3" t="str">
        <f>IF(Table1[[#This Row],[Passing Attempts]] &lt;15, "Y", "N")</f>
        <v>N</v>
      </c>
      <c r="AI286" s="3" t="str">
        <f>IF(Table1[[#This Row],[Rushing Attempts]] &lt; 15, "Y", "N")</f>
        <v>N</v>
      </c>
      <c r="AJ286" s="3" t="str">
        <f>IF(Table1[[#This Row],[Opp Passing Attempts]]&lt;15, "Y", "N")</f>
        <v>N</v>
      </c>
      <c r="AK286" s="3" t="str">
        <f>IF(Table1[[#This Row],[Opp Rushing Attempts]]&lt;15, "Y", "N")</f>
        <v>N</v>
      </c>
      <c r="AL28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100.8</v>
      </c>
      <c r="AM28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102.63</v>
      </c>
      <c r="AN28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137.53</v>
      </c>
      <c r="AO28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104.18</v>
      </c>
      <c r="AP286" s="3">
        <f>ABS(Table1[[#This Row],[Team Score]]-Table1[[#This Row],[Opp Team Score]])</f>
        <v>10</v>
      </c>
      <c r="AQ286" s="3">
        <f>SUM(Table1[[#This Row],[Team Score]], Table1[[#This Row],[Opp Team Score]])</f>
        <v>72</v>
      </c>
      <c r="AR28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63.309999999999974</v>
      </c>
      <c r="AS286" s="3">
        <f>IF(Table1[[#This Row],[Efficiency Difference]] = " ", " ", ROUND((Table1[[#This Row],[Winning Margin]]*100)/Table1[[#This Row],[Efficiency Difference]], 2))</f>
        <v>15.8</v>
      </c>
    </row>
    <row r="287" spans="1:45">
      <c r="A287" t="s">
        <v>76</v>
      </c>
      <c r="B287">
        <v>312</v>
      </c>
      <c r="C287">
        <v>45</v>
      </c>
      <c r="D287">
        <v>253</v>
      </c>
      <c r="E287">
        <v>16</v>
      </c>
      <c r="F287">
        <v>4</v>
      </c>
      <c r="G287">
        <v>12</v>
      </c>
      <c r="H287">
        <v>0</v>
      </c>
      <c r="I287">
        <v>203</v>
      </c>
      <c r="J287">
        <v>42</v>
      </c>
      <c r="K287">
        <v>2</v>
      </c>
      <c r="L287">
        <v>0</v>
      </c>
      <c r="M287" t="s">
        <v>35</v>
      </c>
      <c r="N287">
        <v>306</v>
      </c>
      <c r="O287">
        <v>24</v>
      </c>
      <c r="P287">
        <v>197</v>
      </c>
      <c r="Q287">
        <v>24</v>
      </c>
      <c r="R287">
        <v>1</v>
      </c>
      <c r="S287">
        <v>16</v>
      </c>
      <c r="T287">
        <v>0</v>
      </c>
      <c r="U287">
        <v>217</v>
      </c>
      <c r="V287">
        <v>47</v>
      </c>
      <c r="W287">
        <v>2</v>
      </c>
      <c r="X287">
        <v>0</v>
      </c>
      <c r="Y287" t="s">
        <v>16</v>
      </c>
      <c r="Z287">
        <v>8</v>
      </c>
      <c r="AA287" s="3">
        <f>IF(AND(Table1[[#This Row],[Throw Out Pass Eff]]="N", Table1[[#This Row],[Against FCS Team]]="N"), ROUND(((5.45 * D287) + (150 * F287) + (100 * G287) - (300 * H287)) / E287, 2), " ")</f>
        <v>198.68</v>
      </c>
      <c r="AB287" s="3">
        <f>IF(AND(Table1[[#This Row],[Throw Out Pass Def Eff]]="N", Table1[[#This Row],[Against FCS Team]]="N"),200 - ROUND(((5.45 * P287) + (150 * R287) + (100 * S287) - (300 * T287)) / Q287, 2), " ")</f>
        <v>82.35</v>
      </c>
      <c r="AC287" s="3">
        <f>IF(AND(Table1[[#This Row],[Throw Out Rush Eff]]="N", Table1[[#This Row],[Against FCS Team]]="N"), ROUND(((23.2 * I287) + (150 * K287) - (300 * L287)) / J287, 2), " ")</f>
        <v>119.28</v>
      </c>
      <c r="AD287" s="3">
        <f>IF(AND(Table1[[#This Row],[Throw Out Rush Def Eff]]="N", Table1[[#This Row],[Against FCS Team]]="N"), 200 - ROUND(((23.2 * U287) + (150 * W287) - (300 * X287)) / V287, 2), " ")</f>
        <v>86.5</v>
      </c>
      <c r="AE287" s="3">
        <f>ROUND(Table1[[#This Row],[Opp Passing Attempts]]/(Table1[[#This Row],[Opp Passing Attempts]]+Table1[[#This Row],[Opp Rushing Attempts]]), 2)</f>
        <v>0.34</v>
      </c>
      <c r="AF287" s="3">
        <f>1-Table1[[#This Row],[Passing Weight]]</f>
        <v>0.65999999999999992</v>
      </c>
      <c r="AG287" s="3" t="str">
        <f>IF(COUNTIF(A:A,Table1[[#This Row],[Opp Team Name]]) &gt; 0, "N", "Y")</f>
        <v>N</v>
      </c>
      <c r="AH287" s="3" t="str">
        <f>IF(Table1[[#This Row],[Passing Attempts]] &lt;15, "Y", "N")</f>
        <v>N</v>
      </c>
      <c r="AI287" s="3" t="str">
        <f>IF(Table1[[#This Row],[Rushing Attempts]] &lt; 15, "Y", "N")</f>
        <v>N</v>
      </c>
      <c r="AJ287" s="3" t="str">
        <f>IF(Table1[[#This Row],[Opp Passing Attempts]]&lt;15, "Y", "N")</f>
        <v>N</v>
      </c>
      <c r="AK287" s="3" t="str">
        <f>IF(Table1[[#This Row],[Opp Rushing Attempts]]&lt;15, "Y", "N")</f>
        <v>N</v>
      </c>
      <c r="AL28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161.74</v>
      </c>
      <c r="AM2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67.069999999999993</v>
      </c>
      <c r="AN2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99.67</v>
      </c>
      <c r="AO2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61.7</v>
      </c>
      <c r="AP287" s="3">
        <f>ABS(Table1[[#This Row],[Team Score]]-Table1[[#This Row],[Opp Team Score]])</f>
        <v>21</v>
      </c>
      <c r="AQ287" s="3">
        <f>SUM(Table1[[#This Row],[Team Score]], Table1[[#This Row],[Opp Team Score]])</f>
        <v>69</v>
      </c>
      <c r="AR28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86.810000000000031</v>
      </c>
      <c r="AS287" s="3">
        <f>IF(Table1[[#This Row],[Efficiency Difference]] = " ", " ", ROUND((Table1[[#This Row],[Winning Margin]]*100)/Table1[[#This Row],[Efficiency Difference]], 2))</f>
        <v>24.19</v>
      </c>
    </row>
    <row r="288" spans="1:45">
      <c r="A288" t="s">
        <v>78</v>
      </c>
      <c r="B288">
        <v>311</v>
      </c>
      <c r="C288">
        <v>20</v>
      </c>
      <c r="D288">
        <v>187</v>
      </c>
      <c r="E288">
        <v>40</v>
      </c>
      <c r="F288">
        <v>1</v>
      </c>
      <c r="G288">
        <v>18</v>
      </c>
      <c r="H288">
        <v>3</v>
      </c>
      <c r="I288">
        <v>141</v>
      </c>
      <c r="J288">
        <v>39</v>
      </c>
      <c r="K288">
        <v>2</v>
      </c>
      <c r="L288">
        <v>1</v>
      </c>
      <c r="M288" t="s">
        <v>79</v>
      </c>
      <c r="N288">
        <v>504</v>
      </c>
      <c r="O288">
        <v>19</v>
      </c>
      <c r="P288">
        <v>181</v>
      </c>
      <c r="Q288">
        <v>32</v>
      </c>
      <c r="R288">
        <v>1</v>
      </c>
      <c r="S288">
        <v>15</v>
      </c>
      <c r="T288">
        <v>0</v>
      </c>
      <c r="U288">
        <v>204</v>
      </c>
      <c r="V288">
        <v>42</v>
      </c>
      <c r="W288">
        <v>1</v>
      </c>
      <c r="X288">
        <v>1</v>
      </c>
      <c r="Y288" t="s">
        <v>16</v>
      </c>
      <c r="Z288">
        <v>1</v>
      </c>
      <c r="AA288" t="str">
        <f>IF(AND(Table1[[#This Row],[Throw Out Pass Eff]]="N", Table1[[#This Row],[Against FCS Team]]="N"), ROUND(((5.45 * D288) + (150 * F288) + (100 * G288) - (300 * H288)) / E288, 2), " ")</f>
        <v xml:space="preserve"> </v>
      </c>
      <c r="AB288" t="str">
        <f>IF(AND(Table1[[#This Row],[Throw Out Pass Def Eff]]="N", Table1[[#This Row],[Against FCS Team]]="N"),200 - ROUND(((5.45 * P288) + (150 * R288) + (100 * S288) - (300 * T288)) / Q288, 2), " ")</f>
        <v xml:space="preserve"> </v>
      </c>
      <c r="AC288" t="str">
        <f>IF(AND(Table1[[#This Row],[Throw Out Rush Eff]]="N", Table1[[#This Row],[Against FCS Team]]="N"), ROUND(((23.2 * I288) + (150 * K288) - (300 * L288)) / J288, 2), " ")</f>
        <v xml:space="preserve"> </v>
      </c>
      <c r="AD288" s="3" t="str">
        <f>IF(AND(Table1[[#This Row],[Throw Out Rush Def Eff]]="N", Table1[[#This Row],[Against FCS Team]]="N"), 200 - ROUND(((23.2 * U288) + (150 * W288) - (300 * X288)) / V288, 2), " ")</f>
        <v xml:space="preserve"> </v>
      </c>
      <c r="AE288" s="3">
        <f>ROUND(Table1[[#This Row],[Opp Passing Attempts]]/(Table1[[#This Row],[Opp Passing Attempts]]+Table1[[#This Row],[Opp Rushing Attempts]]), 2)</f>
        <v>0.43</v>
      </c>
      <c r="AF288" s="3">
        <f>1-Table1[[#This Row],[Passing Weight]]</f>
        <v>0.57000000000000006</v>
      </c>
      <c r="AG288" s="3" t="str">
        <f>IF(COUNTIF(A:A,Table1[[#This Row],[Opp Team Name]]) &gt; 0, "N", "Y")</f>
        <v>Y</v>
      </c>
      <c r="AH288" s="3" t="str">
        <f>IF(Table1[[#This Row],[Passing Attempts]] &lt;15, "Y", "N")</f>
        <v>N</v>
      </c>
      <c r="AI288" s="3" t="str">
        <f>IF(Table1[[#This Row],[Rushing Attempts]] &lt; 15, "Y", "N")</f>
        <v>N</v>
      </c>
      <c r="AJ288" s="3" t="str">
        <f>IF(Table1[[#This Row],[Opp Passing Attempts]]&lt;15, "Y", "N")</f>
        <v>N</v>
      </c>
      <c r="AK288" s="3" t="str">
        <f>IF(Table1[[#This Row],[Opp Rushing Attempts]]&lt;15, "Y", "N")</f>
        <v>N</v>
      </c>
      <c r="AL28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8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8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28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288" s="3">
        <f>ABS(Table1[[#This Row],[Team Score]]-Table1[[#This Row],[Opp Team Score]])</f>
        <v>1</v>
      </c>
      <c r="AQ288" s="3">
        <f>SUM(Table1[[#This Row],[Team Score]], Table1[[#This Row],[Opp Team Score]])</f>
        <v>39</v>
      </c>
      <c r="AR28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88" s="3" t="str">
        <f>IF(Table1[[#This Row],[Efficiency Difference]] = " ", " ", ROUND((Table1[[#This Row],[Winning Margin]]*100)/Table1[[#This Row],[Efficiency Difference]], 2))</f>
        <v xml:space="preserve"> </v>
      </c>
    </row>
    <row r="289" spans="1:45">
      <c r="A289" t="s">
        <v>78</v>
      </c>
      <c r="B289">
        <v>311</v>
      </c>
      <c r="C289">
        <v>44</v>
      </c>
      <c r="D289">
        <v>279</v>
      </c>
      <c r="E289">
        <v>38</v>
      </c>
      <c r="F289">
        <v>4</v>
      </c>
      <c r="G289">
        <v>25</v>
      </c>
      <c r="H289">
        <v>0</v>
      </c>
      <c r="I289">
        <v>194</v>
      </c>
      <c r="J289">
        <v>52</v>
      </c>
      <c r="K289">
        <v>2</v>
      </c>
      <c r="L289">
        <v>3</v>
      </c>
      <c r="M289" t="s">
        <v>76</v>
      </c>
      <c r="N289">
        <v>312</v>
      </c>
      <c r="O289">
        <v>41</v>
      </c>
      <c r="P289">
        <v>207</v>
      </c>
      <c r="Q289">
        <v>29</v>
      </c>
      <c r="R289">
        <v>2</v>
      </c>
      <c r="S289">
        <v>16</v>
      </c>
      <c r="T289">
        <v>0</v>
      </c>
      <c r="U289">
        <v>158</v>
      </c>
      <c r="V289">
        <v>43</v>
      </c>
      <c r="W289">
        <v>2</v>
      </c>
      <c r="X289">
        <v>1</v>
      </c>
      <c r="Y289" t="s">
        <v>16</v>
      </c>
      <c r="Z289">
        <v>2</v>
      </c>
      <c r="AA289">
        <f>IF(AND(Table1[[#This Row],[Throw Out Pass Eff]]="N", Table1[[#This Row],[Against FCS Team]]="N"), ROUND(((5.45 * D289) + (150 * F289) + (100 * G289) - (300 * H289)) / E289, 2), " ")</f>
        <v>121.59</v>
      </c>
      <c r="AB289">
        <f>IF(AND(Table1[[#This Row],[Throw Out Pass Def Eff]]="N", Table1[[#This Row],[Against FCS Team]]="N"),200 - ROUND(((5.45 * P289) + (150 * R289) + (100 * S289) - (300 * T289)) / Q289, 2), " ")</f>
        <v>95.58</v>
      </c>
      <c r="AC289">
        <f>IF(AND(Table1[[#This Row],[Throw Out Rush Eff]]="N", Table1[[#This Row],[Against FCS Team]]="N"), ROUND(((23.2 * I289) + (150 * K289) - (300 * L289)) / J289, 2), " ")</f>
        <v>75.02</v>
      </c>
      <c r="AD289" s="3">
        <f>IF(AND(Table1[[#This Row],[Throw Out Rush Def Eff]]="N", Table1[[#This Row],[Against FCS Team]]="N"), 200 - ROUND(((23.2 * U289) + (150 * W289) - (300 * X289)) / V289, 2), " ")</f>
        <v>114.75</v>
      </c>
      <c r="AE289" s="3">
        <f>ROUND(Table1[[#This Row],[Opp Passing Attempts]]/(Table1[[#This Row],[Opp Passing Attempts]]+Table1[[#This Row],[Opp Rushing Attempts]]), 2)</f>
        <v>0.4</v>
      </c>
      <c r="AF289" s="3">
        <f>1-Table1[[#This Row],[Passing Weight]]</f>
        <v>0.6</v>
      </c>
      <c r="AG289" s="3" t="str">
        <f>IF(COUNTIF(A:A,Table1[[#This Row],[Opp Team Name]]) &gt; 0, "N", "Y")</f>
        <v>N</v>
      </c>
      <c r="AH289" s="3" t="str">
        <f>IF(Table1[[#This Row],[Passing Attempts]] &lt;15, "Y", "N")</f>
        <v>N</v>
      </c>
      <c r="AI289" s="3" t="str">
        <f>IF(Table1[[#This Row],[Rushing Attempts]] &lt; 15, "Y", "N")</f>
        <v>N</v>
      </c>
      <c r="AJ289" s="3" t="str">
        <f>IF(Table1[[#This Row],[Opp Passing Attempts]]&lt;15, "Y", "N")</f>
        <v>N</v>
      </c>
      <c r="AK289" s="3" t="str">
        <f>IF(Table1[[#This Row],[Opp Rushing Attempts]]&lt;15, "Y", "N")</f>
        <v>N</v>
      </c>
      <c r="AL28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111.13</v>
      </c>
      <c r="AM2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114.71</v>
      </c>
      <c r="AN2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84.85</v>
      </c>
      <c r="AO2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111.66</v>
      </c>
      <c r="AP289" s="3">
        <f>ABS(Table1[[#This Row],[Team Score]]-Table1[[#This Row],[Opp Team Score]])</f>
        <v>3</v>
      </c>
      <c r="AQ289" s="3">
        <f>SUM(Table1[[#This Row],[Team Score]], Table1[[#This Row],[Opp Team Score]])</f>
        <v>85</v>
      </c>
      <c r="AR28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6.9399999999999977</v>
      </c>
      <c r="AS289" s="3">
        <f>IF(Table1[[#This Row],[Efficiency Difference]] = " ", " ", ROUND((Table1[[#This Row],[Winning Margin]]*100)/Table1[[#This Row],[Efficiency Difference]], 2))</f>
        <v>43.23</v>
      </c>
    </row>
    <row r="290" spans="1:45">
      <c r="A290" t="s">
        <v>78</v>
      </c>
      <c r="B290">
        <v>311</v>
      </c>
      <c r="C290">
        <v>24</v>
      </c>
      <c r="D290">
        <v>240</v>
      </c>
      <c r="E290">
        <v>30</v>
      </c>
      <c r="F290">
        <v>2</v>
      </c>
      <c r="G290">
        <v>19</v>
      </c>
      <c r="H290">
        <v>3</v>
      </c>
      <c r="I290">
        <v>101</v>
      </c>
      <c r="J290">
        <v>34</v>
      </c>
      <c r="K290">
        <v>1</v>
      </c>
      <c r="L290">
        <v>0</v>
      </c>
      <c r="M290" t="s">
        <v>60</v>
      </c>
      <c r="N290">
        <v>164</v>
      </c>
      <c r="O290">
        <v>20</v>
      </c>
      <c r="P290">
        <v>231</v>
      </c>
      <c r="Q290">
        <v>36</v>
      </c>
      <c r="R290">
        <v>1</v>
      </c>
      <c r="S290">
        <v>15</v>
      </c>
      <c r="T290">
        <v>1</v>
      </c>
      <c r="U290">
        <v>112</v>
      </c>
      <c r="V290">
        <v>42</v>
      </c>
      <c r="W290">
        <v>1</v>
      </c>
      <c r="X290">
        <v>2</v>
      </c>
      <c r="Y290" t="s">
        <v>16</v>
      </c>
      <c r="Z290">
        <v>3</v>
      </c>
      <c r="AA290">
        <f>IF(AND(Table1[[#This Row],[Throw Out Pass Eff]]="N", Table1[[#This Row],[Against FCS Team]]="N"), ROUND(((5.45 * D290) + (150 * F290) + (100 * G290) - (300 * H290)) / E290, 2), " ")</f>
        <v>86.93</v>
      </c>
      <c r="AB290">
        <f>IF(AND(Table1[[#This Row],[Throw Out Pass Def Eff]]="N", Table1[[#This Row],[Against FCS Team]]="N"),200 - ROUND(((5.45 * P290) + (150 * R290) + (100 * S290) - (300 * T290)) / Q290, 2), " ")</f>
        <v>127.53</v>
      </c>
      <c r="AC290">
        <f>IF(AND(Table1[[#This Row],[Throw Out Rush Eff]]="N", Table1[[#This Row],[Against FCS Team]]="N"), ROUND(((23.2 * I290) + (150 * K290) - (300 * L290)) / J290, 2), " ")</f>
        <v>73.33</v>
      </c>
      <c r="AD290" s="3">
        <f>IF(AND(Table1[[#This Row],[Throw Out Rush Def Eff]]="N", Table1[[#This Row],[Against FCS Team]]="N"), 200 - ROUND(((23.2 * U290) + (150 * W290) - (300 * X290)) / V290, 2), " ")</f>
        <v>148.85</v>
      </c>
      <c r="AE290" s="3">
        <f>ROUND(Table1[[#This Row],[Opp Passing Attempts]]/(Table1[[#This Row],[Opp Passing Attempts]]+Table1[[#This Row],[Opp Rushing Attempts]]), 2)</f>
        <v>0.46</v>
      </c>
      <c r="AF290" s="3">
        <f>1-Table1[[#This Row],[Passing Weight]]</f>
        <v>0.54</v>
      </c>
      <c r="AG290" s="3" t="str">
        <f>IF(COUNTIF(A:A,Table1[[#This Row],[Opp Team Name]]) &gt; 0, "N", "Y")</f>
        <v>N</v>
      </c>
      <c r="AH290" s="3" t="str">
        <f>IF(Table1[[#This Row],[Passing Attempts]] &lt;15, "Y", "N")</f>
        <v>N</v>
      </c>
      <c r="AI290" s="3" t="str">
        <f>IF(Table1[[#This Row],[Rushing Attempts]] &lt; 15, "Y", "N")</f>
        <v>N</v>
      </c>
      <c r="AJ290" s="3" t="str">
        <f>IF(Table1[[#This Row],[Opp Passing Attempts]]&lt;15, "Y", "N")</f>
        <v>N</v>
      </c>
      <c r="AK290" s="3" t="str">
        <f>IF(Table1[[#This Row],[Opp Rushing Attempts]]&lt;15, "Y", "N")</f>
        <v>N</v>
      </c>
      <c r="AL2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96.58</v>
      </c>
      <c r="AM29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107.17</v>
      </c>
      <c r="AN29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99.54</v>
      </c>
      <c r="AO2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82.3</v>
      </c>
      <c r="AP290" s="3">
        <f>ABS(Table1[[#This Row],[Team Score]]-Table1[[#This Row],[Opp Team Score]])</f>
        <v>4</v>
      </c>
      <c r="AQ290" s="3">
        <f>SUM(Table1[[#This Row],[Team Score]], Table1[[#This Row],[Opp Team Score]])</f>
        <v>44</v>
      </c>
      <c r="AR29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36.639999999999986</v>
      </c>
      <c r="AS290" s="3">
        <f>IF(Table1[[#This Row],[Efficiency Difference]] = " ", " ", ROUND((Table1[[#This Row],[Winning Margin]]*100)/Table1[[#This Row],[Efficiency Difference]], 2))</f>
        <v>10.92</v>
      </c>
    </row>
    <row r="291" spans="1:45">
      <c r="A291" t="s">
        <v>78</v>
      </c>
      <c r="B291">
        <v>311</v>
      </c>
      <c r="C291">
        <v>14</v>
      </c>
      <c r="D291">
        <v>251</v>
      </c>
      <c r="E291">
        <v>51</v>
      </c>
      <c r="F291">
        <v>1</v>
      </c>
      <c r="G291">
        <v>28</v>
      </c>
      <c r="H291">
        <v>1</v>
      </c>
      <c r="I291">
        <v>129</v>
      </c>
      <c r="J291">
        <v>38</v>
      </c>
      <c r="K291">
        <v>1</v>
      </c>
      <c r="L291">
        <v>2</v>
      </c>
      <c r="M291" t="s">
        <v>123</v>
      </c>
      <c r="N291">
        <v>703</v>
      </c>
      <c r="O291">
        <v>37</v>
      </c>
      <c r="P291">
        <v>255</v>
      </c>
      <c r="Q291">
        <v>24</v>
      </c>
      <c r="R291">
        <v>2</v>
      </c>
      <c r="S291">
        <v>14</v>
      </c>
      <c r="T291">
        <v>0</v>
      </c>
      <c r="U291">
        <v>145</v>
      </c>
      <c r="V291">
        <v>40</v>
      </c>
      <c r="W291">
        <v>1</v>
      </c>
      <c r="X291">
        <v>0</v>
      </c>
      <c r="Y291" t="s">
        <v>19</v>
      </c>
      <c r="Z291">
        <v>5</v>
      </c>
      <c r="AA291">
        <f>IF(AND(Table1[[#This Row],[Throw Out Pass Eff]]="N", Table1[[#This Row],[Against FCS Team]]="N"), ROUND(((5.45 * D291) + (150 * F291) + (100 * G291) - (300 * H291)) / E291, 2), " ")</f>
        <v>78.78</v>
      </c>
      <c r="AB291">
        <f>IF(AND(Table1[[#This Row],[Throw Out Pass Def Eff]]="N", Table1[[#This Row],[Against FCS Team]]="N"),200 - ROUND(((5.45 * P291) + (150 * R291) + (100 * S291) - (300 * T291)) / Q291, 2), " ")</f>
        <v>71.259999999999991</v>
      </c>
      <c r="AC291">
        <f>IF(AND(Table1[[#This Row],[Throw Out Rush Eff]]="N", Table1[[#This Row],[Against FCS Team]]="N"), ROUND(((23.2 * I291) + (150 * K291) - (300 * L291)) / J291, 2), " ")</f>
        <v>66.92</v>
      </c>
      <c r="AD291" s="3">
        <f>IF(AND(Table1[[#This Row],[Throw Out Rush Def Eff]]="N", Table1[[#This Row],[Against FCS Team]]="N"), 200 - ROUND(((23.2 * U291) + (150 * W291) - (300 * X291)) / V291, 2), " ")</f>
        <v>112.15</v>
      </c>
      <c r="AE291" s="3">
        <f>ROUND(Table1[[#This Row],[Opp Passing Attempts]]/(Table1[[#This Row],[Opp Passing Attempts]]+Table1[[#This Row],[Opp Rushing Attempts]]), 2)</f>
        <v>0.38</v>
      </c>
      <c r="AF291" s="3">
        <f>1-Table1[[#This Row],[Passing Weight]]</f>
        <v>0.62</v>
      </c>
      <c r="AG291" s="3" t="str">
        <f>IF(COUNTIF(A:A,Table1[[#This Row],[Opp Team Name]]) &gt; 0, "N", "Y")</f>
        <v>N</v>
      </c>
      <c r="AH291" s="3" t="str">
        <f>IF(Table1[[#This Row],[Passing Attempts]] &lt;15, "Y", "N")</f>
        <v>N</v>
      </c>
      <c r="AI291" s="3" t="str">
        <f>IF(Table1[[#This Row],[Rushing Attempts]] &lt; 15, "Y", "N")</f>
        <v>N</v>
      </c>
      <c r="AJ291" s="3" t="str">
        <f>IF(Table1[[#This Row],[Opp Passing Attempts]]&lt;15, "Y", "N")</f>
        <v>N</v>
      </c>
      <c r="AK291" s="3" t="str">
        <f>IF(Table1[[#This Row],[Opp Rushing Attempts]]&lt;15, "Y", "N")</f>
        <v>N</v>
      </c>
      <c r="AL29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97.23</v>
      </c>
      <c r="AM29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72.290000000000006</v>
      </c>
      <c r="AN29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71.02</v>
      </c>
      <c r="AO29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99.96</v>
      </c>
      <c r="AP291" s="3">
        <f>ABS(Table1[[#This Row],[Team Score]]-Table1[[#This Row],[Opp Team Score]])</f>
        <v>23</v>
      </c>
      <c r="AQ291" s="3">
        <f>SUM(Table1[[#This Row],[Team Score]], Table1[[#This Row],[Opp Team Score]])</f>
        <v>51</v>
      </c>
      <c r="AR29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70.890000000000015</v>
      </c>
      <c r="AS291" s="3">
        <f>IF(Table1[[#This Row],[Efficiency Difference]] = " ", " ", ROUND((Table1[[#This Row],[Winning Margin]]*100)/Table1[[#This Row],[Efficiency Difference]], 2))</f>
        <v>32.44</v>
      </c>
    </row>
    <row r="292" spans="1:45">
      <c r="A292" t="s">
        <v>78</v>
      </c>
      <c r="B292">
        <v>311</v>
      </c>
      <c r="C292">
        <v>26</v>
      </c>
      <c r="D292">
        <v>244</v>
      </c>
      <c r="E292">
        <v>35</v>
      </c>
      <c r="F292">
        <v>3</v>
      </c>
      <c r="G292">
        <v>17</v>
      </c>
      <c r="H292">
        <v>1</v>
      </c>
      <c r="I292">
        <v>181</v>
      </c>
      <c r="J292">
        <v>33</v>
      </c>
      <c r="K292">
        <v>1</v>
      </c>
      <c r="L292">
        <v>1</v>
      </c>
      <c r="M292" t="s">
        <v>36</v>
      </c>
      <c r="N292">
        <v>51</v>
      </c>
      <c r="O292">
        <v>49</v>
      </c>
      <c r="P292">
        <v>212</v>
      </c>
      <c r="Q292">
        <v>30</v>
      </c>
      <c r="R292">
        <v>1</v>
      </c>
      <c r="S292">
        <v>22</v>
      </c>
      <c r="T292">
        <v>0</v>
      </c>
      <c r="U292">
        <v>395</v>
      </c>
      <c r="V292">
        <v>67</v>
      </c>
      <c r="W292">
        <v>5</v>
      </c>
      <c r="X292">
        <v>2</v>
      </c>
      <c r="Y292" t="s">
        <v>19</v>
      </c>
      <c r="Z292">
        <v>6</v>
      </c>
      <c r="AA292">
        <f>IF(AND(Table1[[#This Row],[Throw Out Pass Eff]]="N", Table1[[#This Row],[Against FCS Team]]="N"), ROUND(((5.45 * D292) + (150 * F292) + (100 * G292) - (300 * H292)) / E292, 2), " ")</f>
        <v>90.85</v>
      </c>
      <c r="AB292">
        <f>IF(AND(Table1[[#This Row],[Throw Out Pass Def Eff]]="N", Table1[[#This Row],[Against FCS Team]]="N"),200 - ROUND(((5.45 * P292) + (150 * R292) + (100 * S292) - (300 * T292)) / Q292, 2), " ")</f>
        <v>83.15</v>
      </c>
      <c r="AC292">
        <f>IF(AND(Table1[[#This Row],[Throw Out Rush Eff]]="N", Table1[[#This Row],[Against FCS Team]]="N"), ROUND(((23.2 * I292) + (150 * K292) - (300 * L292)) / J292, 2), " ")</f>
        <v>122.7</v>
      </c>
      <c r="AD292" s="3">
        <f>IF(AND(Table1[[#This Row],[Throw Out Rush Def Eff]]="N", Table1[[#This Row],[Against FCS Team]]="N"), 200 - ROUND(((23.2 * U292) + (150 * W292) - (300 * X292)) / V292, 2), " ")</f>
        <v>60.990000000000009</v>
      </c>
      <c r="AE292" s="3">
        <f>ROUND(Table1[[#This Row],[Opp Passing Attempts]]/(Table1[[#This Row],[Opp Passing Attempts]]+Table1[[#This Row],[Opp Rushing Attempts]]), 2)</f>
        <v>0.31</v>
      </c>
      <c r="AF292" s="3">
        <f>1-Table1[[#This Row],[Passing Weight]]</f>
        <v>0.69</v>
      </c>
      <c r="AG292" s="3" t="str">
        <f>IF(COUNTIF(A:A,Table1[[#This Row],[Opp Team Name]]) &gt; 0, "N", "Y")</f>
        <v>N</v>
      </c>
      <c r="AH292" s="3" t="str">
        <f>IF(Table1[[#This Row],[Passing Attempts]] &lt;15, "Y", "N")</f>
        <v>N</v>
      </c>
      <c r="AI292" s="3" t="str">
        <f>IF(Table1[[#This Row],[Rushing Attempts]] &lt; 15, "Y", "N")</f>
        <v>N</v>
      </c>
      <c r="AJ292" s="3" t="str">
        <f>IF(Table1[[#This Row],[Opp Passing Attempts]]&lt;15, "Y", "N")</f>
        <v>N</v>
      </c>
      <c r="AK292" s="3" t="str">
        <f>IF(Table1[[#This Row],[Opp Rushing Attempts]]&lt;15, "Y", "N")</f>
        <v>N</v>
      </c>
      <c r="AL29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</v>
      </c>
      <c r="AM2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127.77</v>
      </c>
      <c r="AN2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110.56</v>
      </c>
      <c r="AO2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66.87</v>
      </c>
      <c r="AP292" s="3">
        <f>ABS(Table1[[#This Row],[Team Score]]-Table1[[#This Row],[Opp Team Score]])</f>
        <v>23</v>
      </c>
      <c r="AQ292" s="3">
        <f>SUM(Table1[[#This Row],[Team Score]], Table1[[#This Row],[Opp Team Score]])</f>
        <v>75</v>
      </c>
      <c r="AR29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42.309999999999974</v>
      </c>
      <c r="AS292" s="3">
        <f>IF(Table1[[#This Row],[Efficiency Difference]] = " ", " ", ROUND((Table1[[#This Row],[Winning Margin]]*100)/Table1[[#This Row],[Efficiency Difference]], 2))</f>
        <v>54.36</v>
      </c>
    </row>
    <row r="293" spans="1:45">
      <c r="A293" t="s">
        <v>78</v>
      </c>
      <c r="B293">
        <v>311</v>
      </c>
      <c r="C293">
        <v>17</v>
      </c>
      <c r="D293">
        <v>186</v>
      </c>
      <c r="E293">
        <v>40</v>
      </c>
      <c r="F293">
        <v>0</v>
      </c>
      <c r="G293">
        <v>20</v>
      </c>
      <c r="H293">
        <v>1</v>
      </c>
      <c r="I293">
        <v>157</v>
      </c>
      <c r="J293">
        <v>36</v>
      </c>
      <c r="K293">
        <v>1</v>
      </c>
      <c r="L293">
        <v>2</v>
      </c>
      <c r="M293" t="s">
        <v>97</v>
      </c>
      <c r="N293">
        <v>434</v>
      </c>
      <c r="O293">
        <v>52</v>
      </c>
      <c r="P293">
        <v>289</v>
      </c>
      <c r="Q293">
        <v>29</v>
      </c>
      <c r="R293">
        <v>3</v>
      </c>
      <c r="S293">
        <v>20</v>
      </c>
      <c r="T293">
        <v>2</v>
      </c>
      <c r="U293">
        <v>294</v>
      </c>
      <c r="V293">
        <v>58</v>
      </c>
      <c r="W293">
        <v>4</v>
      </c>
      <c r="X293">
        <v>1</v>
      </c>
      <c r="Y293" t="s">
        <v>19</v>
      </c>
      <c r="Z293">
        <v>7</v>
      </c>
      <c r="AA293">
        <f>IF(AND(Table1[[#This Row],[Throw Out Pass Eff]]="N", Table1[[#This Row],[Against FCS Team]]="N"), ROUND(((5.45 * D293) + (150 * F293) + (100 * G293) - (300 * H293)) / E293, 2), " ")</f>
        <v>67.84</v>
      </c>
      <c r="AB293">
        <f>IF(AND(Table1[[#This Row],[Throw Out Pass Def Eff]]="N", Table1[[#This Row],[Against FCS Team]]="N"),200 - ROUND(((5.45 * P293) + (150 * R293) + (100 * S293) - (300 * T293)) / Q293, 2), " ")</f>
        <v>81.89</v>
      </c>
      <c r="AC293">
        <f>IF(AND(Table1[[#This Row],[Throw Out Rush Eff]]="N", Table1[[#This Row],[Against FCS Team]]="N"), ROUND(((23.2 * I293) + (150 * K293) - (300 * L293)) / J293, 2), " ")</f>
        <v>88.68</v>
      </c>
      <c r="AD293" s="3">
        <f>IF(AND(Table1[[#This Row],[Throw Out Rush Def Eff]]="N", Table1[[#This Row],[Against FCS Team]]="N"), 200 - ROUND(((23.2 * U293) + (150 * W293) - (300 * X293)) / V293, 2), " ")</f>
        <v>77.23</v>
      </c>
      <c r="AE293" s="3">
        <f>ROUND(Table1[[#This Row],[Opp Passing Attempts]]/(Table1[[#This Row],[Opp Passing Attempts]]+Table1[[#This Row],[Opp Rushing Attempts]]), 2)</f>
        <v>0.33</v>
      </c>
      <c r="AF293" s="3">
        <f>1-Table1[[#This Row],[Passing Weight]]</f>
        <v>0.66999999999999993</v>
      </c>
      <c r="AG293" s="3" t="str">
        <f>IF(COUNTIF(A:A,Table1[[#This Row],[Opp Team Name]]) &gt; 0, "N", "Y")</f>
        <v>N</v>
      </c>
      <c r="AH293" s="3" t="str">
        <f>IF(Table1[[#This Row],[Passing Attempts]] &lt;15, "Y", "N")</f>
        <v>N</v>
      </c>
      <c r="AI293" s="3" t="str">
        <f>IF(Table1[[#This Row],[Rushing Attempts]] &lt; 15, "Y", "N")</f>
        <v>N</v>
      </c>
      <c r="AJ293" s="3" t="str">
        <f>IF(Table1[[#This Row],[Opp Passing Attempts]]&lt;15, "Y", "N")</f>
        <v>N</v>
      </c>
      <c r="AK293" s="3" t="str">
        <f>IF(Table1[[#This Row],[Opp Rushing Attempts]]&lt;15, "Y", "N")</f>
        <v>N</v>
      </c>
      <c r="AL2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64.83</v>
      </c>
      <c r="AM2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76.97</v>
      </c>
      <c r="AN2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97.05</v>
      </c>
      <c r="AO2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89.4</v>
      </c>
      <c r="AP293" s="3">
        <f>ABS(Table1[[#This Row],[Team Score]]-Table1[[#This Row],[Opp Team Score]])</f>
        <v>35</v>
      </c>
      <c r="AQ293" s="3">
        <f>SUM(Table1[[#This Row],[Team Score]], Table1[[#This Row],[Opp Team Score]])</f>
        <v>69</v>
      </c>
      <c r="AR2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84.359999999999985</v>
      </c>
      <c r="AS293" s="3">
        <f>IF(Table1[[#This Row],[Efficiency Difference]] = " ", " ", ROUND((Table1[[#This Row],[Winning Margin]]*100)/Table1[[#This Row],[Efficiency Difference]], 2))</f>
        <v>41.49</v>
      </c>
    </row>
    <row r="294" spans="1:45">
      <c r="A294" t="s">
        <v>78</v>
      </c>
      <c r="B294">
        <v>311</v>
      </c>
      <c r="C294">
        <v>17</v>
      </c>
      <c r="D294">
        <v>180</v>
      </c>
      <c r="E294">
        <v>40</v>
      </c>
      <c r="F294">
        <v>0</v>
      </c>
      <c r="G294">
        <v>16</v>
      </c>
      <c r="H294">
        <v>1</v>
      </c>
      <c r="I294">
        <v>125</v>
      </c>
      <c r="J294">
        <v>33</v>
      </c>
      <c r="K294">
        <v>2</v>
      </c>
      <c r="L294">
        <v>0</v>
      </c>
      <c r="M294" t="s">
        <v>187</v>
      </c>
      <c r="N294">
        <v>697</v>
      </c>
      <c r="O294">
        <v>33</v>
      </c>
      <c r="P294">
        <v>263</v>
      </c>
      <c r="Q294">
        <v>43</v>
      </c>
      <c r="R294">
        <v>2</v>
      </c>
      <c r="S294">
        <v>24</v>
      </c>
      <c r="T294">
        <v>0</v>
      </c>
      <c r="U294">
        <v>247</v>
      </c>
      <c r="V294">
        <v>47</v>
      </c>
      <c r="W294">
        <v>1</v>
      </c>
      <c r="X294">
        <v>1</v>
      </c>
      <c r="Y294" t="s">
        <v>19</v>
      </c>
      <c r="Z294">
        <v>8</v>
      </c>
      <c r="AA294" s="3">
        <f>IF(AND(Table1[[#This Row],[Throw Out Pass Eff]]="N", Table1[[#This Row],[Against FCS Team]]="N"), ROUND(((5.45 * D294) + (150 * F294) + (100 * G294) - (300 * H294)) / E294, 2), " ")</f>
        <v>57.03</v>
      </c>
      <c r="AB294" s="3">
        <f>IF(AND(Table1[[#This Row],[Throw Out Pass Def Eff]]="N", Table1[[#This Row],[Against FCS Team]]="N"),200 - ROUND(((5.45 * P294) + (150 * R294) + (100 * S294) - (300 * T294)) / Q294, 2), " ")</f>
        <v>103.88</v>
      </c>
      <c r="AC294" s="3">
        <f>IF(AND(Table1[[#This Row],[Throw Out Rush Eff]]="N", Table1[[#This Row],[Against FCS Team]]="N"), ROUND(((23.2 * I294) + (150 * K294) - (300 * L294)) / J294, 2), " ")</f>
        <v>96.97</v>
      </c>
      <c r="AD294" s="3">
        <f>IF(AND(Table1[[#This Row],[Throw Out Rush Def Eff]]="N", Table1[[#This Row],[Against FCS Team]]="N"), 200 - ROUND(((23.2 * U294) + (150 * W294) - (300 * X294)) / V294, 2), " ")</f>
        <v>81.27</v>
      </c>
      <c r="AE294" s="3">
        <f>ROUND(Table1[[#This Row],[Opp Passing Attempts]]/(Table1[[#This Row],[Opp Passing Attempts]]+Table1[[#This Row],[Opp Rushing Attempts]]), 2)</f>
        <v>0.48</v>
      </c>
      <c r="AF294" s="3">
        <f>1-Table1[[#This Row],[Passing Weight]]</f>
        <v>0.52</v>
      </c>
      <c r="AG294" s="3" t="str">
        <f>IF(COUNTIF(A:A,Table1[[#This Row],[Opp Team Name]]) &gt; 0, "N", "Y")</f>
        <v>N</v>
      </c>
      <c r="AH294" s="3" t="str">
        <f>IF(Table1[[#This Row],[Passing Attempts]] &lt;15, "Y", "N")</f>
        <v>N</v>
      </c>
      <c r="AI294" s="3" t="str">
        <f>IF(Table1[[#This Row],[Rushing Attempts]] &lt; 15, "Y", "N")</f>
        <v>N</v>
      </c>
      <c r="AJ294" s="3" t="str">
        <f>IF(Table1[[#This Row],[Opp Passing Attempts]]&lt;15, "Y", "N")</f>
        <v>N</v>
      </c>
      <c r="AK294" s="3" t="str">
        <f>IF(Table1[[#This Row],[Opp Rushing Attempts]]&lt;15, "Y", "N")</f>
        <v>N</v>
      </c>
      <c r="AL2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56.15</v>
      </c>
      <c r="AM2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117.14</v>
      </c>
      <c r="AN2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135.11000000000001</v>
      </c>
      <c r="AO2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105.45</v>
      </c>
      <c r="AP294" s="3">
        <f>ABS(Table1[[#This Row],[Team Score]]-Table1[[#This Row],[Opp Team Score]])</f>
        <v>16</v>
      </c>
      <c r="AQ294" s="3">
        <f>SUM(Table1[[#This Row],[Team Score]], Table1[[#This Row],[Opp Team Score]])</f>
        <v>50</v>
      </c>
      <c r="AR2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60.850000000000023</v>
      </c>
      <c r="AS294" s="3">
        <f>IF(Table1[[#This Row],[Efficiency Difference]] = " ", " ", ROUND((Table1[[#This Row],[Winning Margin]]*100)/Table1[[#This Row],[Efficiency Difference]], 2))</f>
        <v>26.29</v>
      </c>
    </row>
    <row r="295" spans="1:45">
      <c r="A295" t="s">
        <v>80</v>
      </c>
      <c r="B295">
        <v>328</v>
      </c>
      <c r="C295">
        <v>42</v>
      </c>
      <c r="D295">
        <v>146</v>
      </c>
      <c r="E295">
        <v>10</v>
      </c>
      <c r="F295">
        <v>3</v>
      </c>
      <c r="G295">
        <v>7</v>
      </c>
      <c r="H295">
        <v>0</v>
      </c>
      <c r="I295">
        <v>301</v>
      </c>
      <c r="J295">
        <v>55</v>
      </c>
      <c r="K295">
        <v>3</v>
      </c>
      <c r="L295">
        <v>0</v>
      </c>
      <c r="M295" t="s">
        <v>81</v>
      </c>
      <c r="N295">
        <v>402</v>
      </c>
      <c r="O295">
        <v>24</v>
      </c>
      <c r="P295">
        <v>325</v>
      </c>
      <c r="Q295">
        <v>41</v>
      </c>
      <c r="R295">
        <v>2</v>
      </c>
      <c r="S295">
        <v>31</v>
      </c>
      <c r="T295">
        <v>0</v>
      </c>
      <c r="U295">
        <v>95</v>
      </c>
      <c r="V295">
        <v>34</v>
      </c>
      <c r="W295">
        <v>1</v>
      </c>
      <c r="X295">
        <v>1</v>
      </c>
      <c r="Y295" t="s">
        <v>16</v>
      </c>
      <c r="Z295">
        <v>1</v>
      </c>
      <c r="AA295" t="str">
        <f>IF(AND(Table1[[#This Row],[Throw Out Pass Eff]]="N", Table1[[#This Row],[Against FCS Team]]="N"), ROUND(((5.45 * D295) + (150 * F295) + (100 * G295) - (300 * H295)) / E295, 2), " ")</f>
        <v xml:space="preserve"> </v>
      </c>
      <c r="AB295">
        <f>IF(AND(Table1[[#This Row],[Throw Out Pass Def Eff]]="N", Table1[[#This Row],[Against FCS Team]]="N"),200 - ROUND(((5.45 * P295) + (150 * R295) + (100 * S295) - (300 * T295)) / Q295, 2), " ")</f>
        <v>73.87</v>
      </c>
      <c r="AC295">
        <f>IF(AND(Table1[[#This Row],[Throw Out Rush Eff]]="N", Table1[[#This Row],[Against FCS Team]]="N"), ROUND(((23.2 * I295) + (150 * K295) - (300 * L295)) / J295, 2), " ")</f>
        <v>135.15</v>
      </c>
      <c r="AD295" s="3">
        <f>IF(AND(Table1[[#This Row],[Throw Out Rush Def Eff]]="N", Table1[[#This Row],[Against FCS Team]]="N"), 200 - ROUND(((23.2 * U295) + (150 * W295) - (300 * X295)) / V295, 2), " ")</f>
        <v>139.59</v>
      </c>
      <c r="AE295" s="3">
        <f>ROUND(Table1[[#This Row],[Opp Passing Attempts]]/(Table1[[#This Row],[Opp Passing Attempts]]+Table1[[#This Row],[Opp Rushing Attempts]]), 2)</f>
        <v>0.55000000000000004</v>
      </c>
      <c r="AF295" s="3">
        <f>1-Table1[[#This Row],[Passing Weight]]</f>
        <v>0.44999999999999996</v>
      </c>
      <c r="AG295" s="3" t="str">
        <f>IF(COUNTIF(A:A,Table1[[#This Row],[Opp Team Name]]) &gt; 0, "N", "Y")</f>
        <v>N</v>
      </c>
      <c r="AH295" s="3" t="str">
        <f>IF(Table1[[#This Row],[Passing Attempts]] &lt;15, "Y", "N")</f>
        <v>Y</v>
      </c>
      <c r="AI295" s="3" t="str">
        <f>IF(Table1[[#This Row],[Rushing Attempts]] &lt; 15, "Y", "N")</f>
        <v>N</v>
      </c>
      <c r="AJ295" s="3" t="str">
        <f>IF(Table1[[#This Row],[Opp Passing Attempts]]&lt;15, "Y", "N")</f>
        <v>N</v>
      </c>
      <c r="AK295" s="3" t="str">
        <f>IF(Table1[[#This Row],[Opp Rushing Attempts]]&lt;15, "Y", "N")</f>
        <v>N</v>
      </c>
      <c r="AL29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29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48.98</v>
      </c>
      <c r="AN29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175.28</v>
      </c>
      <c r="AO29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215.53</v>
      </c>
      <c r="AP295" s="3">
        <f>ABS(Table1[[#This Row],[Team Score]]-Table1[[#This Row],[Opp Team Score]])</f>
        <v>18</v>
      </c>
      <c r="AQ295" s="3">
        <f>SUM(Table1[[#This Row],[Team Score]], Table1[[#This Row],[Opp Team Score]])</f>
        <v>66</v>
      </c>
      <c r="AR29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95" s="3" t="str">
        <f>IF(Table1[[#This Row],[Efficiency Difference]] = " ", " ", ROUND((Table1[[#This Row],[Winning Margin]]*100)/Table1[[#This Row],[Efficiency Difference]], 2))</f>
        <v xml:space="preserve"> </v>
      </c>
    </row>
    <row r="296" spans="1:45">
      <c r="A296" t="s">
        <v>80</v>
      </c>
      <c r="B296">
        <v>328</v>
      </c>
      <c r="C296">
        <v>45</v>
      </c>
      <c r="D296">
        <v>281</v>
      </c>
      <c r="E296">
        <v>30</v>
      </c>
      <c r="F296">
        <v>3</v>
      </c>
      <c r="G296">
        <v>21</v>
      </c>
      <c r="H296">
        <v>0</v>
      </c>
      <c r="I296">
        <v>253</v>
      </c>
      <c r="J296">
        <v>60</v>
      </c>
      <c r="K296">
        <v>3</v>
      </c>
      <c r="L296">
        <v>1</v>
      </c>
      <c r="M296" t="s">
        <v>31</v>
      </c>
      <c r="N296">
        <v>503</v>
      </c>
      <c r="O296">
        <v>42</v>
      </c>
      <c r="P296">
        <v>315</v>
      </c>
      <c r="Q296">
        <v>33</v>
      </c>
      <c r="R296">
        <v>2</v>
      </c>
      <c r="S296">
        <v>27</v>
      </c>
      <c r="T296">
        <v>0</v>
      </c>
      <c r="U296">
        <v>147</v>
      </c>
      <c r="V296">
        <v>29</v>
      </c>
      <c r="W296">
        <v>4</v>
      </c>
      <c r="X296">
        <v>0</v>
      </c>
      <c r="Y296" t="s">
        <v>16</v>
      </c>
      <c r="Z296">
        <v>2</v>
      </c>
      <c r="AA296">
        <f>IF(AND(Table1[[#This Row],[Throw Out Pass Eff]]="N", Table1[[#This Row],[Against FCS Team]]="N"), ROUND(((5.45 * D296) + (150 * F296) + (100 * G296) - (300 * H296)) / E296, 2), " ")</f>
        <v>136.05000000000001</v>
      </c>
      <c r="AB296">
        <f>IF(AND(Table1[[#This Row],[Throw Out Pass Def Eff]]="N", Table1[[#This Row],[Against FCS Team]]="N"),200 - ROUND(((5.45 * P296) + (150 * R296) + (100 * S296) - (300 * T296)) / Q296, 2), " ")</f>
        <v>57.069999999999993</v>
      </c>
      <c r="AC296">
        <f>IF(AND(Table1[[#This Row],[Throw Out Rush Eff]]="N", Table1[[#This Row],[Against FCS Team]]="N"), ROUND(((23.2 * I296) + (150 * K296) - (300 * L296)) / J296, 2), " ")</f>
        <v>100.33</v>
      </c>
      <c r="AD296" s="3">
        <f>IF(AND(Table1[[#This Row],[Throw Out Rush Def Eff]]="N", Table1[[#This Row],[Against FCS Team]]="N"), 200 - ROUND(((23.2 * U296) + (150 * W296) - (300 * X296)) / V296, 2), " ")</f>
        <v>61.710000000000008</v>
      </c>
      <c r="AE296" s="3">
        <f>ROUND(Table1[[#This Row],[Opp Passing Attempts]]/(Table1[[#This Row],[Opp Passing Attempts]]+Table1[[#This Row],[Opp Rushing Attempts]]), 2)</f>
        <v>0.53</v>
      </c>
      <c r="AF296" s="3">
        <f>1-Table1[[#This Row],[Passing Weight]]</f>
        <v>0.47</v>
      </c>
      <c r="AG296" s="3" t="str">
        <f>IF(COUNTIF(A:A,Table1[[#This Row],[Opp Team Name]]) &gt; 0, "N", "Y")</f>
        <v>N</v>
      </c>
      <c r="AH296" s="3" t="str">
        <f>IF(Table1[[#This Row],[Passing Attempts]] &lt;15, "Y", "N")</f>
        <v>N</v>
      </c>
      <c r="AI296" s="3" t="str">
        <f>IF(Table1[[#This Row],[Rushing Attempts]] &lt; 15, "Y", "N")</f>
        <v>N</v>
      </c>
      <c r="AJ296" s="3" t="str">
        <f>IF(Table1[[#This Row],[Opp Passing Attempts]]&lt;15, "Y", "N")</f>
        <v>N</v>
      </c>
      <c r="AK296" s="3" t="str">
        <f>IF(Table1[[#This Row],[Opp Rushing Attempts]]&lt;15, "Y", "N")</f>
        <v>N</v>
      </c>
      <c r="AL29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134.86000000000001</v>
      </c>
      <c r="AM29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60.07</v>
      </c>
      <c r="AN29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110.89</v>
      </c>
      <c r="AO29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78.209999999999994</v>
      </c>
      <c r="AP296" s="3">
        <f>ABS(Table1[[#This Row],[Team Score]]-Table1[[#This Row],[Opp Team Score]])</f>
        <v>3</v>
      </c>
      <c r="AQ296" s="3">
        <f>SUM(Table1[[#This Row],[Team Score]], Table1[[#This Row],[Opp Team Score]])</f>
        <v>87</v>
      </c>
      <c r="AR29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44.840000000000032</v>
      </c>
      <c r="AS296" s="3">
        <f>IF(Table1[[#This Row],[Efficiency Difference]] = " ", " ", ROUND((Table1[[#This Row],[Winning Margin]]*100)/Table1[[#This Row],[Efficiency Difference]], 2))</f>
        <v>6.69</v>
      </c>
    </row>
    <row r="297" spans="1:45">
      <c r="A297" t="s">
        <v>80</v>
      </c>
      <c r="B297">
        <v>328</v>
      </c>
      <c r="C297">
        <v>24</v>
      </c>
      <c r="D297">
        <v>211</v>
      </c>
      <c r="E297">
        <v>27</v>
      </c>
      <c r="F297">
        <v>1</v>
      </c>
      <c r="G297">
        <v>17</v>
      </c>
      <c r="H297">
        <v>0</v>
      </c>
      <c r="I297">
        <v>151</v>
      </c>
      <c r="J297">
        <v>42</v>
      </c>
      <c r="K297">
        <v>2</v>
      </c>
      <c r="L297">
        <v>0</v>
      </c>
      <c r="M297" t="s">
        <v>72</v>
      </c>
      <c r="N297">
        <v>255</v>
      </c>
      <c r="O297">
        <v>66</v>
      </c>
      <c r="P297">
        <v>164</v>
      </c>
      <c r="Q297">
        <v>7</v>
      </c>
      <c r="R297">
        <v>2</v>
      </c>
      <c r="S297">
        <v>4</v>
      </c>
      <c r="T297">
        <v>0</v>
      </c>
      <c r="U297">
        <v>604</v>
      </c>
      <c r="V297">
        <v>50</v>
      </c>
      <c r="W297">
        <v>7</v>
      </c>
      <c r="X297">
        <v>0</v>
      </c>
      <c r="Y297" t="s">
        <v>19</v>
      </c>
      <c r="Z297">
        <v>3</v>
      </c>
      <c r="AA297">
        <f>IF(AND(Table1[[#This Row],[Throw Out Pass Eff]]="N", Table1[[#This Row],[Against FCS Team]]="N"), ROUND(((5.45 * D297) + (150 * F297) + (100 * G297) - (300 * H297)) / E297, 2), " ")</f>
        <v>111.11</v>
      </c>
      <c r="AB297" t="str">
        <f>IF(AND(Table1[[#This Row],[Throw Out Pass Def Eff]]="N", Table1[[#This Row],[Against FCS Team]]="N"),200 - ROUND(((5.45 * P297) + (150 * R297) + (100 * S297) - (300 * T297)) / Q297, 2), " ")</f>
        <v xml:space="preserve"> </v>
      </c>
      <c r="AC297">
        <f>IF(AND(Table1[[#This Row],[Throw Out Rush Eff]]="N", Table1[[#This Row],[Against FCS Team]]="N"), ROUND(((23.2 * I297) + (150 * K297) - (300 * L297)) / J297, 2), " ")</f>
        <v>90.55</v>
      </c>
      <c r="AD297" s="3">
        <f>IF(AND(Table1[[#This Row],[Throw Out Rush Def Eff]]="N", Table1[[#This Row],[Against FCS Team]]="N"), 200 - ROUND(((23.2 * U297) + (150 * W297) - (300 * X297)) / V297, 2), " ")</f>
        <v>-101.25999999999999</v>
      </c>
      <c r="AE297" s="3">
        <f>ROUND(Table1[[#This Row],[Opp Passing Attempts]]/(Table1[[#This Row],[Opp Passing Attempts]]+Table1[[#This Row],[Opp Rushing Attempts]]), 2)</f>
        <v>0.12</v>
      </c>
      <c r="AF297" s="3">
        <f>1-Table1[[#This Row],[Passing Weight]]</f>
        <v>0.88</v>
      </c>
      <c r="AG297" s="3" t="str">
        <f>IF(COUNTIF(A:A,Table1[[#This Row],[Opp Team Name]]) &gt; 0, "N", "Y")</f>
        <v>N</v>
      </c>
      <c r="AH297" s="3" t="str">
        <f>IF(Table1[[#This Row],[Passing Attempts]] &lt;15, "Y", "N")</f>
        <v>N</v>
      </c>
      <c r="AI297" s="3" t="str">
        <f>IF(Table1[[#This Row],[Rushing Attempts]] &lt; 15, "Y", "N")</f>
        <v>N</v>
      </c>
      <c r="AJ297" s="3" t="str">
        <f>IF(Table1[[#This Row],[Opp Passing Attempts]]&lt;15, "Y", "N")</f>
        <v>Y</v>
      </c>
      <c r="AK297" s="3" t="str">
        <f>IF(Table1[[#This Row],[Opp Rushing Attempts]]&lt;15, "Y", "N")</f>
        <v>N</v>
      </c>
      <c r="AL29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134.72</v>
      </c>
      <c r="AM29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29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76.61</v>
      </c>
      <c r="AO29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-144.61000000000001</v>
      </c>
      <c r="AP297" s="3">
        <f>ABS(Table1[[#This Row],[Team Score]]-Table1[[#This Row],[Opp Team Score]])</f>
        <v>42</v>
      </c>
      <c r="AQ297" s="3">
        <f>SUM(Table1[[#This Row],[Team Score]], Table1[[#This Row],[Opp Team Score]])</f>
        <v>90</v>
      </c>
      <c r="AR29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297" s="3" t="str">
        <f>IF(Table1[[#This Row],[Efficiency Difference]] = " ", " ", ROUND((Table1[[#This Row],[Winning Margin]]*100)/Table1[[#This Row],[Efficiency Difference]], 2))</f>
        <v xml:space="preserve"> </v>
      </c>
    </row>
    <row r="298" spans="1:45">
      <c r="A298" t="s">
        <v>80</v>
      </c>
      <c r="B298">
        <v>328</v>
      </c>
      <c r="C298">
        <v>34</v>
      </c>
      <c r="D298">
        <v>239</v>
      </c>
      <c r="E298">
        <v>22</v>
      </c>
      <c r="F298">
        <v>3</v>
      </c>
      <c r="G298">
        <v>16</v>
      </c>
      <c r="H298">
        <v>3</v>
      </c>
      <c r="I298">
        <v>239</v>
      </c>
      <c r="J298">
        <v>51</v>
      </c>
      <c r="K298">
        <v>2</v>
      </c>
      <c r="L298">
        <v>1</v>
      </c>
      <c r="M298" t="s">
        <v>137</v>
      </c>
      <c r="N298">
        <v>700</v>
      </c>
      <c r="O298">
        <v>45</v>
      </c>
      <c r="P298">
        <v>366</v>
      </c>
      <c r="Q298">
        <v>46</v>
      </c>
      <c r="R298">
        <v>3</v>
      </c>
      <c r="S298">
        <v>29</v>
      </c>
      <c r="T298">
        <v>1</v>
      </c>
      <c r="U298">
        <v>164</v>
      </c>
      <c r="V298">
        <v>40</v>
      </c>
      <c r="W298">
        <v>3</v>
      </c>
      <c r="X298">
        <v>0</v>
      </c>
      <c r="Y298" t="s">
        <v>19</v>
      </c>
      <c r="Z298">
        <v>5</v>
      </c>
      <c r="AA298">
        <f>IF(AND(Table1[[#This Row],[Throw Out Pass Eff]]="N", Table1[[#This Row],[Against FCS Team]]="N"), ROUND(((5.45 * D298) + (150 * F298) + (100 * G298) - (300 * H298)) / E298, 2), " ")</f>
        <v>111.48</v>
      </c>
      <c r="AB298">
        <f>IF(AND(Table1[[#This Row],[Throw Out Pass Def Eff]]="N", Table1[[#This Row],[Against FCS Team]]="N"),200 - ROUND(((5.45 * P298) + (150 * R298) + (100 * S298) - (300 * T298)) / Q298, 2), " ")</f>
        <v>90.33</v>
      </c>
      <c r="AC298">
        <f>IF(AND(Table1[[#This Row],[Throw Out Rush Eff]]="N", Table1[[#This Row],[Against FCS Team]]="N"), ROUND(((23.2 * I298) + (150 * K298) - (300 * L298)) / J298, 2), " ")</f>
        <v>108.72</v>
      </c>
      <c r="AD298" s="3">
        <f>IF(AND(Table1[[#This Row],[Throw Out Rush Def Eff]]="N", Table1[[#This Row],[Against FCS Team]]="N"), 200 - ROUND(((23.2 * U298) + (150 * W298) - (300 * X298)) / V298, 2), " ")</f>
        <v>93.63</v>
      </c>
      <c r="AE298" s="3">
        <f>ROUND(Table1[[#This Row],[Opp Passing Attempts]]/(Table1[[#This Row],[Opp Passing Attempts]]+Table1[[#This Row],[Opp Rushing Attempts]]), 2)</f>
        <v>0.53</v>
      </c>
      <c r="AF298" s="3">
        <f>1-Table1[[#This Row],[Passing Weight]]</f>
        <v>0.47</v>
      </c>
      <c r="AG298" s="3" t="str">
        <f>IF(COUNTIF(A:A,Table1[[#This Row],[Opp Team Name]]) &gt; 0, "N", "Y")</f>
        <v>N</v>
      </c>
      <c r="AH298" s="3" t="str">
        <f>IF(Table1[[#This Row],[Passing Attempts]] &lt;15, "Y", "N")</f>
        <v>N</v>
      </c>
      <c r="AI298" s="3" t="str">
        <f>IF(Table1[[#This Row],[Rushing Attempts]] &lt; 15, "Y", "N")</f>
        <v>N</v>
      </c>
      <c r="AJ298" s="3" t="str">
        <f>IF(Table1[[#This Row],[Opp Passing Attempts]]&lt;15, "Y", "N")</f>
        <v>N</v>
      </c>
      <c r="AK298" s="3" t="str">
        <f>IF(Table1[[#This Row],[Opp Rushing Attempts]]&lt;15, "Y", "N")</f>
        <v>N</v>
      </c>
      <c r="AL29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110.4</v>
      </c>
      <c r="AM29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108.06</v>
      </c>
      <c r="AN29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100.81</v>
      </c>
      <c r="AO29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96.26</v>
      </c>
      <c r="AP298" s="3">
        <f>ABS(Table1[[#This Row],[Team Score]]-Table1[[#This Row],[Opp Team Score]])</f>
        <v>11</v>
      </c>
      <c r="AQ298" s="3">
        <f>SUM(Table1[[#This Row],[Team Score]], Table1[[#This Row],[Opp Team Score]])</f>
        <v>79</v>
      </c>
      <c r="AR29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4.1599999999999682</v>
      </c>
      <c r="AS298" s="3">
        <f>IF(Table1[[#This Row],[Efficiency Difference]] = " ", " ", ROUND((Table1[[#This Row],[Winning Margin]]*100)/Table1[[#This Row],[Efficiency Difference]], 2))</f>
        <v>264.42</v>
      </c>
    </row>
    <row r="299" spans="1:45">
      <c r="A299" t="s">
        <v>80</v>
      </c>
      <c r="B299">
        <v>328</v>
      </c>
      <c r="C299">
        <v>28</v>
      </c>
      <c r="D299">
        <v>325</v>
      </c>
      <c r="E299">
        <v>37</v>
      </c>
      <c r="F299">
        <v>2</v>
      </c>
      <c r="G299">
        <v>26</v>
      </c>
      <c r="H299">
        <v>2</v>
      </c>
      <c r="I299">
        <v>153</v>
      </c>
      <c r="J299">
        <v>44</v>
      </c>
      <c r="K299">
        <v>2</v>
      </c>
      <c r="L299">
        <v>2</v>
      </c>
      <c r="M299" t="s">
        <v>87</v>
      </c>
      <c r="N299">
        <v>521</v>
      </c>
      <c r="O299">
        <v>70</v>
      </c>
      <c r="P299">
        <v>494</v>
      </c>
      <c r="Q299">
        <v>49</v>
      </c>
      <c r="R299">
        <v>7</v>
      </c>
      <c r="S299">
        <v>38</v>
      </c>
      <c r="T299">
        <v>0</v>
      </c>
      <c r="U299">
        <v>106</v>
      </c>
      <c r="V299">
        <v>27</v>
      </c>
      <c r="W299">
        <v>3</v>
      </c>
      <c r="X299">
        <v>0</v>
      </c>
      <c r="Y299" t="s">
        <v>19</v>
      </c>
      <c r="Z299">
        <v>6</v>
      </c>
      <c r="AA299">
        <f>IF(AND(Table1[[#This Row],[Throw Out Pass Eff]]="N", Table1[[#This Row],[Against FCS Team]]="N"), ROUND(((5.45 * D299) + (150 * F299) + (100 * G299) - (300 * H299)) / E299, 2), " ")</f>
        <v>110.03</v>
      </c>
      <c r="AB299">
        <f>IF(AND(Table1[[#This Row],[Throw Out Pass Def Eff]]="N", Table1[[#This Row],[Against FCS Team]]="N"),200 - ROUND(((5.45 * P299) + (150 * R299) + (100 * S299) - (300 * T299)) / Q299, 2), " ")</f>
        <v>46.080000000000013</v>
      </c>
      <c r="AC299">
        <f>IF(AND(Table1[[#This Row],[Throw Out Rush Eff]]="N", Table1[[#This Row],[Against FCS Team]]="N"), ROUND(((23.2 * I299) + (150 * K299) - (300 * L299)) / J299, 2), " ")</f>
        <v>73.849999999999994</v>
      </c>
      <c r="AD299" s="3">
        <f>IF(AND(Table1[[#This Row],[Throw Out Rush Def Eff]]="N", Table1[[#This Row],[Against FCS Team]]="N"), 200 - ROUND(((23.2 * U299) + (150 * W299) - (300 * X299)) / V299, 2), " ")</f>
        <v>92.25</v>
      </c>
      <c r="AE299" s="3">
        <f>ROUND(Table1[[#This Row],[Opp Passing Attempts]]/(Table1[[#This Row],[Opp Passing Attempts]]+Table1[[#This Row],[Opp Rushing Attempts]]), 2)</f>
        <v>0.64</v>
      </c>
      <c r="AF299" s="3">
        <f>1-Table1[[#This Row],[Passing Weight]]</f>
        <v>0.36</v>
      </c>
      <c r="AG299" s="3" t="str">
        <f>IF(COUNTIF(A:A,Table1[[#This Row],[Opp Team Name]]) &gt; 0, "N", "Y")</f>
        <v>N</v>
      </c>
      <c r="AH299" s="3" t="str">
        <f>IF(Table1[[#This Row],[Passing Attempts]] &lt;15, "Y", "N")</f>
        <v>N</v>
      </c>
      <c r="AI299" s="3" t="str">
        <f>IF(Table1[[#This Row],[Rushing Attempts]] &lt; 15, "Y", "N")</f>
        <v>N</v>
      </c>
      <c r="AJ299" s="3" t="str">
        <f>IF(Table1[[#This Row],[Opp Passing Attempts]]&lt;15, "Y", "N")</f>
        <v>N</v>
      </c>
      <c r="AK299" s="3" t="str">
        <f>IF(Table1[[#This Row],[Opp Rushing Attempts]]&lt;15, "Y", "N")</f>
        <v>N</v>
      </c>
      <c r="AL29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135.79</v>
      </c>
      <c r="AM29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54.43</v>
      </c>
      <c r="AN29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76.819999999999993</v>
      </c>
      <c r="AO29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112.28</v>
      </c>
      <c r="AP299" s="3">
        <f>ABS(Table1[[#This Row],[Team Score]]-Table1[[#This Row],[Opp Team Score]])</f>
        <v>42</v>
      </c>
      <c r="AQ299" s="3">
        <f>SUM(Table1[[#This Row],[Team Score]], Table1[[#This Row],[Opp Team Score]])</f>
        <v>98</v>
      </c>
      <c r="AR29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77.789999999999964</v>
      </c>
      <c r="AS299" s="3">
        <f>IF(Table1[[#This Row],[Efficiency Difference]] = " ", " ", ROUND((Table1[[#This Row],[Winning Margin]]*100)/Table1[[#This Row],[Efficiency Difference]], 2))</f>
        <v>53.99</v>
      </c>
    </row>
    <row r="300" spans="1:45">
      <c r="A300" t="s">
        <v>80</v>
      </c>
      <c r="B300">
        <v>328</v>
      </c>
      <c r="C300">
        <v>17</v>
      </c>
      <c r="D300">
        <v>108</v>
      </c>
      <c r="E300">
        <v>25</v>
      </c>
      <c r="F300">
        <v>0</v>
      </c>
      <c r="G300">
        <v>13</v>
      </c>
      <c r="H300">
        <v>0</v>
      </c>
      <c r="I300">
        <v>144</v>
      </c>
      <c r="J300">
        <v>38</v>
      </c>
      <c r="K300">
        <v>2</v>
      </c>
      <c r="L300">
        <v>0</v>
      </c>
      <c r="M300" t="s">
        <v>116</v>
      </c>
      <c r="N300">
        <v>522</v>
      </c>
      <c r="O300">
        <v>47</v>
      </c>
      <c r="P300">
        <v>363</v>
      </c>
      <c r="Q300">
        <v>48</v>
      </c>
      <c r="R300">
        <v>3</v>
      </c>
      <c r="S300">
        <v>29</v>
      </c>
      <c r="T300">
        <v>1</v>
      </c>
      <c r="U300">
        <v>247</v>
      </c>
      <c r="V300">
        <v>40</v>
      </c>
      <c r="W300">
        <v>2</v>
      </c>
      <c r="X300">
        <v>2</v>
      </c>
      <c r="Y300" t="s">
        <v>19</v>
      </c>
      <c r="Z300">
        <v>7</v>
      </c>
      <c r="AA300">
        <f>IF(AND(Table1[[#This Row],[Throw Out Pass Eff]]="N", Table1[[#This Row],[Against FCS Team]]="N"), ROUND(((5.45 * D300) + (150 * F300) + (100 * G300) - (300 * H300)) / E300, 2), " ")</f>
        <v>75.540000000000006</v>
      </c>
      <c r="AB300">
        <f>IF(AND(Table1[[#This Row],[Throw Out Pass Def Eff]]="N", Table1[[#This Row],[Against FCS Team]]="N"),200 - ROUND(((5.45 * P300) + (150 * R300) + (100 * S300) - (300 * T300)) / Q300, 2), " ")</f>
        <v>95.24</v>
      </c>
      <c r="AC300">
        <f>IF(AND(Table1[[#This Row],[Throw Out Rush Eff]]="N", Table1[[#This Row],[Against FCS Team]]="N"), ROUND(((23.2 * I300) + (150 * K300) - (300 * L300)) / J300, 2), " ")</f>
        <v>95.81</v>
      </c>
      <c r="AD300" s="3">
        <f>IF(AND(Table1[[#This Row],[Throw Out Rush Def Eff]]="N", Table1[[#This Row],[Against FCS Team]]="N"), 200 - ROUND(((23.2 * U300) + (150 * W300) - (300 * X300)) / V300, 2), " ")</f>
        <v>64.240000000000009</v>
      </c>
      <c r="AE300" s="3">
        <f>ROUND(Table1[[#This Row],[Opp Passing Attempts]]/(Table1[[#This Row],[Opp Passing Attempts]]+Table1[[#This Row],[Opp Rushing Attempts]]), 2)</f>
        <v>0.55000000000000004</v>
      </c>
      <c r="AF300" s="3">
        <f>1-Table1[[#This Row],[Passing Weight]]</f>
        <v>0.44999999999999996</v>
      </c>
      <c r="AG300" s="3" t="str">
        <f>IF(COUNTIF(A:A,Table1[[#This Row],[Opp Team Name]]) &gt; 0, "N", "Y")</f>
        <v>N</v>
      </c>
      <c r="AH300" s="3" t="str">
        <f>IF(Table1[[#This Row],[Passing Attempts]] &lt;15, "Y", "N")</f>
        <v>N</v>
      </c>
      <c r="AI300" s="3" t="str">
        <f>IF(Table1[[#This Row],[Rushing Attempts]] &lt; 15, "Y", "N")</f>
        <v>N</v>
      </c>
      <c r="AJ300" s="3" t="str">
        <f>IF(Table1[[#This Row],[Opp Passing Attempts]]&lt;15, "Y", "N")</f>
        <v>N</v>
      </c>
      <c r="AK300" s="3" t="str">
        <f>IF(Table1[[#This Row],[Opp Rushing Attempts]]&lt;15, "Y", "N")</f>
        <v>N</v>
      </c>
      <c r="AL30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89.05</v>
      </c>
      <c r="AM30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106.97</v>
      </c>
      <c r="AN30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126.19</v>
      </c>
      <c r="AO30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69.75</v>
      </c>
      <c r="AP300" s="3">
        <f>ABS(Table1[[#This Row],[Team Score]]-Table1[[#This Row],[Opp Team Score]])</f>
        <v>30</v>
      </c>
      <c r="AQ300" s="3">
        <f>SUM(Table1[[#This Row],[Team Score]], Table1[[#This Row],[Opp Team Score]])</f>
        <v>64</v>
      </c>
      <c r="AR30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69.169999999999959</v>
      </c>
      <c r="AS300" s="3">
        <f>IF(Table1[[#This Row],[Efficiency Difference]] = " ", " ", ROUND((Table1[[#This Row],[Winning Margin]]*100)/Table1[[#This Row],[Efficiency Difference]], 2))</f>
        <v>43.37</v>
      </c>
    </row>
    <row r="301" spans="1:45">
      <c r="A301" t="s">
        <v>80</v>
      </c>
      <c r="B301">
        <v>328</v>
      </c>
      <c r="C301">
        <v>21</v>
      </c>
      <c r="D301">
        <v>210</v>
      </c>
      <c r="E301">
        <v>36</v>
      </c>
      <c r="F301">
        <v>2</v>
      </c>
      <c r="G301">
        <v>25</v>
      </c>
      <c r="H301">
        <v>0</v>
      </c>
      <c r="I301">
        <v>76</v>
      </c>
      <c r="J301">
        <v>37</v>
      </c>
      <c r="K301">
        <v>1</v>
      </c>
      <c r="L301">
        <v>2</v>
      </c>
      <c r="M301" t="s">
        <v>82</v>
      </c>
      <c r="N301">
        <v>327</v>
      </c>
      <c r="O301">
        <v>59</v>
      </c>
      <c r="P301">
        <v>205</v>
      </c>
      <c r="Q301">
        <v>21</v>
      </c>
      <c r="R301">
        <v>1</v>
      </c>
      <c r="S301">
        <v>14</v>
      </c>
      <c r="T301">
        <v>0</v>
      </c>
      <c r="U301">
        <v>261</v>
      </c>
      <c r="V301">
        <v>42</v>
      </c>
      <c r="W301">
        <v>6</v>
      </c>
      <c r="X301">
        <v>0</v>
      </c>
      <c r="Y301" t="s">
        <v>19</v>
      </c>
      <c r="Z301">
        <v>8</v>
      </c>
      <c r="AA301" s="3">
        <f>IF(AND(Table1[[#This Row],[Throw Out Pass Eff]]="N", Table1[[#This Row],[Against FCS Team]]="N"), ROUND(((5.45 * D301) + (150 * F301) + (100 * G301) - (300 * H301)) / E301, 2), " ")</f>
        <v>109.57</v>
      </c>
      <c r="AB301" s="3">
        <f>IF(AND(Table1[[#This Row],[Throw Out Pass Def Eff]]="N", Table1[[#This Row],[Against FCS Team]]="N"),200 - ROUND(((5.45 * P301) + (150 * R301) + (100 * S301) - (300 * T301)) / Q301, 2), " ")</f>
        <v>72.989999999999995</v>
      </c>
      <c r="AC301" s="3">
        <f>IF(AND(Table1[[#This Row],[Throw Out Rush Eff]]="N", Table1[[#This Row],[Against FCS Team]]="N"), ROUND(((23.2 * I301) + (150 * K301) - (300 * L301)) / J301, 2), " ")</f>
        <v>35.49</v>
      </c>
      <c r="AD301" s="3">
        <f>IF(AND(Table1[[#This Row],[Throw Out Rush Def Eff]]="N", Table1[[#This Row],[Against FCS Team]]="N"), 200 - ROUND(((23.2 * U301) + (150 * W301) - (300 * X301)) / V301, 2), " ")</f>
        <v>34.400000000000006</v>
      </c>
      <c r="AE301" s="3">
        <f>ROUND(Table1[[#This Row],[Opp Passing Attempts]]/(Table1[[#This Row],[Opp Passing Attempts]]+Table1[[#This Row],[Opp Rushing Attempts]]), 2)</f>
        <v>0.33</v>
      </c>
      <c r="AF301" s="3">
        <f>1-Table1[[#This Row],[Passing Weight]]</f>
        <v>0.66999999999999993</v>
      </c>
      <c r="AG301" s="3" t="str">
        <f>IF(COUNTIF(A:A,Table1[[#This Row],[Opp Team Name]]) &gt; 0, "N", "Y")</f>
        <v>N</v>
      </c>
      <c r="AH301" s="3" t="str">
        <f>IF(Table1[[#This Row],[Passing Attempts]] &lt;15, "Y", "N")</f>
        <v>N</v>
      </c>
      <c r="AI301" s="3" t="str">
        <f>IF(Table1[[#This Row],[Rushing Attempts]] &lt; 15, "Y", "N")</f>
        <v>N</v>
      </c>
      <c r="AJ301" s="3" t="str">
        <f>IF(Table1[[#This Row],[Opp Passing Attempts]]&lt;15, "Y", "N")</f>
        <v>N</v>
      </c>
      <c r="AK301" s="3" t="str">
        <f>IF(Table1[[#This Row],[Opp Rushing Attempts]]&lt;15, "Y", "N")</f>
        <v>N</v>
      </c>
      <c r="AL30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112.09</v>
      </c>
      <c r="AM30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75.37</v>
      </c>
      <c r="AN30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43.63</v>
      </c>
      <c r="AO30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41.83</v>
      </c>
      <c r="AP301" s="3">
        <f>ABS(Table1[[#This Row],[Team Score]]-Table1[[#This Row],[Opp Team Score]])</f>
        <v>38</v>
      </c>
      <c r="AQ301" s="3">
        <f>SUM(Table1[[#This Row],[Team Score]], Table1[[#This Row],[Opp Team Score]])</f>
        <v>80</v>
      </c>
      <c r="AR30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147.55000000000001</v>
      </c>
      <c r="AS301" s="3">
        <f>IF(Table1[[#This Row],[Efficiency Difference]] = " ", " ", ROUND((Table1[[#This Row],[Winning Margin]]*100)/Table1[[#This Row],[Efficiency Difference]], 2))</f>
        <v>25.75</v>
      </c>
    </row>
    <row r="302" spans="1:45">
      <c r="A302" t="s">
        <v>82</v>
      </c>
      <c r="B302">
        <v>327</v>
      </c>
      <c r="C302">
        <v>10</v>
      </c>
      <c r="D302">
        <v>128</v>
      </c>
      <c r="E302">
        <v>21</v>
      </c>
      <c r="F302">
        <v>1</v>
      </c>
      <c r="G302">
        <v>13</v>
      </c>
      <c r="H302">
        <v>1</v>
      </c>
      <c r="I302">
        <v>175</v>
      </c>
      <c r="J302">
        <v>56</v>
      </c>
      <c r="K302">
        <v>0</v>
      </c>
      <c r="L302">
        <v>4</v>
      </c>
      <c r="M302" t="s">
        <v>83</v>
      </c>
      <c r="N302">
        <v>202</v>
      </c>
      <c r="O302">
        <v>7</v>
      </c>
      <c r="P302">
        <v>119</v>
      </c>
      <c r="Q302">
        <v>26</v>
      </c>
      <c r="R302">
        <v>0</v>
      </c>
      <c r="S302">
        <v>9</v>
      </c>
      <c r="T302">
        <v>2</v>
      </c>
      <c r="U302">
        <v>10</v>
      </c>
      <c r="V302">
        <v>27</v>
      </c>
      <c r="W302">
        <v>1</v>
      </c>
      <c r="X302">
        <v>0</v>
      </c>
      <c r="Y302" t="s">
        <v>16</v>
      </c>
      <c r="Z302">
        <v>1</v>
      </c>
      <c r="AA302" t="str">
        <f>IF(AND(Table1[[#This Row],[Throw Out Pass Eff]]="N", Table1[[#This Row],[Against FCS Team]]="N"), ROUND(((5.45 * D302) + (150 * F302) + (100 * G302) - (300 * H302)) / E302, 2), " ")</f>
        <v xml:space="preserve"> </v>
      </c>
      <c r="AB302" t="str">
        <f>IF(AND(Table1[[#This Row],[Throw Out Pass Def Eff]]="N", Table1[[#This Row],[Against FCS Team]]="N"),200 - ROUND(((5.45 * P302) + (150 * R302) + (100 * S302) - (300 * T302)) / Q302, 2), " ")</f>
        <v xml:space="preserve"> </v>
      </c>
      <c r="AC302" t="str">
        <f>IF(AND(Table1[[#This Row],[Throw Out Rush Eff]]="N", Table1[[#This Row],[Against FCS Team]]="N"), ROUND(((23.2 * I302) + (150 * K302) - (300 * L302)) / J302, 2), " ")</f>
        <v xml:space="preserve"> </v>
      </c>
      <c r="AD302" s="3" t="str">
        <f>IF(AND(Table1[[#This Row],[Throw Out Rush Def Eff]]="N", Table1[[#This Row],[Against FCS Team]]="N"), 200 - ROUND(((23.2 * U302) + (150 * W302) - (300 * X302)) / V302, 2), " ")</f>
        <v xml:space="preserve"> </v>
      </c>
      <c r="AE302" s="3">
        <f>ROUND(Table1[[#This Row],[Opp Passing Attempts]]/(Table1[[#This Row],[Opp Passing Attempts]]+Table1[[#This Row],[Opp Rushing Attempts]]), 2)</f>
        <v>0.49</v>
      </c>
      <c r="AF302" s="3">
        <f>1-Table1[[#This Row],[Passing Weight]]</f>
        <v>0.51</v>
      </c>
      <c r="AG302" s="3" t="str">
        <f>IF(COUNTIF(A:A,Table1[[#This Row],[Opp Team Name]]) &gt; 0, "N", "Y")</f>
        <v>Y</v>
      </c>
      <c r="AH302" s="3" t="str">
        <f>IF(Table1[[#This Row],[Passing Attempts]] &lt;15, "Y", "N")</f>
        <v>N</v>
      </c>
      <c r="AI302" s="3" t="str">
        <f>IF(Table1[[#This Row],[Rushing Attempts]] &lt; 15, "Y", "N")</f>
        <v>N</v>
      </c>
      <c r="AJ302" s="3" t="str">
        <f>IF(Table1[[#This Row],[Opp Passing Attempts]]&lt;15, "Y", "N")</f>
        <v>N</v>
      </c>
      <c r="AK302" s="3" t="str">
        <f>IF(Table1[[#This Row],[Opp Rushing Attempts]]&lt;15, "Y", "N")</f>
        <v>N</v>
      </c>
      <c r="AL30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0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0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02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02" s="3">
        <f>ABS(Table1[[#This Row],[Team Score]]-Table1[[#This Row],[Opp Team Score]])</f>
        <v>3</v>
      </c>
      <c r="AQ302" s="3">
        <f>SUM(Table1[[#This Row],[Team Score]], Table1[[#This Row],[Opp Team Score]])</f>
        <v>17</v>
      </c>
      <c r="AR30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02" s="3" t="str">
        <f>IF(Table1[[#This Row],[Efficiency Difference]] = " ", " ", ROUND((Table1[[#This Row],[Winning Margin]]*100)/Table1[[#This Row],[Efficiency Difference]], 2))</f>
        <v xml:space="preserve"> </v>
      </c>
    </row>
    <row r="303" spans="1:45">
      <c r="A303" t="s">
        <v>82</v>
      </c>
      <c r="B303">
        <v>327</v>
      </c>
      <c r="C303">
        <v>37</v>
      </c>
      <c r="D303">
        <v>116</v>
      </c>
      <c r="E303">
        <v>24</v>
      </c>
      <c r="F303">
        <v>1</v>
      </c>
      <c r="G303">
        <v>13</v>
      </c>
      <c r="H303">
        <v>0</v>
      </c>
      <c r="I303">
        <v>219</v>
      </c>
      <c r="J303">
        <v>42</v>
      </c>
      <c r="K303">
        <v>2</v>
      </c>
      <c r="L303">
        <v>0</v>
      </c>
      <c r="M303" t="s">
        <v>21</v>
      </c>
      <c r="N303">
        <v>331</v>
      </c>
      <c r="O303">
        <v>0</v>
      </c>
      <c r="P303">
        <v>81</v>
      </c>
      <c r="Q303">
        <v>23</v>
      </c>
      <c r="R303">
        <v>0</v>
      </c>
      <c r="S303">
        <v>11</v>
      </c>
      <c r="T303">
        <v>2</v>
      </c>
      <c r="U303">
        <v>118</v>
      </c>
      <c r="V303">
        <v>36</v>
      </c>
      <c r="W303">
        <v>0</v>
      </c>
      <c r="X303">
        <v>0</v>
      </c>
      <c r="Y303" t="s">
        <v>16</v>
      </c>
      <c r="Z303">
        <v>3</v>
      </c>
      <c r="AA303">
        <f>IF(AND(Table1[[#This Row],[Throw Out Pass Eff]]="N", Table1[[#This Row],[Against FCS Team]]="N"), ROUND(((5.45 * D303) + (150 * F303) + (100 * G303) - (300 * H303)) / E303, 2), " ")</f>
        <v>86.76</v>
      </c>
      <c r="AB303">
        <f>IF(AND(Table1[[#This Row],[Throw Out Pass Def Eff]]="N", Table1[[#This Row],[Against FCS Team]]="N"),200 - ROUND(((5.45 * P303) + (150 * R303) + (100 * S303) - (300 * T303)) / Q303, 2), " ")</f>
        <v>159.07</v>
      </c>
      <c r="AC303">
        <f>IF(AND(Table1[[#This Row],[Throw Out Rush Eff]]="N", Table1[[#This Row],[Against FCS Team]]="N"), ROUND(((23.2 * I303) + (150 * K303) - (300 * L303)) / J303, 2), " ")</f>
        <v>128.11000000000001</v>
      </c>
      <c r="AD303" s="3">
        <f>IF(AND(Table1[[#This Row],[Throw Out Rush Def Eff]]="N", Table1[[#This Row],[Against FCS Team]]="N"), 200 - ROUND(((23.2 * U303) + (150 * W303) - (300 * X303)) / V303, 2), " ")</f>
        <v>123.96</v>
      </c>
      <c r="AE303" s="3">
        <f>ROUND(Table1[[#This Row],[Opp Passing Attempts]]/(Table1[[#This Row],[Opp Passing Attempts]]+Table1[[#This Row],[Opp Rushing Attempts]]), 2)</f>
        <v>0.39</v>
      </c>
      <c r="AF303" s="3">
        <f>1-Table1[[#This Row],[Passing Weight]]</f>
        <v>0.61</v>
      </c>
      <c r="AG303" s="3" t="str">
        <f>IF(COUNTIF(A:A,Table1[[#This Row],[Opp Team Name]]) &gt; 0, "N", "Y")</f>
        <v>N</v>
      </c>
      <c r="AH303" s="3" t="str">
        <f>IF(Table1[[#This Row],[Passing Attempts]] &lt;15, "Y", "N")</f>
        <v>N</v>
      </c>
      <c r="AI303" s="3" t="str">
        <f>IF(Table1[[#This Row],[Rushing Attempts]] &lt; 15, "Y", "N")</f>
        <v>N</v>
      </c>
      <c r="AJ303" s="3" t="str">
        <f>IF(Table1[[#This Row],[Opp Passing Attempts]]&lt;15, "Y", "N")</f>
        <v>N</v>
      </c>
      <c r="AK303" s="3" t="str">
        <f>IF(Table1[[#This Row],[Opp Rushing Attempts]]&lt;15, "Y", "N")</f>
        <v>N</v>
      </c>
      <c r="AL30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98.81</v>
      </c>
      <c r="AM30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75.39</v>
      </c>
      <c r="AN30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154.86000000000001</v>
      </c>
      <c r="AO30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36.83</v>
      </c>
      <c r="AP303" s="3">
        <f>ABS(Table1[[#This Row],[Team Score]]-Table1[[#This Row],[Opp Team Score]])</f>
        <v>37</v>
      </c>
      <c r="AQ303" s="3">
        <f>SUM(Table1[[#This Row],[Team Score]], Table1[[#This Row],[Opp Team Score]])</f>
        <v>37</v>
      </c>
      <c r="AR30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97.899999999999977</v>
      </c>
      <c r="AS303" s="3">
        <f>IF(Table1[[#This Row],[Efficiency Difference]] = " ", " ", ROUND((Table1[[#This Row],[Winning Margin]]*100)/Table1[[#This Row],[Efficiency Difference]], 2))</f>
        <v>37.79</v>
      </c>
    </row>
    <row r="304" spans="1:45">
      <c r="A304" t="s">
        <v>82</v>
      </c>
      <c r="B304">
        <v>327</v>
      </c>
      <c r="C304">
        <v>28</v>
      </c>
      <c r="D304">
        <v>133</v>
      </c>
      <c r="E304">
        <v>18</v>
      </c>
      <c r="F304">
        <v>2</v>
      </c>
      <c r="G304">
        <v>12</v>
      </c>
      <c r="H304">
        <v>0</v>
      </c>
      <c r="I304">
        <v>265</v>
      </c>
      <c r="J304">
        <v>44</v>
      </c>
      <c r="K304">
        <v>2</v>
      </c>
      <c r="L304">
        <v>0</v>
      </c>
      <c r="M304" t="s">
        <v>179</v>
      </c>
      <c r="N304">
        <v>415</v>
      </c>
      <c r="O304">
        <v>24</v>
      </c>
      <c r="P304">
        <v>272</v>
      </c>
      <c r="Q304">
        <v>31</v>
      </c>
      <c r="R304">
        <v>2</v>
      </c>
      <c r="S304">
        <v>21</v>
      </c>
      <c r="T304">
        <v>1</v>
      </c>
      <c r="U304">
        <v>139</v>
      </c>
      <c r="V304">
        <v>27</v>
      </c>
      <c r="W304">
        <v>1</v>
      </c>
      <c r="X304">
        <v>0</v>
      </c>
      <c r="Y304" t="s">
        <v>16</v>
      </c>
      <c r="Z304">
        <v>4</v>
      </c>
      <c r="AA304">
        <f>IF(AND(Table1[[#This Row],[Throw Out Pass Eff]]="N", Table1[[#This Row],[Against FCS Team]]="N"), ROUND(((5.45 * D304) + (150 * F304) + (100 * G304) - (300 * H304)) / E304, 2), " ")</f>
        <v>123.6</v>
      </c>
      <c r="AB304">
        <f>IF(AND(Table1[[#This Row],[Throw Out Pass Def Eff]]="N", Table1[[#This Row],[Against FCS Team]]="N"),200 - ROUND(((5.45 * P304) + (150 * R304) + (100 * S304) - (300 * T304)) / Q304, 2), " ")</f>
        <v>84.44</v>
      </c>
      <c r="AC304">
        <f>IF(AND(Table1[[#This Row],[Throw Out Rush Eff]]="N", Table1[[#This Row],[Against FCS Team]]="N"), ROUND(((23.2 * I304) + (150 * K304) - (300 * L304)) / J304, 2), " ")</f>
        <v>146.55000000000001</v>
      </c>
      <c r="AD304" s="3">
        <f>IF(AND(Table1[[#This Row],[Throw Out Rush Def Eff]]="N", Table1[[#This Row],[Against FCS Team]]="N"), 200 - ROUND(((23.2 * U304) + (150 * W304) - (300 * X304)) / V304, 2), " ")</f>
        <v>75.010000000000005</v>
      </c>
      <c r="AE304" s="3">
        <f>ROUND(Table1[[#This Row],[Opp Passing Attempts]]/(Table1[[#This Row],[Opp Passing Attempts]]+Table1[[#This Row],[Opp Rushing Attempts]]), 2)</f>
        <v>0.53</v>
      </c>
      <c r="AF304" s="3">
        <f>1-Table1[[#This Row],[Passing Weight]]</f>
        <v>0.47</v>
      </c>
      <c r="AG304" s="3" t="str">
        <f>IF(COUNTIF(A:A,Table1[[#This Row],[Opp Team Name]]) &gt; 0, "N", "Y")</f>
        <v>N</v>
      </c>
      <c r="AH304" s="3" t="str">
        <f>IF(Table1[[#This Row],[Passing Attempts]] &lt;15, "Y", "N")</f>
        <v>N</v>
      </c>
      <c r="AI304" s="3" t="str">
        <f>IF(Table1[[#This Row],[Rushing Attempts]] &lt; 15, "Y", "N")</f>
        <v>N</v>
      </c>
      <c r="AJ304" s="3" t="str">
        <f>IF(Table1[[#This Row],[Opp Passing Attempts]]&lt;15, "Y", "N")</f>
        <v>N</v>
      </c>
      <c r="AK304" s="3" t="str">
        <f>IF(Table1[[#This Row],[Opp Rushing Attempts]]&lt;15, "Y", "N")</f>
        <v>N</v>
      </c>
      <c r="AL30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110.5</v>
      </c>
      <c r="AM30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88.9</v>
      </c>
      <c r="AN30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151.88999999999999</v>
      </c>
      <c r="AO30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76.040000000000006</v>
      </c>
      <c r="AP304" s="3">
        <f>ABS(Table1[[#This Row],[Team Score]]-Table1[[#This Row],[Opp Team Score]])</f>
        <v>4</v>
      </c>
      <c r="AQ304" s="3">
        <f>SUM(Table1[[#This Row],[Team Score]], Table1[[#This Row],[Opp Team Score]])</f>
        <v>52</v>
      </c>
      <c r="AR30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29.599999999999966</v>
      </c>
      <c r="AS304" s="3">
        <f>IF(Table1[[#This Row],[Efficiency Difference]] = " ", " ", ROUND((Table1[[#This Row],[Winning Margin]]*100)/Table1[[#This Row],[Efficiency Difference]], 2))</f>
        <v>13.51</v>
      </c>
    </row>
    <row r="305" spans="1:45">
      <c r="A305" t="s">
        <v>82</v>
      </c>
      <c r="B305">
        <v>327</v>
      </c>
      <c r="C305">
        <v>36</v>
      </c>
      <c r="D305">
        <v>146</v>
      </c>
      <c r="E305">
        <v>28</v>
      </c>
      <c r="F305">
        <v>2</v>
      </c>
      <c r="G305">
        <v>13</v>
      </c>
      <c r="H305">
        <v>1</v>
      </c>
      <c r="I305">
        <v>210</v>
      </c>
      <c r="J305">
        <v>51</v>
      </c>
      <c r="K305">
        <v>2</v>
      </c>
      <c r="L305">
        <v>0</v>
      </c>
      <c r="M305" t="s">
        <v>36</v>
      </c>
      <c r="N305">
        <v>51</v>
      </c>
      <c r="O305">
        <v>35</v>
      </c>
      <c r="P305">
        <v>346</v>
      </c>
      <c r="Q305">
        <v>32</v>
      </c>
      <c r="R305">
        <v>5</v>
      </c>
      <c r="S305">
        <v>23</v>
      </c>
      <c r="T305">
        <v>1</v>
      </c>
      <c r="U305">
        <v>83</v>
      </c>
      <c r="V305">
        <v>30</v>
      </c>
      <c r="W305">
        <v>0</v>
      </c>
      <c r="X305">
        <v>2</v>
      </c>
      <c r="Y305" t="s">
        <v>16</v>
      </c>
      <c r="Z305">
        <v>5</v>
      </c>
      <c r="AA305">
        <f>IF(AND(Table1[[#This Row],[Throw Out Pass Eff]]="N", Table1[[#This Row],[Against FCS Team]]="N"), ROUND(((5.45 * D305) + (150 * F305) + (100 * G305) - (300 * H305)) / E305, 2), " ")</f>
        <v>74.849999999999994</v>
      </c>
      <c r="AB305">
        <f>IF(AND(Table1[[#This Row],[Throw Out Pass Def Eff]]="N", Table1[[#This Row],[Against FCS Team]]="N"),200 - ROUND(((5.45 * P305) + (150 * R305) + (100 * S305) - (300 * T305)) / Q305, 2), " ")</f>
        <v>55.129999999999995</v>
      </c>
      <c r="AC305">
        <f>IF(AND(Table1[[#This Row],[Throw Out Rush Eff]]="N", Table1[[#This Row],[Against FCS Team]]="N"), ROUND(((23.2 * I305) + (150 * K305) - (300 * L305)) / J305, 2), " ")</f>
        <v>101.41</v>
      </c>
      <c r="AD305" s="3">
        <f>IF(AND(Table1[[#This Row],[Throw Out Rush Def Eff]]="N", Table1[[#This Row],[Against FCS Team]]="N"), 200 - ROUND(((23.2 * U305) + (150 * W305) - (300 * X305)) / V305, 2), " ")</f>
        <v>155.81</v>
      </c>
      <c r="AE305" s="3">
        <f>ROUND(Table1[[#This Row],[Opp Passing Attempts]]/(Table1[[#This Row],[Opp Passing Attempts]]+Table1[[#This Row],[Opp Rushing Attempts]]), 2)</f>
        <v>0.52</v>
      </c>
      <c r="AF305" s="3">
        <f>1-Table1[[#This Row],[Passing Weight]]</f>
        <v>0.48</v>
      </c>
      <c r="AG305" s="3" t="str">
        <f>IF(COUNTIF(A:A,Table1[[#This Row],[Opp Team Name]]) &gt; 0, "N", "Y")</f>
        <v>N</v>
      </c>
      <c r="AH305" s="3" t="str">
        <f>IF(Table1[[#This Row],[Passing Attempts]] &lt;15, "Y", "N")</f>
        <v>N</v>
      </c>
      <c r="AI305" s="3" t="str">
        <f>IF(Table1[[#This Row],[Rushing Attempts]] &lt; 15, "Y", "N")</f>
        <v>N</v>
      </c>
      <c r="AJ305" s="3" t="str">
        <f>IF(Table1[[#This Row],[Opp Passing Attempts]]&lt;15, "Y", "N")</f>
        <v>N</v>
      </c>
      <c r="AK305" s="3" t="str">
        <f>IF(Table1[[#This Row],[Opp Rushing Attempts]]&lt;15, "Y", "N")</f>
        <v>N</v>
      </c>
      <c r="AL30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76.62</v>
      </c>
      <c r="AM30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84.72</v>
      </c>
      <c r="AN30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91.38</v>
      </c>
      <c r="AO30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170.83</v>
      </c>
      <c r="AP305" s="3">
        <f>ABS(Table1[[#This Row],[Team Score]]-Table1[[#This Row],[Opp Team Score]])</f>
        <v>1</v>
      </c>
      <c r="AQ305" s="3">
        <f>SUM(Table1[[#This Row],[Team Score]], Table1[[#This Row],[Opp Team Score]])</f>
        <v>71</v>
      </c>
      <c r="AR30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12.800000000000011</v>
      </c>
      <c r="AS305" s="3">
        <f>IF(Table1[[#This Row],[Efficiency Difference]] = " ", " ", ROUND((Table1[[#This Row],[Winning Margin]]*100)/Table1[[#This Row],[Efficiency Difference]], 2))</f>
        <v>7.81</v>
      </c>
    </row>
    <row r="306" spans="1:45">
      <c r="A306" t="s">
        <v>82</v>
      </c>
      <c r="B306">
        <v>327</v>
      </c>
      <c r="C306">
        <v>24</v>
      </c>
      <c r="D306">
        <v>112</v>
      </c>
      <c r="E306">
        <v>16</v>
      </c>
      <c r="F306">
        <v>0</v>
      </c>
      <c r="G306">
        <v>11</v>
      </c>
      <c r="H306">
        <v>1</v>
      </c>
      <c r="I306">
        <v>174</v>
      </c>
      <c r="J306">
        <v>54</v>
      </c>
      <c r="K306">
        <v>3</v>
      </c>
      <c r="L306">
        <v>0</v>
      </c>
      <c r="M306" t="s">
        <v>97</v>
      </c>
      <c r="N306">
        <v>434</v>
      </c>
      <c r="O306">
        <v>17</v>
      </c>
      <c r="P306">
        <v>214</v>
      </c>
      <c r="Q306">
        <v>35</v>
      </c>
      <c r="R306">
        <v>0</v>
      </c>
      <c r="S306">
        <v>19</v>
      </c>
      <c r="T306">
        <v>1</v>
      </c>
      <c r="U306">
        <v>112</v>
      </c>
      <c r="V306">
        <v>31</v>
      </c>
      <c r="W306">
        <v>2</v>
      </c>
      <c r="X306">
        <v>0</v>
      </c>
      <c r="Y306" t="s">
        <v>16</v>
      </c>
      <c r="Z306">
        <v>6</v>
      </c>
      <c r="AA306">
        <f>IF(AND(Table1[[#This Row],[Throw Out Pass Eff]]="N", Table1[[#This Row],[Against FCS Team]]="N"), ROUND(((5.45 * D306) + (150 * F306) + (100 * G306) - (300 * H306)) / E306, 2), " ")</f>
        <v>88.15</v>
      </c>
      <c r="AB306">
        <f>IF(AND(Table1[[#This Row],[Throw Out Pass Def Eff]]="N", Table1[[#This Row],[Against FCS Team]]="N"),200 - ROUND(((5.45 * P306) + (150 * R306) + (100 * S306) - (300 * T306)) / Q306, 2), " ")</f>
        <v>120.96</v>
      </c>
      <c r="AC306">
        <f>IF(AND(Table1[[#This Row],[Throw Out Rush Eff]]="N", Table1[[#This Row],[Against FCS Team]]="N"), ROUND(((23.2 * I306) + (150 * K306) - (300 * L306)) / J306, 2), " ")</f>
        <v>83.09</v>
      </c>
      <c r="AD306" s="3">
        <f>IF(AND(Table1[[#This Row],[Throw Out Rush Def Eff]]="N", Table1[[#This Row],[Against FCS Team]]="N"), 200 - ROUND(((23.2 * U306) + (150 * W306) - (300 * X306)) / V306, 2), " ")</f>
        <v>106.5</v>
      </c>
      <c r="AE306" s="3">
        <f>ROUND(Table1[[#This Row],[Opp Passing Attempts]]/(Table1[[#This Row],[Opp Passing Attempts]]+Table1[[#This Row],[Opp Rushing Attempts]]), 2)</f>
        <v>0.53</v>
      </c>
      <c r="AF306" s="3">
        <f>1-Table1[[#This Row],[Passing Weight]]</f>
        <v>0.47</v>
      </c>
      <c r="AG306" s="3" t="str">
        <f>IF(COUNTIF(A:A,Table1[[#This Row],[Opp Team Name]]) &gt; 0, "N", "Y")</f>
        <v>N</v>
      </c>
      <c r="AH306" s="3" t="str">
        <f>IF(Table1[[#This Row],[Passing Attempts]] &lt;15, "Y", "N")</f>
        <v>N</v>
      </c>
      <c r="AI306" s="3" t="str">
        <f>IF(Table1[[#This Row],[Rushing Attempts]] &lt; 15, "Y", "N")</f>
        <v>N</v>
      </c>
      <c r="AJ306" s="3" t="str">
        <f>IF(Table1[[#This Row],[Opp Passing Attempts]]&lt;15, "Y", "N")</f>
        <v>N</v>
      </c>
      <c r="AK306" s="3" t="str">
        <f>IF(Table1[[#This Row],[Opp Rushing Attempts]]&lt;15, "Y", "N")</f>
        <v>N</v>
      </c>
      <c r="AL30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84.24</v>
      </c>
      <c r="AM30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113.7</v>
      </c>
      <c r="AN30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90.93</v>
      </c>
      <c r="AO30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123.28</v>
      </c>
      <c r="AP306" s="3">
        <f>ABS(Table1[[#This Row],[Team Score]]-Table1[[#This Row],[Opp Team Score]])</f>
        <v>7</v>
      </c>
      <c r="AQ306" s="3">
        <f>SUM(Table1[[#This Row],[Team Score]], Table1[[#This Row],[Opp Team Score]])</f>
        <v>41</v>
      </c>
      <c r="AR30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1.3000000000000114</v>
      </c>
      <c r="AS306" s="3">
        <f>IF(Table1[[#This Row],[Efficiency Difference]] = " ", " ", ROUND((Table1[[#This Row],[Winning Margin]]*100)/Table1[[#This Row],[Efficiency Difference]], 2))</f>
        <v>538.46</v>
      </c>
    </row>
    <row r="307" spans="1:45">
      <c r="A307" t="s">
        <v>82</v>
      </c>
      <c r="B307">
        <v>327</v>
      </c>
      <c r="C307">
        <v>41</v>
      </c>
      <c r="D307">
        <v>146</v>
      </c>
      <c r="E307">
        <v>18</v>
      </c>
      <c r="F307">
        <v>1</v>
      </c>
      <c r="G307">
        <v>12</v>
      </c>
      <c r="H307">
        <v>0</v>
      </c>
      <c r="I307">
        <v>193</v>
      </c>
      <c r="J307">
        <v>47</v>
      </c>
      <c r="K307">
        <v>3</v>
      </c>
      <c r="L307">
        <v>0</v>
      </c>
      <c r="M307" t="s">
        <v>137</v>
      </c>
      <c r="N307">
        <v>700</v>
      </c>
      <c r="O307">
        <v>34</v>
      </c>
      <c r="P307">
        <v>461</v>
      </c>
      <c r="Q307">
        <v>63</v>
      </c>
      <c r="R307">
        <v>1</v>
      </c>
      <c r="S307">
        <v>43</v>
      </c>
      <c r="T307">
        <v>3</v>
      </c>
      <c r="U307">
        <v>119</v>
      </c>
      <c r="V307">
        <v>33</v>
      </c>
      <c r="W307">
        <v>3</v>
      </c>
      <c r="X307">
        <v>1</v>
      </c>
      <c r="Y307" t="s">
        <v>16</v>
      </c>
      <c r="Z307">
        <v>7</v>
      </c>
      <c r="AA307">
        <f>IF(AND(Table1[[#This Row],[Throw Out Pass Eff]]="N", Table1[[#This Row],[Against FCS Team]]="N"), ROUND(((5.45 * D307) + (150 * F307) + (100 * G307) - (300 * H307)) / E307, 2), " ")</f>
        <v>119.21</v>
      </c>
      <c r="AB307">
        <f>IF(AND(Table1[[#This Row],[Throw Out Pass Def Eff]]="N", Table1[[#This Row],[Against FCS Team]]="N"),200 - ROUND(((5.45 * P307) + (150 * R307) + (100 * S307) - (300 * T307)) / Q307, 2), " ")</f>
        <v>103.77</v>
      </c>
      <c r="AC307">
        <f>IF(AND(Table1[[#This Row],[Throw Out Rush Eff]]="N", Table1[[#This Row],[Against FCS Team]]="N"), ROUND(((23.2 * I307) + (150 * K307) - (300 * L307)) / J307, 2), " ")</f>
        <v>104.84</v>
      </c>
      <c r="AD307" s="3">
        <f>IF(AND(Table1[[#This Row],[Throw Out Rush Def Eff]]="N", Table1[[#This Row],[Against FCS Team]]="N"), 200 - ROUND(((23.2 * U307) + (150 * W307) - (300 * X307)) / V307, 2), " ")</f>
        <v>111.79</v>
      </c>
      <c r="AE307" s="3">
        <f>ROUND(Table1[[#This Row],[Opp Passing Attempts]]/(Table1[[#This Row],[Opp Passing Attempts]]+Table1[[#This Row],[Opp Rushing Attempts]]), 2)</f>
        <v>0.66</v>
      </c>
      <c r="AF307" s="3">
        <f>1-Table1[[#This Row],[Passing Weight]]</f>
        <v>0.33999999999999997</v>
      </c>
      <c r="AG307" s="3" t="str">
        <f>IF(COUNTIF(A:A,Table1[[#This Row],[Opp Team Name]]) &gt; 0, "N", "Y")</f>
        <v>N</v>
      </c>
      <c r="AH307" s="3" t="str">
        <f>IF(Table1[[#This Row],[Passing Attempts]] &lt;15, "Y", "N")</f>
        <v>N</v>
      </c>
      <c r="AI307" s="3" t="str">
        <f>IF(Table1[[#This Row],[Rushing Attempts]] &lt; 15, "Y", "N")</f>
        <v>N</v>
      </c>
      <c r="AJ307" s="3" t="str">
        <f>IF(Table1[[#This Row],[Opp Passing Attempts]]&lt;15, "Y", "N")</f>
        <v>N</v>
      </c>
      <c r="AK307" s="3" t="str">
        <f>IF(Table1[[#This Row],[Opp Rushing Attempts]]&lt;15, "Y", "N")</f>
        <v>N</v>
      </c>
      <c r="AL30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118.05</v>
      </c>
      <c r="AM30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124.13</v>
      </c>
      <c r="AN30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97.22</v>
      </c>
      <c r="AO30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114.93</v>
      </c>
      <c r="AP307" s="3">
        <f>ABS(Table1[[#This Row],[Team Score]]-Table1[[#This Row],[Opp Team Score]])</f>
        <v>7</v>
      </c>
      <c r="AQ307" s="3">
        <f>SUM(Table1[[#This Row],[Team Score]], Table1[[#This Row],[Opp Team Score]])</f>
        <v>75</v>
      </c>
      <c r="AR30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39.610000000000014</v>
      </c>
      <c r="AS307" s="3">
        <f>IF(Table1[[#This Row],[Efficiency Difference]] = " ", " ", ROUND((Table1[[#This Row],[Winning Margin]]*100)/Table1[[#This Row],[Efficiency Difference]], 2))</f>
        <v>17.670000000000002</v>
      </c>
    </row>
    <row r="308" spans="1:45">
      <c r="A308" t="s">
        <v>82</v>
      </c>
      <c r="B308">
        <v>327</v>
      </c>
      <c r="C308">
        <v>59</v>
      </c>
      <c r="D308">
        <v>205</v>
      </c>
      <c r="E308">
        <v>21</v>
      </c>
      <c r="F308">
        <v>1</v>
      </c>
      <c r="G308">
        <v>14</v>
      </c>
      <c r="H308">
        <v>0</v>
      </c>
      <c r="I308">
        <v>261</v>
      </c>
      <c r="J308">
        <v>42</v>
      </c>
      <c r="K308">
        <v>6</v>
      </c>
      <c r="L308">
        <v>0</v>
      </c>
      <c r="M308" t="s">
        <v>80</v>
      </c>
      <c r="N308">
        <v>328</v>
      </c>
      <c r="O308">
        <v>21</v>
      </c>
      <c r="P308">
        <v>210</v>
      </c>
      <c r="Q308">
        <v>36</v>
      </c>
      <c r="R308">
        <v>2</v>
      </c>
      <c r="S308">
        <v>25</v>
      </c>
      <c r="T308">
        <v>0</v>
      </c>
      <c r="U308">
        <v>76</v>
      </c>
      <c r="V308">
        <v>37</v>
      </c>
      <c r="W308">
        <v>1</v>
      </c>
      <c r="X308">
        <v>2</v>
      </c>
      <c r="Y308" t="s">
        <v>16</v>
      </c>
      <c r="Z308">
        <v>8</v>
      </c>
      <c r="AA308" s="3">
        <f>IF(AND(Table1[[#This Row],[Throw Out Pass Eff]]="N", Table1[[#This Row],[Against FCS Team]]="N"), ROUND(((5.45 * D308) + (150 * F308) + (100 * G308) - (300 * H308)) / E308, 2), " ")</f>
        <v>127.01</v>
      </c>
      <c r="AB308" s="3">
        <f>IF(AND(Table1[[#This Row],[Throw Out Pass Def Eff]]="N", Table1[[#This Row],[Against FCS Team]]="N"),200 - ROUND(((5.45 * P308) + (150 * R308) + (100 * S308) - (300 * T308)) / Q308, 2), " ")</f>
        <v>90.43</v>
      </c>
      <c r="AC308" s="3">
        <f>IF(AND(Table1[[#This Row],[Throw Out Rush Eff]]="N", Table1[[#This Row],[Against FCS Team]]="N"), ROUND(((23.2 * I308) + (150 * K308) - (300 * L308)) / J308, 2), " ")</f>
        <v>165.6</v>
      </c>
      <c r="AD308" s="3">
        <f>IF(AND(Table1[[#This Row],[Throw Out Rush Def Eff]]="N", Table1[[#This Row],[Against FCS Team]]="N"), 200 - ROUND(((23.2 * U308) + (150 * W308) - (300 * X308)) / V308, 2), " ")</f>
        <v>164.51</v>
      </c>
      <c r="AE308" s="3">
        <f>ROUND(Table1[[#This Row],[Opp Passing Attempts]]/(Table1[[#This Row],[Opp Passing Attempts]]+Table1[[#This Row],[Opp Rushing Attempts]]), 2)</f>
        <v>0.49</v>
      </c>
      <c r="AF308" s="3">
        <f>1-Table1[[#This Row],[Passing Weight]]</f>
        <v>0.51</v>
      </c>
      <c r="AG308" s="3" t="str">
        <f>IF(COUNTIF(A:A,Table1[[#This Row],[Opp Team Name]]) &gt; 0, "N", "Y")</f>
        <v>N</v>
      </c>
      <c r="AH308" s="3" t="str">
        <f>IF(Table1[[#This Row],[Passing Attempts]] &lt;15, "Y", "N")</f>
        <v>N</v>
      </c>
      <c r="AI308" s="3" t="str">
        <f>IF(Table1[[#This Row],[Rushing Attempts]] &lt; 15, "Y", "N")</f>
        <v>N</v>
      </c>
      <c r="AJ308" s="3" t="str">
        <f>IF(Table1[[#This Row],[Opp Passing Attempts]]&lt;15, "Y", "N")</f>
        <v>N</v>
      </c>
      <c r="AK308" s="3" t="str">
        <f>IF(Table1[[#This Row],[Opp Rushing Attempts]]&lt;15, "Y", "N")</f>
        <v>N</v>
      </c>
      <c r="AL30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92.21</v>
      </c>
      <c r="AM30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98.54</v>
      </c>
      <c r="AN30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90.98</v>
      </c>
      <c r="AO30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150.38999999999999</v>
      </c>
      <c r="AP308" s="3">
        <f>ABS(Table1[[#This Row],[Team Score]]-Table1[[#This Row],[Opp Team Score]])</f>
        <v>38</v>
      </c>
      <c r="AQ308" s="3">
        <f>SUM(Table1[[#This Row],[Team Score]], Table1[[#This Row],[Opp Team Score]])</f>
        <v>80</v>
      </c>
      <c r="AR30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147.55000000000001</v>
      </c>
      <c r="AS308" s="3">
        <f>IF(Table1[[#This Row],[Efficiency Difference]] = " ", " ", ROUND((Table1[[#This Row],[Winning Margin]]*100)/Table1[[#This Row],[Efficiency Difference]], 2))</f>
        <v>25.75</v>
      </c>
    </row>
    <row r="309" spans="1:45">
      <c r="A309" t="s">
        <v>21</v>
      </c>
      <c r="B309">
        <v>331</v>
      </c>
      <c r="C309">
        <v>33</v>
      </c>
      <c r="D309">
        <v>94</v>
      </c>
      <c r="E309">
        <v>19</v>
      </c>
      <c r="F309">
        <v>1</v>
      </c>
      <c r="G309">
        <v>10</v>
      </c>
      <c r="H309">
        <v>0</v>
      </c>
      <c r="I309">
        <v>187</v>
      </c>
      <c r="J309">
        <v>49</v>
      </c>
      <c r="K309">
        <v>3</v>
      </c>
      <c r="L309">
        <v>1</v>
      </c>
      <c r="M309" t="s">
        <v>197</v>
      </c>
      <c r="N309">
        <v>646</v>
      </c>
      <c r="O309">
        <v>25</v>
      </c>
      <c r="P309">
        <v>281</v>
      </c>
      <c r="Q309">
        <v>38</v>
      </c>
      <c r="R309">
        <v>1</v>
      </c>
      <c r="S309">
        <v>14</v>
      </c>
      <c r="T309">
        <v>3</v>
      </c>
      <c r="U309">
        <v>93</v>
      </c>
      <c r="V309">
        <v>27</v>
      </c>
      <c r="W309">
        <v>2</v>
      </c>
      <c r="X309">
        <v>1</v>
      </c>
      <c r="Y309" t="s">
        <v>16</v>
      </c>
      <c r="Z309">
        <v>4</v>
      </c>
      <c r="AA309" t="str">
        <f>IF(AND(Table1[[#This Row],[Throw Out Pass Eff]]="N", Table1[[#This Row],[Against FCS Team]]="N"), ROUND(((5.45 * D309) + (150 * F309) + (100 * G309) - (300 * H309)) / E309, 2), " ")</f>
        <v xml:space="preserve"> </v>
      </c>
      <c r="AB309" t="str">
        <f>IF(AND(Table1[[#This Row],[Throw Out Pass Def Eff]]="N", Table1[[#This Row],[Against FCS Team]]="N"),200 - ROUND(((5.45 * P309) + (150 * R309) + (100 * S309) - (300 * T309)) / Q309, 2), " ")</f>
        <v xml:space="preserve"> </v>
      </c>
      <c r="AC309" t="str">
        <f>IF(AND(Table1[[#This Row],[Throw Out Rush Eff]]="N", Table1[[#This Row],[Against FCS Team]]="N"), ROUND(((23.2 * I309) + (150 * K309) - (300 * L309)) / J309, 2), " ")</f>
        <v xml:space="preserve"> </v>
      </c>
      <c r="AD309" s="3" t="str">
        <f>IF(AND(Table1[[#This Row],[Throw Out Rush Def Eff]]="N", Table1[[#This Row],[Against FCS Team]]="N"), 200 - ROUND(((23.2 * U309) + (150 * W309) - (300 * X309)) / V309, 2), " ")</f>
        <v xml:space="preserve"> </v>
      </c>
      <c r="AE309" s="3">
        <f>ROUND(Table1[[#This Row],[Opp Passing Attempts]]/(Table1[[#This Row],[Opp Passing Attempts]]+Table1[[#This Row],[Opp Rushing Attempts]]), 2)</f>
        <v>0.57999999999999996</v>
      </c>
      <c r="AF309" s="3">
        <f>1-Table1[[#This Row],[Passing Weight]]</f>
        <v>0.42000000000000004</v>
      </c>
      <c r="AG309" s="3" t="str">
        <f>IF(COUNTIF(A:A,Table1[[#This Row],[Opp Team Name]]) &gt; 0, "N", "Y")</f>
        <v>Y</v>
      </c>
      <c r="AH309" s="3" t="str">
        <f>IF(Table1[[#This Row],[Passing Attempts]] &lt;15, "Y", "N")</f>
        <v>N</v>
      </c>
      <c r="AI309" s="3" t="str">
        <f>IF(Table1[[#This Row],[Rushing Attempts]] &lt; 15, "Y", "N")</f>
        <v>N</v>
      </c>
      <c r="AJ309" s="3" t="str">
        <f>IF(Table1[[#This Row],[Opp Passing Attempts]]&lt;15, "Y", "N")</f>
        <v>N</v>
      </c>
      <c r="AK309" s="3" t="str">
        <f>IF(Table1[[#This Row],[Opp Rushing Attempts]]&lt;15, "Y", "N")</f>
        <v>N</v>
      </c>
      <c r="AL30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09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09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09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09" s="3">
        <f>ABS(Table1[[#This Row],[Team Score]]-Table1[[#This Row],[Opp Team Score]])</f>
        <v>8</v>
      </c>
      <c r="AQ309" s="3">
        <f>SUM(Table1[[#This Row],[Team Score]], Table1[[#This Row],[Opp Team Score]])</f>
        <v>58</v>
      </c>
      <c r="AR30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09" s="3" t="str">
        <f>IF(Table1[[#This Row],[Efficiency Difference]] = " ", " ", ROUND((Table1[[#This Row],[Winning Margin]]*100)/Table1[[#This Row],[Efficiency Difference]], 2))</f>
        <v xml:space="preserve"> </v>
      </c>
    </row>
    <row r="310" spans="1:45">
      <c r="A310" t="s">
        <v>21</v>
      </c>
      <c r="B310">
        <v>331</v>
      </c>
      <c r="C310">
        <v>7</v>
      </c>
      <c r="D310">
        <v>99</v>
      </c>
      <c r="E310">
        <v>47</v>
      </c>
      <c r="F310">
        <v>1</v>
      </c>
      <c r="G310">
        <v>20</v>
      </c>
      <c r="H310">
        <v>1</v>
      </c>
      <c r="I310">
        <v>-9</v>
      </c>
      <c r="J310">
        <v>23</v>
      </c>
      <c r="K310">
        <v>0</v>
      </c>
      <c r="L310">
        <v>0</v>
      </c>
      <c r="M310" t="s">
        <v>20</v>
      </c>
      <c r="N310">
        <v>8</v>
      </c>
      <c r="O310">
        <v>48</v>
      </c>
      <c r="P310">
        <v>299</v>
      </c>
      <c r="Q310">
        <v>37</v>
      </c>
      <c r="R310">
        <v>1</v>
      </c>
      <c r="S310">
        <v>21</v>
      </c>
      <c r="T310">
        <v>4</v>
      </c>
      <c r="U310">
        <v>183</v>
      </c>
      <c r="V310">
        <v>35</v>
      </c>
      <c r="W310">
        <v>5</v>
      </c>
      <c r="X310">
        <v>1</v>
      </c>
      <c r="Y310" t="s">
        <v>19</v>
      </c>
      <c r="Z310">
        <v>1</v>
      </c>
      <c r="AA310">
        <f>IF(AND(Table1[[#This Row],[Throw Out Pass Eff]]="N", Table1[[#This Row],[Against FCS Team]]="N"), ROUND(((5.45 * D310) + (150 * F310) + (100 * G310) - (300 * H310)) / E310, 2), " ")</f>
        <v>50.84</v>
      </c>
      <c r="AB310">
        <f>IF(AND(Table1[[#This Row],[Throw Out Pass Def Eff]]="N", Table1[[#This Row],[Against FCS Team]]="N"),200 - ROUND(((5.45 * P310) + (150 * R310) + (100 * S310) - (300 * T310)) / Q310, 2), " ")</f>
        <v>127.58</v>
      </c>
      <c r="AC310">
        <f>IF(AND(Table1[[#This Row],[Throw Out Rush Eff]]="N", Table1[[#This Row],[Against FCS Team]]="N"), ROUND(((23.2 * I310) + (150 * K310) - (300 * L310)) / J310, 2), " ")</f>
        <v>-9.08</v>
      </c>
      <c r="AD310" s="3">
        <f>IF(AND(Table1[[#This Row],[Throw Out Rush Def Eff]]="N", Table1[[#This Row],[Against FCS Team]]="N"), 200 - ROUND(((23.2 * U310) + (150 * W310) - (300 * X310)) / V310, 2), " ")</f>
        <v>65.84</v>
      </c>
      <c r="AE310" s="3">
        <f>ROUND(Table1[[#This Row],[Opp Passing Attempts]]/(Table1[[#This Row],[Opp Passing Attempts]]+Table1[[#This Row],[Opp Rushing Attempts]]), 2)</f>
        <v>0.51</v>
      </c>
      <c r="AF310" s="3">
        <f>1-Table1[[#This Row],[Passing Weight]]</f>
        <v>0.49</v>
      </c>
      <c r="AG310" s="3" t="str">
        <f>IF(COUNTIF(A:A,Table1[[#This Row],[Opp Team Name]]) &gt; 0, "N", "Y")</f>
        <v>N</v>
      </c>
      <c r="AH310" s="3" t="str">
        <f>IF(Table1[[#This Row],[Passing Attempts]] &lt;15, "Y", "N")</f>
        <v>N</v>
      </c>
      <c r="AI310" s="3" t="str">
        <f>IF(Table1[[#This Row],[Rushing Attempts]] &lt; 15, "Y", "N")</f>
        <v>N</v>
      </c>
      <c r="AJ310" s="3" t="str">
        <f>IF(Table1[[#This Row],[Opp Passing Attempts]]&lt;15, "Y", "N")</f>
        <v>N</v>
      </c>
      <c r="AK310" s="3" t="str">
        <f>IF(Table1[[#This Row],[Opp Rushing Attempts]]&lt;15, "Y", "N")</f>
        <v>N</v>
      </c>
      <c r="AL3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68.349999999999994</v>
      </c>
      <c r="AM3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143.51</v>
      </c>
      <c r="AN3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-15.28</v>
      </c>
      <c r="AO3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97.06</v>
      </c>
      <c r="AP310" s="3">
        <f>ABS(Table1[[#This Row],[Team Score]]-Table1[[#This Row],[Opp Team Score]])</f>
        <v>41</v>
      </c>
      <c r="AQ310" s="3">
        <f>SUM(Table1[[#This Row],[Team Score]], Table1[[#This Row],[Opp Team Score]])</f>
        <v>55</v>
      </c>
      <c r="AR3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164.82</v>
      </c>
      <c r="AS310" s="3">
        <f>IF(Table1[[#This Row],[Efficiency Difference]] = " ", " ", ROUND((Table1[[#This Row],[Winning Margin]]*100)/Table1[[#This Row],[Efficiency Difference]], 2))</f>
        <v>24.88</v>
      </c>
    </row>
    <row r="311" spans="1:45">
      <c r="A311" t="s">
        <v>21</v>
      </c>
      <c r="B311">
        <v>331</v>
      </c>
      <c r="C311">
        <v>12</v>
      </c>
      <c r="D311">
        <v>114</v>
      </c>
      <c r="E311">
        <v>33</v>
      </c>
      <c r="F311">
        <v>1</v>
      </c>
      <c r="G311">
        <v>15</v>
      </c>
      <c r="H311">
        <v>1</v>
      </c>
      <c r="I311">
        <v>72</v>
      </c>
      <c r="J311">
        <v>34</v>
      </c>
      <c r="K311">
        <v>0</v>
      </c>
      <c r="L311">
        <v>3</v>
      </c>
      <c r="M311" t="s">
        <v>86</v>
      </c>
      <c r="N311">
        <v>671</v>
      </c>
      <c r="O311">
        <v>20</v>
      </c>
      <c r="P311">
        <v>46</v>
      </c>
      <c r="Q311">
        <v>15</v>
      </c>
      <c r="R311">
        <v>0</v>
      </c>
      <c r="S311">
        <v>7</v>
      </c>
      <c r="T311">
        <v>1</v>
      </c>
      <c r="U311">
        <v>113</v>
      </c>
      <c r="V311">
        <v>51</v>
      </c>
      <c r="W311">
        <v>1</v>
      </c>
      <c r="X311">
        <v>2</v>
      </c>
      <c r="Y311" t="s">
        <v>19</v>
      </c>
      <c r="Z311">
        <v>2</v>
      </c>
      <c r="AA311">
        <f>IF(AND(Table1[[#This Row],[Throw Out Pass Eff]]="N", Table1[[#This Row],[Against FCS Team]]="N"), ROUND(((5.45 * D311) + (150 * F311) + (100 * G311) - (300 * H311)) / E311, 2), " ")</f>
        <v>59.74</v>
      </c>
      <c r="AB311">
        <f>IF(AND(Table1[[#This Row],[Throw Out Pass Def Eff]]="N", Table1[[#This Row],[Against FCS Team]]="N"),200 - ROUND(((5.45 * P311) + (150 * R311) + (100 * S311) - (300 * T311)) / Q311, 2), " ")</f>
        <v>156.62</v>
      </c>
      <c r="AC311">
        <f>IF(AND(Table1[[#This Row],[Throw Out Rush Eff]]="N", Table1[[#This Row],[Against FCS Team]]="N"), ROUND(((23.2 * I311) + (150 * K311) - (300 * L311)) / J311, 2), " ")</f>
        <v>22.66</v>
      </c>
      <c r="AD311" s="3">
        <f>IF(AND(Table1[[#This Row],[Throw Out Rush Def Eff]]="N", Table1[[#This Row],[Against FCS Team]]="N"), 200 - ROUND(((23.2 * U311) + (150 * W311) - (300 * X311)) / V311, 2), " ")</f>
        <v>157.42000000000002</v>
      </c>
      <c r="AE311" s="3">
        <f>ROUND(Table1[[#This Row],[Opp Passing Attempts]]/(Table1[[#This Row],[Opp Passing Attempts]]+Table1[[#This Row],[Opp Rushing Attempts]]), 2)</f>
        <v>0.23</v>
      </c>
      <c r="AF311" s="3">
        <f>1-Table1[[#This Row],[Passing Weight]]</f>
        <v>0.77</v>
      </c>
      <c r="AG311" s="3" t="str">
        <f>IF(COUNTIF(A:A,Table1[[#This Row],[Opp Team Name]]) &gt; 0, "N", "Y")</f>
        <v>N</v>
      </c>
      <c r="AH311" s="3" t="str">
        <f>IF(Table1[[#This Row],[Passing Attempts]] &lt;15, "Y", "N")</f>
        <v>N</v>
      </c>
      <c r="AI311" s="3" t="str">
        <f>IF(Table1[[#This Row],[Rushing Attempts]] &lt; 15, "Y", "N")</f>
        <v>N</v>
      </c>
      <c r="AJ311" s="3" t="str">
        <f>IF(Table1[[#This Row],[Opp Passing Attempts]]&lt;15, "Y", "N")</f>
        <v>N</v>
      </c>
      <c r="AK311" s="3" t="str">
        <f>IF(Table1[[#This Row],[Opp Rushing Attempts]]&lt;15, "Y", "N")</f>
        <v>N</v>
      </c>
      <c r="AL31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61.03</v>
      </c>
      <c r="AM31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168.91</v>
      </c>
      <c r="AN31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25.98</v>
      </c>
      <c r="AO3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122.49</v>
      </c>
      <c r="AP311" s="3">
        <f>ABS(Table1[[#This Row],[Team Score]]-Table1[[#This Row],[Opp Team Score]])</f>
        <v>8</v>
      </c>
      <c r="AQ311" s="3">
        <f>SUM(Table1[[#This Row],[Team Score]], Table1[[#This Row],[Opp Team Score]])</f>
        <v>32</v>
      </c>
      <c r="AR31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3.5599999999999739</v>
      </c>
      <c r="AS311" s="3">
        <f>IF(Table1[[#This Row],[Efficiency Difference]] = " ", " ", ROUND((Table1[[#This Row],[Winning Margin]]*100)/Table1[[#This Row],[Efficiency Difference]], 2))</f>
        <v>224.72</v>
      </c>
    </row>
    <row r="312" spans="1:45">
      <c r="A312" t="s">
        <v>21</v>
      </c>
      <c r="B312">
        <v>331</v>
      </c>
      <c r="C312">
        <v>0</v>
      </c>
      <c r="D312">
        <v>81</v>
      </c>
      <c r="E312">
        <v>23</v>
      </c>
      <c r="F312">
        <v>0</v>
      </c>
      <c r="G312">
        <v>11</v>
      </c>
      <c r="H312">
        <v>2</v>
      </c>
      <c r="I312">
        <v>118</v>
      </c>
      <c r="J312">
        <v>36</v>
      </c>
      <c r="K312">
        <v>0</v>
      </c>
      <c r="L312">
        <v>0</v>
      </c>
      <c r="M312" t="s">
        <v>82</v>
      </c>
      <c r="N312">
        <v>327</v>
      </c>
      <c r="O312">
        <v>37</v>
      </c>
      <c r="P312">
        <v>116</v>
      </c>
      <c r="Q312">
        <v>24</v>
      </c>
      <c r="R312">
        <v>1</v>
      </c>
      <c r="S312">
        <v>13</v>
      </c>
      <c r="T312">
        <v>0</v>
      </c>
      <c r="U312">
        <v>219</v>
      </c>
      <c r="V312">
        <v>42</v>
      </c>
      <c r="W312">
        <v>2</v>
      </c>
      <c r="X312">
        <v>0</v>
      </c>
      <c r="Y312" t="s">
        <v>19</v>
      </c>
      <c r="Z312">
        <v>3</v>
      </c>
      <c r="AA312">
        <f>IF(AND(Table1[[#This Row],[Throw Out Pass Eff]]="N", Table1[[#This Row],[Against FCS Team]]="N"), ROUND(((5.45 * D312) + (150 * F312) + (100 * G312) - (300 * H312)) / E312, 2), " ")</f>
        <v>40.93</v>
      </c>
      <c r="AB312">
        <f>IF(AND(Table1[[#This Row],[Throw Out Pass Def Eff]]="N", Table1[[#This Row],[Against FCS Team]]="N"),200 - ROUND(((5.45 * P312) + (150 * R312) + (100 * S312) - (300 * T312)) / Q312, 2), " ")</f>
        <v>113.24</v>
      </c>
      <c r="AC312">
        <f>IF(AND(Table1[[#This Row],[Throw Out Rush Eff]]="N", Table1[[#This Row],[Against FCS Team]]="N"), ROUND(((23.2 * I312) + (150 * K312) - (300 * L312)) / J312, 2), " ")</f>
        <v>76.040000000000006</v>
      </c>
      <c r="AD312" s="3">
        <f>IF(AND(Table1[[#This Row],[Throw Out Rush Def Eff]]="N", Table1[[#This Row],[Against FCS Team]]="N"), 200 - ROUND(((23.2 * U312) + (150 * W312) - (300 * X312)) / V312, 2), " ")</f>
        <v>71.889999999999986</v>
      </c>
      <c r="AE312" s="3">
        <f>ROUND(Table1[[#This Row],[Opp Passing Attempts]]/(Table1[[#This Row],[Opp Passing Attempts]]+Table1[[#This Row],[Opp Rushing Attempts]]), 2)</f>
        <v>0.36</v>
      </c>
      <c r="AF312" s="3">
        <f>1-Table1[[#This Row],[Passing Weight]]</f>
        <v>0.64</v>
      </c>
      <c r="AG312" s="3" t="str">
        <f>IF(COUNTIF(A:A,Table1[[#This Row],[Opp Team Name]]) &gt; 0, "N", "Y")</f>
        <v>N</v>
      </c>
      <c r="AH312" s="3" t="str">
        <f>IF(Table1[[#This Row],[Passing Attempts]] &lt;15, "Y", "N")</f>
        <v>N</v>
      </c>
      <c r="AI312" s="3" t="str">
        <f>IF(Table1[[#This Row],[Rushing Attempts]] &lt; 15, "Y", "N")</f>
        <v>N</v>
      </c>
      <c r="AJ312" s="3" t="str">
        <f>IF(Table1[[#This Row],[Opp Passing Attempts]]&lt;15, "Y", "N")</f>
        <v>N</v>
      </c>
      <c r="AK312" s="3" t="str">
        <f>IF(Table1[[#This Row],[Opp Rushing Attempts]]&lt;15, "Y", "N")</f>
        <v>N</v>
      </c>
      <c r="AL3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41.87</v>
      </c>
      <c r="AM31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116.94</v>
      </c>
      <c r="AN3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93.48</v>
      </c>
      <c r="AO3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87.42</v>
      </c>
      <c r="AP312" s="3">
        <f>ABS(Table1[[#This Row],[Team Score]]-Table1[[#This Row],[Opp Team Score]])</f>
        <v>37</v>
      </c>
      <c r="AQ312" s="3">
        <f>SUM(Table1[[#This Row],[Team Score]], Table1[[#This Row],[Opp Team Score]])</f>
        <v>37</v>
      </c>
      <c r="AR31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97.9</v>
      </c>
      <c r="AS312" s="3">
        <f>IF(Table1[[#This Row],[Efficiency Difference]] = " ", " ", ROUND((Table1[[#This Row],[Winning Margin]]*100)/Table1[[#This Row],[Efficiency Difference]], 2))</f>
        <v>37.79</v>
      </c>
    </row>
    <row r="313" spans="1:45">
      <c r="A313" t="s">
        <v>21</v>
      </c>
      <c r="B313">
        <v>331</v>
      </c>
      <c r="C313">
        <v>10</v>
      </c>
      <c r="D313">
        <v>117</v>
      </c>
      <c r="E313">
        <v>36</v>
      </c>
      <c r="F313">
        <v>0</v>
      </c>
      <c r="G313">
        <v>15</v>
      </c>
      <c r="H313">
        <v>3</v>
      </c>
      <c r="I313">
        <v>83</v>
      </c>
      <c r="J313">
        <v>32</v>
      </c>
      <c r="K313">
        <v>1</v>
      </c>
      <c r="L313">
        <v>1</v>
      </c>
      <c r="M313" t="s">
        <v>109</v>
      </c>
      <c r="N313">
        <v>519</v>
      </c>
      <c r="O313">
        <v>17</v>
      </c>
      <c r="P313">
        <v>276</v>
      </c>
      <c r="Q313">
        <v>42</v>
      </c>
      <c r="R313">
        <v>2</v>
      </c>
      <c r="S313">
        <v>28</v>
      </c>
      <c r="T313">
        <v>0</v>
      </c>
      <c r="U313">
        <v>115</v>
      </c>
      <c r="V313">
        <v>39</v>
      </c>
      <c r="W313">
        <v>0</v>
      </c>
      <c r="X313">
        <v>1</v>
      </c>
      <c r="Y313" t="s">
        <v>19</v>
      </c>
      <c r="Z313">
        <v>5</v>
      </c>
      <c r="AA313">
        <f>IF(AND(Table1[[#This Row],[Throw Out Pass Eff]]="N", Table1[[#This Row],[Against FCS Team]]="N"), ROUND(((5.45 * D313) + (150 * F313) + (100 * G313) - (300 * H313)) / E313, 2), " ")</f>
        <v>34.380000000000003</v>
      </c>
      <c r="AB313">
        <f>IF(AND(Table1[[#This Row],[Throw Out Pass Def Eff]]="N", Table1[[#This Row],[Against FCS Team]]="N"),200 - ROUND(((5.45 * P313) + (150 * R313) + (100 * S313) - (300 * T313)) / Q313, 2), " ")</f>
        <v>90.38</v>
      </c>
      <c r="AC313">
        <f>IF(AND(Table1[[#This Row],[Throw Out Rush Eff]]="N", Table1[[#This Row],[Against FCS Team]]="N"), ROUND(((23.2 * I313) + (150 * K313) - (300 * L313)) / J313, 2), " ")</f>
        <v>55.49</v>
      </c>
      <c r="AD313" s="3">
        <f>IF(AND(Table1[[#This Row],[Throw Out Rush Def Eff]]="N", Table1[[#This Row],[Against FCS Team]]="N"), 200 - ROUND(((23.2 * U313) + (150 * W313) - (300 * X313)) / V313, 2), " ")</f>
        <v>139.28</v>
      </c>
      <c r="AE313" s="3">
        <f>ROUND(Table1[[#This Row],[Opp Passing Attempts]]/(Table1[[#This Row],[Opp Passing Attempts]]+Table1[[#This Row],[Opp Rushing Attempts]]), 2)</f>
        <v>0.52</v>
      </c>
      <c r="AF313" s="3">
        <f>1-Table1[[#This Row],[Passing Weight]]</f>
        <v>0.48</v>
      </c>
      <c r="AG313" s="3" t="str">
        <f>IF(COUNTIF(A:A,Table1[[#This Row],[Opp Team Name]]) &gt; 0, "N", "Y")</f>
        <v>N</v>
      </c>
      <c r="AH313" s="3" t="str">
        <f>IF(Table1[[#This Row],[Passing Attempts]] &lt;15, "Y", "N")</f>
        <v>N</v>
      </c>
      <c r="AI313" s="3" t="str">
        <f>IF(Table1[[#This Row],[Rushing Attempts]] &lt; 15, "Y", "N")</f>
        <v>N</v>
      </c>
      <c r="AJ313" s="3" t="str">
        <f>IF(Table1[[#This Row],[Opp Passing Attempts]]&lt;15, "Y", "N")</f>
        <v>N</v>
      </c>
      <c r="AK313" s="3" t="str">
        <f>IF(Table1[[#This Row],[Opp Rushing Attempts]]&lt;15, "Y", "N")</f>
        <v>N</v>
      </c>
      <c r="AL3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41.06</v>
      </c>
      <c r="AM3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103.1</v>
      </c>
      <c r="AN3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71.709999999999994</v>
      </c>
      <c r="AO3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138.58000000000001</v>
      </c>
      <c r="AP313" s="3">
        <f>ABS(Table1[[#This Row],[Team Score]]-Table1[[#This Row],[Opp Team Score]])</f>
        <v>7</v>
      </c>
      <c r="AQ313" s="3">
        <f>SUM(Table1[[#This Row],[Team Score]], Table1[[#This Row],[Opp Team Score]])</f>
        <v>27</v>
      </c>
      <c r="AR3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80.47</v>
      </c>
      <c r="AS313" s="3">
        <f>IF(Table1[[#This Row],[Efficiency Difference]] = " ", " ", ROUND((Table1[[#This Row],[Winning Margin]]*100)/Table1[[#This Row],[Efficiency Difference]], 2))</f>
        <v>8.6999999999999993</v>
      </c>
    </row>
    <row r="314" spans="1:45">
      <c r="A314" t="s">
        <v>21</v>
      </c>
      <c r="B314">
        <v>331</v>
      </c>
      <c r="C314">
        <v>10</v>
      </c>
      <c r="D314">
        <v>63</v>
      </c>
      <c r="E314">
        <v>24</v>
      </c>
      <c r="F314">
        <v>0</v>
      </c>
      <c r="G314">
        <v>6</v>
      </c>
      <c r="H314">
        <v>1</v>
      </c>
      <c r="I314">
        <v>1</v>
      </c>
      <c r="J314">
        <v>38</v>
      </c>
      <c r="K314">
        <v>0</v>
      </c>
      <c r="L314">
        <v>2</v>
      </c>
      <c r="M314" t="s">
        <v>31</v>
      </c>
      <c r="N314">
        <v>503</v>
      </c>
      <c r="O314">
        <v>40</v>
      </c>
      <c r="P314">
        <v>135</v>
      </c>
      <c r="Q314">
        <v>19</v>
      </c>
      <c r="R314">
        <v>1</v>
      </c>
      <c r="S314">
        <v>15</v>
      </c>
      <c r="T314">
        <v>0</v>
      </c>
      <c r="U314">
        <v>209</v>
      </c>
      <c r="V314">
        <v>43</v>
      </c>
      <c r="W314">
        <v>2</v>
      </c>
      <c r="X314">
        <v>3</v>
      </c>
      <c r="Y314" t="s">
        <v>19</v>
      </c>
      <c r="Z314">
        <v>6</v>
      </c>
      <c r="AA314">
        <f>IF(AND(Table1[[#This Row],[Throw Out Pass Eff]]="N", Table1[[#This Row],[Against FCS Team]]="N"), ROUND(((5.45 * D314) + (150 * F314) + (100 * G314) - (300 * H314)) / E314, 2), " ")</f>
        <v>26.81</v>
      </c>
      <c r="AB314">
        <f>IF(AND(Table1[[#This Row],[Throw Out Pass Def Eff]]="N", Table1[[#This Row],[Against FCS Team]]="N"),200 - ROUND(((5.45 * P314) + (150 * R314) + (100 * S314) - (300 * T314)) / Q314, 2), " ")</f>
        <v>74.430000000000007</v>
      </c>
      <c r="AC314">
        <f>IF(AND(Table1[[#This Row],[Throw Out Rush Eff]]="N", Table1[[#This Row],[Against FCS Team]]="N"), ROUND(((23.2 * I314) + (150 * K314) - (300 * L314)) / J314, 2), " ")</f>
        <v>-15.18</v>
      </c>
      <c r="AD314" s="3">
        <f>IF(AND(Table1[[#This Row],[Throw Out Rush Def Eff]]="N", Table1[[#This Row],[Against FCS Team]]="N"), 200 - ROUND(((23.2 * U314) + (150 * W314) - (300 * X314)) / V314, 2), " ")</f>
        <v>101.19</v>
      </c>
      <c r="AE314" s="3">
        <f>ROUND(Table1[[#This Row],[Opp Passing Attempts]]/(Table1[[#This Row],[Opp Passing Attempts]]+Table1[[#This Row],[Opp Rushing Attempts]]), 2)</f>
        <v>0.31</v>
      </c>
      <c r="AF314" s="3">
        <f>1-Table1[[#This Row],[Passing Weight]]</f>
        <v>0.69</v>
      </c>
      <c r="AG314" s="3" t="str">
        <f>IF(COUNTIF(A:A,Table1[[#This Row],[Opp Team Name]]) &gt; 0, "N", "Y")</f>
        <v>N</v>
      </c>
      <c r="AH314" s="3" t="str">
        <f>IF(Table1[[#This Row],[Passing Attempts]] &lt;15, "Y", "N")</f>
        <v>N</v>
      </c>
      <c r="AI314" s="3" t="str">
        <f>IF(Table1[[#This Row],[Rushing Attempts]] &lt; 15, "Y", "N")</f>
        <v>N</v>
      </c>
      <c r="AJ314" s="3" t="str">
        <f>IF(Table1[[#This Row],[Opp Passing Attempts]]&lt;15, "Y", "N")</f>
        <v>N</v>
      </c>
      <c r="AK314" s="3" t="str">
        <f>IF(Table1[[#This Row],[Opp Rushing Attempts]]&lt;15, "Y", "N")</f>
        <v>N</v>
      </c>
      <c r="AL3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26.57</v>
      </c>
      <c r="AM3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78.34</v>
      </c>
      <c r="AN3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-16.78</v>
      </c>
      <c r="AO3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128.25</v>
      </c>
      <c r="AP314" s="3">
        <f>ABS(Table1[[#This Row],[Team Score]]-Table1[[#This Row],[Opp Team Score]])</f>
        <v>30</v>
      </c>
      <c r="AQ314" s="3">
        <f>SUM(Table1[[#This Row],[Team Score]], Table1[[#This Row],[Opp Team Score]])</f>
        <v>50</v>
      </c>
      <c r="AR3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212.75</v>
      </c>
      <c r="AS314" s="3">
        <f>IF(Table1[[#This Row],[Efficiency Difference]] = " ", " ", ROUND((Table1[[#This Row],[Winning Margin]]*100)/Table1[[#This Row],[Efficiency Difference]], 2))</f>
        <v>14.1</v>
      </c>
    </row>
    <row r="315" spans="1:45">
      <c r="A315" t="s">
        <v>21</v>
      </c>
      <c r="B315">
        <v>331</v>
      </c>
      <c r="C315">
        <v>3</v>
      </c>
      <c r="D315">
        <v>169</v>
      </c>
      <c r="E315">
        <v>31</v>
      </c>
      <c r="F315">
        <v>0</v>
      </c>
      <c r="G315">
        <v>16</v>
      </c>
      <c r="H315">
        <v>1</v>
      </c>
      <c r="I315">
        <v>75</v>
      </c>
      <c r="J315">
        <v>36</v>
      </c>
      <c r="K315">
        <v>0</v>
      </c>
      <c r="L315">
        <v>0</v>
      </c>
      <c r="M315" t="s">
        <v>96</v>
      </c>
      <c r="N315">
        <v>414</v>
      </c>
      <c r="O315">
        <v>9</v>
      </c>
      <c r="P315">
        <v>125</v>
      </c>
      <c r="Q315">
        <v>27</v>
      </c>
      <c r="R315">
        <v>1</v>
      </c>
      <c r="S315">
        <v>13</v>
      </c>
      <c r="T315">
        <v>0</v>
      </c>
      <c r="U315">
        <v>41</v>
      </c>
      <c r="V315">
        <v>34</v>
      </c>
      <c r="W315">
        <v>0</v>
      </c>
      <c r="X315">
        <v>2</v>
      </c>
      <c r="Y315" t="s">
        <v>19</v>
      </c>
      <c r="Z315">
        <v>7</v>
      </c>
      <c r="AA315">
        <f>IF(AND(Table1[[#This Row],[Throw Out Pass Eff]]="N", Table1[[#This Row],[Against FCS Team]]="N"), ROUND(((5.45 * D315) + (150 * F315) + (100 * G315) - (300 * H315)) / E315, 2), " ")</f>
        <v>71.650000000000006</v>
      </c>
      <c r="AB315">
        <f>IF(AND(Table1[[#This Row],[Throw Out Pass Def Eff]]="N", Table1[[#This Row],[Against FCS Team]]="N"),200 - ROUND(((5.45 * P315) + (150 * R315) + (100 * S315) - (300 * T315)) / Q315, 2), " ")</f>
        <v>121.06</v>
      </c>
      <c r="AC315">
        <f>IF(AND(Table1[[#This Row],[Throw Out Rush Eff]]="N", Table1[[#This Row],[Against FCS Team]]="N"), ROUND(((23.2 * I315) + (150 * K315) - (300 * L315)) / J315, 2), " ")</f>
        <v>48.33</v>
      </c>
      <c r="AD315" s="3">
        <f>IF(AND(Table1[[#This Row],[Throw Out Rush Def Eff]]="N", Table1[[#This Row],[Against FCS Team]]="N"), 200 - ROUND(((23.2 * U315) + (150 * W315) - (300 * X315)) / V315, 2), " ")</f>
        <v>189.67</v>
      </c>
      <c r="AE315" s="3">
        <f>ROUND(Table1[[#This Row],[Opp Passing Attempts]]/(Table1[[#This Row],[Opp Passing Attempts]]+Table1[[#This Row],[Opp Rushing Attempts]]), 2)</f>
        <v>0.44</v>
      </c>
      <c r="AF315" s="3">
        <f>1-Table1[[#This Row],[Passing Weight]]</f>
        <v>0.56000000000000005</v>
      </c>
      <c r="AG315" s="3" t="str">
        <f>IF(COUNTIF(A:A,Table1[[#This Row],[Opp Team Name]]) &gt; 0, "N", "Y")</f>
        <v>N</v>
      </c>
      <c r="AH315" s="3" t="str">
        <f>IF(Table1[[#This Row],[Passing Attempts]] &lt;15, "Y", "N")</f>
        <v>N</v>
      </c>
      <c r="AI315" s="3" t="str">
        <f>IF(Table1[[#This Row],[Rushing Attempts]] &lt; 15, "Y", "N")</f>
        <v>N</v>
      </c>
      <c r="AJ315" s="3" t="str">
        <f>IF(Table1[[#This Row],[Opp Passing Attempts]]&lt;15, "Y", "N")</f>
        <v>N</v>
      </c>
      <c r="AK315" s="3" t="str">
        <f>IF(Table1[[#This Row],[Opp Rushing Attempts]]&lt;15, "Y", "N")</f>
        <v>N</v>
      </c>
      <c r="AL3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72.790000000000006</v>
      </c>
      <c r="AM3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117.22</v>
      </c>
      <c r="AN3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48.67</v>
      </c>
      <c r="AO3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78.599999999999994</v>
      </c>
      <c r="AP315" s="3">
        <f>ABS(Table1[[#This Row],[Team Score]]-Table1[[#This Row],[Opp Team Score]])</f>
        <v>6</v>
      </c>
      <c r="AQ315" s="3">
        <f>SUM(Table1[[#This Row],[Team Score]], Table1[[#This Row],[Opp Team Score]])</f>
        <v>12</v>
      </c>
      <c r="AR3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30.710000000000022</v>
      </c>
      <c r="AS315" s="3">
        <f>IF(Table1[[#This Row],[Efficiency Difference]] = " ", " ", ROUND((Table1[[#This Row],[Winning Margin]]*100)/Table1[[#This Row],[Efficiency Difference]], 2))</f>
        <v>19.54</v>
      </c>
    </row>
    <row r="316" spans="1:45">
      <c r="A316" t="s">
        <v>84</v>
      </c>
      <c r="B316">
        <v>334</v>
      </c>
      <c r="C316">
        <v>14</v>
      </c>
      <c r="D316">
        <v>97</v>
      </c>
      <c r="E316">
        <v>18</v>
      </c>
      <c r="F316">
        <v>1</v>
      </c>
      <c r="G316">
        <v>7</v>
      </c>
      <c r="H316">
        <v>3</v>
      </c>
      <c r="I316">
        <v>93</v>
      </c>
      <c r="J316">
        <v>33</v>
      </c>
      <c r="K316">
        <v>1</v>
      </c>
      <c r="L316">
        <v>0</v>
      </c>
      <c r="M316" t="s">
        <v>85</v>
      </c>
      <c r="N316">
        <v>772</v>
      </c>
      <c r="O316">
        <v>3</v>
      </c>
      <c r="P316">
        <v>93</v>
      </c>
      <c r="Q316">
        <v>27</v>
      </c>
      <c r="R316">
        <v>0</v>
      </c>
      <c r="S316">
        <v>9</v>
      </c>
      <c r="T316">
        <v>4</v>
      </c>
      <c r="U316">
        <v>141</v>
      </c>
      <c r="V316">
        <v>42</v>
      </c>
      <c r="W316">
        <v>0</v>
      </c>
      <c r="X316">
        <v>0</v>
      </c>
      <c r="Y316" t="s">
        <v>16</v>
      </c>
      <c r="Z316">
        <v>1</v>
      </c>
      <c r="AA316">
        <f>IF(AND(Table1[[#This Row],[Throw Out Pass Eff]]="N", Table1[[#This Row],[Against FCS Team]]="N"), ROUND(((5.45 * D316) + (150 * F316) + (100 * G316) - (300 * H316)) / E316, 2), " ")</f>
        <v>26.59</v>
      </c>
      <c r="AB316">
        <f>IF(AND(Table1[[#This Row],[Throw Out Pass Def Eff]]="N", Table1[[#This Row],[Against FCS Team]]="N"),200 - ROUND(((5.45 * P316) + (150 * R316) + (100 * S316) - (300 * T316)) / Q316, 2), " ")</f>
        <v>192.34</v>
      </c>
      <c r="AC316">
        <f>IF(AND(Table1[[#This Row],[Throw Out Rush Eff]]="N", Table1[[#This Row],[Against FCS Team]]="N"), ROUND(((23.2 * I316) + (150 * K316) - (300 * L316)) / J316, 2), " ")</f>
        <v>69.930000000000007</v>
      </c>
      <c r="AD316" s="3">
        <f>IF(AND(Table1[[#This Row],[Throw Out Rush Def Eff]]="N", Table1[[#This Row],[Against FCS Team]]="N"), 200 - ROUND(((23.2 * U316) + (150 * W316) - (300 * X316)) / V316, 2), " ")</f>
        <v>122.11</v>
      </c>
      <c r="AE316" s="3">
        <f>ROUND(Table1[[#This Row],[Opp Passing Attempts]]/(Table1[[#This Row],[Opp Passing Attempts]]+Table1[[#This Row],[Opp Rushing Attempts]]), 2)</f>
        <v>0.39</v>
      </c>
      <c r="AF316" s="3">
        <f>1-Table1[[#This Row],[Passing Weight]]</f>
        <v>0.61</v>
      </c>
      <c r="AG316" s="3" t="str">
        <f>IF(COUNTIF(A:A,Table1[[#This Row],[Opp Team Name]]) &gt; 0, "N", "Y")</f>
        <v>N</v>
      </c>
      <c r="AH316" s="3" t="str">
        <f>IF(Table1[[#This Row],[Passing Attempts]] &lt;15, "Y", "N")</f>
        <v>N</v>
      </c>
      <c r="AI316" s="3" t="str">
        <f>IF(Table1[[#This Row],[Rushing Attempts]] &lt; 15, "Y", "N")</f>
        <v>N</v>
      </c>
      <c r="AJ316" s="3" t="str">
        <f>IF(Table1[[#This Row],[Opp Passing Attempts]]&lt;15, "Y", "N")</f>
        <v>N</v>
      </c>
      <c r="AK316" s="3" t="str">
        <f>IF(Table1[[#This Row],[Opp Rushing Attempts]]&lt;15, "Y", "N")</f>
        <v>N</v>
      </c>
      <c r="AL3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31.61</v>
      </c>
      <c r="AM3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154.04</v>
      </c>
      <c r="AN3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78.41</v>
      </c>
      <c r="AO3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116.38</v>
      </c>
      <c r="AP316" s="3">
        <f>ABS(Table1[[#This Row],[Team Score]]-Table1[[#This Row],[Opp Team Score]])</f>
        <v>11</v>
      </c>
      <c r="AQ316" s="3">
        <f>SUM(Table1[[#This Row],[Team Score]], Table1[[#This Row],[Opp Team Score]])</f>
        <v>17</v>
      </c>
      <c r="AR3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10.969999999999999</v>
      </c>
      <c r="AS316" s="3">
        <f>IF(Table1[[#This Row],[Efficiency Difference]] = " ", " ", ROUND((Table1[[#This Row],[Winning Margin]]*100)/Table1[[#This Row],[Efficiency Difference]], 2))</f>
        <v>100.27</v>
      </c>
    </row>
    <row r="317" spans="1:45">
      <c r="A317" t="s">
        <v>84</v>
      </c>
      <c r="B317">
        <v>334</v>
      </c>
      <c r="C317">
        <v>27</v>
      </c>
      <c r="D317">
        <v>114</v>
      </c>
      <c r="E317">
        <v>18</v>
      </c>
      <c r="F317">
        <v>1</v>
      </c>
      <c r="G317">
        <v>9</v>
      </c>
      <c r="H317">
        <v>1</v>
      </c>
      <c r="I317">
        <v>230</v>
      </c>
      <c r="J317">
        <v>37</v>
      </c>
      <c r="K317">
        <v>2</v>
      </c>
      <c r="L317">
        <v>1</v>
      </c>
      <c r="M317" t="s">
        <v>50</v>
      </c>
      <c r="N317">
        <v>129</v>
      </c>
      <c r="O317">
        <v>13</v>
      </c>
      <c r="P317">
        <v>295</v>
      </c>
      <c r="Q317">
        <v>45</v>
      </c>
      <c r="R317">
        <v>1</v>
      </c>
      <c r="S317">
        <v>24</v>
      </c>
      <c r="T317">
        <v>2</v>
      </c>
      <c r="U317">
        <v>88</v>
      </c>
      <c r="V317">
        <v>32</v>
      </c>
      <c r="W317">
        <v>0</v>
      </c>
      <c r="X317">
        <v>0</v>
      </c>
      <c r="Y317" t="s">
        <v>16</v>
      </c>
      <c r="Z317">
        <v>2</v>
      </c>
      <c r="AA317">
        <f>IF(AND(Table1[[#This Row],[Throw Out Pass Eff]]="N", Table1[[#This Row],[Against FCS Team]]="N"), ROUND(((5.45 * D317) + (150 * F317) + (100 * G317) - (300 * H317)) / E317, 2), " ")</f>
        <v>76.180000000000007</v>
      </c>
      <c r="AB317">
        <f>IF(AND(Table1[[#This Row],[Throw Out Pass Def Eff]]="N", Table1[[#This Row],[Against FCS Team]]="N"),200 - ROUND(((5.45 * P317) + (150 * R317) + (100 * S317) - (300 * T317)) / Q317, 2), " ")</f>
        <v>120.94</v>
      </c>
      <c r="AC317">
        <f>IF(AND(Table1[[#This Row],[Throw Out Rush Eff]]="N", Table1[[#This Row],[Against FCS Team]]="N"), ROUND(((23.2 * I317) + (150 * K317) - (300 * L317)) / J317, 2), " ")</f>
        <v>144.22</v>
      </c>
      <c r="AD317" s="3">
        <f>IF(AND(Table1[[#This Row],[Throw Out Rush Def Eff]]="N", Table1[[#This Row],[Against FCS Team]]="N"), 200 - ROUND(((23.2 * U317) + (150 * W317) - (300 * X317)) / V317, 2), " ")</f>
        <v>136.19999999999999</v>
      </c>
      <c r="AE317" s="3">
        <f>ROUND(Table1[[#This Row],[Opp Passing Attempts]]/(Table1[[#This Row],[Opp Passing Attempts]]+Table1[[#This Row],[Opp Rushing Attempts]]), 2)</f>
        <v>0.57999999999999996</v>
      </c>
      <c r="AF317" s="3">
        <f>1-Table1[[#This Row],[Passing Weight]]</f>
        <v>0.42000000000000004</v>
      </c>
      <c r="AG317" s="3" t="str">
        <f>IF(COUNTIF(A:A,Table1[[#This Row],[Opp Team Name]]) &gt; 0, "N", "Y")</f>
        <v>N</v>
      </c>
      <c r="AH317" s="3" t="str">
        <f>IF(Table1[[#This Row],[Passing Attempts]] &lt;15, "Y", "N")</f>
        <v>N</v>
      </c>
      <c r="AI317" s="3" t="str">
        <f>IF(Table1[[#This Row],[Rushing Attempts]] &lt; 15, "Y", "N")</f>
        <v>N</v>
      </c>
      <c r="AJ317" s="3" t="str">
        <f>IF(Table1[[#This Row],[Opp Passing Attempts]]&lt;15, "Y", "N")</f>
        <v>N</v>
      </c>
      <c r="AK317" s="3" t="str">
        <f>IF(Table1[[#This Row],[Opp Rushing Attempts]]&lt;15, "Y", "N")</f>
        <v>N</v>
      </c>
      <c r="AL3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71.06</v>
      </c>
      <c r="AM31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111.82</v>
      </c>
      <c r="AN31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125.03</v>
      </c>
      <c r="AO3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126.39</v>
      </c>
      <c r="AP317" s="3">
        <f>ABS(Table1[[#This Row],[Team Score]]-Table1[[#This Row],[Opp Team Score]])</f>
        <v>14</v>
      </c>
      <c r="AQ317" s="3">
        <f>SUM(Table1[[#This Row],[Team Score]], Table1[[#This Row],[Opp Team Score]])</f>
        <v>40</v>
      </c>
      <c r="AR31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77.539999999999992</v>
      </c>
      <c r="AS317" s="3">
        <f>IF(Table1[[#This Row],[Efficiency Difference]] = " ", " ", ROUND((Table1[[#This Row],[Winning Margin]]*100)/Table1[[#This Row],[Efficiency Difference]], 2))</f>
        <v>18.059999999999999</v>
      </c>
    </row>
    <row r="318" spans="1:45">
      <c r="A318" t="s">
        <v>84</v>
      </c>
      <c r="B318">
        <v>334</v>
      </c>
      <c r="C318">
        <v>17</v>
      </c>
      <c r="D318">
        <v>255</v>
      </c>
      <c r="E318">
        <v>42</v>
      </c>
      <c r="F318">
        <v>2</v>
      </c>
      <c r="G318">
        <v>27</v>
      </c>
      <c r="H318">
        <v>0</v>
      </c>
      <c r="I318">
        <v>35</v>
      </c>
      <c r="J318">
        <v>32</v>
      </c>
      <c r="K318">
        <v>0</v>
      </c>
      <c r="L318">
        <v>1</v>
      </c>
      <c r="M318" t="s">
        <v>90</v>
      </c>
      <c r="N318">
        <v>367</v>
      </c>
      <c r="O318">
        <v>24</v>
      </c>
      <c r="P318">
        <v>146</v>
      </c>
      <c r="Q318">
        <v>22</v>
      </c>
      <c r="R318">
        <v>3</v>
      </c>
      <c r="S318">
        <v>12</v>
      </c>
      <c r="T318">
        <v>0</v>
      </c>
      <c r="U318">
        <v>181</v>
      </c>
      <c r="V318">
        <v>40</v>
      </c>
      <c r="W318">
        <v>0</v>
      </c>
      <c r="X318">
        <v>0</v>
      </c>
      <c r="Y318" t="s">
        <v>19</v>
      </c>
      <c r="Z318">
        <v>3</v>
      </c>
      <c r="AA318">
        <f>IF(AND(Table1[[#This Row],[Throw Out Pass Eff]]="N", Table1[[#This Row],[Against FCS Team]]="N"), ROUND(((5.45 * D318) + (150 * F318) + (100 * G318) - (300 * H318)) / E318, 2), " ")</f>
        <v>104.52</v>
      </c>
      <c r="AB318">
        <f>IF(AND(Table1[[#This Row],[Throw Out Pass Def Eff]]="N", Table1[[#This Row],[Against FCS Team]]="N"),200 - ROUND(((5.45 * P318) + (150 * R318) + (100 * S318) - (300 * T318)) / Q318, 2), " ")</f>
        <v>88.83</v>
      </c>
      <c r="AC318">
        <f>IF(AND(Table1[[#This Row],[Throw Out Rush Eff]]="N", Table1[[#This Row],[Against FCS Team]]="N"), ROUND(((23.2 * I318) + (150 * K318) - (300 * L318)) / J318, 2), " ")</f>
        <v>16</v>
      </c>
      <c r="AD318" s="3">
        <f>IF(AND(Table1[[#This Row],[Throw Out Rush Def Eff]]="N", Table1[[#This Row],[Against FCS Team]]="N"), 200 - ROUND(((23.2 * U318) + (150 * W318) - (300 * X318)) / V318, 2), " ")</f>
        <v>95.02</v>
      </c>
      <c r="AE318" s="3">
        <f>ROUND(Table1[[#This Row],[Opp Passing Attempts]]/(Table1[[#This Row],[Opp Passing Attempts]]+Table1[[#This Row],[Opp Rushing Attempts]]), 2)</f>
        <v>0.35</v>
      </c>
      <c r="AF318" s="3">
        <f>1-Table1[[#This Row],[Passing Weight]]</f>
        <v>0.65</v>
      </c>
      <c r="AG318" s="3" t="str">
        <f>IF(COUNTIF(A:A,Table1[[#This Row],[Opp Team Name]]) &gt; 0, "N", "Y")</f>
        <v>N</v>
      </c>
      <c r="AH318" s="3" t="str">
        <f>IF(Table1[[#This Row],[Passing Attempts]] &lt;15, "Y", "N")</f>
        <v>N</v>
      </c>
      <c r="AI318" s="3" t="str">
        <f>IF(Table1[[#This Row],[Rushing Attempts]] &lt; 15, "Y", "N")</f>
        <v>N</v>
      </c>
      <c r="AJ318" s="3" t="str">
        <f>IF(Table1[[#This Row],[Opp Passing Attempts]]&lt;15, "Y", "N")</f>
        <v>N</v>
      </c>
      <c r="AK318" s="3" t="str">
        <f>IF(Table1[[#This Row],[Opp Rushing Attempts]]&lt;15, "Y", "N")</f>
        <v>N</v>
      </c>
      <c r="AL31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96.48</v>
      </c>
      <c r="AM31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85.35</v>
      </c>
      <c r="AN31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22.07</v>
      </c>
      <c r="AO31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69.69</v>
      </c>
      <c r="AP318" s="3">
        <f>ABS(Table1[[#This Row],[Team Score]]-Table1[[#This Row],[Opp Team Score]])</f>
        <v>7</v>
      </c>
      <c r="AQ318" s="3">
        <f>SUM(Table1[[#This Row],[Team Score]], Table1[[#This Row],[Opp Team Score]])</f>
        <v>41</v>
      </c>
      <c r="AR31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95.63000000000001</v>
      </c>
      <c r="AS318" s="3">
        <f>IF(Table1[[#This Row],[Efficiency Difference]] = " ", " ", ROUND((Table1[[#This Row],[Winning Margin]]*100)/Table1[[#This Row],[Efficiency Difference]], 2))</f>
        <v>7.32</v>
      </c>
    </row>
    <row r="319" spans="1:45">
      <c r="A319" t="s">
        <v>84</v>
      </c>
      <c r="B319">
        <v>334</v>
      </c>
      <c r="C319">
        <v>10</v>
      </c>
      <c r="D319">
        <v>165</v>
      </c>
      <c r="E319">
        <v>44</v>
      </c>
      <c r="F319">
        <v>1</v>
      </c>
      <c r="G319">
        <v>22</v>
      </c>
      <c r="H319">
        <v>2</v>
      </c>
      <c r="I319">
        <v>134</v>
      </c>
      <c r="J319">
        <v>36</v>
      </c>
      <c r="K319">
        <v>0</v>
      </c>
      <c r="L319">
        <v>2</v>
      </c>
      <c r="M319" t="s">
        <v>69</v>
      </c>
      <c r="N319">
        <v>235</v>
      </c>
      <c r="O319">
        <v>48</v>
      </c>
      <c r="P319">
        <v>115</v>
      </c>
      <c r="Q319">
        <v>18</v>
      </c>
      <c r="R319">
        <v>1</v>
      </c>
      <c r="S319">
        <v>8</v>
      </c>
      <c r="T319">
        <v>1</v>
      </c>
      <c r="U319">
        <v>405</v>
      </c>
      <c r="V319">
        <v>46</v>
      </c>
      <c r="W319">
        <v>4</v>
      </c>
      <c r="X319">
        <v>2</v>
      </c>
      <c r="Y319" t="s">
        <v>19</v>
      </c>
      <c r="Z319">
        <v>4</v>
      </c>
      <c r="AA319">
        <f>IF(AND(Table1[[#This Row],[Throw Out Pass Eff]]="N", Table1[[#This Row],[Against FCS Team]]="N"), ROUND(((5.45 * D319) + (150 * F319) + (100 * G319) - (300 * H319)) / E319, 2), " ")</f>
        <v>60.21</v>
      </c>
      <c r="AB319">
        <f>IF(AND(Table1[[#This Row],[Throw Out Pass Def Eff]]="N", Table1[[#This Row],[Against FCS Team]]="N"),200 - ROUND(((5.45 * P319) + (150 * R319) + (100 * S319) - (300 * T319)) / Q319, 2), " ")</f>
        <v>129.07</v>
      </c>
      <c r="AC319">
        <f>IF(AND(Table1[[#This Row],[Throw Out Rush Eff]]="N", Table1[[#This Row],[Against FCS Team]]="N"), ROUND(((23.2 * I319) + (150 * K319) - (300 * L319)) / J319, 2), " ")</f>
        <v>69.69</v>
      </c>
      <c r="AD319" s="3">
        <f>IF(AND(Table1[[#This Row],[Throw Out Rush Def Eff]]="N", Table1[[#This Row],[Against FCS Team]]="N"), 200 - ROUND(((23.2 * U319) + (150 * W319) - (300 * X319)) / V319, 2), " ")</f>
        <v>-4.2599999999999909</v>
      </c>
      <c r="AE319" s="3">
        <f>ROUND(Table1[[#This Row],[Opp Passing Attempts]]/(Table1[[#This Row],[Opp Passing Attempts]]+Table1[[#This Row],[Opp Rushing Attempts]]), 2)</f>
        <v>0.28000000000000003</v>
      </c>
      <c r="AF319" s="3">
        <f>1-Table1[[#This Row],[Passing Weight]]</f>
        <v>0.72</v>
      </c>
      <c r="AG319" s="3" t="str">
        <f>IF(COUNTIF(A:A,Table1[[#This Row],[Opp Team Name]]) &gt; 0, "N", "Y")</f>
        <v>N</v>
      </c>
      <c r="AH319" s="3" t="str">
        <f>IF(Table1[[#This Row],[Passing Attempts]] &lt;15, "Y", "N")</f>
        <v>N</v>
      </c>
      <c r="AI319" s="3" t="str">
        <f>IF(Table1[[#This Row],[Rushing Attempts]] &lt; 15, "Y", "N")</f>
        <v>N</v>
      </c>
      <c r="AJ319" s="3" t="str">
        <f>IF(Table1[[#This Row],[Opp Passing Attempts]]&lt;15, "Y", "N")</f>
        <v>N</v>
      </c>
      <c r="AK319" s="3" t="str">
        <f>IF(Table1[[#This Row],[Opp Rushing Attempts]]&lt;15, "Y", "N")</f>
        <v>N</v>
      </c>
      <c r="AL31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73.34</v>
      </c>
      <c r="AM31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117.77</v>
      </c>
      <c r="AN31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90.96</v>
      </c>
      <c r="AO31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-4.1500000000000004</v>
      </c>
      <c r="AP319" s="3">
        <f>ABS(Table1[[#This Row],[Team Score]]-Table1[[#This Row],[Opp Team Score]])</f>
        <v>38</v>
      </c>
      <c r="AQ319" s="3">
        <f>SUM(Table1[[#This Row],[Team Score]], Table1[[#This Row],[Opp Team Score]])</f>
        <v>58</v>
      </c>
      <c r="AR31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145.29</v>
      </c>
      <c r="AS319" s="3">
        <f>IF(Table1[[#This Row],[Efficiency Difference]] = " ", " ", ROUND((Table1[[#This Row],[Winning Margin]]*100)/Table1[[#This Row],[Efficiency Difference]], 2))</f>
        <v>26.15</v>
      </c>
    </row>
    <row r="320" spans="1:45">
      <c r="A320" t="s">
        <v>84</v>
      </c>
      <c r="B320">
        <v>334</v>
      </c>
      <c r="C320">
        <v>7</v>
      </c>
      <c r="D320">
        <v>66</v>
      </c>
      <c r="E320">
        <v>25</v>
      </c>
      <c r="F320">
        <v>1</v>
      </c>
      <c r="G320">
        <v>7</v>
      </c>
      <c r="H320">
        <v>0</v>
      </c>
      <c r="I320">
        <v>89</v>
      </c>
      <c r="J320">
        <v>39</v>
      </c>
      <c r="K320">
        <v>0</v>
      </c>
      <c r="L320">
        <v>1</v>
      </c>
      <c r="M320" t="s">
        <v>92</v>
      </c>
      <c r="N320">
        <v>365</v>
      </c>
      <c r="O320">
        <v>35</v>
      </c>
      <c r="P320">
        <v>169</v>
      </c>
      <c r="Q320">
        <v>21</v>
      </c>
      <c r="R320">
        <v>1</v>
      </c>
      <c r="S320">
        <v>8</v>
      </c>
      <c r="T320">
        <v>0</v>
      </c>
      <c r="U320">
        <v>179</v>
      </c>
      <c r="V320">
        <v>46</v>
      </c>
      <c r="W320">
        <v>3</v>
      </c>
      <c r="X320">
        <v>0</v>
      </c>
      <c r="Y320" t="s">
        <v>19</v>
      </c>
      <c r="Z320">
        <v>5</v>
      </c>
      <c r="AA320">
        <f>IF(AND(Table1[[#This Row],[Throw Out Pass Eff]]="N", Table1[[#This Row],[Against FCS Team]]="N"), ROUND(((5.45 * D320) + (150 * F320) + (100 * G320) - (300 * H320)) / E320, 2), " ")</f>
        <v>48.39</v>
      </c>
      <c r="AB320">
        <f>IF(AND(Table1[[#This Row],[Throw Out Pass Def Eff]]="N", Table1[[#This Row],[Against FCS Team]]="N"),200 - ROUND(((5.45 * P320) + (150 * R320) + (100 * S320) - (300 * T320)) / Q320, 2), " ")</f>
        <v>110.9</v>
      </c>
      <c r="AC320">
        <f>IF(AND(Table1[[#This Row],[Throw Out Rush Eff]]="N", Table1[[#This Row],[Against FCS Team]]="N"), ROUND(((23.2 * I320) + (150 * K320) - (300 * L320)) / J320, 2), " ")</f>
        <v>45.25</v>
      </c>
      <c r="AD320" s="3">
        <f>IF(AND(Table1[[#This Row],[Throw Out Rush Def Eff]]="N", Table1[[#This Row],[Against FCS Team]]="N"), 200 - ROUND(((23.2 * U320) + (150 * W320) - (300 * X320)) / V320, 2), " ")</f>
        <v>99.94</v>
      </c>
      <c r="AE320" s="3">
        <f>ROUND(Table1[[#This Row],[Opp Passing Attempts]]/(Table1[[#This Row],[Opp Passing Attempts]]+Table1[[#This Row],[Opp Rushing Attempts]]), 2)</f>
        <v>0.31</v>
      </c>
      <c r="AF320" s="3">
        <f>1-Table1[[#This Row],[Passing Weight]]</f>
        <v>0.69</v>
      </c>
      <c r="AG320" s="3" t="str">
        <f>IF(COUNTIF(A:A,Table1[[#This Row],[Opp Team Name]]) &gt; 0, "N", "Y")</f>
        <v>N</v>
      </c>
      <c r="AH320" s="3" t="str">
        <f>IF(Table1[[#This Row],[Passing Attempts]] &lt;15, "Y", "N")</f>
        <v>N</v>
      </c>
      <c r="AI320" s="3" t="str">
        <f>IF(Table1[[#This Row],[Rushing Attempts]] &lt; 15, "Y", "N")</f>
        <v>N</v>
      </c>
      <c r="AJ320" s="3" t="str">
        <f>IF(Table1[[#This Row],[Opp Passing Attempts]]&lt;15, "Y", "N")</f>
        <v>N</v>
      </c>
      <c r="AK320" s="3" t="str">
        <f>IF(Table1[[#This Row],[Opp Rushing Attempts]]&lt;15, "Y", "N")</f>
        <v>N</v>
      </c>
      <c r="AL3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64.56</v>
      </c>
      <c r="AM3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122.44</v>
      </c>
      <c r="AN3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63.21</v>
      </c>
      <c r="AO3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107.8</v>
      </c>
      <c r="AP320" s="3">
        <f>ABS(Table1[[#This Row],[Team Score]]-Table1[[#This Row],[Opp Team Score]])</f>
        <v>28</v>
      </c>
      <c r="AQ320" s="3">
        <f>SUM(Table1[[#This Row],[Team Score]], Table1[[#This Row],[Opp Team Score]])</f>
        <v>42</v>
      </c>
      <c r="AR3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95.52</v>
      </c>
      <c r="AS320" s="3">
        <f>IF(Table1[[#This Row],[Efficiency Difference]] = " ", " ", ROUND((Table1[[#This Row],[Winning Margin]]*100)/Table1[[#This Row],[Efficiency Difference]], 2))</f>
        <v>29.31</v>
      </c>
    </row>
    <row r="321" spans="1:45">
      <c r="A321" t="s">
        <v>84</v>
      </c>
      <c r="B321">
        <v>334</v>
      </c>
      <c r="C321">
        <v>3</v>
      </c>
      <c r="D321">
        <v>17</v>
      </c>
      <c r="E321">
        <v>26</v>
      </c>
      <c r="F321">
        <v>0</v>
      </c>
      <c r="G321">
        <v>4</v>
      </c>
      <c r="H321">
        <v>4</v>
      </c>
      <c r="I321">
        <v>79</v>
      </c>
      <c r="J321">
        <v>27</v>
      </c>
      <c r="K321">
        <v>0</v>
      </c>
      <c r="L321">
        <v>2</v>
      </c>
      <c r="M321" t="s">
        <v>65</v>
      </c>
      <c r="N321">
        <v>648</v>
      </c>
      <c r="O321">
        <v>54</v>
      </c>
      <c r="P321">
        <v>351</v>
      </c>
      <c r="Q321">
        <v>43</v>
      </c>
      <c r="R321">
        <v>5</v>
      </c>
      <c r="S321">
        <v>30</v>
      </c>
      <c r="T321">
        <v>0</v>
      </c>
      <c r="U321">
        <v>288</v>
      </c>
      <c r="V321">
        <v>48</v>
      </c>
      <c r="W321">
        <v>2</v>
      </c>
      <c r="X321">
        <v>1</v>
      </c>
      <c r="Y321" t="s">
        <v>19</v>
      </c>
      <c r="Z321">
        <v>6</v>
      </c>
      <c r="AA321">
        <f>IF(AND(Table1[[#This Row],[Throw Out Pass Eff]]="N", Table1[[#This Row],[Against FCS Team]]="N"), ROUND(((5.45 * D321) + (150 * F321) + (100 * G321) - (300 * H321)) / E321, 2), " ")</f>
        <v>-27.21</v>
      </c>
      <c r="AB321">
        <f>IF(AND(Table1[[#This Row],[Throw Out Pass Def Eff]]="N", Table1[[#This Row],[Against FCS Team]]="N"),200 - ROUND(((5.45 * P321) + (150 * R321) + (100 * S321) - (300 * T321)) / Q321, 2), " ")</f>
        <v>68.300000000000011</v>
      </c>
      <c r="AC321">
        <f>IF(AND(Table1[[#This Row],[Throw Out Rush Eff]]="N", Table1[[#This Row],[Against FCS Team]]="N"), ROUND(((23.2 * I321) + (150 * K321) - (300 * L321)) / J321, 2), " ")</f>
        <v>45.66</v>
      </c>
      <c r="AD321" s="3">
        <f>IF(AND(Table1[[#This Row],[Throw Out Rush Def Eff]]="N", Table1[[#This Row],[Against FCS Team]]="N"), 200 - ROUND(((23.2 * U321) + (150 * W321) - (300 * X321)) / V321, 2), " ")</f>
        <v>60.800000000000011</v>
      </c>
      <c r="AE321" s="3">
        <f>ROUND(Table1[[#This Row],[Opp Passing Attempts]]/(Table1[[#This Row],[Opp Passing Attempts]]+Table1[[#This Row],[Opp Rushing Attempts]]), 2)</f>
        <v>0.47</v>
      </c>
      <c r="AF321" s="3">
        <f>1-Table1[[#This Row],[Passing Weight]]</f>
        <v>0.53</v>
      </c>
      <c r="AG321" s="3" t="str">
        <f>IF(COUNTIF(A:A,Table1[[#This Row],[Opp Team Name]]) &gt; 0, "N", "Y")</f>
        <v>N</v>
      </c>
      <c r="AH321" s="3" t="str">
        <f>IF(Table1[[#This Row],[Passing Attempts]] &lt;15, "Y", "N")</f>
        <v>N</v>
      </c>
      <c r="AI321" s="3" t="str">
        <f>IF(Table1[[#This Row],[Rushing Attempts]] &lt; 15, "Y", "N")</f>
        <v>N</v>
      </c>
      <c r="AJ321" s="3" t="str">
        <f>IF(Table1[[#This Row],[Opp Passing Attempts]]&lt;15, "Y", "N")</f>
        <v>N</v>
      </c>
      <c r="AK321" s="3" t="str">
        <f>IF(Table1[[#This Row],[Opp Rushing Attempts]]&lt;15, "Y", "N")</f>
        <v>N</v>
      </c>
      <c r="AL3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-38.64</v>
      </c>
      <c r="AM3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55.48</v>
      </c>
      <c r="AN3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60.3</v>
      </c>
      <c r="AO3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68.099999999999994</v>
      </c>
      <c r="AP321" s="3">
        <f>ABS(Table1[[#This Row],[Team Score]]-Table1[[#This Row],[Opp Team Score]])</f>
        <v>51</v>
      </c>
      <c r="AQ321" s="3">
        <f>SUM(Table1[[#This Row],[Team Score]], Table1[[#This Row],[Opp Team Score]])</f>
        <v>57</v>
      </c>
      <c r="AR3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252.45</v>
      </c>
      <c r="AS321" s="3">
        <f>IF(Table1[[#This Row],[Efficiency Difference]] = " ", " ", ROUND((Table1[[#This Row],[Winning Margin]]*100)/Table1[[#This Row],[Efficiency Difference]], 2))</f>
        <v>20.2</v>
      </c>
    </row>
    <row r="322" spans="1:45">
      <c r="A322" t="s">
        <v>84</v>
      </c>
      <c r="B322">
        <v>334</v>
      </c>
      <c r="C322">
        <v>38</v>
      </c>
      <c r="D322">
        <v>105</v>
      </c>
      <c r="E322">
        <v>16</v>
      </c>
      <c r="F322">
        <v>2</v>
      </c>
      <c r="G322">
        <v>10</v>
      </c>
      <c r="H322">
        <v>0</v>
      </c>
      <c r="I322">
        <v>340</v>
      </c>
      <c r="J322">
        <v>55</v>
      </c>
      <c r="K322">
        <v>2</v>
      </c>
      <c r="L322">
        <v>2</v>
      </c>
      <c r="M322" t="s">
        <v>233</v>
      </c>
      <c r="N322">
        <v>315</v>
      </c>
      <c r="O322">
        <v>14</v>
      </c>
      <c r="P322">
        <v>112</v>
      </c>
      <c r="Q322">
        <v>25</v>
      </c>
      <c r="R322">
        <v>1</v>
      </c>
      <c r="S322">
        <v>11</v>
      </c>
      <c r="T322">
        <v>2</v>
      </c>
      <c r="U322">
        <v>158</v>
      </c>
      <c r="V322">
        <v>33</v>
      </c>
      <c r="W322">
        <v>0</v>
      </c>
      <c r="X322">
        <v>1</v>
      </c>
      <c r="Y322" t="s">
        <v>16</v>
      </c>
      <c r="Z322">
        <v>8</v>
      </c>
      <c r="AA322" s="3" t="str">
        <f>IF(AND(Table1[[#This Row],[Throw Out Pass Eff]]="N", Table1[[#This Row],[Against FCS Team]]="N"), ROUND(((5.45 * D322) + (150 * F322) + (100 * G322) - (300 * H322)) / E322, 2), " ")</f>
        <v xml:space="preserve"> </v>
      </c>
      <c r="AB322" s="3" t="str">
        <f>IF(AND(Table1[[#This Row],[Throw Out Pass Def Eff]]="N", Table1[[#This Row],[Against FCS Team]]="N"),200 - ROUND(((5.45 * P322) + (150 * R322) + (100 * S322) - (300 * T322)) / Q322, 2), " ")</f>
        <v xml:space="preserve"> </v>
      </c>
      <c r="AC322" s="3" t="str">
        <f>IF(AND(Table1[[#This Row],[Throw Out Rush Eff]]="N", Table1[[#This Row],[Against FCS Team]]="N"), ROUND(((23.2 * I322) + (150 * K322) - (300 * L322)) / J322, 2), " ")</f>
        <v xml:space="preserve"> </v>
      </c>
      <c r="AD322" s="3" t="str">
        <f>IF(AND(Table1[[#This Row],[Throw Out Rush Def Eff]]="N", Table1[[#This Row],[Against FCS Team]]="N"), 200 - ROUND(((23.2 * U322) + (150 * W322) - (300 * X322)) / V322, 2), " ")</f>
        <v xml:space="preserve"> </v>
      </c>
      <c r="AE322" s="3">
        <f>ROUND(Table1[[#This Row],[Opp Passing Attempts]]/(Table1[[#This Row],[Opp Passing Attempts]]+Table1[[#This Row],[Opp Rushing Attempts]]), 2)</f>
        <v>0.43</v>
      </c>
      <c r="AF322" s="3">
        <f>1-Table1[[#This Row],[Passing Weight]]</f>
        <v>0.57000000000000006</v>
      </c>
      <c r="AG322" s="3" t="str">
        <f>IF(COUNTIF(A:A,Table1[[#This Row],[Opp Team Name]]) &gt; 0, "N", "Y")</f>
        <v>Y</v>
      </c>
      <c r="AH322" s="3" t="str">
        <f>IF(Table1[[#This Row],[Passing Attempts]] &lt;15, "Y", "N")</f>
        <v>N</v>
      </c>
      <c r="AI322" s="3" t="str">
        <f>IF(Table1[[#This Row],[Rushing Attempts]] &lt; 15, "Y", "N")</f>
        <v>N</v>
      </c>
      <c r="AJ322" s="3" t="str">
        <f>IF(Table1[[#This Row],[Opp Passing Attempts]]&lt;15, "Y", "N")</f>
        <v>N</v>
      </c>
      <c r="AK322" s="3" t="str">
        <f>IF(Table1[[#This Row],[Opp Rushing Attempts]]&lt;15, "Y", "N")</f>
        <v>N</v>
      </c>
      <c r="AL32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2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2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22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22" s="3">
        <f>ABS(Table1[[#This Row],[Team Score]]-Table1[[#This Row],[Opp Team Score]])</f>
        <v>24</v>
      </c>
      <c r="AQ322" s="3">
        <f>SUM(Table1[[#This Row],[Team Score]], Table1[[#This Row],[Opp Team Score]])</f>
        <v>52</v>
      </c>
      <c r="AR32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22" s="3" t="str">
        <f>IF(Table1[[#This Row],[Efficiency Difference]] = " ", " ", ROUND((Table1[[#This Row],[Winning Margin]]*100)/Table1[[#This Row],[Efficiency Difference]], 2))</f>
        <v xml:space="preserve"> </v>
      </c>
    </row>
    <row r="323" spans="1:45">
      <c r="A323" t="s">
        <v>86</v>
      </c>
      <c r="B323">
        <v>671</v>
      </c>
      <c r="C323">
        <v>38</v>
      </c>
      <c r="D323">
        <v>138</v>
      </c>
      <c r="E323">
        <v>15</v>
      </c>
      <c r="F323">
        <v>1</v>
      </c>
      <c r="G323">
        <v>7</v>
      </c>
      <c r="H323">
        <v>1</v>
      </c>
      <c r="I323">
        <v>142</v>
      </c>
      <c r="J323">
        <v>41</v>
      </c>
      <c r="K323">
        <v>2</v>
      </c>
      <c r="L323">
        <v>1</v>
      </c>
      <c r="M323" t="s">
        <v>192</v>
      </c>
      <c r="N323">
        <v>483</v>
      </c>
      <c r="O323">
        <v>21</v>
      </c>
      <c r="P323">
        <v>129</v>
      </c>
      <c r="Q323">
        <v>22</v>
      </c>
      <c r="R323">
        <v>2</v>
      </c>
      <c r="S323">
        <v>11</v>
      </c>
      <c r="T323">
        <v>1</v>
      </c>
      <c r="U323">
        <v>96</v>
      </c>
      <c r="V323">
        <v>41</v>
      </c>
      <c r="W323">
        <v>1</v>
      </c>
      <c r="X323">
        <v>2</v>
      </c>
      <c r="Y323" t="s">
        <v>16</v>
      </c>
      <c r="Z323">
        <v>3</v>
      </c>
      <c r="AA323" t="str">
        <f>IF(AND(Table1[[#This Row],[Throw Out Pass Eff]]="N", Table1[[#This Row],[Against FCS Team]]="N"), ROUND(((5.45 * D323) + (150 * F323) + (100 * G323) - (300 * H323)) / E323, 2), " ")</f>
        <v xml:space="preserve"> </v>
      </c>
      <c r="AB323" t="str">
        <f>IF(AND(Table1[[#This Row],[Throw Out Pass Def Eff]]="N", Table1[[#This Row],[Against FCS Team]]="N"),200 - ROUND(((5.45 * P323) + (150 * R323) + (100 * S323) - (300 * T323)) / Q323, 2), " ")</f>
        <v xml:space="preserve"> </v>
      </c>
      <c r="AC323" t="str">
        <f>IF(AND(Table1[[#This Row],[Throw Out Rush Eff]]="N", Table1[[#This Row],[Against FCS Team]]="N"), ROUND(((23.2 * I323) + (150 * K323) - (300 * L323)) / J323, 2), " ")</f>
        <v xml:space="preserve"> </v>
      </c>
      <c r="AD323" s="3" t="str">
        <f>IF(AND(Table1[[#This Row],[Throw Out Rush Def Eff]]="N", Table1[[#This Row],[Against FCS Team]]="N"), 200 - ROUND(((23.2 * U323) + (150 * W323) - (300 * X323)) / V323, 2), " ")</f>
        <v xml:space="preserve"> </v>
      </c>
      <c r="AE323" s="3">
        <f>ROUND(Table1[[#This Row],[Opp Passing Attempts]]/(Table1[[#This Row],[Opp Passing Attempts]]+Table1[[#This Row],[Opp Rushing Attempts]]), 2)</f>
        <v>0.35</v>
      </c>
      <c r="AF323" s="3">
        <f>1-Table1[[#This Row],[Passing Weight]]</f>
        <v>0.65</v>
      </c>
      <c r="AG323" s="3" t="str">
        <f>IF(COUNTIF(A:A,Table1[[#This Row],[Opp Team Name]]) &gt; 0, "N", "Y")</f>
        <v>Y</v>
      </c>
      <c r="AH323" s="3" t="str">
        <f>IF(Table1[[#This Row],[Passing Attempts]] &lt;15, "Y", "N")</f>
        <v>N</v>
      </c>
      <c r="AI323" s="3" t="str">
        <f>IF(Table1[[#This Row],[Rushing Attempts]] &lt; 15, "Y", "N")</f>
        <v>N</v>
      </c>
      <c r="AJ323" s="3" t="str">
        <f>IF(Table1[[#This Row],[Opp Passing Attempts]]&lt;15, "Y", "N")</f>
        <v>N</v>
      </c>
      <c r="AK323" s="3" t="str">
        <f>IF(Table1[[#This Row],[Opp Rushing Attempts]]&lt;15, "Y", "N")</f>
        <v>N</v>
      </c>
      <c r="AL32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23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23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23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23" s="3">
        <f>ABS(Table1[[#This Row],[Team Score]]-Table1[[#This Row],[Opp Team Score]])</f>
        <v>17</v>
      </c>
      <c r="AQ323" s="3">
        <f>SUM(Table1[[#This Row],[Team Score]], Table1[[#This Row],[Opp Team Score]])</f>
        <v>59</v>
      </c>
      <c r="AR32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23" s="3" t="str">
        <f>IF(Table1[[#This Row],[Efficiency Difference]] = " ", " ", ROUND((Table1[[#This Row],[Winning Margin]]*100)/Table1[[#This Row],[Efficiency Difference]], 2))</f>
        <v xml:space="preserve"> </v>
      </c>
    </row>
    <row r="324" spans="1:45">
      <c r="A324" t="s">
        <v>86</v>
      </c>
      <c r="B324">
        <v>671</v>
      </c>
      <c r="C324">
        <v>34</v>
      </c>
      <c r="D324">
        <v>212</v>
      </c>
      <c r="E324">
        <v>37</v>
      </c>
      <c r="F324">
        <v>0</v>
      </c>
      <c r="G324">
        <v>20</v>
      </c>
      <c r="H324">
        <v>1</v>
      </c>
      <c r="I324">
        <v>108</v>
      </c>
      <c r="J324">
        <v>37</v>
      </c>
      <c r="K324">
        <v>2</v>
      </c>
      <c r="L324">
        <v>1</v>
      </c>
      <c r="M324" t="s">
        <v>87</v>
      </c>
      <c r="N324">
        <v>521</v>
      </c>
      <c r="O324">
        <v>61</v>
      </c>
      <c r="P324">
        <v>458</v>
      </c>
      <c r="Q324">
        <v>43</v>
      </c>
      <c r="R324">
        <v>4</v>
      </c>
      <c r="S324">
        <v>28</v>
      </c>
      <c r="T324">
        <v>3</v>
      </c>
      <c r="U324">
        <v>208</v>
      </c>
      <c r="V324">
        <v>44</v>
      </c>
      <c r="W324">
        <v>3</v>
      </c>
      <c r="X324">
        <v>0</v>
      </c>
      <c r="Y324" t="s">
        <v>19</v>
      </c>
      <c r="Z324">
        <v>1</v>
      </c>
      <c r="AA324">
        <f>IF(AND(Table1[[#This Row],[Throw Out Pass Eff]]="N", Table1[[#This Row],[Against FCS Team]]="N"), ROUND(((5.45 * D324) + (150 * F324) + (100 * G324) - (300 * H324)) / E324, 2), " ")</f>
        <v>77.17</v>
      </c>
      <c r="AB324">
        <f>IF(AND(Table1[[#This Row],[Throw Out Pass Def Eff]]="N", Table1[[#This Row],[Against FCS Team]]="N"),200 - ROUND(((5.45 * P324) + (150 * R324) + (100 * S324) - (300 * T324)) / Q324, 2), " ")</f>
        <v>83.81</v>
      </c>
      <c r="AC324">
        <f>IF(AND(Table1[[#This Row],[Throw Out Rush Eff]]="N", Table1[[#This Row],[Against FCS Team]]="N"), ROUND(((23.2 * I324) + (150 * K324) - (300 * L324)) / J324, 2), " ")</f>
        <v>67.72</v>
      </c>
      <c r="AD324" s="3">
        <f>IF(AND(Table1[[#This Row],[Throw Out Rush Def Eff]]="N", Table1[[#This Row],[Against FCS Team]]="N"), 200 - ROUND(((23.2 * U324) + (150 * W324) - (300 * X324)) / V324, 2), " ")</f>
        <v>80.099999999999994</v>
      </c>
      <c r="AE324" s="3">
        <f>ROUND(Table1[[#This Row],[Opp Passing Attempts]]/(Table1[[#This Row],[Opp Passing Attempts]]+Table1[[#This Row],[Opp Rushing Attempts]]), 2)</f>
        <v>0.49</v>
      </c>
      <c r="AF324" s="3">
        <f>1-Table1[[#This Row],[Passing Weight]]</f>
        <v>0.51</v>
      </c>
      <c r="AG324" s="3" t="str">
        <f>IF(COUNTIF(A:A,Table1[[#This Row],[Opp Team Name]]) &gt; 0, "N", "Y")</f>
        <v>N</v>
      </c>
      <c r="AH324" s="3" t="str">
        <f>IF(Table1[[#This Row],[Passing Attempts]] &lt;15, "Y", "N")</f>
        <v>N</v>
      </c>
      <c r="AI324" s="3" t="str">
        <f>IF(Table1[[#This Row],[Rushing Attempts]] &lt; 15, "Y", "N")</f>
        <v>N</v>
      </c>
      <c r="AJ324" s="3" t="str">
        <f>IF(Table1[[#This Row],[Opp Passing Attempts]]&lt;15, "Y", "N")</f>
        <v>N</v>
      </c>
      <c r="AK324" s="3" t="str">
        <f>IF(Table1[[#This Row],[Opp Rushing Attempts]]&lt;15, "Y", "N")</f>
        <v>N</v>
      </c>
      <c r="AL3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95.24</v>
      </c>
      <c r="AM3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</v>
      </c>
      <c r="AN3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70.45</v>
      </c>
      <c r="AO3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97.49</v>
      </c>
      <c r="AP324" s="3">
        <f>ABS(Table1[[#This Row],[Team Score]]-Table1[[#This Row],[Opp Team Score]])</f>
        <v>27</v>
      </c>
      <c r="AQ324" s="3">
        <f>SUM(Table1[[#This Row],[Team Score]], Table1[[#This Row],[Opp Team Score]])</f>
        <v>95</v>
      </c>
      <c r="AR3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91.200000000000017</v>
      </c>
      <c r="AS324" s="3">
        <f>IF(Table1[[#This Row],[Efficiency Difference]] = " ", " ", ROUND((Table1[[#This Row],[Winning Margin]]*100)/Table1[[#This Row],[Efficiency Difference]], 2))</f>
        <v>29.61</v>
      </c>
    </row>
    <row r="325" spans="1:45">
      <c r="A325" t="s">
        <v>86</v>
      </c>
      <c r="B325">
        <v>671</v>
      </c>
      <c r="C325">
        <v>20</v>
      </c>
      <c r="D325">
        <v>46</v>
      </c>
      <c r="E325">
        <v>15</v>
      </c>
      <c r="F325">
        <v>0</v>
      </c>
      <c r="G325">
        <v>7</v>
      </c>
      <c r="H325">
        <v>1</v>
      </c>
      <c r="I325">
        <v>113</v>
      </c>
      <c r="J325">
        <v>51</v>
      </c>
      <c r="K325">
        <v>1</v>
      </c>
      <c r="L325">
        <v>2</v>
      </c>
      <c r="M325" t="s">
        <v>21</v>
      </c>
      <c r="N325">
        <v>331</v>
      </c>
      <c r="O325">
        <v>12</v>
      </c>
      <c r="P325">
        <v>114</v>
      </c>
      <c r="Q325">
        <v>33</v>
      </c>
      <c r="R325">
        <v>1</v>
      </c>
      <c r="S325">
        <v>15</v>
      </c>
      <c r="T325">
        <v>1</v>
      </c>
      <c r="U325">
        <v>72</v>
      </c>
      <c r="V325">
        <v>34</v>
      </c>
      <c r="W325">
        <v>0</v>
      </c>
      <c r="X325">
        <v>3</v>
      </c>
      <c r="Y325" t="s">
        <v>16</v>
      </c>
      <c r="Z325">
        <v>2</v>
      </c>
      <c r="AA325">
        <f>IF(AND(Table1[[#This Row],[Throw Out Pass Eff]]="N", Table1[[#This Row],[Against FCS Team]]="N"), ROUND(((5.45 * D325) + (150 * F325) + (100 * G325) - (300 * H325)) / E325, 2), " ")</f>
        <v>43.38</v>
      </c>
      <c r="AB325">
        <f>IF(AND(Table1[[#This Row],[Throw Out Pass Def Eff]]="N", Table1[[#This Row],[Against FCS Team]]="N"),200 - ROUND(((5.45 * P325) + (150 * R325) + (100 * S325) - (300 * T325)) / Q325, 2), " ")</f>
        <v>140.26</v>
      </c>
      <c r="AC325">
        <f>IF(AND(Table1[[#This Row],[Throw Out Rush Eff]]="N", Table1[[#This Row],[Against FCS Team]]="N"), ROUND(((23.2 * I325) + (150 * K325) - (300 * L325)) / J325, 2), " ")</f>
        <v>42.58</v>
      </c>
      <c r="AD325" s="3">
        <f>IF(AND(Table1[[#This Row],[Throw Out Rush Def Eff]]="N", Table1[[#This Row],[Against FCS Team]]="N"), 200 - ROUND(((23.2 * U325) + (150 * W325) - (300 * X325)) / V325, 2), " ")</f>
        <v>177.34</v>
      </c>
      <c r="AE325" s="3">
        <f>ROUND(Table1[[#This Row],[Opp Passing Attempts]]/(Table1[[#This Row],[Opp Passing Attempts]]+Table1[[#This Row],[Opp Rushing Attempts]]), 2)</f>
        <v>0.49</v>
      </c>
      <c r="AF325" s="3">
        <f>1-Table1[[#This Row],[Passing Weight]]</f>
        <v>0.51</v>
      </c>
      <c r="AG325" s="3" t="str">
        <f>IF(COUNTIF(A:A,Table1[[#This Row],[Opp Team Name]]) &gt; 0, "N", "Y")</f>
        <v>N</v>
      </c>
      <c r="AH325" s="3" t="str">
        <f>IF(Table1[[#This Row],[Passing Attempts]] &lt;15, "Y", "N")</f>
        <v>N</v>
      </c>
      <c r="AI325" s="3" t="str">
        <f>IF(Table1[[#This Row],[Rushing Attempts]] &lt; 15, "Y", "N")</f>
        <v>N</v>
      </c>
      <c r="AJ325" s="3" t="str">
        <f>IF(Table1[[#This Row],[Opp Passing Attempts]]&lt;15, "Y", "N")</f>
        <v>N</v>
      </c>
      <c r="AK325" s="3" t="str">
        <f>IF(Table1[[#This Row],[Opp Rushing Attempts]]&lt;15, "Y", "N")</f>
        <v>N</v>
      </c>
      <c r="AL3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49.4</v>
      </c>
      <c r="AM3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66.47</v>
      </c>
      <c r="AN3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51.47</v>
      </c>
      <c r="AO3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52.69</v>
      </c>
      <c r="AP325" s="3">
        <f>ABS(Table1[[#This Row],[Team Score]]-Table1[[#This Row],[Opp Team Score]])</f>
        <v>8</v>
      </c>
      <c r="AQ325" s="3">
        <f>SUM(Table1[[#This Row],[Team Score]], Table1[[#This Row],[Opp Team Score]])</f>
        <v>32</v>
      </c>
      <c r="AR3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3.5600000000000307</v>
      </c>
      <c r="AS325" s="3">
        <f>IF(Table1[[#This Row],[Efficiency Difference]] = " ", " ", ROUND((Table1[[#This Row],[Winning Margin]]*100)/Table1[[#This Row],[Efficiency Difference]], 2))</f>
        <v>224.72</v>
      </c>
    </row>
    <row r="326" spans="1:45">
      <c r="A326" t="s">
        <v>86</v>
      </c>
      <c r="B326">
        <v>671</v>
      </c>
      <c r="C326">
        <v>36</v>
      </c>
      <c r="D326">
        <v>232</v>
      </c>
      <c r="E326">
        <v>30</v>
      </c>
      <c r="F326">
        <v>3</v>
      </c>
      <c r="G326">
        <v>15</v>
      </c>
      <c r="H326">
        <v>0</v>
      </c>
      <c r="I326">
        <v>187</v>
      </c>
      <c r="J326">
        <v>33</v>
      </c>
      <c r="K326">
        <v>1</v>
      </c>
      <c r="L326">
        <v>0</v>
      </c>
      <c r="M326" t="s">
        <v>66</v>
      </c>
      <c r="N326">
        <v>231</v>
      </c>
      <c r="O326">
        <v>31</v>
      </c>
      <c r="P326">
        <v>224</v>
      </c>
      <c r="Q326">
        <v>30</v>
      </c>
      <c r="R326">
        <v>0</v>
      </c>
      <c r="S326">
        <v>18</v>
      </c>
      <c r="T326">
        <v>1</v>
      </c>
      <c r="U326">
        <v>190</v>
      </c>
      <c r="V326">
        <v>44</v>
      </c>
      <c r="W326">
        <v>4</v>
      </c>
      <c r="X326">
        <v>0</v>
      </c>
      <c r="Y326" t="s">
        <v>16</v>
      </c>
      <c r="Z326">
        <v>4</v>
      </c>
      <c r="AA326">
        <f>IF(AND(Table1[[#This Row],[Throw Out Pass Eff]]="N", Table1[[#This Row],[Against FCS Team]]="N"), ROUND(((5.45 * D326) + (150 * F326) + (100 * G326) - (300 * H326)) / E326, 2), " ")</f>
        <v>107.15</v>
      </c>
      <c r="AB326">
        <f>IF(AND(Table1[[#This Row],[Throw Out Pass Def Eff]]="N", Table1[[#This Row],[Against FCS Team]]="N"),200 - ROUND(((5.45 * P326) + (150 * R326) + (100 * S326) - (300 * T326)) / Q326, 2), " ")</f>
        <v>109.31</v>
      </c>
      <c r="AC326">
        <f>IF(AND(Table1[[#This Row],[Throw Out Rush Eff]]="N", Table1[[#This Row],[Against FCS Team]]="N"), ROUND(((23.2 * I326) + (150 * K326) - (300 * L326)) / J326, 2), " ")</f>
        <v>136.01</v>
      </c>
      <c r="AD326" s="3">
        <f>IF(AND(Table1[[#This Row],[Throw Out Rush Def Eff]]="N", Table1[[#This Row],[Against FCS Team]]="N"), 200 - ROUND(((23.2 * U326) + (150 * W326) - (300 * X326)) / V326, 2), " ")</f>
        <v>86.18</v>
      </c>
      <c r="AE326" s="3">
        <f>ROUND(Table1[[#This Row],[Opp Passing Attempts]]/(Table1[[#This Row],[Opp Passing Attempts]]+Table1[[#This Row],[Opp Rushing Attempts]]), 2)</f>
        <v>0.41</v>
      </c>
      <c r="AF326" s="3">
        <f>1-Table1[[#This Row],[Passing Weight]]</f>
        <v>0.59000000000000008</v>
      </c>
      <c r="AG326" s="3" t="str">
        <f>IF(COUNTIF(A:A,Table1[[#This Row],[Opp Team Name]]) &gt; 0, "N", "Y")</f>
        <v>N</v>
      </c>
      <c r="AH326" s="3" t="str">
        <f>IF(Table1[[#This Row],[Passing Attempts]] &lt;15, "Y", "N")</f>
        <v>N</v>
      </c>
      <c r="AI326" s="3" t="str">
        <f>IF(Table1[[#This Row],[Rushing Attempts]] &lt; 15, "Y", "N")</f>
        <v>N</v>
      </c>
      <c r="AJ326" s="3" t="str">
        <f>IF(Table1[[#This Row],[Opp Passing Attempts]]&lt;15, "Y", "N")</f>
        <v>N</v>
      </c>
      <c r="AK326" s="3" t="str">
        <f>IF(Table1[[#This Row],[Opp Rushing Attempts]]&lt;15, "Y", "N")</f>
        <v>N</v>
      </c>
      <c r="AL3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110.25</v>
      </c>
      <c r="AM3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117.99</v>
      </c>
      <c r="AN3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162.94999999999999</v>
      </c>
      <c r="AO3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74.77</v>
      </c>
      <c r="AP326" s="3">
        <f>ABS(Table1[[#This Row],[Team Score]]-Table1[[#This Row],[Opp Team Score]])</f>
        <v>5</v>
      </c>
      <c r="AQ326" s="3">
        <f>SUM(Table1[[#This Row],[Team Score]], Table1[[#This Row],[Opp Team Score]])</f>
        <v>67</v>
      </c>
      <c r="AR3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38.650000000000006</v>
      </c>
      <c r="AS326" s="3">
        <f>IF(Table1[[#This Row],[Efficiency Difference]] = " ", " ", ROUND((Table1[[#This Row],[Winning Margin]]*100)/Table1[[#This Row],[Efficiency Difference]], 2))</f>
        <v>12.94</v>
      </c>
    </row>
    <row r="327" spans="1:45">
      <c r="A327" t="s">
        <v>86</v>
      </c>
      <c r="B327">
        <v>671</v>
      </c>
      <c r="C327">
        <v>37</v>
      </c>
      <c r="D327">
        <v>329</v>
      </c>
      <c r="E327">
        <v>34</v>
      </c>
      <c r="F327">
        <v>2</v>
      </c>
      <c r="G327">
        <v>26</v>
      </c>
      <c r="H327">
        <v>0</v>
      </c>
      <c r="I327">
        <v>130</v>
      </c>
      <c r="J327">
        <v>43</v>
      </c>
      <c r="K327">
        <v>2</v>
      </c>
      <c r="L327">
        <v>2</v>
      </c>
      <c r="M327" t="s">
        <v>68</v>
      </c>
      <c r="N327">
        <v>229</v>
      </c>
      <c r="O327">
        <v>34</v>
      </c>
      <c r="P327">
        <v>219</v>
      </c>
      <c r="Q327">
        <v>38</v>
      </c>
      <c r="R327">
        <v>3</v>
      </c>
      <c r="S327">
        <v>20</v>
      </c>
      <c r="T327">
        <v>1</v>
      </c>
      <c r="U327">
        <v>105</v>
      </c>
      <c r="V327">
        <v>27</v>
      </c>
      <c r="W327">
        <v>1</v>
      </c>
      <c r="X327">
        <v>0</v>
      </c>
      <c r="Y327" t="s">
        <v>16</v>
      </c>
      <c r="Z327">
        <v>5</v>
      </c>
      <c r="AA327">
        <f>IF(AND(Table1[[#This Row],[Throw Out Pass Eff]]="N", Table1[[#This Row],[Against FCS Team]]="N"), ROUND(((5.45 * D327) + (150 * F327) + (100 * G327) - (300 * H327)) / E327, 2), " ")</f>
        <v>138.03</v>
      </c>
      <c r="AB327">
        <f>IF(AND(Table1[[#This Row],[Throw Out Pass Def Eff]]="N", Table1[[#This Row],[Against FCS Team]]="N"),200 - ROUND(((5.45 * P327) + (150 * R327) + (100 * S327) - (300 * T327)) / Q327, 2), " ")</f>
        <v>112.01</v>
      </c>
      <c r="AC327">
        <f>IF(AND(Table1[[#This Row],[Throw Out Rush Eff]]="N", Table1[[#This Row],[Against FCS Team]]="N"), ROUND(((23.2 * I327) + (150 * K327) - (300 * L327)) / J327, 2), " ")</f>
        <v>63.16</v>
      </c>
      <c r="AD327" s="3">
        <f>IF(AND(Table1[[#This Row],[Throw Out Rush Def Eff]]="N", Table1[[#This Row],[Against FCS Team]]="N"), 200 - ROUND(((23.2 * U327) + (150 * W327) - (300 * X327)) / V327, 2), " ")</f>
        <v>104.22</v>
      </c>
      <c r="AE327" s="3">
        <f>ROUND(Table1[[#This Row],[Opp Passing Attempts]]/(Table1[[#This Row],[Opp Passing Attempts]]+Table1[[#This Row],[Opp Rushing Attempts]]), 2)</f>
        <v>0.57999999999999996</v>
      </c>
      <c r="AF327" s="3">
        <f>1-Table1[[#This Row],[Passing Weight]]</f>
        <v>0.42000000000000004</v>
      </c>
      <c r="AG327" s="3" t="str">
        <f>IF(COUNTIF(A:A,Table1[[#This Row],[Opp Team Name]]) &gt; 0, "N", "Y")</f>
        <v>N</v>
      </c>
      <c r="AH327" s="3" t="str">
        <f>IF(Table1[[#This Row],[Passing Attempts]] &lt;15, "Y", "N")</f>
        <v>N</v>
      </c>
      <c r="AI327" s="3" t="str">
        <f>IF(Table1[[#This Row],[Rushing Attempts]] &lt; 15, "Y", "N")</f>
        <v>N</v>
      </c>
      <c r="AJ327" s="3" t="str">
        <f>IF(Table1[[#This Row],[Opp Passing Attempts]]&lt;15, "Y", "N")</f>
        <v>N</v>
      </c>
      <c r="AK327" s="3" t="str">
        <f>IF(Table1[[#This Row],[Opp Rushing Attempts]]&lt;15, "Y", "N")</f>
        <v>N</v>
      </c>
      <c r="AL3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138.30000000000001</v>
      </c>
      <c r="AM32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78.900000000000006</v>
      </c>
      <c r="AN3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66.17</v>
      </c>
      <c r="AO3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57.92</v>
      </c>
      <c r="AP327" s="3">
        <f>ABS(Table1[[#This Row],[Team Score]]-Table1[[#This Row],[Opp Team Score]])</f>
        <v>3</v>
      </c>
      <c r="AQ327" s="3">
        <f>SUM(Table1[[#This Row],[Team Score]], Table1[[#This Row],[Opp Team Score]])</f>
        <v>71</v>
      </c>
      <c r="AR32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17.420000000000016</v>
      </c>
      <c r="AS327" s="3">
        <f>IF(Table1[[#This Row],[Efficiency Difference]] = " ", " ", ROUND((Table1[[#This Row],[Winning Margin]]*100)/Table1[[#This Row],[Efficiency Difference]], 2))</f>
        <v>17.22</v>
      </c>
    </row>
    <row r="328" spans="1:45">
      <c r="A328" t="s">
        <v>86</v>
      </c>
      <c r="B328">
        <v>671</v>
      </c>
      <c r="C328">
        <v>31</v>
      </c>
      <c r="D328">
        <v>265</v>
      </c>
      <c r="E328">
        <v>32</v>
      </c>
      <c r="F328">
        <v>2</v>
      </c>
      <c r="G328">
        <v>23</v>
      </c>
      <c r="H328">
        <v>0</v>
      </c>
      <c r="I328">
        <v>117</v>
      </c>
      <c r="J328">
        <v>40</v>
      </c>
      <c r="K328">
        <v>1</v>
      </c>
      <c r="L328">
        <v>1</v>
      </c>
      <c r="M328" t="s">
        <v>55</v>
      </c>
      <c r="N328">
        <v>716</v>
      </c>
      <c r="O328">
        <v>17</v>
      </c>
      <c r="P328">
        <v>325</v>
      </c>
      <c r="Q328">
        <v>55</v>
      </c>
      <c r="R328">
        <v>2</v>
      </c>
      <c r="S328">
        <v>39</v>
      </c>
      <c r="T328">
        <v>1</v>
      </c>
      <c r="U328">
        <v>77</v>
      </c>
      <c r="V328">
        <v>27</v>
      </c>
      <c r="W328">
        <v>0</v>
      </c>
      <c r="X328">
        <v>1</v>
      </c>
      <c r="Y328" t="s">
        <v>16</v>
      </c>
      <c r="Z328">
        <v>6</v>
      </c>
      <c r="AA328">
        <f>IF(AND(Table1[[#This Row],[Throw Out Pass Eff]]="N", Table1[[#This Row],[Against FCS Team]]="N"), ROUND(((5.45 * D328) + (150 * F328) + (100 * G328) - (300 * H328)) / E328, 2), " ")</f>
        <v>126.38</v>
      </c>
      <c r="AB328">
        <f>IF(AND(Table1[[#This Row],[Throw Out Pass Def Eff]]="N", Table1[[#This Row],[Against FCS Team]]="N"),200 - ROUND(((5.45 * P328) + (150 * R328) + (100 * S328) - (300 * T328)) / Q328, 2), " ")</f>
        <v>96.89</v>
      </c>
      <c r="AC328">
        <f>IF(AND(Table1[[#This Row],[Throw Out Rush Eff]]="N", Table1[[#This Row],[Against FCS Team]]="N"), ROUND(((23.2 * I328) + (150 * K328) - (300 * L328)) / J328, 2), " ")</f>
        <v>64.11</v>
      </c>
      <c r="AD328" s="3">
        <f>IF(AND(Table1[[#This Row],[Throw Out Rush Def Eff]]="N", Table1[[#This Row],[Against FCS Team]]="N"), 200 - ROUND(((23.2 * U328) + (150 * W328) - (300 * X328)) / V328, 2), " ")</f>
        <v>144.94999999999999</v>
      </c>
      <c r="AE328" s="3">
        <f>ROUND(Table1[[#This Row],[Opp Passing Attempts]]/(Table1[[#This Row],[Opp Passing Attempts]]+Table1[[#This Row],[Opp Rushing Attempts]]), 2)</f>
        <v>0.67</v>
      </c>
      <c r="AF328" s="3">
        <f>1-Table1[[#This Row],[Passing Weight]]</f>
        <v>0.32999999999999996</v>
      </c>
      <c r="AG328" s="3" t="str">
        <f>IF(COUNTIF(A:A,Table1[[#This Row],[Opp Team Name]]) &gt; 0, "N", "Y")</f>
        <v>N</v>
      </c>
      <c r="AH328" s="3" t="str">
        <f>IF(Table1[[#This Row],[Passing Attempts]] &lt;15, "Y", "N")</f>
        <v>N</v>
      </c>
      <c r="AI328" s="3" t="str">
        <f>IF(Table1[[#This Row],[Rushing Attempts]] &lt; 15, "Y", "N")</f>
        <v>N</v>
      </c>
      <c r="AJ328" s="3" t="str">
        <f>IF(Table1[[#This Row],[Opp Passing Attempts]]&lt;15, "Y", "N")</f>
        <v>N</v>
      </c>
      <c r="AK328" s="3" t="str">
        <f>IF(Table1[[#This Row],[Opp Rushing Attempts]]&lt;15, "Y", "N")</f>
        <v>N</v>
      </c>
      <c r="AL3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111.98</v>
      </c>
      <c r="AM3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88.32</v>
      </c>
      <c r="AN3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65.8</v>
      </c>
      <c r="AO3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98.66</v>
      </c>
      <c r="AP328" s="3">
        <f>ABS(Table1[[#This Row],[Team Score]]-Table1[[#This Row],[Opp Team Score]])</f>
        <v>14</v>
      </c>
      <c r="AQ328" s="3">
        <f>SUM(Table1[[#This Row],[Team Score]], Table1[[#This Row],[Opp Team Score]])</f>
        <v>48</v>
      </c>
      <c r="AR3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32.329999999999984</v>
      </c>
      <c r="AS328" s="3">
        <f>IF(Table1[[#This Row],[Efficiency Difference]] = " ", " ", ROUND((Table1[[#This Row],[Winning Margin]]*100)/Table1[[#This Row],[Efficiency Difference]], 2))</f>
        <v>43.3</v>
      </c>
    </row>
    <row r="329" spans="1:45">
      <c r="A329" t="s">
        <v>86</v>
      </c>
      <c r="B329">
        <v>671</v>
      </c>
      <c r="C329">
        <v>30</v>
      </c>
      <c r="D329">
        <v>250</v>
      </c>
      <c r="E329">
        <v>22</v>
      </c>
      <c r="F329">
        <v>4</v>
      </c>
      <c r="G329">
        <v>15</v>
      </c>
      <c r="H329">
        <v>0</v>
      </c>
      <c r="I329">
        <v>95</v>
      </c>
      <c r="J329">
        <v>36</v>
      </c>
      <c r="K329">
        <v>0</v>
      </c>
      <c r="L329">
        <v>2</v>
      </c>
      <c r="M329" t="s">
        <v>67</v>
      </c>
      <c r="N329">
        <v>497</v>
      </c>
      <c r="O329">
        <v>10</v>
      </c>
      <c r="P329">
        <v>144</v>
      </c>
      <c r="Q329">
        <v>26</v>
      </c>
      <c r="R329">
        <v>0</v>
      </c>
      <c r="S329">
        <v>14</v>
      </c>
      <c r="T329">
        <v>1</v>
      </c>
      <c r="U329">
        <v>88</v>
      </c>
      <c r="V329">
        <v>38</v>
      </c>
      <c r="W329">
        <v>1</v>
      </c>
      <c r="X329">
        <v>1</v>
      </c>
      <c r="Y329" t="s">
        <v>16</v>
      </c>
      <c r="Z329">
        <v>7</v>
      </c>
      <c r="AA329">
        <f>IF(AND(Table1[[#This Row],[Throw Out Pass Eff]]="N", Table1[[#This Row],[Against FCS Team]]="N"), ROUND(((5.45 * D329) + (150 * F329) + (100 * G329) - (300 * H329)) / E329, 2), " ")</f>
        <v>157.38999999999999</v>
      </c>
      <c r="AB329">
        <f>IF(AND(Table1[[#This Row],[Throw Out Pass Def Eff]]="N", Table1[[#This Row],[Against FCS Team]]="N"),200 - ROUND(((5.45 * P329) + (150 * R329) + (100 * S329) - (300 * T329)) / Q329, 2), " ")</f>
        <v>127.51</v>
      </c>
      <c r="AC329">
        <f>IF(AND(Table1[[#This Row],[Throw Out Rush Eff]]="N", Table1[[#This Row],[Against FCS Team]]="N"), ROUND(((23.2 * I329) + (150 * K329) - (300 * L329)) / J329, 2), " ")</f>
        <v>44.56</v>
      </c>
      <c r="AD329" s="3">
        <f>IF(AND(Table1[[#This Row],[Throw Out Rush Def Eff]]="N", Table1[[#This Row],[Against FCS Team]]="N"), 200 - ROUND(((23.2 * U329) + (150 * W329) - (300 * X329)) / V329, 2), " ")</f>
        <v>150.22</v>
      </c>
      <c r="AE329" s="3">
        <f>ROUND(Table1[[#This Row],[Opp Passing Attempts]]/(Table1[[#This Row],[Opp Passing Attempts]]+Table1[[#This Row],[Opp Rushing Attempts]]), 2)</f>
        <v>0.41</v>
      </c>
      <c r="AF329" s="3">
        <f>1-Table1[[#This Row],[Passing Weight]]</f>
        <v>0.59000000000000008</v>
      </c>
      <c r="AG329" s="3" t="str">
        <f>IF(COUNTIF(A:A,Table1[[#This Row],[Opp Team Name]]) &gt; 0, "N", "Y")</f>
        <v>N</v>
      </c>
      <c r="AH329" s="3" t="str">
        <f>IF(Table1[[#This Row],[Passing Attempts]] &lt;15, "Y", "N")</f>
        <v>N</v>
      </c>
      <c r="AI329" s="3" t="str">
        <f>IF(Table1[[#This Row],[Rushing Attempts]] &lt; 15, "Y", "N")</f>
        <v>N</v>
      </c>
      <c r="AJ329" s="3" t="str">
        <f>IF(Table1[[#This Row],[Opp Passing Attempts]]&lt;15, "Y", "N")</f>
        <v>N</v>
      </c>
      <c r="AK329" s="3" t="str">
        <f>IF(Table1[[#This Row],[Opp Rushing Attempts]]&lt;15, "Y", "N")</f>
        <v>N</v>
      </c>
      <c r="AL3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147.35</v>
      </c>
      <c r="AM3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113.91</v>
      </c>
      <c r="AN3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43.11</v>
      </c>
      <c r="AO3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101.17</v>
      </c>
      <c r="AP329" s="3">
        <f>ABS(Table1[[#This Row],[Team Score]]-Table1[[#This Row],[Opp Team Score]])</f>
        <v>20</v>
      </c>
      <c r="AQ329" s="3">
        <f>SUM(Table1[[#This Row],[Team Score]], Table1[[#This Row],[Opp Team Score]])</f>
        <v>40</v>
      </c>
      <c r="AR3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79.680000000000007</v>
      </c>
      <c r="AS329" s="3">
        <f>IF(Table1[[#This Row],[Efficiency Difference]] = " ", " ", ROUND((Table1[[#This Row],[Winning Margin]]*100)/Table1[[#This Row],[Efficiency Difference]], 2))</f>
        <v>25.1</v>
      </c>
    </row>
    <row r="330" spans="1:45">
      <c r="A330" t="s">
        <v>86</v>
      </c>
      <c r="B330">
        <v>671</v>
      </c>
      <c r="C330">
        <v>23</v>
      </c>
      <c r="D330">
        <v>419</v>
      </c>
      <c r="E330">
        <v>52</v>
      </c>
      <c r="F330">
        <v>2</v>
      </c>
      <c r="G330">
        <v>32</v>
      </c>
      <c r="H330">
        <v>1</v>
      </c>
      <c r="I330">
        <v>121</v>
      </c>
      <c r="J330">
        <v>21</v>
      </c>
      <c r="K330">
        <v>1</v>
      </c>
      <c r="L330">
        <v>1</v>
      </c>
      <c r="M330" t="s">
        <v>85</v>
      </c>
      <c r="N330">
        <v>772</v>
      </c>
      <c r="O330">
        <v>42</v>
      </c>
      <c r="P330">
        <v>273</v>
      </c>
      <c r="Q330">
        <v>19</v>
      </c>
      <c r="R330">
        <v>1</v>
      </c>
      <c r="S330">
        <v>16</v>
      </c>
      <c r="T330">
        <v>1</v>
      </c>
      <c r="U330">
        <v>234</v>
      </c>
      <c r="V330">
        <v>44</v>
      </c>
      <c r="W330">
        <v>5</v>
      </c>
      <c r="X330">
        <v>0</v>
      </c>
      <c r="Y330" t="s">
        <v>19</v>
      </c>
      <c r="Z330">
        <v>8</v>
      </c>
      <c r="AA330" s="3">
        <f>IF(AND(Table1[[#This Row],[Throw Out Pass Eff]]="N", Table1[[#This Row],[Against FCS Team]]="N"), ROUND(((5.45 * D330) + (150 * F330) + (100 * G330) - (300 * H330)) / E330, 2), " ")</f>
        <v>105.45</v>
      </c>
      <c r="AB330" s="3">
        <f>IF(AND(Table1[[#This Row],[Throw Out Pass Def Eff]]="N", Table1[[#This Row],[Against FCS Team]]="N"),200 - ROUND(((5.45 * P330) + (150 * R330) + (100 * S330) - (300 * T330)) / Q330, 2), " ")</f>
        <v>45.379999999999995</v>
      </c>
      <c r="AC330" s="3">
        <f>IF(AND(Table1[[#This Row],[Throw Out Rush Eff]]="N", Table1[[#This Row],[Against FCS Team]]="N"), ROUND(((23.2 * I330) + (150 * K330) - (300 * L330)) / J330, 2), " ")</f>
        <v>126.53</v>
      </c>
      <c r="AD330" s="3">
        <f>IF(AND(Table1[[#This Row],[Throw Out Rush Def Eff]]="N", Table1[[#This Row],[Against FCS Team]]="N"), 200 - ROUND(((23.2 * U330) + (150 * W330) - (300 * X330)) / V330, 2), " ")</f>
        <v>59.569999999999993</v>
      </c>
      <c r="AE330" s="3">
        <f>ROUND(Table1[[#This Row],[Opp Passing Attempts]]/(Table1[[#This Row],[Opp Passing Attempts]]+Table1[[#This Row],[Opp Rushing Attempts]]), 2)</f>
        <v>0.3</v>
      </c>
      <c r="AF330" s="3">
        <f>1-Table1[[#This Row],[Passing Weight]]</f>
        <v>0.7</v>
      </c>
      <c r="AG330" s="3" t="str">
        <f>IF(COUNTIF(A:A,Table1[[#This Row],[Opp Team Name]]) &gt; 0, "N", "Y")</f>
        <v>N</v>
      </c>
      <c r="AH330" s="3" t="str">
        <f>IF(Table1[[#This Row],[Passing Attempts]] &lt;15, "Y", "N")</f>
        <v>N</v>
      </c>
      <c r="AI330" s="3" t="str">
        <f>IF(Table1[[#This Row],[Rushing Attempts]] &lt; 15, "Y", "N")</f>
        <v>N</v>
      </c>
      <c r="AJ330" s="3" t="str">
        <f>IF(Table1[[#This Row],[Opp Passing Attempts]]&lt;15, "Y", "N")</f>
        <v>N</v>
      </c>
      <c r="AK330" s="3" t="str">
        <f>IF(Table1[[#This Row],[Opp Rushing Attempts]]&lt;15, "Y", "N")</f>
        <v>N</v>
      </c>
      <c r="AL3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125.36</v>
      </c>
      <c r="AM3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36.340000000000003</v>
      </c>
      <c r="AN3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141.87</v>
      </c>
      <c r="AO3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56.78</v>
      </c>
      <c r="AP330" s="3">
        <f>ABS(Table1[[#This Row],[Team Score]]-Table1[[#This Row],[Opp Team Score]])</f>
        <v>19</v>
      </c>
      <c r="AQ330" s="3">
        <f>SUM(Table1[[#This Row],[Team Score]], Table1[[#This Row],[Opp Team Score]])</f>
        <v>65</v>
      </c>
      <c r="AR3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63.069999999999993</v>
      </c>
      <c r="AS330" s="3">
        <f>IF(Table1[[#This Row],[Efficiency Difference]] = " ", " ", ROUND((Table1[[#This Row],[Winning Margin]]*100)/Table1[[#This Row],[Efficiency Difference]], 2))</f>
        <v>30.13</v>
      </c>
    </row>
    <row r="331" spans="1:45">
      <c r="A331" t="s">
        <v>71</v>
      </c>
      <c r="B331">
        <v>498</v>
      </c>
      <c r="C331">
        <v>35</v>
      </c>
      <c r="D331">
        <v>205</v>
      </c>
      <c r="E331">
        <v>37</v>
      </c>
      <c r="F331">
        <v>2</v>
      </c>
      <c r="G331">
        <v>19</v>
      </c>
      <c r="H331">
        <v>1</v>
      </c>
      <c r="I331">
        <v>247</v>
      </c>
      <c r="J331">
        <v>48</v>
      </c>
      <c r="K331">
        <v>3</v>
      </c>
      <c r="L331">
        <v>2</v>
      </c>
      <c r="M331" t="s">
        <v>173</v>
      </c>
      <c r="N331">
        <v>261</v>
      </c>
      <c r="O331">
        <v>7</v>
      </c>
      <c r="P331">
        <v>118</v>
      </c>
      <c r="Q331">
        <v>21</v>
      </c>
      <c r="R331">
        <v>1</v>
      </c>
      <c r="S331">
        <v>10</v>
      </c>
      <c r="T331">
        <v>2</v>
      </c>
      <c r="U331">
        <v>26</v>
      </c>
      <c r="V331">
        <v>30</v>
      </c>
      <c r="W331">
        <v>0</v>
      </c>
      <c r="X331">
        <v>0</v>
      </c>
      <c r="Y331" t="s">
        <v>16</v>
      </c>
      <c r="Z331">
        <v>2</v>
      </c>
      <c r="AA331" t="str">
        <f>IF(AND(Table1[[#This Row],[Throw Out Pass Eff]]="N", Table1[[#This Row],[Against FCS Team]]="N"), ROUND(((5.45 * D331) + (150 * F331) + (100 * G331) - (300 * H331)) / E331, 2), " ")</f>
        <v xml:space="preserve"> </v>
      </c>
      <c r="AB331" t="str">
        <f>IF(AND(Table1[[#This Row],[Throw Out Pass Def Eff]]="N", Table1[[#This Row],[Against FCS Team]]="N"),200 - ROUND(((5.45 * P331) + (150 * R331) + (100 * S331) - (300 * T331)) / Q331, 2), " ")</f>
        <v xml:space="preserve"> </v>
      </c>
      <c r="AC331" t="str">
        <f>IF(AND(Table1[[#This Row],[Throw Out Rush Eff]]="N", Table1[[#This Row],[Against FCS Team]]="N"), ROUND(((23.2 * I331) + (150 * K331) - (300 * L331)) / J331, 2), " ")</f>
        <v xml:space="preserve"> </v>
      </c>
      <c r="AD331" s="3" t="str">
        <f>IF(AND(Table1[[#This Row],[Throw Out Rush Def Eff]]="N", Table1[[#This Row],[Against FCS Team]]="N"), 200 - ROUND(((23.2 * U331) + (150 * W331) - (300 * X331)) / V331, 2), " ")</f>
        <v xml:space="preserve"> </v>
      </c>
      <c r="AE331" s="3">
        <f>ROUND(Table1[[#This Row],[Opp Passing Attempts]]/(Table1[[#This Row],[Opp Passing Attempts]]+Table1[[#This Row],[Opp Rushing Attempts]]), 2)</f>
        <v>0.41</v>
      </c>
      <c r="AF331" s="3">
        <f>1-Table1[[#This Row],[Passing Weight]]</f>
        <v>0.59000000000000008</v>
      </c>
      <c r="AG331" s="3" t="str">
        <f>IF(COUNTIF(A:A,Table1[[#This Row],[Opp Team Name]]) &gt; 0, "N", "Y")</f>
        <v>Y</v>
      </c>
      <c r="AH331" s="3" t="str">
        <f>IF(Table1[[#This Row],[Passing Attempts]] &lt;15, "Y", "N")</f>
        <v>N</v>
      </c>
      <c r="AI331" s="3" t="str">
        <f>IF(Table1[[#This Row],[Rushing Attempts]] &lt; 15, "Y", "N")</f>
        <v>N</v>
      </c>
      <c r="AJ331" s="3" t="str">
        <f>IF(Table1[[#This Row],[Opp Passing Attempts]]&lt;15, "Y", "N")</f>
        <v>N</v>
      </c>
      <c r="AK331" s="3" t="str">
        <f>IF(Table1[[#This Row],[Opp Rushing Attempts]]&lt;15, "Y", "N")</f>
        <v>N</v>
      </c>
      <c r="AL33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3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3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3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31" s="3">
        <f>ABS(Table1[[#This Row],[Team Score]]-Table1[[#This Row],[Opp Team Score]])</f>
        <v>28</v>
      </c>
      <c r="AQ331" s="3">
        <f>SUM(Table1[[#This Row],[Team Score]], Table1[[#This Row],[Opp Team Score]])</f>
        <v>42</v>
      </c>
      <c r="AR33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31" s="3" t="str">
        <f>IF(Table1[[#This Row],[Efficiency Difference]] = " ", " ", ROUND((Table1[[#This Row],[Winning Margin]]*100)/Table1[[#This Row],[Efficiency Difference]], 2))</f>
        <v xml:space="preserve"> </v>
      </c>
    </row>
    <row r="332" spans="1:45">
      <c r="A332" t="s">
        <v>71</v>
      </c>
      <c r="B332">
        <v>498</v>
      </c>
      <c r="C332">
        <v>0</v>
      </c>
      <c r="D332">
        <v>92</v>
      </c>
      <c r="E332">
        <v>22</v>
      </c>
      <c r="F332">
        <v>0</v>
      </c>
      <c r="G332">
        <v>12</v>
      </c>
      <c r="H332">
        <v>1</v>
      </c>
      <c r="I332">
        <v>99</v>
      </c>
      <c r="J332">
        <v>39</v>
      </c>
      <c r="K332">
        <v>0</v>
      </c>
      <c r="L332">
        <v>0</v>
      </c>
      <c r="M332" t="s">
        <v>70</v>
      </c>
      <c r="N332">
        <v>234</v>
      </c>
      <c r="O332">
        <v>34</v>
      </c>
      <c r="P332">
        <v>280</v>
      </c>
      <c r="Q332">
        <v>35</v>
      </c>
      <c r="R332">
        <v>3</v>
      </c>
      <c r="S332">
        <v>23</v>
      </c>
      <c r="T332">
        <v>1</v>
      </c>
      <c r="U332">
        <v>92</v>
      </c>
      <c r="V332">
        <v>28</v>
      </c>
      <c r="W332">
        <v>1</v>
      </c>
      <c r="X332">
        <v>0</v>
      </c>
      <c r="Y332" t="s">
        <v>19</v>
      </c>
      <c r="Z332">
        <v>1</v>
      </c>
      <c r="AA332">
        <f>IF(AND(Table1[[#This Row],[Throw Out Pass Eff]]="N", Table1[[#This Row],[Against FCS Team]]="N"), ROUND(((5.45 * D332) + (150 * F332) + (100 * G332) - (300 * H332)) / E332, 2), " ")</f>
        <v>63.7</v>
      </c>
      <c r="AB332">
        <f>IF(AND(Table1[[#This Row],[Throw Out Pass Def Eff]]="N", Table1[[#This Row],[Against FCS Team]]="N"),200 - ROUND(((5.45 * P332) + (150 * R332) + (100 * S332) - (300 * T332)) / Q332, 2), " ")</f>
        <v>86.4</v>
      </c>
      <c r="AC332">
        <f>IF(AND(Table1[[#This Row],[Throw Out Rush Eff]]="N", Table1[[#This Row],[Against FCS Team]]="N"), ROUND(((23.2 * I332) + (150 * K332) - (300 * L332)) / J332, 2), " ")</f>
        <v>58.89</v>
      </c>
      <c r="AD332" s="3">
        <f>IF(AND(Table1[[#This Row],[Throw Out Rush Def Eff]]="N", Table1[[#This Row],[Against FCS Team]]="N"), 200 - ROUND(((23.2 * U332) + (150 * W332) - (300 * X332)) / V332, 2), " ")</f>
        <v>118.41</v>
      </c>
      <c r="AE332" s="3">
        <f>ROUND(Table1[[#This Row],[Opp Passing Attempts]]/(Table1[[#This Row],[Opp Passing Attempts]]+Table1[[#This Row],[Opp Rushing Attempts]]), 2)</f>
        <v>0.56000000000000005</v>
      </c>
      <c r="AF332" s="3">
        <f>1-Table1[[#This Row],[Passing Weight]]</f>
        <v>0.43999999999999995</v>
      </c>
      <c r="AG332" s="3" t="str">
        <f>IF(COUNTIF(A:A,Table1[[#This Row],[Opp Team Name]]) &gt; 0, "N", "Y")</f>
        <v>N</v>
      </c>
      <c r="AH332" s="3" t="str">
        <f>IF(Table1[[#This Row],[Passing Attempts]] &lt;15, "Y", "N")</f>
        <v>N</v>
      </c>
      <c r="AI332" s="3" t="str">
        <f>IF(Table1[[#This Row],[Rushing Attempts]] &lt; 15, "Y", "N")</f>
        <v>N</v>
      </c>
      <c r="AJ332" s="3" t="str">
        <f>IF(Table1[[#This Row],[Opp Passing Attempts]]&lt;15, "Y", "N")</f>
        <v>N</v>
      </c>
      <c r="AK332" s="3" t="str">
        <f>IF(Table1[[#This Row],[Opp Rushing Attempts]]&lt;15, "Y", "N")</f>
        <v>N</v>
      </c>
      <c r="AL33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65.62</v>
      </c>
      <c r="AM33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84.96</v>
      </c>
      <c r="AN33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84.16</v>
      </c>
      <c r="AO3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97.7</v>
      </c>
      <c r="AP332" s="3">
        <f>ABS(Table1[[#This Row],[Team Score]]-Table1[[#This Row],[Opp Team Score]])</f>
        <v>34</v>
      </c>
      <c r="AQ332" s="3">
        <f>SUM(Table1[[#This Row],[Team Score]], Table1[[#This Row],[Opp Team Score]])</f>
        <v>34</v>
      </c>
      <c r="AR33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72.599999999999994</v>
      </c>
      <c r="AS332" s="3">
        <f>IF(Table1[[#This Row],[Efficiency Difference]] = " ", " ", ROUND((Table1[[#This Row],[Winning Margin]]*100)/Table1[[#This Row],[Efficiency Difference]], 2))</f>
        <v>46.83</v>
      </c>
    </row>
    <row r="333" spans="1:45">
      <c r="A333" t="s">
        <v>71</v>
      </c>
      <c r="B333">
        <v>498</v>
      </c>
      <c r="C333">
        <v>17</v>
      </c>
      <c r="D333">
        <v>232</v>
      </c>
      <c r="E333">
        <v>42</v>
      </c>
      <c r="F333">
        <v>2</v>
      </c>
      <c r="G333">
        <v>29</v>
      </c>
      <c r="H333">
        <v>0</v>
      </c>
      <c r="I333">
        <v>82</v>
      </c>
      <c r="J333">
        <v>26</v>
      </c>
      <c r="K333">
        <v>0</v>
      </c>
      <c r="L333">
        <v>1</v>
      </c>
      <c r="M333" t="s">
        <v>37</v>
      </c>
      <c r="N333">
        <v>698</v>
      </c>
      <c r="O333">
        <v>38</v>
      </c>
      <c r="P333">
        <v>204</v>
      </c>
      <c r="Q333">
        <v>23</v>
      </c>
      <c r="R333">
        <v>1</v>
      </c>
      <c r="S333">
        <v>15</v>
      </c>
      <c r="T333">
        <v>0</v>
      </c>
      <c r="U333">
        <v>207</v>
      </c>
      <c r="V333">
        <v>45</v>
      </c>
      <c r="W333">
        <v>3</v>
      </c>
      <c r="X333">
        <v>2</v>
      </c>
      <c r="Y333" t="s">
        <v>19</v>
      </c>
      <c r="Z333">
        <v>3</v>
      </c>
      <c r="AA333">
        <f>IF(AND(Table1[[#This Row],[Throw Out Pass Eff]]="N", Table1[[#This Row],[Against FCS Team]]="N"), ROUND(((5.45 * D333) + (150 * F333) + (100 * G333) - (300 * H333)) / E333, 2), " ")</f>
        <v>106.3</v>
      </c>
      <c r="AB333">
        <f>IF(AND(Table1[[#This Row],[Throw Out Pass Def Eff]]="N", Table1[[#This Row],[Against FCS Team]]="N"),200 - ROUND(((5.45 * P333) + (150 * R333) + (100 * S333) - (300 * T333)) / Q333, 2), " ")</f>
        <v>79.92</v>
      </c>
      <c r="AC333">
        <f>IF(AND(Table1[[#This Row],[Throw Out Rush Eff]]="N", Table1[[#This Row],[Against FCS Team]]="N"), ROUND(((23.2 * I333) + (150 * K333) - (300 * L333)) / J333, 2), " ")</f>
        <v>61.63</v>
      </c>
      <c r="AD333" s="3">
        <f>IF(AND(Table1[[#This Row],[Throw Out Rush Def Eff]]="N", Table1[[#This Row],[Against FCS Team]]="N"), 200 - ROUND(((23.2 * U333) + (150 * W333) - (300 * X333)) / V333, 2), " ")</f>
        <v>96.61</v>
      </c>
      <c r="AE333" s="3">
        <f>ROUND(Table1[[#This Row],[Opp Passing Attempts]]/(Table1[[#This Row],[Opp Passing Attempts]]+Table1[[#This Row],[Opp Rushing Attempts]]), 2)</f>
        <v>0.34</v>
      </c>
      <c r="AF333" s="3">
        <f>1-Table1[[#This Row],[Passing Weight]]</f>
        <v>0.65999999999999992</v>
      </c>
      <c r="AG333" s="3" t="str">
        <f>IF(COUNTIF(A:A,Table1[[#This Row],[Opp Team Name]]) &gt; 0, "N", "Y")</f>
        <v>N</v>
      </c>
      <c r="AH333" s="3" t="str">
        <f>IF(Table1[[#This Row],[Passing Attempts]] &lt;15, "Y", "N")</f>
        <v>N</v>
      </c>
      <c r="AI333" s="3" t="str">
        <f>IF(Table1[[#This Row],[Rushing Attempts]] &lt; 15, "Y", "N")</f>
        <v>N</v>
      </c>
      <c r="AJ333" s="3" t="str">
        <f>IF(Table1[[#This Row],[Opp Passing Attempts]]&lt;15, "Y", "N")</f>
        <v>N</v>
      </c>
      <c r="AK333" s="3" t="str">
        <f>IF(Table1[[#This Row],[Opp Rushing Attempts]]&lt;15, "Y", "N")</f>
        <v>N</v>
      </c>
      <c r="AL3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95.1</v>
      </c>
      <c r="AM3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97.68</v>
      </c>
      <c r="AN3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75.84</v>
      </c>
      <c r="AO3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115.89</v>
      </c>
      <c r="AP333" s="3">
        <f>ABS(Table1[[#This Row],[Team Score]]-Table1[[#This Row],[Opp Team Score]])</f>
        <v>21</v>
      </c>
      <c r="AQ333" s="3">
        <f>SUM(Table1[[#This Row],[Team Score]], Table1[[#This Row],[Opp Team Score]])</f>
        <v>55</v>
      </c>
      <c r="AR3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55.539999999999992</v>
      </c>
      <c r="AS333" s="3">
        <f>IF(Table1[[#This Row],[Efficiency Difference]] = " ", " ", ROUND((Table1[[#This Row],[Winning Margin]]*100)/Table1[[#This Row],[Efficiency Difference]], 2))</f>
        <v>37.81</v>
      </c>
    </row>
    <row r="334" spans="1:45">
      <c r="A334" t="s">
        <v>71</v>
      </c>
      <c r="B334">
        <v>498</v>
      </c>
      <c r="C334">
        <v>17</v>
      </c>
      <c r="D334">
        <v>293</v>
      </c>
      <c r="E334">
        <v>44</v>
      </c>
      <c r="F334">
        <v>0</v>
      </c>
      <c r="G334">
        <v>29</v>
      </c>
      <c r="H334">
        <v>0</v>
      </c>
      <c r="I334">
        <v>59</v>
      </c>
      <c r="J334">
        <v>30</v>
      </c>
      <c r="K334">
        <v>2</v>
      </c>
      <c r="L334">
        <v>0</v>
      </c>
      <c r="M334" t="s">
        <v>76</v>
      </c>
      <c r="N334">
        <v>312</v>
      </c>
      <c r="O334">
        <v>45</v>
      </c>
      <c r="P334">
        <v>273</v>
      </c>
      <c r="Q334">
        <v>33</v>
      </c>
      <c r="R334">
        <v>3</v>
      </c>
      <c r="S334">
        <v>22</v>
      </c>
      <c r="T334">
        <v>0</v>
      </c>
      <c r="U334">
        <v>180</v>
      </c>
      <c r="V334">
        <v>34</v>
      </c>
      <c r="W334">
        <v>3</v>
      </c>
      <c r="X334">
        <v>1</v>
      </c>
      <c r="Y334" t="s">
        <v>19</v>
      </c>
      <c r="Z334">
        <v>4</v>
      </c>
      <c r="AA334">
        <f>IF(AND(Table1[[#This Row],[Throw Out Pass Eff]]="N", Table1[[#This Row],[Against FCS Team]]="N"), ROUND(((5.45 * D334) + (150 * F334) + (100 * G334) - (300 * H334)) / E334, 2), " ")</f>
        <v>102.2</v>
      </c>
      <c r="AB334">
        <f>IF(AND(Table1[[#This Row],[Throw Out Pass Def Eff]]="N", Table1[[#This Row],[Against FCS Team]]="N"),200 - ROUND(((5.45 * P334) + (150 * R334) + (100 * S334) - (300 * T334)) / Q334, 2), " ")</f>
        <v>74.61</v>
      </c>
      <c r="AC334">
        <f>IF(AND(Table1[[#This Row],[Throw Out Rush Eff]]="N", Table1[[#This Row],[Against FCS Team]]="N"), ROUND(((23.2 * I334) + (150 * K334) - (300 * L334)) / J334, 2), " ")</f>
        <v>55.63</v>
      </c>
      <c r="AD334" s="3">
        <f>IF(AND(Table1[[#This Row],[Throw Out Rush Def Eff]]="N", Table1[[#This Row],[Against FCS Team]]="N"), 200 - ROUND(((23.2 * U334) + (150 * W334) - (300 * X334)) / V334, 2), " ")</f>
        <v>72.760000000000005</v>
      </c>
      <c r="AE334" s="3">
        <f>ROUND(Table1[[#This Row],[Opp Passing Attempts]]/(Table1[[#This Row],[Opp Passing Attempts]]+Table1[[#This Row],[Opp Rushing Attempts]]), 2)</f>
        <v>0.49</v>
      </c>
      <c r="AF334" s="3">
        <f>1-Table1[[#This Row],[Passing Weight]]</f>
        <v>0.51</v>
      </c>
      <c r="AG334" s="3" t="str">
        <f>IF(COUNTIF(A:A,Table1[[#This Row],[Opp Team Name]]) &gt; 0, "N", "Y")</f>
        <v>N</v>
      </c>
      <c r="AH334" s="3" t="str">
        <f>IF(Table1[[#This Row],[Passing Attempts]] &lt;15, "Y", "N")</f>
        <v>N</v>
      </c>
      <c r="AI334" s="3" t="str">
        <f>IF(Table1[[#This Row],[Rushing Attempts]] &lt; 15, "Y", "N")</f>
        <v>N</v>
      </c>
      <c r="AJ334" s="3" t="str">
        <f>IF(Table1[[#This Row],[Opp Passing Attempts]]&lt;15, "Y", "N")</f>
        <v>N</v>
      </c>
      <c r="AK334" s="3" t="str">
        <f>IF(Table1[[#This Row],[Opp Rushing Attempts]]&lt;15, "Y", "N")</f>
        <v>N</v>
      </c>
      <c r="AL33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93.4</v>
      </c>
      <c r="AM33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89.54</v>
      </c>
      <c r="AN33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62.92</v>
      </c>
      <c r="AO33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70.8</v>
      </c>
      <c r="AP334" s="3">
        <f>ABS(Table1[[#This Row],[Team Score]]-Table1[[#This Row],[Opp Team Score]])</f>
        <v>28</v>
      </c>
      <c r="AQ334" s="3">
        <f>SUM(Table1[[#This Row],[Team Score]], Table1[[#This Row],[Opp Team Score]])</f>
        <v>62</v>
      </c>
      <c r="AR33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94.799999999999983</v>
      </c>
      <c r="AS334" s="3">
        <f>IF(Table1[[#This Row],[Efficiency Difference]] = " ", " ", ROUND((Table1[[#This Row],[Winning Margin]]*100)/Table1[[#This Row],[Efficiency Difference]], 2))</f>
        <v>29.54</v>
      </c>
    </row>
    <row r="335" spans="1:45">
      <c r="A335" t="s">
        <v>71</v>
      </c>
      <c r="B335">
        <v>498</v>
      </c>
      <c r="C335">
        <v>19</v>
      </c>
      <c r="D335">
        <v>298</v>
      </c>
      <c r="E335">
        <v>55</v>
      </c>
      <c r="F335">
        <v>2</v>
      </c>
      <c r="G335">
        <v>26</v>
      </c>
      <c r="H335">
        <v>3</v>
      </c>
      <c r="I335">
        <v>69</v>
      </c>
      <c r="J335">
        <v>37</v>
      </c>
      <c r="K335">
        <v>0</v>
      </c>
      <c r="L335">
        <v>1</v>
      </c>
      <c r="M335" t="s">
        <v>28</v>
      </c>
      <c r="N335">
        <v>30</v>
      </c>
      <c r="O335">
        <v>24</v>
      </c>
      <c r="P335">
        <v>261</v>
      </c>
      <c r="Q335">
        <v>43</v>
      </c>
      <c r="R335">
        <v>1</v>
      </c>
      <c r="S335">
        <v>27</v>
      </c>
      <c r="T335">
        <v>3</v>
      </c>
      <c r="U335">
        <v>84</v>
      </c>
      <c r="V335">
        <v>25</v>
      </c>
      <c r="W335">
        <v>1</v>
      </c>
      <c r="X335">
        <v>1</v>
      </c>
      <c r="Y335" t="s">
        <v>19</v>
      </c>
      <c r="Z335">
        <v>6</v>
      </c>
      <c r="AA335">
        <f>IF(AND(Table1[[#This Row],[Throw Out Pass Eff]]="N", Table1[[#This Row],[Against FCS Team]]="N"), ROUND(((5.45 * D335) + (150 * F335) + (100 * G335) - (300 * H335)) / E335, 2), " ")</f>
        <v>65.89</v>
      </c>
      <c r="AB335">
        <f>IF(AND(Table1[[#This Row],[Throw Out Pass Def Eff]]="N", Table1[[#This Row],[Against FCS Team]]="N"),200 - ROUND(((5.45 * P335) + (150 * R335) + (100 * S335) - (300 * T335)) / Q335, 2), " ")</f>
        <v>121.57</v>
      </c>
      <c r="AC335">
        <f>IF(AND(Table1[[#This Row],[Throw Out Rush Eff]]="N", Table1[[#This Row],[Against FCS Team]]="N"), ROUND(((23.2 * I335) + (150 * K335) - (300 * L335)) / J335, 2), " ")</f>
        <v>35.159999999999997</v>
      </c>
      <c r="AD335" s="3">
        <f>IF(AND(Table1[[#This Row],[Throw Out Rush Def Eff]]="N", Table1[[#This Row],[Against FCS Team]]="N"), 200 - ROUND(((23.2 * U335) + (150 * W335) - (300 * X335)) / V335, 2), " ")</f>
        <v>128.05000000000001</v>
      </c>
      <c r="AE335" s="3">
        <f>ROUND(Table1[[#This Row],[Opp Passing Attempts]]/(Table1[[#This Row],[Opp Passing Attempts]]+Table1[[#This Row],[Opp Rushing Attempts]]), 2)</f>
        <v>0.63</v>
      </c>
      <c r="AF335" s="3">
        <f>1-Table1[[#This Row],[Passing Weight]]</f>
        <v>0.37</v>
      </c>
      <c r="AG335" s="3" t="str">
        <f>IF(COUNTIF(A:A,Table1[[#This Row],[Opp Team Name]]) &gt; 0, "N", "Y")</f>
        <v>N</v>
      </c>
      <c r="AH335" s="3" t="str">
        <f>IF(Table1[[#This Row],[Passing Attempts]] &lt;15, "Y", "N")</f>
        <v>N</v>
      </c>
      <c r="AI335" s="3" t="str">
        <f>IF(Table1[[#This Row],[Rushing Attempts]] &lt; 15, "Y", "N")</f>
        <v>N</v>
      </c>
      <c r="AJ335" s="3" t="str">
        <f>IF(Table1[[#This Row],[Opp Passing Attempts]]&lt;15, "Y", "N")</f>
        <v>N</v>
      </c>
      <c r="AK335" s="3" t="str">
        <f>IF(Table1[[#This Row],[Opp Rushing Attempts]]&lt;15, "Y", "N")</f>
        <v>N</v>
      </c>
      <c r="AL3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72.28</v>
      </c>
      <c r="AM3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123.96</v>
      </c>
      <c r="AN3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47.18</v>
      </c>
      <c r="AO3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92.18</v>
      </c>
      <c r="AP335" s="3">
        <f>ABS(Table1[[#This Row],[Team Score]]-Table1[[#This Row],[Opp Team Score]])</f>
        <v>5</v>
      </c>
      <c r="AQ335" s="3">
        <f>SUM(Table1[[#This Row],[Team Score]], Table1[[#This Row],[Opp Team Score]])</f>
        <v>43</v>
      </c>
      <c r="AR33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49.33</v>
      </c>
      <c r="AS335" s="3">
        <f>IF(Table1[[#This Row],[Efficiency Difference]] = " ", " ", ROUND((Table1[[#This Row],[Winning Margin]]*100)/Table1[[#This Row],[Efficiency Difference]], 2))</f>
        <v>10.14</v>
      </c>
    </row>
    <row r="336" spans="1:45">
      <c r="A336" t="s">
        <v>71</v>
      </c>
      <c r="B336">
        <v>498</v>
      </c>
      <c r="C336">
        <v>38</v>
      </c>
      <c r="D336">
        <v>275</v>
      </c>
      <c r="E336">
        <v>33</v>
      </c>
      <c r="F336">
        <v>3</v>
      </c>
      <c r="G336">
        <v>23</v>
      </c>
      <c r="H336">
        <v>0</v>
      </c>
      <c r="I336">
        <v>248</v>
      </c>
      <c r="J336">
        <v>44</v>
      </c>
      <c r="K336">
        <v>2</v>
      </c>
      <c r="L336">
        <v>2</v>
      </c>
      <c r="M336" t="s">
        <v>55</v>
      </c>
      <c r="N336">
        <v>716</v>
      </c>
      <c r="O336">
        <v>10</v>
      </c>
      <c r="P336">
        <v>140</v>
      </c>
      <c r="Q336">
        <v>36</v>
      </c>
      <c r="R336">
        <v>0</v>
      </c>
      <c r="S336">
        <v>20</v>
      </c>
      <c r="T336">
        <v>2</v>
      </c>
      <c r="U336">
        <v>-14</v>
      </c>
      <c r="V336">
        <v>21</v>
      </c>
      <c r="W336">
        <v>1</v>
      </c>
      <c r="X336">
        <v>1</v>
      </c>
      <c r="Y336" t="s">
        <v>16</v>
      </c>
      <c r="Z336">
        <v>7</v>
      </c>
      <c r="AA336">
        <f>IF(AND(Table1[[#This Row],[Throw Out Pass Eff]]="N", Table1[[#This Row],[Against FCS Team]]="N"), ROUND(((5.45 * D336) + (150 * F336) + (100 * G336) - (300 * H336)) / E336, 2), " ")</f>
        <v>128.75</v>
      </c>
      <c r="AB336">
        <f>IF(AND(Table1[[#This Row],[Throw Out Pass Def Eff]]="N", Table1[[#This Row],[Against FCS Team]]="N"),200 - ROUND(((5.45 * P336) + (150 * R336) + (100 * S336) - (300 * T336)) / Q336, 2), " ")</f>
        <v>139.92000000000002</v>
      </c>
      <c r="AC336">
        <f>IF(AND(Table1[[#This Row],[Throw Out Rush Eff]]="N", Table1[[#This Row],[Against FCS Team]]="N"), ROUND(((23.2 * I336) + (150 * K336) - (300 * L336)) / J336, 2), " ")</f>
        <v>123.95</v>
      </c>
      <c r="AD336" s="3">
        <f>IF(AND(Table1[[#This Row],[Throw Out Rush Def Eff]]="N", Table1[[#This Row],[Against FCS Team]]="N"), 200 - ROUND(((23.2 * U336) + (150 * W336) - (300 * X336)) / V336, 2), " ")</f>
        <v>222.61</v>
      </c>
      <c r="AE336" s="3">
        <f>ROUND(Table1[[#This Row],[Opp Passing Attempts]]/(Table1[[#This Row],[Opp Passing Attempts]]+Table1[[#This Row],[Opp Rushing Attempts]]), 2)</f>
        <v>0.63</v>
      </c>
      <c r="AF336" s="3">
        <f>1-Table1[[#This Row],[Passing Weight]]</f>
        <v>0.37</v>
      </c>
      <c r="AG336" s="3" t="str">
        <f>IF(COUNTIF(A:A,Table1[[#This Row],[Opp Team Name]]) &gt; 0, "N", "Y")</f>
        <v>N</v>
      </c>
      <c r="AH336" s="3" t="str">
        <f>IF(Table1[[#This Row],[Passing Attempts]] &lt;15, "Y", "N")</f>
        <v>N</v>
      </c>
      <c r="AI336" s="3" t="str">
        <f>IF(Table1[[#This Row],[Rushing Attempts]] &lt; 15, "Y", "N")</f>
        <v>N</v>
      </c>
      <c r="AJ336" s="3" t="str">
        <f>IF(Table1[[#This Row],[Opp Passing Attempts]]&lt;15, "Y", "N")</f>
        <v>N</v>
      </c>
      <c r="AK336" s="3" t="str">
        <f>IF(Table1[[#This Row],[Opp Rushing Attempts]]&lt;15, "Y", "N")</f>
        <v>N</v>
      </c>
      <c r="AL3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114.08</v>
      </c>
      <c r="AM3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127.55</v>
      </c>
      <c r="AN3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127.22</v>
      </c>
      <c r="AO3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151.52000000000001</v>
      </c>
      <c r="AP336" s="3">
        <f>ABS(Table1[[#This Row],[Team Score]]-Table1[[#This Row],[Opp Team Score]])</f>
        <v>28</v>
      </c>
      <c r="AQ336" s="3">
        <f>SUM(Table1[[#This Row],[Team Score]], Table1[[#This Row],[Opp Team Score]])</f>
        <v>48</v>
      </c>
      <c r="AR3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215.23000000000002</v>
      </c>
      <c r="AS336" s="3">
        <f>IF(Table1[[#This Row],[Efficiency Difference]] = " ", " ", ROUND((Table1[[#This Row],[Winning Margin]]*100)/Table1[[#This Row],[Efficiency Difference]], 2))</f>
        <v>13.01</v>
      </c>
    </row>
    <row r="337" spans="1:45">
      <c r="A337" t="s">
        <v>71</v>
      </c>
      <c r="B337">
        <v>498</v>
      </c>
      <c r="C337">
        <v>21</v>
      </c>
      <c r="D337">
        <v>201</v>
      </c>
      <c r="E337">
        <v>35</v>
      </c>
      <c r="F337">
        <v>0</v>
      </c>
      <c r="G337">
        <v>16</v>
      </c>
      <c r="H337">
        <v>1</v>
      </c>
      <c r="I337">
        <v>142</v>
      </c>
      <c r="J337">
        <v>35</v>
      </c>
      <c r="K337">
        <v>2</v>
      </c>
      <c r="L337">
        <v>1</v>
      </c>
      <c r="M337" t="s">
        <v>67</v>
      </c>
      <c r="N337">
        <v>497</v>
      </c>
      <c r="O337">
        <v>38</v>
      </c>
      <c r="P337">
        <v>332</v>
      </c>
      <c r="Q337">
        <v>39</v>
      </c>
      <c r="R337">
        <v>3</v>
      </c>
      <c r="S337">
        <v>23</v>
      </c>
      <c r="T337">
        <v>0</v>
      </c>
      <c r="U337">
        <v>127</v>
      </c>
      <c r="V337">
        <v>33</v>
      </c>
      <c r="W337">
        <v>1</v>
      </c>
      <c r="X337">
        <v>0</v>
      </c>
      <c r="Y337" t="s">
        <v>19</v>
      </c>
      <c r="Z337">
        <v>8</v>
      </c>
      <c r="AA337" s="3">
        <f>IF(AND(Table1[[#This Row],[Throw Out Pass Eff]]="N", Table1[[#This Row],[Against FCS Team]]="N"), ROUND(((5.45 * D337) + (150 * F337) + (100 * G337) - (300 * H337)) / E337, 2), " ")</f>
        <v>68.44</v>
      </c>
      <c r="AB337" s="3">
        <f>IF(AND(Table1[[#This Row],[Throw Out Pass Def Eff]]="N", Table1[[#This Row],[Against FCS Team]]="N"),200 - ROUND(((5.45 * P337) + (150 * R337) + (100 * S337) - (300 * T337)) / Q337, 2), " ")</f>
        <v>83.09</v>
      </c>
      <c r="AC337" s="3">
        <f>IF(AND(Table1[[#This Row],[Throw Out Rush Eff]]="N", Table1[[#This Row],[Against FCS Team]]="N"), ROUND(((23.2 * I337) + (150 * K337) - (300 * L337)) / J337, 2), " ")</f>
        <v>94.13</v>
      </c>
      <c r="AD337" s="3">
        <f>IF(AND(Table1[[#This Row],[Throw Out Rush Def Eff]]="N", Table1[[#This Row],[Against FCS Team]]="N"), 200 - ROUND(((23.2 * U337) + (150 * W337) - (300 * X337)) / V337, 2), " ")</f>
        <v>106.17</v>
      </c>
      <c r="AE337" s="3">
        <f>ROUND(Table1[[#This Row],[Opp Passing Attempts]]/(Table1[[#This Row],[Opp Passing Attempts]]+Table1[[#This Row],[Opp Rushing Attempts]]), 2)</f>
        <v>0.54</v>
      </c>
      <c r="AF337" s="3">
        <f>1-Table1[[#This Row],[Passing Weight]]</f>
        <v>0.45999999999999996</v>
      </c>
      <c r="AG337" s="3" t="str">
        <f>IF(COUNTIF(A:A,Table1[[#This Row],[Opp Team Name]]) &gt; 0, "N", "Y")</f>
        <v>N</v>
      </c>
      <c r="AH337" s="3" t="str">
        <f>IF(Table1[[#This Row],[Passing Attempts]] &lt;15, "Y", "N")</f>
        <v>N</v>
      </c>
      <c r="AI337" s="3" t="str">
        <f>IF(Table1[[#This Row],[Rushing Attempts]] &lt; 15, "Y", "N")</f>
        <v>N</v>
      </c>
      <c r="AJ337" s="3" t="str">
        <f>IF(Table1[[#This Row],[Opp Passing Attempts]]&lt;15, "Y", "N")</f>
        <v>N</v>
      </c>
      <c r="AK337" s="3" t="str">
        <f>IF(Table1[[#This Row],[Opp Rushing Attempts]]&lt;15, "Y", "N")</f>
        <v>N</v>
      </c>
      <c r="AL3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64.08</v>
      </c>
      <c r="AM3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74.23</v>
      </c>
      <c r="AN3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91.06</v>
      </c>
      <c r="AO3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71.510000000000005</v>
      </c>
      <c r="AP337" s="3">
        <f>ABS(Table1[[#This Row],[Team Score]]-Table1[[#This Row],[Opp Team Score]])</f>
        <v>17</v>
      </c>
      <c r="AQ337" s="3">
        <f>SUM(Table1[[#This Row],[Team Score]], Table1[[#This Row],[Opp Team Score]])</f>
        <v>59</v>
      </c>
      <c r="AR3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48.170000000000016</v>
      </c>
      <c r="AS337" s="3">
        <f>IF(Table1[[#This Row],[Efficiency Difference]] = " ", " ", ROUND((Table1[[#This Row],[Winning Margin]]*100)/Table1[[#This Row],[Efficiency Difference]], 2))</f>
        <v>35.29</v>
      </c>
    </row>
    <row r="338" spans="1:45">
      <c r="A338" t="s">
        <v>88</v>
      </c>
      <c r="B338">
        <v>366</v>
      </c>
      <c r="C338">
        <v>48</v>
      </c>
      <c r="D338">
        <v>321</v>
      </c>
      <c r="E338">
        <v>38</v>
      </c>
      <c r="F338">
        <v>2</v>
      </c>
      <c r="G338">
        <v>23</v>
      </c>
      <c r="H338">
        <v>1</v>
      </c>
      <c r="I338">
        <v>221</v>
      </c>
      <c r="J338">
        <v>44</v>
      </c>
      <c r="K338">
        <v>5</v>
      </c>
      <c r="L338">
        <v>1</v>
      </c>
      <c r="M338" t="s">
        <v>174</v>
      </c>
      <c r="N338">
        <v>1004</v>
      </c>
      <c r="O338">
        <v>42</v>
      </c>
      <c r="P338">
        <v>372</v>
      </c>
      <c r="Q338">
        <v>52</v>
      </c>
      <c r="R338">
        <v>4</v>
      </c>
      <c r="S338">
        <v>29</v>
      </c>
      <c r="T338">
        <v>1</v>
      </c>
      <c r="U338">
        <v>73</v>
      </c>
      <c r="V338">
        <v>31</v>
      </c>
      <c r="W338">
        <v>0</v>
      </c>
      <c r="X338">
        <v>0</v>
      </c>
      <c r="Y338" t="s">
        <v>16</v>
      </c>
      <c r="Z338">
        <v>2</v>
      </c>
      <c r="AA338" t="str">
        <f>IF(AND(Table1[[#This Row],[Throw Out Pass Eff]]="N", Table1[[#This Row],[Against FCS Team]]="N"), ROUND(((5.45 * D338) + (150 * F338) + (100 * G338) - (300 * H338)) / E338, 2), " ")</f>
        <v xml:space="preserve"> </v>
      </c>
      <c r="AB338" t="str">
        <f>IF(AND(Table1[[#This Row],[Throw Out Pass Def Eff]]="N", Table1[[#This Row],[Against FCS Team]]="N"),200 - ROUND(((5.45 * P338) + (150 * R338) + (100 * S338) - (300 * T338)) / Q338, 2), " ")</f>
        <v xml:space="preserve"> </v>
      </c>
      <c r="AC338" t="str">
        <f>IF(AND(Table1[[#This Row],[Throw Out Rush Eff]]="N", Table1[[#This Row],[Against FCS Team]]="N"), ROUND(((23.2 * I338) + (150 * K338) - (300 * L338)) / J338, 2), " ")</f>
        <v xml:space="preserve"> </v>
      </c>
      <c r="AD338" s="3" t="str">
        <f>IF(AND(Table1[[#This Row],[Throw Out Rush Def Eff]]="N", Table1[[#This Row],[Against FCS Team]]="N"), 200 - ROUND(((23.2 * U338) + (150 * W338) - (300 * X338)) / V338, 2), " ")</f>
        <v xml:space="preserve"> </v>
      </c>
      <c r="AE338" s="3">
        <f>ROUND(Table1[[#This Row],[Opp Passing Attempts]]/(Table1[[#This Row],[Opp Passing Attempts]]+Table1[[#This Row],[Opp Rushing Attempts]]), 2)</f>
        <v>0.63</v>
      </c>
      <c r="AF338" s="3">
        <f>1-Table1[[#This Row],[Passing Weight]]</f>
        <v>0.37</v>
      </c>
      <c r="AG338" s="3" t="str">
        <f>IF(COUNTIF(A:A,Table1[[#This Row],[Opp Team Name]]) &gt; 0, "N", "Y")</f>
        <v>Y</v>
      </c>
      <c r="AH338" s="3" t="str">
        <f>IF(Table1[[#This Row],[Passing Attempts]] &lt;15, "Y", "N")</f>
        <v>N</v>
      </c>
      <c r="AI338" s="3" t="str">
        <f>IF(Table1[[#This Row],[Rushing Attempts]] &lt; 15, "Y", "N")</f>
        <v>N</v>
      </c>
      <c r="AJ338" s="3" t="str">
        <f>IF(Table1[[#This Row],[Opp Passing Attempts]]&lt;15, "Y", "N")</f>
        <v>N</v>
      </c>
      <c r="AK338" s="3" t="str">
        <f>IF(Table1[[#This Row],[Opp Rushing Attempts]]&lt;15, "Y", "N")</f>
        <v>N</v>
      </c>
      <c r="AL33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3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3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3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38" s="3">
        <f>ABS(Table1[[#This Row],[Team Score]]-Table1[[#This Row],[Opp Team Score]])</f>
        <v>6</v>
      </c>
      <c r="AQ338" s="3">
        <f>SUM(Table1[[#This Row],[Team Score]], Table1[[#This Row],[Opp Team Score]])</f>
        <v>90</v>
      </c>
      <c r="AR33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38" s="3" t="str">
        <f>IF(Table1[[#This Row],[Efficiency Difference]] = " ", " ", ROUND((Table1[[#This Row],[Winning Margin]]*100)/Table1[[#This Row],[Efficiency Difference]], 2))</f>
        <v xml:space="preserve"> </v>
      </c>
    </row>
    <row r="339" spans="1:45">
      <c r="A339" t="s">
        <v>88</v>
      </c>
      <c r="B339">
        <v>366</v>
      </c>
      <c r="C339">
        <v>17</v>
      </c>
      <c r="D339">
        <v>176</v>
      </c>
      <c r="E339">
        <v>36</v>
      </c>
      <c r="F339">
        <v>0</v>
      </c>
      <c r="G339">
        <v>20</v>
      </c>
      <c r="H339">
        <v>0</v>
      </c>
      <c r="I339">
        <v>68</v>
      </c>
      <c r="J339">
        <v>33</v>
      </c>
      <c r="K339">
        <v>1</v>
      </c>
      <c r="L339">
        <v>0</v>
      </c>
      <c r="M339" t="s">
        <v>89</v>
      </c>
      <c r="N339">
        <v>664</v>
      </c>
      <c r="O339">
        <v>19</v>
      </c>
      <c r="P339">
        <v>226</v>
      </c>
      <c r="Q339">
        <v>38</v>
      </c>
      <c r="R339">
        <v>0</v>
      </c>
      <c r="S339">
        <v>21</v>
      </c>
      <c r="T339">
        <v>1</v>
      </c>
      <c r="U339">
        <v>153</v>
      </c>
      <c r="V339">
        <v>38</v>
      </c>
      <c r="W339">
        <v>1</v>
      </c>
      <c r="X339">
        <v>1</v>
      </c>
      <c r="Y339" t="s">
        <v>19</v>
      </c>
      <c r="Z339">
        <v>1</v>
      </c>
      <c r="AA339">
        <f>IF(AND(Table1[[#This Row],[Throw Out Pass Eff]]="N", Table1[[#This Row],[Against FCS Team]]="N"), ROUND(((5.45 * D339) + (150 * F339) + (100 * G339) - (300 * H339)) / E339, 2), " ")</f>
        <v>82.2</v>
      </c>
      <c r="AB339">
        <f>IF(AND(Table1[[#This Row],[Throw Out Pass Def Eff]]="N", Table1[[#This Row],[Against FCS Team]]="N"),200 - ROUND(((5.45 * P339) + (150 * R339) + (100 * S339) - (300 * T339)) / Q339, 2), " ")</f>
        <v>120.22</v>
      </c>
      <c r="AC339">
        <f>IF(AND(Table1[[#This Row],[Throw Out Rush Eff]]="N", Table1[[#This Row],[Against FCS Team]]="N"), ROUND(((23.2 * I339) + (150 * K339) - (300 * L339)) / J339, 2), " ")</f>
        <v>52.35</v>
      </c>
      <c r="AD339" s="3">
        <f>IF(AND(Table1[[#This Row],[Throw Out Rush Def Eff]]="N", Table1[[#This Row],[Against FCS Team]]="N"), 200 - ROUND(((23.2 * U339) + (150 * W339) - (300 * X339)) / V339, 2), " ")</f>
        <v>110.54</v>
      </c>
      <c r="AE339" s="3">
        <f>ROUND(Table1[[#This Row],[Opp Passing Attempts]]/(Table1[[#This Row],[Opp Passing Attempts]]+Table1[[#This Row],[Opp Rushing Attempts]]), 2)</f>
        <v>0.5</v>
      </c>
      <c r="AF339" s="3">
        <f>1-Table1[[#This Row],[Passing Weight]]</f>
        <v>0.5</v>
      </c>
      <c r="AG339" s="3" t="str">
        <f>IF(COUNTIF(A:A,Table1[[#This Row],[Opp Team Name]]) &gt; 0, "N", "Y")</f>
        <v>N</v>
      </c>
      <c r="AH339" s="3" t="str">
        <f>IF(Table1[[#This Row],[Passing Attempts]] &lt;15, "Y", "N")</f>
        <v>N</v>
      </c>
      <c r="AI339" s="3" t="str">
        <f>IF(Table1[[#This Row],[Rushing Attempts]] &lt; 15, "Y", "N")</f>
        <v>N</v>
      </c>
      <c r="AJ339" s="3" t="str">
        <f>IF(Table1[[#This Row],[Opp Passing Attempts]]&lt;15, "Y", "N")</f>
        <v>N</v>
      </c>
      <c r="AK339" s="3" t="str">
        <f>IF(Table1[[#This Row],[Opp Rushing Attempts]]&lt;15, "Y", "N")</f>
        <v>N</v>
      </c>
      <c r="AL33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103.08</v>
      </c>
      <c r="AM3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132.87</v>
      </c>
      <c r="AN3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61.79</v>
      </c>
      <c r="AO3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111.04</v>
      </c>
      <c r="AP339" s="3">
        <f>ABS(Table1[[#This Row],[Team Score]]-Table1[[#This Row],[Opp Team Score]])</f>
        <v>2</v>
      </c>
      <c r="AQ339" s="3">
        <f>SUM(Table1[[#This Row],[Team Score]], Table1[[#This Row],[Opp Team Score]])</f>
        <v>36</v>
      </c>
      <c r="AR33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34.69</v>
      </c>
      <c r="AS339" s="3">
        <f>IF(Table1[[#This Row],[Efficiency Difference]] = " ", " ", ROUND((Table1[[#This Row],[Winning Margin]]*100)/Table1[[#This Row],[Efficiency Difference]], 2))</f>
        <v>5.77</v>
      </c>
    </row>
    <row r="340" spans="1:45">
      <c r="A340" t="s">
        <v>88</v>
      </c>
      <c r="B340">
        <v>366</v>
      </c>
      <c r="C340">
        <v>34</v>
      </c>
      <c r="D340">
        <v>211</v>
      </c>
      <c r="E340">
        <v>32</v>
      </c>
      <c r="F340">
        <v>1</v>
      </c>
      <c r="G340">
        <v>21</v>
      </c>
      <c r="H340">
        <v>2</v>
      </c>
      <c r="I340">
        <v>233</v>
      </c>
      <c r="J340">
        <v>66</v>
      </c>
      <c r="K340">
        <v>3</v>
      </c>
      <c r="L340">
        <v>1</v>
      </c>
      <c r="M340" t="s">
        <v>74</v>
      </c>
      <c r="N340">
        <v>288</v>
      </c>
      <c r="O340">
        <v>35</v>
      </c>
      <c r="P340">
        <v>351</v>
      </c>
      <c r="Q340">
        <v>40</v>
      </c>
      <c r="R340">
        <v>3</v>
      </c>
      <c r="S340">
        <v>25</v>
      </c>
      <c r="T340">
        <v>2</v>
      </c>
      <c r="U340">
        <v>98</v>
      </c>
      <c r="V340">
        <v>35</v>
      </c>
      <c r="W340">
        <v>2</v>
      </c>
      <c r="X340">
        <v>1</v>
      </c>
      <c r="Y340" t="s">
        <v>19</v>
      </c>
      <c r="Z340">
        <v>3</v>
      </c>
      <c r="AA340">
        <f>IF(AND(Table1[[#This Row],[Throw Out Pass Eff]]="N", Table1[[#This Row],[Against FCS Team]]="N"), ROUND(((5.45 * D340) + (150 * F340) + (100 * G340) - (300 * H340)) / E340, 2), " ")</f>
        <v>87.5</v>
      </c>
      <c r="AB340">
        <f>IF(AND(Table1[[#This Row],[Throw Out Pass Def Eff]]="N", Table1[[#This Row],[Against FCS Team]]="N"),200 - ROUND(((5.45 * P340) + (150 * R340) + (100 * S340) - (300 * T340)) / Q340, 2), " ")</f>
        <v>93.43</v>
      </c>
      <c r="AC340">
        <f>IF(AND(Table1[[#This Row],[Throw Out Rush Eff]]="N", Table1[[#This Row],[Against FCS Team]]="N"), ROUND(((23.2 * I340) + (150 * K340) - (300 * L340)) / J340, 2), " ")</f>
        <v>84.18</v>
      </c>
      <c r="AD340" s="3">
        <f>IF(AND(Table1[[#This Row],[Throw Out Rush Def Eff]]="N", Table1[[#This Row],[Against FCS Team]]="N"), 200 - ROUND(((23.2 * U340) + (150 * W340) - (300 * X340)) / V340, 2), " ")</f>
        <v>135.04000000000002</v>
      </c>
      <c r="AE340" s="3">
        <f>ROUND(Table1[[#This Row],[Opp Passing Attempts]]/(Table1[[#This Row],[Opp Passing Attempts]]+Table1[[#This Row],[Opp Rushing Attempts]]), 2)</f>
        <v>0.53</v>
      </c>
      <c r="AF340" s="3">
        <f>1-Table1[[#This Row],[Passing Weight]]</f>
        <v>0.47</v>
      </c>
      <c r="AG340" s="3" t="str">
        <f>IF(COUNTIF(A:A,Table1[[#This Row],[Opp Team Name]]) &gt; 0, "N", "Y")</f>
        <v>N</v>
      </c>
      <c r="AH340" s="3" t="str">
        <f>IF(Table1[[#This Row],[Passing Attempts]] &lt;15, "Y", "N")</f>
        <v>N</v>
      </c>
      <c r="AI340" s="3" t="str">
        <f>IF(Table1[[#This Row],[Rushing Attempts]] &lt; 15, "Y", "N")</f>
        <v>N</v>
      </c>
      <c r="AJ340" s="3" t="str">
        <f>IF(Table1[[#This Row],[Opp Passing Attempts]]&lt;15, "Y", "N")</f>
        <v>N</v>
      </c>
      <c r="AK340" s="3" t="str">
        <f>IF(Table1[[#This Row],[Opp Rushing Attempts]]&lt;15, "Y", "N")</f>
        <v>N</v>
      </c>
      <c r="AL34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85.87</v>
      </c>
      <c r="AM3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122.52</v>
      </c>
      <c r="AN3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89.62</v>
      </c>
      <c r="AO3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179.98</v>
      </c>
      <c r="AP340" s="3">
        <f>ABS(Table1[[#This Row],[Team Score]]-Table1[[#This Row],[Opp Team Score]])</f>
        <v>1</v>
      </c>
      <c r="AQ340" s="3">
        <f>SUM(Table1[[#This Row],[Team Score]], Table1[[#This Row],[Opp Team Score]])</f>
        <v>69</v>
      </c>
      <c r="AR34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0.15000000000003411</v>
      </c>
      <c r="AS340" s="3">
        <f>IF(Table1[[#This Row],[Efficiency Difference]] = " ", " ", ROUND((Table1[[#This Row],[Winning Margin]]*100)/Table1[[#This Row],[Efficiency Difference]], 2))</f>
        <v>666.67</v>
      </c>
    </row>
    <row r="341" spans="1:45">
      <c r="A341" t="s">
        <v>88</v>
      </c>
      <c r="B341">
        <v>366</v>
      </c>
      <c r="C341">
        <v>20</v>
      </c>
      <c r="D341">
        <v>252</v>
      </c>
      <c r="E341">
        <v>41</v>
      </c>
      <c r="F341">
        <v>1</v>
      </c>
      <c r="G341">
        <v>30</v>
      </c>
      <c r="H341">
        <v>2</v>
      </c>
      <c r="I341">
        <v>107</v>
      </c>
      <c r="J341">
        <v>37</v>
      </c>
      <c r="K341">
        <v>1</v>
      </c>
      <c r="L341">
        <v>1</v>
      </c>
      <c r="M341" t="s">
        <v>95</v>
      </c>
      <c r="N341">
        <v>430</v>
      </c>
      <c r="O341">
        <v>26</v>
      </c>
      <c r="P341">
        <v>164</v>
      </c>
      <c r="Q341">
        <v>29</v>
      </c>
      <c r="R341">
        <v>1</v>
      </c>
      <c r="S341">
        <v>14</v>
      </c>
      <c r="T341">
        <v>1</v>
      </c>
      <c r="U341">
        <v>176</v>
      </c>
      <c r="V341">
        <v>44</v>
      </c>
      <c r="W341">
        <v>1</v>
      </c>
      <c r="X341">
        <v>0</v>
      </c>
      <c r="Y341" t="s">
        <v>19</v>
      </c>
      <c r="Z341">
        <v>4</v>
      </c>
      <c r="AA341">
        <f>IF(AND(Table1[[#This Row],[Throw Out Pass Eff]]="N", Table1[[#This Row],[Against FCS Team]]="N"), ROUND(((5.45 * D341) + (150 * F341) + (100 * G341) - (300 * H341)) / E341, 2), " ")</f>
        <v>95.69</v>
      </c>
      <c r="AB341">
        <f>IF(AND(Table1[[#This Row],[Throw Out Pass Def Eff]]="N", Table1[[#This Row],[Against FCS Team]]="N"),200 - ROUND(((5.45 * P341) + (150 * R341) + (100 * S341) - (300 * T341)) / Q341, 2), " ")</f>
        <v>126.08</v>
      </c>
      <c r="AC341">
        <f>IF(AND(Table1[[#This Row],[Throw Out Rush Eff]]="N", Table1[[#This Row],[Against FCS Team]]="N"), ROUND(((23.2 * I341) + (150 * K341) - (300 * L341)) / J341, 2), " ")</f>
        <v>63.04</v>
      </c>
      <c r="AD341" s="3">
        <f>IF(AND(Table1[[#This Row],[Throw Out Rush Def Eff]]="N", Table1[[#This Row],[Against FCS Team]]="N"), 200 - ROUND(((23.2 * U341) + (150 * W341) - (300 * X341)) / V341, 2), " ")</f>
        <v>103.79</v>
      </c>
      <c r="AE341" s="3">
        <f>ROUND(Table1[[#This Row],[Opp Passing Attempts]]/(Table1[[#This Row],[Opp Passing Attempts]]+Table1[[#This Row],[Opp Rushing Attempts]]), 2)</f>
        <v>0.4</v>
      </c>
      <c r="AF341" s="3">
        <f>1-Table1[[#This Row],[Passing Weight]]</f>
        <v>0.6</v>
      </c>
      <c r="AG341" s="3" t="str">
        <f>IF(COUNTIF(A:A,Table1[[#This Row],[Opp Team Name]]) &gt; 0, "N", "Y")</f>
        <v>N</v>
      </c>
      <c r="AH341" s="3" t="str">
        <f>IF(Table1[[#This Row],[Passing Attempts]] &lt;15, "Y", "N")</f>
        <v>N</v>
      </c>
      <c r="AI341" s="3" t="str">
        <f>IF(Table1[[#This Row],[Rushing Attempts]] &lt; 15, "Y", "N")</f>
        <v>N</v>
      </c>
      <c r="AJ341" s="3" t="str">
        <f>IF(Table1[[#This Row],[Opp Passing Attempts]]&lt;15, "Y", "N")</f>
        <v>N</v>
      </c>
      <c r="AK341" s="3" t="str">
        <f>IF(Table1[[#This Row],[Opp Rushing Attempts]]&lt;15, "Y", "N")</f>
        <v>N</v>
      </c>
      <c r="AL34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106.73</v>
      </c>
      <c r="AM34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112.63</v>
      </c>
      <c r="AN34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71.02</v>
      </c>
      <c r="AO34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</v>
      </c>
      <c r="AP341" s="3">
        <f>ABS(Table1[[#This Row],[Team Score]]-Table1[[#This Row],[Opp Team Score]])</f>
        <v>6</v>
      </c>
      <c r="AQ341" s="3">
        <f>SUM(Table1[[#This Row],[Team Score]], Table1[[#This Row],[Opp Team Score]])</f>
        <v>46</v>
      </c>
      <c r="AR34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11.400000000000006</v>
      </c>
      <c r="AS341" s="3">
        <f>IF(Table1[[#This Row],[Efficiency Difference]] = " ", " ", ROUND((Table1[[#This Row],[Winning Margin]]*100)/Table1[[#This Row],[Efficiency Difference]], 2))</f>
        <v>52.63</v>
      </c>
    </row>
    <row r="342" spans="1:45">
      <c r="A342" t="s">
        <v>88</v>
      </c>
      <c r="B342">
        <v>366</v>
      </c>
      <c r="C342">
        <v>26</v>
      </c>
      <c r="D342">
        <v>305</v>
      </c>
      <c r="E342">
        <v>51</v>
      </c>
      <c r="F342">
        <v>3</v>
      </c>
      <c r="G342">
        <v>29</v>
      </c>
      <c r="H342">
        <v>2</v>
      </c>
      <c r="I342">
        <v>63</v>
      </c>
      <c r="J342">
        <v>26</v>
      </c>
      <c r="K342">
        <v>1</v>
      </c>
      <c r="L342">
        <v>1</v>
      </c>
      <c r="M342" t="s">
        <v>57</v>
      </c>
      <c r="N342">
        <v>277</v>
      </c>
      <c r="O342">
        <v>44</v>
      </c>
      <c r="P342">
        <v>410</v>
      </c>
      <c r="Q342">
        <v>55</v>
      </c>
      <c r="R342">
        <v>4</v>
      </c>
      <c r="S342">
        <v>34</v>
      </c>
      <c r="T342">
        <v>0</v>
      </c>
      <c r="U342">
        <v>84</v>
      </c>
      <c r="V342">
        <v>25</v>
      </c>
      <c r="W342">
        <v>0</v>
      </c>
      <c r="X342">
        <v>0</v>
      </c>
      <c r="Y342" t="s">
        <v>19</v>
      </c>
      <c r="Z342">
        <v>5</v>
      </c>
      <c r="AA342">
        <f>IF(AND(Table1[[#This Row],[Throw Out Pass Eff]]="N", Table1[[#This Row],[Against FCS Team]]="N"), ROUND(((5.45 * D342) + (150 * F342) + (100 * G342) - (300 * H342)) / E342, 2), " ")</f>
        <v>86.51</v>
      </c>
      <c r="AB342">
        <f>IF(AND(Table1[[#This Row],[Throw Out Pass Def Eff]]="N", Table1[[#This Row],[Against FCS Team]]="N"),200 - ROUND(((5.45 * P342) + (150 * R342) + (100 * S342) - (300 * T342)) / Q342, 2), " ")</f>
        <v>86.65</v>
      </c>
      <c r="AC342">
        <f>IF(AND(Table1[[#This Row],[Throw Out Rush Eff]]="N", Table1[[#This Row],[Against FCS Team]]="N"), ROUND(((23.2 * I342) + (150 * K342) - (300 * L342)) / J342, 2), " ")</f>
        <v>50.45</v>
      </c>
      <c r="AD342" s="3">
        <f>IF(AND(Table1[[#This Row],[Throw Out Rush Def Eff]]="N", Table1[[#This Row],[Against FCS Team]]="N"), 200 - ROUND(((23.2 * U342) + (150 * W342) - (300 * X342)) / V342, 2), " ")</f>
        <v>122.05</v>
      </c>
      <c r="AE342" s="3">
        <f>ROUND(Table1[[#This Row],[Opp Passing Attempts]]/(Table1[[#This Row],[Opp Passing Attempts]]+Table1[[#This Row],[Opp Rushing Attempts]]), 2)</f>
        <v>0.69</v>
      </c>
      <c r="AF342" s="3">
        <f>1-Table1[[#This Row],[Passing Weight]]</f>
        <v>0.31000000000000005</v>
      </c>
      <c r="AG342" s="3" t="str">
        <f>IF(COUNTIF(A:A,Table1[[#This Row],[Opp Team Name]]) &gt; 0, "N", "Y")</f>
        <v>N</v>
      </c>
      <c r="AH342" s="3" t="str">
        <f>IF(Table1[[#This Row],[Passing Attempts]] &lt;15, "Y", "N")</f>
        <v>N</v>
      </c>
      <c r="AI342" s="3" t="str">
        <f>IF(Table1[[#This Row],[Rushing Attempts]] &lt; 15, "Y", "N")</f>
        <v>N</v>
      </c>
      <c r="AJ342" s="3" t="str">
        <f>IF(Table1[[#This Row],[Opp Passing Attempts]]&lt;15, "Y", "N")</f>
        <v>N</v>
      </c>
      <c r="AK342" s="3" t="str">
        <f>IF(Table1[[#This Row],[Opp Rushing Attempts]]&lt;15, "Y", "N")</f>
        <v>N</v>
      </c>
      <c r="AL34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87.44</v>
      </c>
      <c r="AM3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92.15</v>
      </c>
      <c r="AN3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67.58</v>
      </c>
      <c r="AO3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110.48</v>
      </c>
      <c r="AP342" s="3">
        <f>ABS(Table1[[#This Row],[Team Score]]-Table1[[#This Row],[Opp Team Score]])</f>
        <v>18</v>
      </c>
      <c r="AQ342" s="3">
        <f>SUM(Table1[[#This Row],[Team Score]], Table1[[#This Row],[Opp Team Score]])</f>
        <v>70</v>
      </c>
      <c r="AR34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54.34</v>
      </c>
      <c r="AS342" s="3">
        <f>IF(Table1[[#This Row],[Efficiency Difference]] = " ", " ", ROUND((Table1[[#This Row],[Winning Margin]]*100)/Table1[[#This Row],[Efficiency Difference]], 2))</f>
        <v>33.119999999999997</v>
      </c>
    </row>
    <row r="343" spans="1:45">
      <c r="A343" t="s">
        <v>88</v>
      </c>
      <c r="B343">
        <v>366</v>
      </c>
      <c r="C343">
        <v>24</v>
      </c>
      <c r="D343">
        <v>163</v>
      </c>
      <c r="E343">
        <v>39</v>
      </c>
      <c r="F343">
        <v>1</v>
      </c>
      <c r="G343">
        <v>25</v>
      </c>
      <c r="H343">
        <v>0</v>
      </c>
      <c r="I343">
        <v>190</v>
      </c>
      <c r="J343">
        <v>48</v>
      </c>
      <c r="K343">
        <v>1</v>
      </c>
      <c r="L343">
        <v>0</v>
      </c>
      <c r="M343" t="s">
        <v>43</v>
      </c>
      <c r="N343">
        <v>295</v>
      </c>
      <c r="O343">
        <v>11</v>
      </c>
      <c r="P343">
        <v>244</v>
      </c>
      <c r="Q343">
        <v>47</v>
      </c>
      <c r="R343">
        <v>0</v>
      </c>
      <c r="S343">
        <v>19</v>
      </c>
      <c r="T343">
        <v>3</v>
      </c>
      <c r="U343">
        <v>47</v>
      </c>
      <c r="V343">
        <v>22</v>
      </c>
      <c r="W343">
        <v>0</v>
      </c>
      <c r="X343">
        <v>1</v>
      </c>
      <c r="Y343" t="s">
        <v>16</v>
      </c>
      <c r="Z343">
        <v>6</v>
      </c>
      <c r="AA343">
        <f>IF(AND(Table1[[#This Row],[Throw Out Pass Eff]]="N", Table1[[#This Row],[Against FCS Team]]="N"), ROUND(((5.45 * D343) + (150 * F343) + (100 * G343) - (300 * H343)) / E343, 2), " ")</f>
        <v>90.73</v>
      </c>
      <c r="AB343">
        <f>IF(AND(Table1[[#This Row],[Throw Out Pass Def Eff]]="N", Table1[[#This Row],[Against FCS Team]]="N"),200 - ROUND(((5.45 * P343) + (150 * R343) + (100 * S343) - (300 * T343)) / Q343, 2), " ")</f>
        <v>150.43</v>
      </c>
      <c r="AC343">
        <f>IF(AND(Table1[[#This Row],[Throw Out Rush Eff]]="N", Table1[[#This Row],[Against FCS Team]]="N"), ROUND(((23.2 * I343) + (150 * K343) - (300 * L343)) / J343, 2), " ")</f>
        <v>94.96</v>
      </c>
      <c r="AD343" s="3">
        <f>IF(AND(Table1[[#This Row],[Throw Out Rush Def Eff]]="N", Table1[[#This Row],[Against FCS Team]]="N"), 200 - ROUND(((23.2 * U343) + (150 * W343) - (300 * X343)) / V343, 2), " ")</f>
        <v>164.07</v>
      </c>
      <c r="AE343" s="3">
        <f>ROUND(Table1[[#This Row],[Opp Passing Attempts]]/(Table1[[#This Row],[Opp Passing Attempts]]+Table1[[#This Row],[Opp Rushing Attempts]]), 2)</f>
        <v>0.68</v>
      </c>
      <c r="AF343" s="3">
        <f>1-Table1[[#This Row],[Passing Weight]]</f>
        <v>0.31999999999999995</v>
      </c>
      <c r="AG343" s="3" t="str">
        <f>IF(COUNTIF(A:A,Table1[[#This Row],[Opp Team Name]]) &gt; 0, "N", "Y")</f>
        <v>N</v>
      </c>
      <c r="AH343" s="3" t="str">
        <f>IF(Table1[[#This Row],[Passing Attempts]] &lt;15, "Y", "N")</f>
        <v>N</v>
      </c>
      <c r="AI343" s="3" t="str">
        <f>IF(Table1[[#This Row],[Rushing Attempts]] &lt; 15, "Y", "N")</f>
        <v>N</v>
      </c>
      <c r="AJ343" s="3" t="str">
        <f>IF(Table1[[#This Row],[Opp Passing Attempts]]&lt;15, "Y", "N")</f>
        <v>N</v>
      </c>
      <c r="AK343" s="3" t="str">
        <f>IF(Table1[[#This Row],[Opp Rushing Attempts]]&lt;15, "Y", "N")</f>
        <v>N</v>
      </c>
      <c r="AL34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79.14</v>
      </c>
      <c r="AM3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108.74</v>
      </c>
      <c r="AN3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101.44</v>
      </c>
      <c r="AO3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80.25</v>
      </c>
      <c r="AP343" s="3">
        <f>ABS(Table1[[#This Row],[Team Score]]-Table1[[#This Row],[Opp Team Score]])</f>
        <v>13</v>
      </c>
      <c r="AQ343" s="3">
        <f>SUM(Table1[[#This Row],[Team Score]], Table1[[#This Row],[Opp Team Score]])</f>
        <v>35</v>
      </c>
      <c r="AR34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100.19</v>
      </c>
      <c r="AS343" s="3">
        <f>IF(Table1[[#This Row],[Efficiency Difference]] = " ", " ", ROUND((Table1[[#This Row],[Winning Margin]]*100)/Table1[[#This Row],[Efficiency Difference]], 2))</f>
        <v>12.98</v>
      </c>
    </row>
    <row r="344" spans="1:45">
      <c r="A344" t="s">
        <v>88</v>
      </c>
      <c r="B344">
        <v>366</v>
      </c>
      <c r="C344">
        <v>24</v>
      </c>
      <c r="D344">
        <v>146</v>
      </c>
      <c r="E344">
        <v>29</v>
      </c>
      <c r="F344">
        <v>0</v>
      </c>
      <c r="G344">
        <v>15</v>
      </c>
      <c r="H344">
        <v>0</v>
      </c>
      <c r="I344">
        <v>86</v>
      </c>
      <c r="J344">
        <v>40</v>
      </c>
      <c r="K344">
        <v>2</v>
      </c>
      <c r="L344">
        <v>0</v>
      </c>
      <c r="M344" t="s">
        <v>33</v>
      </c>
      <c r="N344">
        <v>731</v>
      </c>
      <c r="O344">
        <v>17</v>
      </c>
      <c r="P344">
        <v>128</v>
      </c>
      <c r="Q344">
        <v>24</v>
      </c>
      <c r="R344">
        <v>0</v>
      </c>
      <c r="S344">
        <v>16</v>
      </c>
      <c r="T344">
        <v>1</v>
      </c>
      <c r="U344">
        <v>166</v>
      </c>
      <c r="V344">
        <v>46</v>
      </c>
      <c r="W344">
        <v>2</v>
      </c>
      <c r="X344">
        <v>0</v>
      </c>
      <c r="Y344" t="s">
        <v>16</v>
      </c>
      <c r="Z344">
        <v>8</v>
      </c>
      <c r="AA344" s="3">
        <f>IF(AND(Table1[[#This Row],[Throw Out Pass Eff]]="N", Table1[[#This Row],[Against FCS Team]]="N"), ROUND(((5.45 * D344) + (150 * F344) + (100 * G344) - (300 * H344)) / E344, 2), " ")</f>
        <v>79.16</v>
      </c>
      <c r="AB344" s="3">
        <f>IF(AND(Table1[[#This Row],[Throw Out Pass Def Eff]]="N", Table1[[#This Row],[Against FCS Team]]="N"),200 - ROUND(((5.45 * P344) + (150 * R344) + (100 * S344) - (300 * T344)) / Q344, 2), " ")</f>
        <v>116.77</v>
      </c>
      <c r="AC344" s="3">
        <f>IF(AND(Table1[[#This Row],[Throw Out Rush Eff]]="N", Table1[[#This Row],[Against FCS Team]]="N"), ROUND(((23.2 * I344) + (150 * K344) - (300 * L344)) / J344, 2), " ")</f>
        <v>57.38</v>
      </c>
      <c r="AD344" s="3">
        <f>IF(AND(Table1[[#This Row],[Throw Out Rush Def Eff]]="N", Table1[[#This Row],[Against FCS Team]]="N"), 200 - ROUND(((23.2 * U344) + (150 * W344) - (300 * X344)) / V344, 2), " ")</f>
        <v>109.76</v>
      </c>
      <c r="AE344" s="3">
        <f>ROUND(Table1[[#This Row],[Opp Passing Attempts]]/(Table1[[#This Row],[Opp Passing Attempts]]+Table1[[#This Row],[Opp Rushing Attempts]]), 2)</f>
        <v>0.34</v>
      </c>
      <c r="AF344" s="3">
        <f>1-Table1[[#This Row],[Passing Weight]]</f>
        <v>0.65999999999999992</v>
      </c>
      <c r="AG344" s="3" t="str">
        <f>IF(COUNTIF(A:A,Table1[[#This Row],[Opp Team Name]]) &gt; 0, "N", "Y")</f>
        <v>N</v>
      </c>
      <c r="AH344" s="3" t="str">
        <f>IF(Table1[[#This Row],[Passing Attempts]] &lt;15, "Y", "N")</f>
        <v>N</v>
      </c>
      <c r="AI344" s="3" t="str">
        <f>IF(Table1[[#This Row],[Rushing Attempts]] &lt; 15, "Y", "N")</f>
        <v>N</v>
      </c>
      <c r="AJ344" s="3" t="str">
        <f>IF(Table1[[#This Row],[Opp Passing Attempts]]&lt;15, "Y", "N")</f>
        <v>N</v>
      </c>
      <c r="AK344" s="3" t="str">
        <f>IF(Table1[[#This Row],[Opp Rushing Attempts]]&lt;15, "Y", "N")</f>
        <v>N</v>
      </c>
      <c r="AL3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78.489999999999995</v>
      </c>
      <c r="AM3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121.19</v>
      </c>
      <c r="AN3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70.040000000000006</v>
      </c>
      <c r="AO3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143.44</v>
      </c>
      <c r="AP344" s="3">
        <f>ABS(Table1[[#This Row],[Team Score]]-Table1[[#This Row],[Opp Team Score]])</f>
        <v>7</v>
      </c>
      <c r="AQ344" s="3">
        <f>SUM(Table1[[#This Row],[Team Score]], Table1[[#This Row],[Opp Team Score]])</f>
        <v>41</v>
      </c>
      <c r="AR3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36.930000000000007</v>
      </c>
      <c r="AS344" s="3">
        <f>IF(Table1[[#This Row],[Efficiency Difference]] = " ", " ", ROUND((Table1[[#This Row],[Winning Margin]]*100)/Table1[[#This Row],[Efficiency Difference]], 2))</f>
        <v>18.95</v>
      </c>
    </row>
    <row r="345" spans="1:45">
      <c r="A345" t="s">
        <v>90</v>
      </c>
      <c r="B345">
        <v>367</v>
      </c>
      <c r="C345">
        <v>21</v>
      </c>
      <c r="D345">
        <v>226</v>
      </c>
      <c r="E345">
        <v>33</v>
      </c>
      <c r="F345">
        <v>2</v>
      </c>
      <c r="G345">
        <v>17</v>
      </c>
      <c r="H345">
        <v>1</v>
      </c>
      <c r="I345">
        <v>159</v>
      </c>
      <c r="J345">
        <v>37</v>
      </c>
      <c r="K345">
        <v>1</v>
      </c>
      <c r="L345">
        <v>3</v>
      </c>
      <c r="M345" t="s">
        <v>91</v>
      </c>
      <c r="N345">
        <v>454</v>
      </c>
      <c r="O345">
        <v>9</v>
      </c>
      <c r="P345">
        <v>148</v>
      </c>
      <c r="Q345">
        <v>34</v>
      </c>
      <c r="R345">
        <v>0</v>
      </c>
      <c r="S345">
        <v>17</v>
      </c>
      <c r="T345">
        <v>3</v>
      </c>
      <c r="U345">
        <v>143</v>
      </c>
      <c r="V345">
        <v>49</v>
      </c>
      <c r="W345">
        <v>1</v>
      </c>
      <c r="X345">
        <v>0</v>
      </c>
      <c r="Y345" t="s">
        <v>16</v>
      </c>
      <c r="Z345">
        <v>1</v>
      </c>
      <c r="AA345" t="str">
        <f>IF(AND(Table1[[#This Row],[Throw Out Pass Eff]]="N", Table1[[#This Row],[Against FCS Team]]="N"), ROUND(((5.45 * D345) + (150 * F345) + (100 * G345) - (300 * H345)) / E345, 2), " ")</f>
        <v xml:space="preserve"> </v>
      </c>
      <c r="AB345" t="str">
        <f>IF(AND(Table1[[#This Row],[Throw Out Pass Def Eff]]="N", Table1[[#This Row],[Against FCS Team]]="N"),200 - ROUND(((5.45 * P345) + (150 * R345) + (100 * S345) - (300 * T345)) / Q345, 2), " ")</f>
        <v xml:space="preserve"> </v>
      </c>
      <c r="AC345" t="str">
        <f>IF(AND(Table1[[#This Row],[Throw Out Rush Eff]]="N", Table1[[#This Row],[Against FCS Team]]="N"), ROUND(((23.2 * I345) + (150 * K345) - (300 * L345)) / J345, 2), " ")</f>
        <v xml:space="preserve"> </v>
      </c>
      <c r="AD345" s="3" t="str">
        <f>IF(AND(Table1[[#This Row],[Throw Out Rush Def Eff]]="N", Table1[[#This Row],[Against FCS Team]]="N"), 200 - ROUND(((23.2 * U345) + (150 * W345) - (300 * X345)) / V345, 2), " ")</f>
        <v xml:space="preserve"> </v>
      </c>
      <c r="AE345" s="3">
        <f>ROUND(Table1[[#This Row],[Opp Passing Attempts]]/(Table1[[#This Row],[Opp Passing Attempts]]+Table1[[#This Row],[Opp Rushing Attempts]]), 2)</f>
        <v>0.41</v>
      </c>
      <c r="AF345" s="3">
        <f>1-Table1[[#This Row],[Passing Weight]]</f>
        <v>0.59000000000000008</v>
      </c>
      <c r="AG345" s="3" t="str">
        <f>IF(COUNTIF(A:A,Table1[[#This Row],[Opp Team Name]]) &gt; 0, "N", "Y")</f>
        <v>Y</v>
      </c>
      <c r="AH345" s="3" t="str">
        <f>IF(Table1[[#This Row],[Passing Attempts]] &lt;15, "Y", "N")</f>
        <v>N</v>
      </c>
      <c r="AI345" s="3" t="str">
        <f>IF(Table1[[#This Row],[Rushing Attempts]] &lt; 15, "Y", "N")</f>
        <v>N</v>
      </c>
      <c r="AJ345" s="3" t="str">
        <f>IF(Table1[[#This Row],[Opp Passing Attempts]]&lt;15, "Y", "N")</f>
        <v>N</v>
      </c>
      <c r="AK345" s="3" t="str">
        <f>IF(Table1[[#This Row],[Opp Rushing Attempts]]&lt;15, "Y", "N")</f>
        <v>N</v>
      </c>
      <c r="AL34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4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4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4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45" s="3">
        <f>ABS(Table1[[#This Row],[Team Score]]-Table1[[#This Row],[Opp Team Score]])</f>
        <v>12</v>
      </c>
      <c r="AQ345" s="3">
        <f>SUM(Table1[[#This Row],[Team Score]], Table1[[#This Row],[Opp Team Score]])</f>
        <v>30</v>
      </c>
      <c r="AR34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45" s="3" t="str">
        <f>IF(Table1[[#This Row],[Efficiency Difference]] = " ", " ", ROUND((Table1[[#This Row],[Winning Margin]]*100)/Table1[[#This Row],[Efficiency Difference]], 2))</f>
        <v xml:space="preserve"> </v>
      </c>
    </row>
    <row r="346" spans="1:45">
      <c r="A346" t="s">
        <v>90</v>
      </c>
      <c r="B346">
        <v>367</v>
      </c>
      <c r="C346">
        <v>17</v>
      </c>
      <c r="D346">
        <v>363</v>
      </c>
      <c r="E346">
        <v>45</v>
      </c>
      <c r="F346">
        <v>2</v>
      </c>
      <c r="G346">
        <v>32</v>
      </c>
      <c r="H346">
        <v>1</v>
      </c>
      <c r="I346">
        <v>83</v>
      </c>
      <c r="J346">
        <v>41</v>
      </c>
      <c r="K346">
        <v>0</v>
      </c>
      <c r="L346">
        <v>1</v>
      </c>
      <c r="M346" t="s">
        <v>66</v>
      </c>
      <c r="N346">
        <v>231</v>
      </c>
      <c r="O346">
        <v>24</v>
      </c>
      <c r="P346">
        <v>248</v>
      </c>
      <c r="Q346">
        <v>21</v>
      </c>
      <c r="R346">
        <v>2</v>
      </c>
      <c r="S346">
        <v>14</v>
      </c>
      <c r="T346">
        <v>0</v>
      </c>
      <c r="U346">
        <v>45</v>
      </c>
      <c r="V346">
        <v>26</v>
      </c>
      <c r="W346">
        <v>0</v>
      </c>
      <c r="X346">
        <v>0</v>
      </c>
      <c r="Y346" t="s">
        <v>19</v>
      </c>
      <c r="Z346">
        <v>2</v>
      </c>
      <c r="AA346">
        <f>IF(AND(Table1[[#This Row],[Throw Out Pass Eff]]="N", Table1[[#This Row],[Against FCS Team]]="N"), ROUND(((5.45 * D346) + (150 * F346) + (100 * G346) - (300 * H346)) / E346, 2), " ")</f>
        <v>115.07</v>
      </c>
      <c r="AB346">
        <f>IF(AND(Table1[[#This Row],[Throw Out Pass Def Eff]]="N", Table1[[#This Row],[Against FCS Team]]="N"),200 - ROUND(((5.45 * P346) + (150 * R346) + (100 * S346) - (300 * T346)) / Q346, 2), " ")</f>
        <v>54.69</v>
      </c>
      <c r="AC346">
        <f>IF(AND(Table1[[#This Row],[Throw Out Rush Eff]]="N", Table1[[#This Row],[Against FCS Team]]="N"), ROUND(((23.2 * I346) + (150 * K346) - (300 * L346)) / J346, 2), " ")</f>
        <v>39.65</v>
      </c>
      <c r="AD346" s="3">
        <f>IF(AND(Table1[[#This Row],[Throw Out Rush Def Eff]]="N", Table1[[#This Row],[Against FCS Team]]="N"), 200 - ROUND(((23.2 * U346) + (150 * W346) - (300 * X346)) / V346, 2), " ")</f>
        <v>159.85</v>
      </c>
      <c r="AE346" s="3">
        <f>ROUND(Table1[[#This Row],[Opp Passing Attempts]]/(Table1[[#This Row],[Opp Passing Attempts]]+Table1[[#This Row],[Opp Rushing Attempts]]), 2)</f>
        <v>0.45</v>
      </c>
      <c r="AF346" s="3">
        <f>1-Table1[[#This Row],[Passing Weight]]</f>
        <v>0.55000000000000004</v>
      </c>
      <c r="AG346" s="3" t="str">
        <f>IF(COUNTIF(A:A,Table1[[#This Row],[Opp Team Name]]) &gt; 0, "N", "Y")</f>
        <v>N</v>
      </c>
      <c r="AH346" s="3" t="str">
        <f>IF(Table1[[#This Row],[Passing Attempts]] &lt;15, "Y", "N")</f>
        <v>N</v>
      </c>
      <c r="AI346" s="3" t="str">
        <f>IF(Table1[[#This Row],[Rushing Attempts]] &lt; 15, "Y", "N")</f>
        <v>N</v>
      </c>
      <c r="AJ346" s="3" t="str">
        <f>IF(Table1[[#This Row],[Opp Passing Attempts]]&lt;15, "Y", "N")</f>
        <v>N</v>
      </c>
      <c r="AK346" s="3" t="str">
        <f>IF(Table1[[#This Row],[Opp Rushing Attempts]]&lt;15, "Y", "N")</f>
        <v>N</v>
      </c>
      <c r="AL3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118.4</v>
      </c>
      <c r="AM3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59.03</v>
      </c>
      <c r="AN3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47.5</v>
      </c>
      <c r="AO34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138.69</v>
      </c>
      <c r="AP346" s="3">
        <f>ABS(Table1[[#This Row],[Team Score]]-Table1[[#This Row],[Opp Team Score]])</f>
        <v>7</v>
      </c>
      <c r="AQ346" s="3">
        <f>SUM(Table1[[#This Row],[Team Score]], Table1[[#This Row],[Opp Team Score]])</f>
        <v>41</v>
      </c>
      <c r="AR34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30.740000000000009</v>
      </c>
      <c r="AS346" s="3">
        <f>IF(Table1[[#This Row],[Efficiency Difference]] = " ", " ", ROUND((Table1[[#This Row],[Winning Margin]]*100)/Table1[[#This Row],[Efficiency Difference]], 2))</f>
        <v>22.77</v>
      </c>
    </row>
    <row r="347" spans="1:45">
      <c r="A347" t="s">
        <v>90</v>
      </c>
      <c r="B347">
        <v>367</v>
      </c>
      <c r="C347">
        <v>24</v>
      </c>
      <c r="D347">
        <v>146</v>
      </c>
      <c r="E347">
        <v>22</v>
      </c>
      <c r="F347">
        <v>3</v>
      </c>
      <c r="G347">
        <v>12</v>
      </c>
      <c r="H347">
        <v>0</v>
      </c>
      <c r="I347">
        <v>181</v>
      </c>
      <c r="J347">
        <v>40</v>
      </c>
      <c r="K347">
        <v>0</v>
      </c>
      <c r="L347">
        <v>0</v>
      </c>
      <c r="M347" t="s">
        <v>84</v>
      </c>
      <c r="N347">
        <v>334</v>
      </c>
      <c r="O347">
        <v>17</v>
      </c>
      <c r="P347">
        <v>255</v>
      </c>
      <c r="Q347">
        <v>42</v>
      </c>
      <c r="R347">
        <v>2</v>
      </c>
      <c r="S347">
        <v>27</v>
      </c>
      <c r="T347">
        <v>0</v>
      </c>
      <c r="U347">
        <v>35</v>
      </c>
      <c r="V347">
        <v>32</v>
      </c>
      <c r="W347">
        <v>0</v>
      </c>
      <c r="X347">
        <v>1</v>
      </c>
      <c r="Y347" t="s">
        <v>16</v>
      </c>
      <c r="Z347">
        <v>3</v>
      </c>
      <c r="AA347">
        <f>IF(AND(Table1[[#This Row],[Throw Out Pass Eff]]="N", Table1[[#This Row],[Against FCS Team]]="N"), ROUND(((5.45 * D347) + (150 * F347) + (100 * G347) - (300 * H347)) / E347, 2), " ")</f>
        <v>111.17</v>
      </c>
      <c r="AB347">
        <f>IF(AND(Table1[[#This Row],[Throw Out Pass Def Eff]]="N", Table1[[#This Row],[Against FCS Team]]="N"),200 - ROUND(((5.45 * P347) + (150 * R347) + (100 * S347) - (300 * T347)) / Q347, 2), " ")</f>
        <v>95.48</v>
      </c>
      <c r="AC347">
        <f>IF(AND(Table1[[#This Row],[Throw Out Rush Eff]]="N", Table1[[#This Row],[Against FCS Team]]="N"), ROUND(((23.2 * I347) + (150 * K347) - (300 * L347)) / J347, 2), " ")</f>
        <v>104.98</v>
      </c>
      <c r="AD347" s="3">
        <f>IF(AND(Table1[[#This Row],[Throw Out Rush Def Eff]]="N", Table1[[#This Row],[Against FCS Team]]="N"), 200 - ROUND(((23.2 * U347) + (150 * W347) - (300 * X347)) / V347, 2), " ")</f>
        <v>184</v>
      </c>
      <c r="AE347" s="3">
        <f>ROUND(Table1[[#This Row],[Opp Passing Attempts]]/(Table1[[#This Row],[Opp Passing Attempts]]+Table1[[#This Row],[Opp Rushing Attempts]]), 2)</f>
        <v>0.56999999999999995</v>
      </c>
      <c r="AF347" s="3">
        <f>1-Table1[[#This Row],[Passing Weight]]</f>
        <v>0.43000000000000005</v>
      </c>
      <c r="AG347" s="3" t="str">
        <f>IF(COUNTIF(A:A,Table1[[#This Row],[Opp Team Name]]) &gt; 0, "N", "Y")</f>
        <v>N</v>
      </c>
      <c r="AH347" s="3" t="str">
        <f>IF(Table1[[#This Row],[Passing Attempts]] &lt;15, "Y", "N")</f>
        <v>N</v>
      </c>
      <c r="AI347" s="3" t="str">
        <f>IF(Table1[[#This Row],[Rushing Attempts]] &lt; 15, "Y", "N")</f>
        <v>N</v>
      </c>
      <c r="AJ347" s="3" t="str">
        <f>IF(Table1[[#This Row],[Opp Passing Attempts]]&lt;15, "Y", "N")</f>
        <v>N</v>
      </c>
      <c r="AK347" s="3" t="str">
        <f>IF(Table1[[#This Row],[Opp Rushing Attempts]]&lt;15, "Y", "N")</f>
        <v>N</v>
      </c>
      <c r="AL3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131.62</v>
      </c>
      <c r="AM3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45.94</v>
      </c>
      <c r="AN34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89.2</v>
      </c>
      <c r="AO3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119.83</v>
      </c>
      <c r="AP347" s="3">
        <f>ABS(Table1[[#This Row],[Team Score]]-Table1[[#This Row],[Opp Team Score]])</f>
        <v>7</v>
      </c>
      <c r="AQ347" s="3">
        <f>SUM(Table1[[#This Row],[Team Score]], Table1[[#This Row],[Opp Team Score]])</f>
        <v>41</v>
      </c>
      <c r="AR34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95.630000000000024</v>
      </c>
      <c r="AS347" s="3">
        <f>IF(Table1[[#This Row],[Efficiency Difference]] = " ", " ", ROUND((Table1[[#This Row],[Winning Margin]]*100)/Table1[[#This Row],[Efficiency Difference]], 2))</f>
        <v>7.32</v>
      </c>
    </row>
    <row r="348" spans="1:45">
      <c r="A348" t="s">
        <v>90</v>
      </c>
      <c r="B348">
        <v>367</v>
      </c>
      <c r="C348">
        <v>13</v>
      </c>
      <c r="D348">
        <v>221</v>
      </c>
      <c r="E348">
        <v>29</v>
      </c>
      <c r="F348">
        <v>1</v>
      </c>
      <c r="G348">
        <v>20</v>
      </c>
      <c r="H348">
        <v>2</v>
      </c>
      <c r="I348">
        <v>60</v>
      </c>
      <c r="J348">
        <v>29</v>
      </c>
      <c r="K348">
        <v>1</v>
      </c>
      <c r="L348">
        <v>0</v>
      </c>
      <c r="M348" t="s">
        <v>176</v>
      </c>
      <c r="N348">
        <v>388</v>
      </c>
      <c r="O348">
        <v>17</v>
      </c>
      <c r="P348">
        <v>236</v>
      </c>
      <c r="Q348">
        <v>30</v>
      </c>
      <c r="R348">
        <v>2</v>
      </c>
      <c r="S348">
        <v>18</v>
      </c>
      <c r="T348">
        <v>0</v>
      </c>
      <c r="U348">
        <v>117</v>
      </c>
      <c r="V348">
        <v>45</v>
      </c>
      <c r="W348">
        <v>0</v>
      </c>
      <c r="X348">
        <v>0</v>
      </c>
      <c r="Y348" t="s">
        <v>19</v>
      </c>
      <c r="Z348">
        <v>5</v>
      </c>
      <c r="AA348">
        <f>IF(AND(Table1[[#This Row],[Throw Out Pass Eff]]="N", Table1[[#This Row],[Against FCS Team]]="N"), ROUND(((5.45 * D348) + (150 * F348) + (100 * G348) - (300 * H348)) / E348, 2), " ")</f>
        <v>94.98</v>
      </c>
      <c r="AB348">
        <f>IF(AND(Table1[[#This Row],[Throw Out Pass Def Eff]]="N", Table1[[#This Row],[Against FCS Team]]="N"),200 - ROUND(((5.45 * P348) + (150 * R348) + (100 * S348) - (300 * T348)) / Q348, 2), " ")</f>
        <v>87.13</v>
      </c>
      <c r="AC348">
        <f>IF(AND(Table1[[#This Row],[Throw Out Rush Eff]]="N", Table1[[#This Row],[Against FCS Team]]="N"), ROUND(((23.2 * I348) + (150 * K348) - (300 * L348)) / J348, 2), " ")</f>
        <v>53.17</v>
      </c>
      <c r="AD348" s="3">
        <f>IF(AND(Table1[[#This Row],[Throw Out Rush Def Eff]]="N", Table1[[#This Row],[Against FCS Team]]="N"), 200 - ROUND(((23.2 * U348) + (150 * W348) - (300 * X348)) / V348, 2), " ")</f>
        <v>139.68</v>
      </c>
      <c r="AE348" s="3">
        <f>ROUND(Table1[[#This Row],[Opp Passing Attempts]]/(Table1[[#This Row],[Opp Passing Attempts]]+Table1[[#This Row],[Opp Rushing Attempts]]), 2)</f>
        <v>0.4</v>
      </c>
      <c r="AF348" s="3">
        <f>1-Table1[[#This Row],[Passing Weight]]</f>
        <v>0.6</v>
      </c>
      <c r="AG348" s="3" t="str">
        <f>IF(COUNTIF(A:A,Table1[[#This Row],[Opp Team Name]]) &gt; 0, "N", "Y")</f>
        <v>N</v>
      </c>
      <c r="AH348" s="3" t="str">
        <f>IF(Table1[[#This Row],[Passing Attempts]] &lt;15, "Y", "N")</f>
        <v>N</v>
      </c>
      <c r="AI348" s="3" t="str">
        <f>IF(Table1[[#This Row],[Rushing Attempts]] &lt; 15, "Y", "N")</f>
        <v>N</v>
      </c>
      <c r="AJ348" s="3" t="str">
        <f>IF(Table1[[#This Row],[Opp Passing Attempts]]&lt;15, "Y", "N")</f>
        <v>N</v>
      </c>
      <c r="AK348" s="3" t="str">
        <f>IF(Table1[[#This Row],[Opp Rushing Attempts]]&lt;15, "Y", "N")</f>
        <v>N</v>
      </c>
      <c r="AL3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83.57</v>
      </c>
      <c r="AM3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71.959999999999994</v>
      </c>
      <c r="AN3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57.45</v>
      </c>
      <c r="AO3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96.33</v>
      </c>
      <c r="AP348" s="3">
        <f>ABS(Table1[[#This Row],[Team Score]]-Table1[[#This Row],[Opp Team Score]])</f>
        <v>4</v>
      </c>
      <c r="AQ348" s="3">
        <f>SUM(Table1[[#This Row],[Team Score]], Table1[[#This Row],[Opp Team Score]])</f>
        <v>30</v>
      </c>
      <c r="AR3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25.039999999999992</v>
      </c>
      <c r="AS348" s="3">
        <f>IF(Table1[[#This Row],[Efficiency Difference]] = " ", " ", ROUND((Table1[[#This Row],[Winning Margin]]*100)/Table1[[#This Row],[Efficiency Difference]], 2))</f>
        <v>15.97</v>
      </c>
    </row>
    <row r="349" spans="1:45">
      <c r="A349" t="s">
        <v>90</v>
      </c>
      <c r="B349">
        <v>367</v>
      </c>
      <c r="C349">
        <v>7</v>
      </c>
      <c r="D349">
        <v>173</v>
      </c>
      <c r="E349">
        <v>31</v>
      </c>
      <c r="F349">
        <v>1</v>
      </c>
      <c r="G349">
        <v>19</v>
      </c>
      <c r="H349">
        <v>1</v>
      </c>
      <c r="I349">
        <v>100</v>
      </c>
      <c r="J349">
        <v>38</v>
      </c>
      <c r="K349">
        <v>0</v>
      </c>
      <c r="L349">
        <v>0</v>
      </c>
      <c r="M349" t="s">
        <v>110</v>
      </c>
      <c r="N349">
        <v>457</v>
      </c>
      <c r="O349">
        <v>14</v>
      </c>
      <c r="P349">
        <v>178</v>
      </c>
      <c r="Q349">
        <v>19</v>
      </c>
      <c r="R349">
        <v>1</v>
      </c>
      <c r="S349">
        <v>12</v>
      </c>
      <c r="T349">
        <v>0</v>
      </c>
      <c r="U349">
        <v>86</v>
      </c>
      <c r="V349">
        <v>32</v>
      </c>
      <c r="W349">
        <v>1</v>
      </c>
      <c r="X349">
        <v>1</v>
      </c>
      <c r="Y349" t="s">
        <v>19</v>
      </c>
      <c r="Z349">
        <v>6</v>
      </c>
      <c r="AA349">
        <f>IF(AND(Table1[[#This Row],[Throw Out Pass Eff]]="N", Table1[[#This Row],[Against FCS Team]]="N"), ROUND(((5.45 * D349) + (150 * F349) + (100 * G349) - (300 * H349)) / E349, 2), " ")</f>
        <v>86.87</v>
      </c>
      <c r="AB349">
        <f>IF(AND(Table1[[#This Row],[Throw Out Pass Def Eff]]="N", Table1[[#This Row],[Against FCS Team]]="N"),200 - ROUND(((5.45 * P349) + (150 * R349) + (100 * S349) - (300 * T349)) / Q349, 2), " ")</f>
        <v>77.89</v>
      </c>
      <c r="AC349">
        <f>IF(AND(Table1[[#This Row],[Throw Out Rush Eff]]="N", Table1[[#This Row],[Against FCS Team]]="N"), ROUND(((23.2 * I349) + (150 * K349) - (300 * L349)) / J349, 2), " ")</f>
        <v>61.05</v>
      </c>
      <c r="AD349" s="3">
        <f>IF(AND(Table1[[#This Row],[Throw Out Rush Def Eff]]="N", Table1[[#This Row],[Against FCS Team]]="N"), 200 - ROUND(((23.2 * U349) + (150 * W349) - (300 * X349)) / V349, 2), " ")</f>
        <v>142.34</v>
      </c>
      <c r="AE349" s="3">
        <f>ROUND(Table1[[#This Row],[Opp Passing Attempts]]/(Table1[[#This Row],[Opp Passing Attempts]]+Table1[[#This Row],[Opp Rushing Attempts]]), 2)</f>
        <v>0.37</v>
      </c>
      <c r="AF349" s="3">
        <f>1-Table1[[#This Row],[Passing Weight]]</f>
        <v>0.63</v>
      </c>
      <c r="AG349" s="3" t="str">
        <f>IF(COUNTIF(A:A,Table1[[#This Row],[Opp Team Name]]) &gt; 0, "N", "Y")</f>
        <v>N</v>
      </c>
      <c r="AH349" s="3" t="str">
        <f>IF(Table1[[#This Row],[Passing Attempts]] &lt;15, "Y", "N")</f>
        <v>N</v>
      </c>
      <c r="AI349" s="3" t="str">
        <f>IF(Table1[[#This Row],[Rushing Attempts]] &lt; 15, "Y", "N")</f>
        <v>N</v>
      </c>
      <c r="AJ349" s="3" t="str">
        <f>IF(Table1[[#This Row],[Opp Passing Attempts]]&lt;15, "Y", "N")</f>
        <v>N</v>
      </c>
      <c r="AK349" s="3" t="str">
        <f>IF(Table1[[#This Row],[Opp Rushing Attempts]]&lt;15, "Y", "N")</f>
        <v>N</v>
      </c>
      <c r="AL3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85.35</v>
      </c>
      <c r="AM3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91.83</v>
      </c>
      <c r="AN3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85.02</v>
      </c>
      <c r="AO3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135.16999999999999</v>
      </c>
      <c r="AP349" s="3">
        <f>ABS(Table1[[#This Row],[Team Score]]-Table1[[#This Row],[Opp Team Score]])</f>
        <v>7</v>
      </c>
      <c r="AQ349" s="3">
        <f>SUM(Table1[[#This Row],[Team Score]], Table1[[#This Row],[Opp Team Score]])</f>
        <v>21</v>
      </c>
      <c r="AR3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31.849999999999966</v>
      </c>
      <c r="AS349" s="3">
        <f>IF(Table1[[#This Row],[Efficiency Difference]] = " ", " ", ROUND((Table1[[#This Row],[Winning Margin]]*100)/Table1[[#This Row],[Efficiency Difference]], 2))</f>
        <v>21.98</v>
      </c>
    </row>
    <row r="350" spans="1:45">
      <c r="A350" t="s">
        <v>90</v>
      </c>
      <c r="B350">
        <v>367</v>
      </c>
      <c r="C350">
        <v>16</v>
      </c>
      <c r="D350">
        <v>201</v>
      </c>
      <c r="E350">
        <v>32</v>
      </c>
      <c r="F350">
        <v>0</v>
      </c>
      <c r="G350">
        <v>19</v>
      </c>
      <c r="H350">
        <v>1</v>
      </c>
      <c r="I350">
        <v>70</v>
      </c>
      <c r="J350">
        <v>33</v>
      </c>
      <c r="K350">
        <v>0</v>
      </c>
      <c r="L350">
        <v>0</v>
      </c>
      <c r="M350" t="s">
        <v>52</v>
      </c>
      <c r="N350">
        <v>140</v>
      </c>
      <c r="O350">
        <v>25</v>
      </c>
      <c r="P350">
        <v>152</v>
      </c>
      <c r="Q350">
        <v>26</v>
      </c>
      <c r="R350">
        <v>1</v>
      </c>
      <c r="S350">
        <v>18</v>
      </c>
      <c r="T350">
        <v>1</v>
      </c>
      <c r="U350">
        <v>178</v>
      </c>
      <c r="V350">
        <v>36</v>
      </c>
      <c r="W350">
        <v>2</v>
      </c>
      <c r="X350">
        <v>0</v>
      </c>
      <c r="Y350" t="s">
        <v>19</v>
      </c>
      <c r="Z350">
        <v>7</v>
      </c>
      <c r="AA350">
        <f>IF(AND(Table1[[#This Row],[Throw Out Pass Eff]]="N", Table1[[#This Row],[Against FCS Team]]="N"), ROUND(((5.45 * D350) + (150 * F350) + (100 * G350) - (300 * H350)) / E350, 2), " ")</f>
        <v>84.23</v>
      </c>
      <c r="AB350">
        <f>IF(AND(Table1[[#This Row],[Throw Out Pass Def Eff]]="N", Table1[[#This Row],[Against FCS Team]]="N"),200 - ROUND(((5.45 * P350) + (150 * R350) + (100 * S350) - (300 * T350)) / Q350, 2), " ")</f>
        <v>104.68</v>
      </c>
      <c r="AC350">
        <f>IF(AND(Table1[[#This Row],[Throw Out Rush Eff]]="N", Table1[[#This Row],[Against FCS Team]]="N"), ROUND(((23.2 * I350) + (150 * K350) - (300 * L350)) / J350, 2), " ")</f>
        <v>49.21</v>
      </c>
      <c r="AD350" s="3">
        <f>IF(AND(Table1[[#This Row],[Throw Out Rush Def Eff]]="N", Table1[[#This Row],[Against FCS Team]]="N"), 200 - ROUND(((23.2 * U350) + (150 * W350) - (300 * X350)) / V350, 2), " ")</f>
        <v>76.959999999999994</v>
      </c>
      <c r="AE350" s="3">
        <f>ROUND(Table1[[#This Row],[Opp Passing Attempts]]/(Table1[[#This Row],[Opp Passing Attempts]]+Table1[[#This Row],[Opp Rushing Attempts]]), 2)</f>
        <v>0.42</v>
      </c>
      <c r="AF350" s="3">
        <f>1-Table1[[#This Row],[Passing Weight]]</f>
        <v>0.58000000000000007</v>
      </c>
      <c r="AG350" s="3" t="str">
        <f>IF(COUNTIF(A:A,Table1[[#This Row],[Opp Team Name]]) &gt; 0, "N", "Y")</f>
        <v>N</v>
      </c>
      <c r="AH350" s="3" t="str">
        <f>IF(Table1[[#This Row],[Passing Attempts]] &lt;15, "Y", "N")</f>
        <v>N</v>
      </c>
      <c r="AI350" s="3" t="str">
        <f>IF(Table1[[#This Row],[Rushing Attempts]] &lt; 15, "Y", "N")</f>
        <v>N</v>
      </c>
      <c r="AJ350" s="3" t="str">
        <f>IF(Table1[[#This Row],[Opp Passing Attempts]]&lt;15, "Y", "N")</f>
        <v>N</v>
      </c>
      <c r="AK350" s="3" t="str">
        <f>IF(Table1[[#This Row],[Opp Rushing Attempts]]&lt;15, "Y", "N")</f>
        <v>N</v>
      </c>
      <c r="AL3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83.07</v>
      </c>
      <c r="AM3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109.76</v>
      </c>
      <c r="AN3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83.79</v>
      </c>
      <c r="AO3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84.3</v>
      </c>
      <c r="AP350" s="3">
        <f>ABS(Table1[[#This Row],[Team Score]]-Table1[[#This Row],[Opp Team Score]])</f>
        <v>9</v>
      </c>
      <c r="AQ350" s="3">
        <f>SUM(Table1[[#This Row],[Team Score]], Table1[[#This Row],[Opp Team Score]])</f>
        <v>41</v>
      </c>
      <c r="AR3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84.920000000000016</v>
      </c>
      <c r="AS350" s="3">
        <f>IF(Table1[[#This Row],[Efficiency Difference]] = " ", " ", ROUND((Table1[[#This Row],[Winning Margin]]*100)/Table1[[#This Row],[Efficiency Difference]], 2))</f>
        <v>10.6</v>
      </c>
    </row>
    <row r="351" spans="1:45">
      <c r="A351" t="s">
        <v>90</v>
      </c>
      <c r="B351">
        <v>367</v>
      </c>
      <c r="C351">
        <v>16</v>
      </c>
      <c r="D351">
        <v>122</v>
      </c>
      <c r="E351">
        <v>18</v>
      </c>
      <c r="F351">
        <v>1</v>
      </c>
      <c r="G351">
        <v>10</v>
      </c>
      <c r="H351">
        <v>1</v>
      </c>
      <c r="I351">
        <v>187</v>
      </c>
      <c r="J351">
        <v>34</v>
      </c>
      <c r="K351">
        <v>1</v>
      </c>
      <c r="L351">
        <v>0</v>
      </c>
      <c r="M351" t="s">
        <v>124</v>
      </c>
      <c r="N351">
        <v>587</v>
      </c>
      <c r="O351">
        <v>14</v>
      </c>
      <c r="P351">
        <v>207</v>
      </c>
      <c r="Q351">
        <v>33</v>
      </c>
      <c r="R351">
        <v>1</v>
      </c>
      <c r="S351">
        <v>18</v>
      </c>
      <c r="T351">
        <v>3</v>
      </c>
      <c r="U351">
        <v>91</v>
      </c>
      <c r="V351">
        <v>30</v>
      </c>
      <c r="W351">
        <v>1</v>
      </c>
      <c r="X351">
        <v>0</v>
      </c>
      <c r="Y351" t="s">
        <v>16</v>
      </c>
      <c r="Z351">
        <v>8</v>
      </c>
      <c r="AA351" s="3">
        <f>IF(AND(Table1[[#This Row],[Throw Out Pass Eff]]="N", Table1[[#This Row],[Against FCS Team]]="N"), ROUND(((5.45 * D351) + (150 * F351) + (100 * G351) - (300 * H351)) / E351, 2), " ")</f>
        <v>84.16</v>
      </c>
      <c r="AB351" s="3">
        <f>IF(AND(Table1[[#This Row],[Throw Out Pass Def Eff]]="N", Table1[[#This Row],[Against FCS Team]]="N"),200 - ROUND(((5.45 * P351) + (150 * R351) + (100 * S351) - (300 * T351)) / Q351, 2), " ")</f>
        <v>134</v>
      </c>
      <c r="AC351" s="3">
        <f>IF(AND(Table1[[#This Row],[Throw Out Rush Eff]]="N", Table1[[#This Row],[Against FCS Team]]="N"), ROUND(((23.2 * I351) + (150 * K351) - (300 * L351)) / J351, 2), " ")</f>
        <v>132.01</v>
      </c>
      <c r="AD351" s="3">
        <f>IF(AND(Table1[[#This Row],[Throw Out Rush Def Eff]]="N", Table1[[#This Row],[Against FCS Team]]="N"), 200 - ROUND(((23.2 * U351) + (150 * W351) - (300 * X351)) / V351, 2), " ")</f>
        <v>124.63</v>
      </c>
      <c r="AE351" s="3">
        <f>ROUND(Table1[[#This Row],[Opp Passing Attempts]]/(Table1[[#This Row],[Opp Passing Attempts]]+Table1[[#This Row],[Opp Rushing Attempts]]), 2)</f>
        <v>0.52</v>
      </c>
      <c r="AF351" s="3">
        <f>1-Table1[[#This Row],[Passing Weight]]</f>
        <v>0.48</v>
      </c>
      <c r="AG351" s="3" t="str">
        <f>IF(COUNTIF(A:A,Table1[[#This Row],[Opp Team Name]]) &gt; 0, "N", "Y")</f>
        <v>N</v>
      </c>
      <c r="AH351" s="3" t="str">
        <f>IF(Table1[[#This Row],[Passing Attempts]] &lt;15, "Y", "N")</f>
        <v>N</v>
      </c>
      <c r="AI351" s="3" t="str">
        <f>IF(Table1[[#This Row],[Rushing Attempts]] &lt; 15, "Y", "N")</f>
        <v>N</v>
      </c>
      <c r="AJ351" s="3" t="str">
        <f>IF(Table1[[#This Row],[Opp Passing Attempts]]&lt;15, "Y", "N")</f>
        <v>N</v>
      </c>
      <c r="AK351" s="3" t="str">
        <f>IF(Table1[[#This Row],[Opp Rushing Attempts]]&lt;15, "Y", "N")</f>
        <v>N</v>
      </c>
      <c r="AL3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101.08</v>
      </c>
      <c r="AM3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122.08</v>
      </c>
      <c r="AN3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147.12</v>
      </c>
      <c r="AO3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58.53</v>
      </c>
      <c r="AP351" s="3">
        <f>ABS(Table1[[#This Row],[Team Score]]-Table1[[#This Row],[Opp Team Score]])</f>
        <v>2</v>
      </c>
      <c r="AQ351" s="3">
        <f>SUM(Table1[[#This Row],[Team Score]], Table1[[#This Row],[Opp Team Score]])</f>
        <v>30</v>
      </c>
      <c r="AR3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74.799999999999983</v>
      </c>
      <c r="AS351" s="3">
        <f>IF(Table1[[#This Row],[Efficiency Difference]] = " ", " ", ROUND((Table1[[#This Row],[Winning Margin]]*100)/Table1[[#This Row],[Efficiency Difference]], 2))</f>
        <v>2.67</v>
      </c>
    </row>
    <row r="352" spans="1:45">
      <c r="A352" t="s">
        <v>92</v>
      </c>
      <c r="B352">
        <v>365</v>
      </c>
      <c r="C352">
        <v>49</v>
      </c>
      <c r="D352">
        <v>225</v>
      </c>
      <c r="E352">
        <v>21</v>
      </c>
      <c r="F352">
        <v>2</v>
      </c>
      <c r="G352">
        <v>17</v>
      </c>
      <c r="H352">
        <v>0</v>
      </c>
      <c r="I352">
        <v>175</v>
      </c>
      <c r="J352">
        <v>45</v>
      </c>
      <c r="K352">
        <v>5</v>
      </c>
      <c r="L352">
        <v>1</v>
      </c>
      <c r="M352" t="s">
        <v>175</v>
      </c>
      <c r="N352">
        <v>508</v>
      </c>
      <c r="O352">
        <v>3</v>
      </c>
      <c r="P352">
        <v>99</v>
      </c>
      <c r="Q352">
        <v>29</v>
      </c>
      <c r="R352">
        <v>0</v>
      </c>
      <c r="S352">
        <v>17</v>
      </c>
      <c r="T352">
        <v>1</v>
      </c>
      <c r="U352">
        <v>-4</v>
      </c>
      <c r="V352">
        <v>27</v>
      </c>
      <c r="W352">
        <v>0</v>
      </c>
      <c r="X352">
        <v>0</v>
      </c>
      <c r="Y352" t="s">
        <v>16</v>
      </c>
      <c r="Z352">
        <v>2</v>
      </c>
      <c r="AA352" t="str">
        <f>IF(AND(Table1[[#This Row],[Throw Out Pass Eff]]="N", Table1[[#This Row],[Against FCS Team]]="N"), ROUND(((5.45 * D352) + (150 * F352) + (100 * G352) - (300 * H352)) / E352, 2), " ")</f>
        <v xml:space="preserve"> </v>
      </c>
      <c r="AB352" t="str">
        <f>IF(AND(Table1[[#This Row],[Throw Out Pass Def Eff]]="N", Table1[[#This Row],[Against FCS Team]]="N"),200 - ROUND(((5.45 * P352) + (150 * R352) + (100 * S352) - (300 * T352)) / Q352, 2), " ")</f>
        <v xml:space="preserve"> </v>
      </c>
      <c r="AC352" t="str">
        <f>IF(AND(Table1[[#This Row],[Throw Out Rush Eff]]="N", Table1[[#This Row],[Against FCS Team]]="N"), ROUND(((23.2 * I352) + (150 * K352) - (300 * L352)) / J352, 2), " ")</f>
        <v xml:space="preserve"> </v>
      </c>
      <c r="AD352" s="3" t="str">
        <f>IF(AND(Table1[[#This Row],[Throw Out Rush Def Eff]]="N", Table1[[#This Row],[Against FCS Team]]="N"), 200 - ROUND(((23.2 * U352) + (150 * W352) - (300 * X352)) / V352, 2), " ")</f>
        <v xml:space="preserve"> </v>
      </c>
      <c r="AE352" s="3">
        <f>ROUND(Table1[[#This Row],[Opp Passing Attempts]]/(Table1[[#This Row],[Opp Passing Attempts]]+Table1[[#This Row],[Opp Rushing Attempts]]), 2)</f>
        <v>0.52</v>
      </c>
      <c r="AF352" s="3">
        <f>1-Table1[[#This Row],[Passing Weight]]</f>
        <v>0.48</v>
      </c>
      <c r="AG352" s="3" t="str">
        <f>IF(COUNTIF(A:A,Table1[[#This Row],[Opp Team Name]]) &gt; 0, "N", "Y")</f>
        <v>Y</v>
      </c>
      <c r="AH352" s="3" t="str">
        <f>IF(Table1[[#This Row],[Passing Attempts]] &lt;15, "Y", "N")</f>
        <v>N</v>
      </c>
      <c r="AI352" s="3" t="str">
        <f>IF(Table1[[#This Row],[Rushing Attempts]] &lt; 15, "Y", "N")</f>
        <v>N</v>
      </c>
      <c r="AJ352" s="3" t="str">
        <f>IF(Table1[[#This Row],[Opp Passing Attempts]]&lt;15, "Y", "N")</f>
        <v>N</v>
      </c>
      <c r="AK352" s="3" t="str">
        <f>IF(Table1[[#This Row],[Opp Rushing Attempts]]&lt;15, "Y", "N")</f>
        <v>N</v>
      </c>
      <c r="AL35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5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5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52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52" s="3">
        <f>ABS(Table1[[#This Row],[Team Score]]-Table1[[#This Row],[Opp Team Score]])</f>
        <v>46</v>
      </c>
      <c r="AQ352" s="3">
        <f>SUM(Table1[[#This Row],[Team Score]], Table1[[#This Row],[Opp Team Score]])</f>
        <v>52</v>
      </c>
      <c r="AR35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52" s="3" t="str">
        <f>IF(Table1[[#This Row],[Efficiency Difference]] = " ", " ", ROUND((Table1[[#This Row],[Winning Margin]]*100)/Table1[[#This Row],[Efficiency Difference]], 2))</f>
        <v xml:space="preserve"> </v>
      </c>
    </row>
    <row r="353" spans="1:45">
      <c r="A353" t="s">
        <v>92</v>
      </c>
      <c r="B353">
        <v>365</v>
      </c>
      <c r="C353">
        <v>40</v>
      </c>
      <c r="D353">
        <v>98</v>
      </c>
      <c r="E353">
        <v>22</v>
      </c>
      <c r="F353">
        <v>1</v>
      </c>
      <c r="G353">
        <v>10</v>
      </c>
      <c r="H353">
        <v>0</v>
      </c>
      <c r="I353">
        <v>175</v>
      </c>
      <c r="J353">
        <v>48</v>
      </c>
      <c r="K353">
        <v>3</v>
      </c>
      <c r="L353">
        <v>1</v>
      </c>
      <c r="M353" t="s">
        <v>93</v>
      </c>
      <c r="N353">
        <v>529</v>
      </c>
      <c r="O353">
        <v>27</v>
      </c>
      <c r="P353">
        <v>240</v>
      </c>
      <c r="Q353">
        <v>54</v>
      </c>
      <c r="R353">
        <v>1</v>
      </c>
      <c r="S353">
        <v>31</v>
      </c>
      <c r="T353">
        <v>1</v>
      </c>
      <c r="U353">
        <v>95</v>
      </c>
      <c r="V353">
        <v>28</v>
      </c>
      <c r="W353">
        <v>2</v>
      </c>
      <c r="X353">
        <v>3</v>
      </c>
      <c r="Y353" t="s">
        <v>16</v>
      </c>
      <c r="Z353">
        <v>1</v>
      </c>
      <c r="AA353">
        <f>IF(AND(Table1[[#This Row],[Throw Out Pass Eff]]="N", Table1[[#This Row],[Against FCS Team]]="N"), ROUND(((5.45 * D353) + (150 * F353) + (100 * G353) - (300 * H353)) / E353, 2), " ")</f>
        <v>76.55</v>
      </c>
      <c r="AB353">
        <f>IF(AND(Table1[[#This Row],[Throw Out Pass Def Eff]]="N", Table1[[#This Row],[Against FCS Team]]="N"),200 - ROUND(((5.45 * P353) + (150 * R353) + (100 * S353) - (300 * T353)) / Q353, 2), " ")</f>
        <v>121.15</v>
      </c>
      <c r="AC353">
        <f>IF(AND(Table1[[#This Row],[Throw Out Rush Eff]]="N", Table1[[#This Row],[Against FCS Team]]="N"), ROUND(((23.2 * I353) + (150 * K353) - (300 * L353)) / J353, 2), " ")</f>
        <v>87.71</v>
      </c>
      <c r="AD353" s="3">
        <f>IF(AND(Table1[[#This Row],[Throw Out Rush Def Eff]]="N", Table1[[#This Row],[Against FCS Team]]="N"), 200 - ROUND(((23.2 * U353) + (150 * W353) - (300 * X353)) / V353, 2), " ")</f>
        <v>142.71</v>
      </c>
      <c r="AE353" s="3">
        <f>ROUND(Table1[[#This Row],[Opp Passing Attempts]]/(Table1[[#This Row],[Opp Passing Attempts]]+Table1[[#This Row],[Opp Rushing Attempts]]), 2)</f>
        <v>0.66</v>
      </c>
      <c r="AF353" s="3">
        <f>1-Table1[[#This Row],[Passing Weight]]</f>
        <v>0.33999999999999997</v>
      </c>
      <c r="AG353" s="3" t="str">
        <f>IF(COUNTIF(A:A,Table1[[#This Row],[Opp Team Name]]) &gt; 0, "N", "Y")</f>
        <v>N</v>
      </c>
      <c r="AH353" s="3" t="str">
        <f>IF(Table1[[#This Row],[Passing Attempts]] &lt;15, "Y", "N")</f>
        <v>N</v>
      </c>
      <c r="AI353" s="3" t="str">
        <f>IF(Table1[[#This Row],[Rushing Attempts]] &lt; 15, "Y", "N")</f>
        <v>N</v>
      </c>
      <c r="AJ353" s="3" t="str">
        <f>IF(Table1[[#This Row],[Opp Passing Attempts]]&lt;15, "Y", "N")</f>
        <v>N</v>
      </c>
      <c r="AK353" s="3" t="str">
        <f>IF(Table1[[#This Row],[Opp Rushing Attempts]]&lt;15, "Y", "N")</f>
        <v>N</v>
      </c>
      <c r="AL3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91.59</v>
      </c>
      <c r="AM3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134.54</v>
      </c>
      <c r="AN3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90.73</v>
      </c>
      <c r="AO3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227.49</v>
      </c>
      <c r="AP353" s="3">
        <f>ABS(Table1[[#This Row],[Team Score]]-Table1[[#This Row],[Opp Team Score]])</f>
        <v>13</v>
      </c>
      <c r="AQ353" s="3">
        <f>SUM(Table1[[#This Row],[Team Score]], Table1[[#This Row],[Opp Team Score]])</f>
        <v>67</v>
      </c>
      <c r="AR3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28.120000000000005</v>
      </c>
      <c r="AS353" s="3">
        <f>IF(Table1[[#This Row],[Efficiency Difference]] = " ", " ", ROUND((Table1[[#This Row],[Winning Margin]]*100)/Table1[[#This Row],[Efficiency Difference]], 2))</f>
        <v>46.23</v>
      </c>
    </row>
    <row r="354" spans="1:45">
      <c r="A354" t="s">
        <v>92</v>
      </c>
      <c r="B354">
        <v>365</v>
      </c>
      <c r="C354">
        <v>19</v>
      </c>
      <c r="D354">
        <v>213</v>
      </c>
      <c r="E354">
        <v>27</v>
      </c>
      <c r="F354">
        <v>1</v>
      </c>
      <c r="G354">
        <v>21</v>
      </c>
      <c r="H354">
        <v>1</v>
      </c>
      <c r="I354">
        <v>148</v>
      </c>
      <c r="J354">
        <v>38</v>
      </c>
      <c r="K354">
        <v>0</v>
      </c>
      <c r="L354">
        <v>0</v>
      </c>
      <c r="M354" t="s">
        <v>95</v>
      </c>
      <c r="N354">
        <v>430</v>
      </c>
      <c r="O354">
        <v>6</v>
      </c>
      <c r="P354">
        <v>141</v>
      </c>
      <c r="Q354">
        <v>25</v>
      </c>
      <c r="R354">
        <v>0</v>
      </c>
      <c r="S354">
        <v>15</v>
      </c>
      <c r="T354">
        <v>2</v>
      </c>
      <c r="U354">
        <v>52</v>
      </c>
      <c r="V354">
        <v>34</v>
      </c>
      <c r="W354">
        <v>0</v>
      </c>
      <c r="X354">
        <v>0</v>
      </c>
      <c r="Y354" t="s">
        <v>16</v>
      </c>
      <c r="Z354">
        <v>3</v>
      </c>
      <c r="AA354">
        <f>IF(AND(Table1[[#This Row],[Throw Out Pass Eff]]="N", Table1[[#This Row],[Against FCS Team]]="N"), ROUND(((5.45 * D354) + (150 * F354) + (100 * G354) - (300 * H354)) / E354, 2), " ")</f>
        <v>115.22</v>
      </c>
      <c r="AB354">
        <f>IF(AND(Table1[[#This Row],[Throw Out Pass Def Eff]]="N", Table1[[#This Row],[Against FCS Team]]="N"),200 - ROUND(((5.45 * P354) + (150 * R354) + (100 * S354) - (300 * T354)) / Q354, 2), " ")</f>
        <v>133.26</v>
      </c>
      <c r="AC354">
        <f>IF(AND(Table1[[#This Row],[Throw Out Rush Eff]]="N", Table1[[#This Row],[Against FCS Team]]="N"), ROUND(((23.2 * I354) + (150 * K354) - (300 * L354)) / J354, 2), " ")</f>
        <v>90.36</v>
      </c>
      <c r="AD354" s="3">
        <f>IF(AND(Table1[[#This Row],[Throw Out Rush Def Eff]]="N", Table1[[#This Row],[Against FCS Team]]="N"), 200 - ROUND(((23.2 * U354) + (150 * W354) - (300 * X354)) / V354, 2), " ")</f>
        <v>164.52</v>
      </c>
      <c r="AE354" s="3">
        <f>ROUND(Table1[[#This Row],[Opp Passing Attempts]]/(Table1[[#This Row],[Opp Passing Attempts]]+Table1[[#This Row],[Opp Rushing Attempts]]), 2)</f>
        <v>0.42</v>
      </c>
      <c r="AF354" s="3">
        <f>1-Table1[[#This Row],[Passing Weight]]</f>
        <v>0.58000000000000007</v>
      </c>
      <c r="AG354" s="3" t="str">
        <f>IF(COUNTIF(A:A,Table1[[#This Row],[Opp Team Name]]) &gt; 0, "N", "Y")</f>
        <v>N</v>
      </c>
      <c r="AH354" s="3" t="str">
        <f>IF(Table1[[#This Row],[Passing Attempts]] &lt;15, "Y", "N")</f>
        <v>N</v>
      </c>
      <c r="AI354" s="3" t="str">
        <f>IF(Table1[[#This Row],[Rushing Attempts]] &lt; 15, "Y", "N")</f>
        <v>N</v>
      </c>
      <c r="AJ354" s="3" t="str">
        <f>IF(Table1[[#This Row],[Opp Passing Attempts]]&lt;15, "Y", "N")</f>
        <v>N</v>
      </c>
      <c r="AK354" s="3" t="str">
        <f>IF(Table1[[#This Row],[Opp Rushing Attempts]]&lt;15, "Y", "N")</f>
        <v>N</v>
      </c>
      <c r="AL35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128.51</v>
      </c>
      <c r="AM3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119.04</v>
      </c>
      <c r="AN3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101.8</v>
      </c>
      <c r="AO3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160.09</v>
      </c>
      <c r="AP354" s="3">
        <f>ABS(Table1[[#This Row],[Team Score]]-Table1[[#This Row],[Opp Team Score]])</f>
        <v>13</v>
      </c>
      <c r="AQ354" s="3">
        <f>SUM(Table1[[#This Row],[Team Score]], Table1[[#This Row],[Opp Team Score]])</f>
        <v>25</v>
      </c>
      <c r="AR35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103.35999999999996</v>
      </c>
      <c r="AS354" s="3">
        <f>IF(Table1[[#This Row],[Efficiency Difference]] = " ", " ", ROUND((Table1[[#This Row],[Winning Margin]]*100)/Table1[[#This Row],[Efficiency Difference]], 2))</f>
        <v>12.58</v>
      </c>
    </row>
    <row r="355" spans="1:45">
      <c r="A355" t="s">
        <v>92</v>
      </c>
      <c r="B355">
        <v>365</v>
      </c>
      <c r="C355">
        <v>47</v>
      </c>
      <c r="D355">
        <v>180</v>
      </c>
      <c r="E355">
        <v>28</v>
      </c>
      <c r="F355">
        <v>3</v>
      </c>
      <c r="G355">
        <v>16</v>
      </c>
      <c r="H355">
        <v>0</v>
      </c>
      <c r="I355">
        <v>186</v>
      </c>
      <c r="J355">
        <v>41</v>
      </c>
      <c r="K355">
        <v>3</v>
      </c>
      <c r="L355">
        <v>0</v>
      </c>
      <c r="M355" t="s">
        <v>177</v>
      </c>
      <c r="N355">
        <v>768</v>
      </c>
      <c r="O355">
        <v>21</v>
      </c>
      <c r="P355">
        <v>463</v>
      </c>
      <c r="Q355">
        <v>65</v>
      </c>
      <c r="R355">
        <v>2</v>
      </c>
      <c r="S355">
        <v>38</v>
      </c>
      <c r="T355">
        <v>2</v>
      </c>
      <c r="U355">
        <v>70</v>
      </c>
      <c r="V355">
        <v>22</v>
      </c>
      <c r="W355">
        <v>1</v>
      </c>
      <c r="X355">
        <v>2</v>
      </c>
      <c r="Y355" t="s">
        <v>16</v>
      </c>
      <c r="Z355">
        <v>4</v>
      </c>
      <c r="AA355">
        <f>IF(AND(Table1[[#This Row],[Throw Out Pass Eff]]="N", Table1[[#This Row],[Against FCS Team]]="N"), ROUND(((5.45 * D355) + (150 * F355) + (100 * G355) - (300 * H355)) / E355, 2), " ")</f>
        <v>108.25</v>
      </c>
      <c r="AB355">
        <f>IF(AND(Table1[[#This Row],[Throw Out Pass Def Eff]]="N", Table1[[#This Row],[Against FCS Team]]="N"),200 - ROUND(((5.45 * P355) + (150 * R355) + (100 * S355) - (300 * T355)) / Q355, 2), " ")</f>
        <v>107.33</v>
      </c>
      <c r="AC355">
        <f>IF(AND(Table1[[#This Row],[Throw Out Rush Eff]]="N", Table1[[#This Row],[Against FCS Team]]="N"), ROUND(((23.2 * I355) + (150 * K355) - (300 * L355)) / J355, 2), " ")</f>
        <v>116.22</v>
      </c>
      <c r="AD355" s="3">
        <f>IF(AND(Table1[[#This Row],[Throw Out Rush Def Eff]]="N", Table1[[#This Row],[Against FCS Team]]="N"), 200 - ROUND(((23.2 * U355) + (150 * W355) - (300 * X355)) / V355, 2), " ")</f>
        <v>146.63999999999999</v>
      </c>
      <c r="AE355" s="3">
        <f>ROUND(Table1[[#This Row],[Opp Passing Attempts]]/(Table1[[#This Row],[Opp Passing Attempts]]+Table1[[#This Row],[Opp Rushing Attempts]]), 2)</f>
        <v>0.75</v>
      </c>
      <c r="AF355" s="3">
        <f>1-Table1[[#This Row],[Passing Weight]]</f>
        <v>0.25</v>
      </c>
      <c r="AG355" s="3" t="str">
        <f>IF(COUNTIF(A:A,Table1[[#This Row],[Opp Team Name]]) &gt; 0, "N", "Y")</f>
        <v>N</v>
      </c>
      <c r="AH355" s="3" t="str">
        <f>IF(Table1[[#This Row],[Passing Attempts]] &lt;15, "Y", "N")</f>
        <v>N</v>
      </c>
      <c r="AI355" s="3" t="str">
        <f>IF(Table1[[#This Row],[Rushing Attempts]] &lt; 15, "Y", "N")</f>
        <v>N</v>
      </c>
      <c r="AJ355" s="3" t="str">
        <f>IF(Table1[[#This Row],[Opp Passing Attempts]]&lt;15, "Y", "N")</f>
        <v>N</v>
      </c>
      <c r="AK355" s="3" t="str">
        <f>IF(Table1[[#This Row],[Opp Rushing Attempts]]&lt;15, "Y", "N")</f>
        <v>N</v>
      </c>
      <c r="AL35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116.18</v>
      </c>
      <c r="AM3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118.03</v>
      </c>
      <c r="AN3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128.06</v>
      </c>
      <c r="AO3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116.52</v>
      </c>
      <c r="AP355" s="3">
        <f>ABS(Table1[[#This Row],[Team Score]]-Table1[[#This Row],[Opp Team Score]])</f>
        <v>26</v>
      </c>
      <c r="AQ355" s="3">
        <f>SUM(Table1[[#This Row],[Team Score]], Table1[[#This Row],[Opp Team Score]])</f>
        <v>68</v>
      </c>
      <c r="AR35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78.439999999999969</v>
      </c>
      <c r="AS355" s="3">
        <f>IF(Table1[[#This Row],[Efficiency Difference]] = " ", " ", ROUND((Table1[[#This Row],[Winning Margin]]*100)/Table1[[#This Row],[Efficiency Difference]], 2))</f>
        <v>33.15</v>
      </c>
    </row>
    <row r="356" spans="1:45">
      <c r="A356" t="s">
        <v>92</v>
      </c>
      <c r="B356">
        <v>365</v>
      </c>
      <c r="C356">
        <v>35</v>
      </c>
      <c r="D356">
        <v>169</v>
      </c>
      <c r="E356">
        <v>21</v>
      </c>
      <c r="F356">
        <v>1</v>
      </c>
      <c r="G356">
        <v>8</v>
      </c>
      <c r="H356">
        <v>0</v>
      </c>
      <c r="I356">
        <v>179</v>
      </c>
      <c r="J356">
        <v>46</v>
      </c>
      <c r="K356">
        <v>3</v>
      </c>
      <c r="L356">
        <v>0</v>
      </c>
      <c r="M356" t="s">
        <v>84</v>
      </c>
      <c r="N356">
        <v>334</v>
      </c>
      <c r="O356">
        <v>7</v>
      </c>
      <c r="P356">
        <v>66</v>
      </c>
      <c r="Q356">
        <v>25</v>
      </c>
      <c r="R356">
        <v>1</v>
      </c>
      <c r="S356">
        <v>7</v>
      </c>
      <c r="T356">
        <v>0</v>
      </c>
      <c r="U356">
        <v>89</v>
      </c>
      <c r="V356">
        <v>39</v>
      </c>
      <c r="W356">
        <v>0</v>
      </c>
      <c r="X356">
        <v>1</v>
      </c>
      <c r="Y356" t="s">
        <v>16</v>
      </c>
      <c r="Z356">
        <v>5</v>
      </c>
      <c r="AA356">
        <f>IF(AND(Table1[[#This Row],[Throw Out Pass Eff]]="N", Table1[[#This Row],[Against FCS Team]]="N"), ROUND(((5.45 * D356) + (150 * F356) + (100 * G356) - (300 * H356)) / E356, 2), " ")</f>
        <v>89.1</v>
      </c>
      <c r="AB356">
        <f>IF(AND(Table1[[#This Row],[Throw Out Pass Def Eff]]="N", Table1[[#This Row],[Against FCS Team]]="N"),200 - ROUND(((5.45 * P356) + (150 * R356) + (100 * S356) - (300 * T356)) / Q356, 2), " ")</f>
        <v>151.61000000000001</v>
      </c>
      <c r="AC356">
        <f>IF(AND(Table1[[#This Row],[Throw Out Rush Eff]]="N", Table1[[#This Row],[Against FCS Team]]="N"), ROUND(((23.2 * I356) + (150 * K356) - (300 * L356)) / J356, 2), " ")</f>
        <v>100.06</v>
      </c>
      <c r="AD356" s="3">
        <f>IF(AND(Table1[[#This Row],[Throw Out Rush Def Eff]]="N", Table1[[#This Row],[Against FCS Team]]="N"), 200 - ROUND(((23.2 * U356) + (150 * W356) - (300 * X356)) / V356, 2), " ")</f>
        <v>154.75</v>
      </c>
      <c r="AE356" s="3">
        <f>ROUND(Table1[[#This Row],[Opp Passing Attempts]]/(Table1[[#This Row],[Opp Passing Attempts]]+Table1[[#This Row],[Opp Rushing Attempts]]), 2)</f>
        <v>0.39</v>
      </c>
      <c r="AF356" s="3">
        <f>1-Table1[[#This Row],[Passing Weight]]</f>
        <v>0.61</v>
      </c>
      <c r="AG356" s="3" t="str">
        <f>IF(COUNTIF(A:A,Table1[[#This Row],[Opp Team Name]]) &gt; 0, "N", "Y")</f>
        <v>N</v>
      </c>
      <c r="AH356" s="3" t="str">
        <f>IF(Table1[[#This Row],[Passing Attempts]] &lt;15, "Y", "N")</f>
        <v>N</v>
      </c>
      <c r="AI356" s="3" t="str">
        <f>IF(Table1[[#This Row],[Rushing Attempts]] &lt; 15, "Y", "N")</f>
        <v>N</v>
      </c>
      <c r="AJ356" s="3" t="str">
        <f>IF(Table1[[#This Row],[Opp Passing Attempts]]&lt;15, "Y", "N")</f>
        <v>N</v>
      </c>
      <c r="AK356" s="3" t="str">
        <f>IF(Table1[[#This Row],[Opp Rushing Attempts]]&lt;15, "Y", "N")</f>
        <v>N</v>
      </c>
      <c r="AL3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105.49</v>
      </c>
      <c r="AM3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72.94</v>
      </c>
      <c r="AN3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85.02</v>
      </c>
      <c r="AO3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100.78</v>
      </c>
      <c r="AP356" s="3">
        <f>ABS(Table1[[#This Row],[Team Score]]-Table1[[#This Row],[Opp Team Score]])</f>
        <v>28</v>
      </c>
      <c r="AQ356" s="3">
        <f>SUM(Table1[[#This Row],[Team Score]], Table1[[#This Row],[Opp Team Score]])</f>
        <v>42</v>
      </c>
      <c r="AR35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95.52000000000001</v>
      </c>
      <c r="AS356" s="3">
        <f>IF(Table1[[#This Row],[Efficiency Difference]] = " ", " ", ROUND((Table1[[#This Row],[Winning Margin]]*100)/Table1[[#This Row],[Efficiency Difference]], 2))</f>
        <v>29.31</v>
      </c>
    </row>
    <row r="357" spans="1:45">
      <c r="A357" t="s">
        <v>92</v>
      </c>
      <c r="B357">
        <v>365</v>
      </c>
      <c r="C357">
        <v>41</v>
      </c>
      <c r="D357">
        <v>215</v>
      </c>
      <c r="E357">
        <v>14</v>
      </c>
      <c r="F357">
        <v>2</v>
      </c>
      <c r="G357">
        <v>10</v>
      </c>
      <c r="H357">
        <v>0</v>
      </c>
      <c r="I357">
        <v>238</v>
      </c>
      <c r="J357">
        <v>49</v>
      </c>
      <c r="K357">
        <v>3</v>
      </c>
      <c r="L357">
        <v>0</v>
      </c>
      <c r="M357" t="s">
        <v>69</v>
      </c>
      <c r="N357">
        <v>235</v>
      </c>
      <c r="O357">
        <v>11</v>
      </c>
      <c r="P357">
        <v>100</v>
      </c>
      <c r="Q357">
        <v>16</v>
      </c>
      <c r="R357">
        <v>1</v>
      </c>
      <c r="S357">
        <v>9</v>
      </c>
      <c r="T357">
        <v>2</v>
      </c>
      <c r="U357">
        <v>113</v>
      </c>
      <c r="V357">
        <v>32</v>
      </c>
      <c r="W357">
        <v>0</v>
      </c>
      <c r="X357">
        <v>0</v>
      </c>
      <c r="Y357" t="s">
        <v>16</v>
      </c>
      <c r="Z357">
        <v>6</v>
      </c>
      <c r="AA357" t="str">
        <f>IF(AND(Table1[[#This Row],[Throw Out Pass Eff]]="N", Table1[[#This Row],[Against FCS Team]]="N"), ROUND(((5.45 * D357) + (150 * F357) + (100 * G357) - (300 * H357)) / E357, 2), " ")</f>
        <v xml:space="preserve"> </v>
      </c>
      <c r="AB357">
        <f>IF(AND(Table1[[#This Row],[Throw Out Pass Def Eff]]="N", Table1[[#This Row],[Against FCS Team]]="N"),200 - ROUND(((5.45 * P357) + (150 * R357) + (100 * S357) - (300 * T357)) / Q357, 2), " ")</f>
        <v>137.81</v>
      </c>
      <c r="AC357">
        <f>IF(AND(Table1[[#This Row],[Throw Out Rush Eff]]="N", Table1[[#This Row],[Against FCS Team]]="N"), ROUND(((23.2 * I357) + (150 * K357) - (300 * L357)) / J357, 2), " ")</f>
        <v>121.87</v>
      </c>
      <c r="AD357" s="3">
        <f>IF(AND(Table1[[#This Row],[Throw Out Rush Def Eff]]="N", Table1[[#This Row],[Against FCS Team]]="N"), 200 - ROUND(((23.2 * U357) + (150 * W357) - (300 * X357)) / V357, 2), " ")</f>
        <v>118.07</v>
      </c>
      <c r="AE357" s="3">
        <f>ROUND(Table1[[#This Row],[Opp Passing Attempts]]/(Table1[[#This Row],[Opp Passing Attempts]]+Table1[[#This Row],[Opp Rushing Attempts]]), 2)</f>
        <v>0.33</v>
      </c>
      <c r="AF357" s="3">
        <f>1-Table1[[#This Row],[Passing Weight]]</f>
        <v>0.66999999999999993</v>
      </c>
      <c r="AG357" s="3" t="str">
        <f>IF(COUNTIF(A:A,Table1[[#This Row],[Opp Team Name]]) &gt; 0, "N", "Y")</f>
        <v>N</v>
      </c>
      <c r="AH357" s="3" t="str">
        <f>IF(Table1[[#This Row],[Passing Attempts]] &lt;15, "Y", "N")</f>
        <v>Y</v>
      </c>
      <c r="AI357" s="3" t="str">
        <f>IF(Table1[[#This Row],[Rushing Attempts]] &lt; 15, "Y", "N")</f>
        <v>N</v>
      </c>
      <c r="AJ357" s="3" t="str">
        <f>IF(Table1[[#This Row],[Opp Passing Attempts]]&lt;15, "Y", "N")</f>
        <v>N</v>
      </c>
      <c r="AK357" s="3" t="str">
        <f>IF(Table1[[#This Row],[Opp Rushing Attempts]]&lt;15, "Y", "N")</f>
        <v>N</v>
      </c>
      <c r="AL35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5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125.75</v>
      </c>
      <c r="AN35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159.06</v>
      </c>
      <c r="AO35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115.11</v>
      </c>
      <c r="AP357" s="3">
        <f>ABS(Table1[[#This Row],[Team Score]]-Table1[[#This Row],[Opp Team Score]])</f>
        <v>30</v>
      </c>
      <c r="AQ357" s="3">
        <f>SUM(Table1[[#This Row],[Team Score]], Table1[[#This Row],[Opp Team Score]])</f>
        <v>52</v>
      </c>
      <c r="AR35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57" s="3" t="str">
        <f>IF(Table1[[#This Row],[Efficiency Difference]] = " ", " ", ROUND((Table1[[#This Row],[Winning Margin]]*100)/Table1[[#This Row],[Efficiency Difference]], 2))</f>
        <v xml:space="preserve"> </v>
      </c>
    </row>
    <row r="358" spans="1:45">
      <c r="A358" t="s">
        <v>92</v>
      </c>
      <c r="B358">
        <v>365</v>
      </c>
      <c r="C358">
        <v>38</v>
      </c>
      <c r="D358">
        <v>146</v>
      </c>
      <c r="E358">
        <v>20</v>
      </c>
      <c r="F358">
        <v>3</v>
      </c>
      <c r="G358">
        <v>14</v>
      </c>
      <c r="H358">
        <v>0</v>
      </c>
      <c r="I358">
        <v>237</v>
      </c>
      <c r="J358">
        <v>49</v>
      </c>
      <c r="K358">
        <v>2</v>
      </c>
      <c r="L358">
        <v>0</v>
      </c>
      <c r="M358" t="s">
        <v>134</v>
      </c>
      <c r="N358">
        <v>694</v>
      </c>
      <c r="O358">
        <v>7</v>
      </c>
      <c r="P358">
        <v>128</v>
      </c>
      <c r="Q358">
        <v>20</v>
      </c>
      <c r="R358">
        <v>0</v>
      </c>
      <c r="S358">
        <v>6</v>
      </c>
      <c r="T358">
        <v>2</v>
      </c>
      <c r="U358">
        <v>111</v>
      </c>
      <c r="V358">
        <v>29</v>
      </c>
      <c r="W358">
        <v>1</v>
      </c>
      <c r="X358">
        <v>0</v>
      </c>
      <c r="Y358" t="s">
        <v>16</v>
      </c>
      <c r="Z358">
        <v>7</v>
      </c>
      <c r="AA358">
        <f>IF(AND(Table1[[#This Row],[Throw Out Pass Eff]]="N", Table1[[#This Row],[Against FCS Team]]="N"), ROUND(((5.45 * D358) + (150 * F358) + (100 * G358) - (300 * H358)) / E358, 2), " ")</f>
        <v>132.29</v>
      </c>
      <c r="AB358">
        <f>IF(AND(Table1[[#This Row],[Throw Out Pass Def Eff]]="N", Table1[[#This Row],[Against FCS Team]]="N"),200 - ROUND(((5.45 * P358) + (150 * R358) + (100 * S358) - (300 * T358)) / Q358, 2), " ")</f>
        <v>165.12</v>
      </c>
      <c r="AC358">
        <f>IF(AND(Table1[[#This Row],[Throw Out Rush Eff]]="N", Table1[[#This Row],[Against FCS Team]]="N"), ROUND(((23.2 * I358) + (150 * K358) - (300 * L358)) / J358, 2), " ")</f>
        <v>118.33</v>
      </c>
      <c r="AD358" s="3">
        <f>IF(AND(Table1[[#This Row],[Throw Out Rush Def Eff]]="N", Table1[[#This Row],[Against FCS Team]]="N"), 200 - ROUND(((23.2 * U358) + (150 * W358) - (300 * X358)) / V358, 2), " ")</f>
        <v>106.03</v>
      </c>
      <c r="AE358" s="3">
        <f>ROUND(Table1[[#This Row],[Opp Passing Attempts]]/(Table1[[#This Row],[Opp Passing Attempts]]+Table1[[#This Row],[Opp Rushing Attempts]]), 2)</f>
        <v>0.41</v>
      </c>
      <c r="AF358" s="3">
        <f>1-Table1[[#This Row],[Passing Weight]]</f>
        <v>0.59000000000000008</v>
      </c>
      <c r="AG358" s="3" t="str">
        <f>IF(COUNTIF(A:A,Table1[[#This Row],[Opp Team Name]]) &gt; 0, "N", "Y")</f>
        <v>N</v>
      </c>
      <c r="AH358" s="3" t="str">
        <f>IF(Table1[[#This Row],[Passing Attempts]] &lt;15, "Y", "N")</f>
        <v>N</v>
      </c>
      <c r="AI358" s="3" t="str">
        <f>IF(Table1[[#This Row],[Rushing Attempts]] &lt; 15, "Y", "N")</f>
        <v>N</v>
      </c>
      <c r="AJ358" s="3" t="str">
        <f>IF(Table1[[#This Row],[Opp Passing Attempts]]&lt;15, "Y", "N")</f>
        <v>N</v>
      </c>
      <c r="AK358" s="3" t="str">
        <f>IF(Table1[[#This Row],[Opp Rushing Attempts]]&lt;15, "Y", "N")</f>
        <v>N</v>
      </c>
      <c r="AL35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120.15</v>
      </c>
      <c r="AM3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155.26</v>
      </c>
      <c r="AN3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107.41</v>
      </c>
      <c r="AO3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52.37</v>
      </c>
      <c r="AP358" s="3">
        <f>ABS(Table1[[#This Row],[Team Score]]-Table1[[#This Row],[Opp Team Score]])</f>
        <v>31</v>
      </c>
      <c r="AQ358" s="3">
        <f>SUM(Table1[[#This Row],[Team Score]], Table1[[#This Row],[Opp Team Score]])</f>
        <v>45</v>
      </c>
      <c r="AR35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121.76999999999998</v>
      </c>
      <c r="AS358" s="3">
        <f>IF(Table1[[#This Row],[Efficiency Difference]] = " ", " ", ROUND((Table1[[#This Row],[Winning Margin]]*100)/Table1[[#This Row],[Efficiency Difference]], 2))</f>
        <v>25.46</v>
      </c>
    </row>
    <row r="359" spans="1:45">
      <c r="A359" t="s">
        <v>92</v>
      </c>
      <c r="B359">
        <v>365</v>
      </c>
      <c r="C359">
        <v>45</v>
      </c>
      <c r="D359">
        <v>219</v>
      </c>
      <c r="E359">
        <v>23</v>
      </c>
      <c r="F359">
        <v>3</v>
      </c>
      <c r="G359">
        <v>16</v>
      </c>
      <c r="H359">
        <v>0</v>
      </c>
      <c r="I359">
        <v>174</v>
      </c>
      <c r="J359">
        <v>36</v>
      </c>
      <c r="K359">
        <v>2</v>
      </c>
      <c r="L359">
        <v>0</v>
      </c>
      <c r="M359" t="s">
        <v>32</v>
      </c>
      <c r="N359">
        <v>37</v>
      </c>
      <c r="O359">
        <v>10</v>
      </c>
      <c r="P359">
        <v>161</v>
      </c>
      <c r="Q359">
        <v>24</v>
      </c>
      <c r="R359">
        <v>0</v>
      </c>
      <c r="S359">
        <v>14</v>
      </c>
      <c r="T359">
        <v>1</v>
      </c>
      <c r="U359">
        <v>87</v>
      </c>
      <c r="V359">
        <v>34</v>
      </c>
      <c r="W359">
        <v>1</v>
      </c>
      <c r="X359">
        <v>1</v>
      </c>
      <c r="Y359" t="s">
        <v>16</v>
      </c>
      <c r="Z359">
        <v>8</v>
      </c>
      <c r="AA359" s="3">
        <f>IF(AND(Table1[[#This Row],[Throw Out Pass Eff]]="N", Table1[[#This Row],[Against FCS Team]]="N"), ROUND(((5.45 * D359) + (150 * F359) + (100 * G359) - (300 * H359)) / E359, 2), " ")</f>
        <v>141.02000000000001</v>
      </c>
      <c r="AB359" s="3">
        <f>IF(AND(Table1[[#This Row],[Throw Out Pass Def Eff]]="N", Table1[[#This Row],[Against FCS Team]]="N"),200 - ROUND(((5.45 * P359) + (150 * R359) + (100 * S359) - (300 * T359)) / Q359, 2), " ")</f>
        <v>117.61</v>
      </c>
      <c r="AC359" s="3">
        <f>IF(AND(Table1[[#This Row],[Throw Out Rush Eff]]="N", Table1[[#This Row],[Against FCS Team]]="N"), ROUND(((23.2 * I359) + (150 * K359) - (300 * L359)) / J359, 2), " ")</f>
        <v>120.47</v>
      </c>
      <c r="AD359" s="3">
        <f>IF(AND(Table1[[#This Row],[Throw Out Rush Def Eff]]="N", Table1[[#This Row],[Against FCS Team]]="N"), 200 - ROUND(((23.2 * U359) + (150 * W359) - (300 * X359)) / V359, 2), " ")</f>
        <v>145.05000000000001</v>
      </c>
      <c r="AE359" s="3">
        <f>ROUND(Table1[[#This Row],[Opp Passing Attempts]]/(Table1[[#This Row],[Opp Passing Attempts]]+Table1[[#This Row],[Opp Rushing Attempts]]), 2)</f>
        <v>0.41</v>
      </c>
      <c r="AF359" s="3">
        <f>1-Table1[[#This Row],[Passing Weight]]</f>
        <v>0.59000000000000008</v>
      </c>
      <c r="AG359" s="3" t="str">
        <f>IF(COUNTIF(A:A,Table1[[#This Row],[Opp Team Name]]) &gt; 0, "N", "Y")</f>
        <v>N</v>
      </c>
      <c r="AH359" s="3" t="str">
        <f>IF(Table1[[#This Row],[Passing Attempts]] &lt;15, "Y", "N")</f>
        <v>N</v>
      </c>
      <c r="AI359" s="3" t="str">
        <f>IF(Table1[[#This Row],[Rushing Attempts]] &lt; 15, "Y", "N")</f>
        <v>N</v>
      </c>
      <c r="AJ359" s="3" t="str">
        <f>IF(Table1[[#This Row],[Opp Passing Attempts]]&lt;15, "Y", "N")</f>
        <v>N</v>
      </c>
      <c r="AK359" s="3" t="str">
        <f>IF(Table1[[#This Row],[Opp Rushing Attempts]]&lt;15, "Y", "N")</f>
        <v>N</v>
      </c>
      <c r="AL3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142.88999999999999</v>
      </c>
      <c r="AM3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98.08</v>
      </c>
      <c r="AN3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120.81</v>
      </c>
      <c r="AO3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153.05000000000001</v>
      </c>
      <c r="AP359" s="3">
        <f>ABS(Table1[[#This Row],[Team Score]]-Table1[[#This Row],[Opp Team Score]])</f>
        <v>35</v>
      </c>
      <c r="AQ359" s="3">
        <f>SUM(Table1[[#This Row],[Team Score]], Table1[[#This Row],[Opp Team Score]])</f>
        <v>55</v>
      </c>
      <c r="AR3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124.15000000000003</v>
      </c>
      <c r="AS359" s="3">
        <f>IF(Table1[[#This Row],[Efficiency Difference]] = " ", " ", ROUND((Table1[[#This Row],[Winning Margin]]*100)/Table1[[#This Row],[Efficiency Difference]], 2))</f>
        <v>28.19</v>
      </c>
    </row>
    <row r="360" spans="1:45">
      <c r="A360" t="s">
        <v>176</v>
      </c>
      <c r="B360">
        <v>388</v>
      </c>
      <c r="C360">
        <v>13</v>
      </c>
      <c r="D360">
        <v>115</v>
      </c>
      <c r="E360">
        <v>21</v>
      </c>
      <c r="F360">
        <v>0</v>
      </c>
      <c r="G360">
        <v>15</v>
      </c>
      <c r="H360">
        <v>0</v>
      </c>
      <c r="I360">
        <v>72</v>
      </c>
      <c r="J360">
        <v>23</v>
      </c>
      <c r="K360">
        <v>0</v>
      </c>
      <c r="L360">
        <v>0</v>
      </c>
      <c r="M360" t="s">
        <v>177</v>
      </c>
      <c r="N360">
        <v>768</v>
      </c>
      <c r="O360">
        <v>34</v>
      </c>
      <c r="P360">
        <v>249</v>
      </c>
      <c r="Q360">
        <v>35</v>
      </c>
      <c r="R360">
        <v>2</v>
      </c>
      <c r="S360">
        <v>26</v>
      </c>
      <c r="T360">
        <v>0</v>
      </c>
      <c r="U360">
        <v>42</v>
      </c>
      <c r="V360">
        <v>26</v>
      </c>
      <c r="W360">
        <v>1</v>
      </c>
      <c r="X360">
        <v>0</v>
      </c>
      <c r="Y360" t="s">
        <v>19</v>
      </c>
      <c r="Z360">
        <v>2</v>
      </c>
      <c r="AA360">
        <f>IF(AND(Table1[[#This Row],[Throw Out Pass Eff]]="N", Table1[[#This Row],[Against FCS Team]]="N"), ROUND(((5.45 * D360) + (150 * F360) + (100 * G360) - (300 * H360)) / E360, 2), " ")</f>
        <v>101.27</v>
      </c>
      <c r="AB360">
        <f>IF(AND(Table1[[#This Row],[Throw Out Pass Def Eff]]="N", Table1[[#This Row],[Against FCS Team]]="N"),200 - ROUND(((5.45 * P360) + (150 * R360) + (100 * S360) - (300 * T360)) / Q360, 2), " ")</f>
        <v>78.37</v>
      </c>
      <c r="AC360">
        <f>IF(AND(Table1[[#This Row],[Throw Out Rush Eff]]="N", Table1[[#This Row],[Against FCS Team]]="N"), ROUND(((23.2 * I360) + (150 * K360) - (300 * L360)) / J360, 2), " ")</f>
        <v>72.63</v>
      </c>
      <c r="AD360" s="3">
        <f>IF(AND(Table1[[#This Row],[Throw Out Rush Def Eff]]="N", Table1[[#This Row],[Against FCS Team]]="N"), 200 - ROUND(((23.2 * U360) + (150 * W360) - (300 * X360)) / V360, 2), " ")</f>
        <v>156.75</v>
      </c>
      <c r="AE360" s="3">
        <f>ROUND(Table1[[#This Row],[Opp Passing Attempts]]/(Table1[[#This Row],[Opp Passing Attempts]]+Table1[[#This Row],[Opp Rushing Attempts]]), 2)</f>
        <v>0.56999999999999995</v>
      </c>
      <c r="AF360" s="3">
        <f>1-Table1[[#This Row],[Passing Weight]]</f>
        <v>0.43000000000000005</v>
      </c>
      <c r="AG360" s="3" t="str">
        <f>IF(COUNTIF(A:A,Table1[[#This Row],[Opp Team Name]]) &gt; 0, "N", "Y")</f>
        <v>N</v>
      </c>
      <c r="AH360" s="3" t="str">
        <f>IF(Table1[[#This Row],[Passing Attempts]] &lt;15, "Y", "N")</f>
        <v>N</v>
      </c>
      <c r="AI360" s="3" t="str">
        <f>IF(Table1[[#This Row],[Rushing Attempts]] &lt; 15, "Y", "N")</f>
        <v>N</v>
      </c>
      <c r="AJ360" s="3" t="str">
        <f>IF(Table1[[#This Row],[Opp Passing Attempts]]&lt;15, "Y", "N")</f>
        <v>N</v>
      </c>
      <c r="AK360" s="3" t="str">
        <f>IF(Table1[[#This Row],[Opp Rushing Attempts]]&lt;15, "Y", "N")</f>
        <v>N</v>
      </c>
      <c r="AL3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108.68</v>
      </c>
      <c r="AM3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86.18</v>
      </c>
      <c r="AN3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80.03</v>
      </c>
      <c r="AO3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124.55</v>
      </c>
      <c r="AP360" s="3">
        <f>ABS(Table1[[#This Row],[Team Score]]-Table1[[#This Row],[Opp Team Score]])</f>
        <v>21</v>
      </c>
      <c r="AQ360" s="3">
        <f>SUM(Table1[[#This Row],[Team Score]], Table1[[#This Row],[Opp Team Score]])</f>
        <v>47</v>
      </c>
      <c r="AR3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9.0199999999999818</v>
      </c>
      <c r="AS360" s="3">
        <f>IF(Table1[[#This Row],[Efficiency Difference]] = " ", " ", ROUND((Table1[[#This Row],[Winning Margin]]*100)/Table1[[#This Row],[Efficiency Difference]], 2))</f>
        <v>232.82</v>
      </c>
    </row>
    <row r="361" spans="1:45">
      <c r="A361" t="s">
        <v>176</v>
      </c>
      <c r="B361">
        <v>388</v>
      </c>
      <c r="C361">
        <v>26</v>
      </c>
      <c r="D361">
        <v>275</v>
      </c>
      <c r="E361">
        <v>42</v>
      </c>
      <c r="F361">
        <v>3</v>
      </c>
      <c r="G361">
        <v>27</v>
      </c>
      <c r="H361">
        <v>2</v>
      </c>
      <c r="I361">
        <v>103</v>
      </c>
      <c r="J361">
        <v>37</v>
      </c>
      <c r="K361">
        <v>0</v>
      </c>
      <c r="L361">
        <v>0</v>
      </c>
      <c r="M361" t="s">
        <v>89</v>
      </c>
      <c r="N361">
        <v>664</v>
      </c>
      <c r="O361">
        <v>20</v>
      </c>
      <c r="P361">
        <v>309</v>
      </c>
      <c r="Q361">
        <v>49</v>
      </c>
      <c r="R361">
        <v>2</v>
      </c>
      <c r="S361">
        <v>25</v>
      </c>
      <c r="T361">
        <v>3</v>
      </c>
      <c r="U361">
        <v>75</v>
      </c>
      <c r="V361">
        <v>28</v>
      </c>
      <c r="W361">
        <v>0</v>
      </c>
      <c r="X361">
        <v>3</v>
      </c>
      <c r="Y361" t="s">
        <v>16</v>
      </c>
      <c r="Z361">
        <v>2</v>
      </c>
      <c r="AA361">
        <f>IF(AND(Table1[[#This Row],[Throw Out Pass Eff]]="N", Table1[[#This Row],[Against FCS Team]]="N"), ROUND(((5.45 * D361) + (150 * F361) + (100 * G361) - (300 * H361)) / E361, 2), " ")</f>
        <v>96.4</v>
      </c>
      <c r="AB361">
        <f>IF(AND(Table1[[#This Row],[Throw Out Pass Def Eff]]="N", Table1[[#This Row],[Against FCS Team]]="N"),200 - ROUND(((5.45 * P361) + (150 * R361) + (100 * S361) - (300 * T361)) / Q361, 2), " ")</f>
        <v>126.86</v>
      </c>
      <c r="AC361">
        <f>IF(AND(Table1[[#This Row],[Throw Out Rush Eff]]="N", Table1[[#This Row],[Against FCS Team]]="N"), ROUND(((23.2 * I361) + (150 * K361) - (300 * L361)) / J361, 2), " ")</f>
        <v>64.58</v>
      </c>
      <c r="AD361" s="3">
        <f>IF(AND(Table1[[#This Row],[Throw Out Rush Def Eff]]="N", Table1[[#This Row],[Against FCS Team]]="N"), 200 - ROUND(((23.2 * U361) + (150 * W361) - (300 * X361)) / V361, 2), " ")</f>
        <v>170</v>
      </c>
      <c r="AE361" s="3">
        <f>ROUND(Table1[[#This Row],[Opp Passing Attempts]]/(Table1[[#This Row],[Opp Passing Attempts]]+Table1[[#This Row],[Opp Rushing Attempts]]), 2)</f>
        <v>0.64</v>
      </c>
      <c r="AF361" s="3">
        <f>1-Table1[[#This Row],[Passing Weight]]</f>
        <v>0.36</v>
      </c>
      <c r="AG361" s="3" t="str">
        <f>IF(COUNTIF(A:A,Table1[[#This Row],[Opp Team Name]]) &gt; 0, "N", "Y")</f>
        <v>N</v>
      </c>
      <c r="AH361" s="3" t="str">
        <f>IF(Table1[[#This Row],[Passing Attempts]] &lt;15, "Y", "N")</f>
        <v>N</v>
      </c>
      <c r="AI361" s="3" t="str">
        <f>IF(Table1[[#This Row],[Rushing Attempts]] &lt; 15, "Y", "N")</f>
        <v>N</v>
      </c>
      <c r="AJ361" s="3" t="str">
        <f>IF(Table1[[#This Row],[Opp Passing Attempts]]&lt;15, "Y", "N")</f>
        <v>N</v>
      </c>
      <c r="AK361" s="3" t="str">
        <f>IF(Table1[[#This Row],[Opp Rushing Attempts]]&lt;15, "Y", "N")</f>
        <v>N</v>
      </c>
      <c r="AL3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120.89</v>
      </c>
      <c r="AM3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140.19999999999999</v>
      </c>
      <c r="AN3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76.22</v>
      </c>
      <c r="AO3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170.77</v>
      </c>
      <c r="AP361" s="3">
        <f>ABS(Table1[[#This Row],[Team Score]]-Table1[[#This Row],[Opp Team Score]])</f>
        <v>6</v>
      </c>
      <c r="AQ361" s="3">
        <f>SUM(Table1[[#This Row],[Team Score]], Table1[[#This Row],[Opp Team Score]])</f>
        <v>46</v>
      </c>
      <c r="AR3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57.840000000000032</v>
      </c>
      <c r="AS361" s="3">
        <f>IF(Table1[[#This Row],[Efficiency Difference]] = " ", " ", ROUND((Table1[[#This Row],[Winning Margin]]*100)/Table1[[#This Row],[Efficiency Difference]], 2))</f>
        <v>10.37</v>
      </c>
    </row>
    <row r="362" spans="1:45">
      <c r="A362" t="s">
        <v>176</v>
      </c>
      <c r="B362">
        <v>388</v>
      </c>
      <c r="C362">
        <v>7</v>
      </c>
      <c r="D362">
        <v>159</v>
      </c>
      <c r="E362">
        <v>29</v>
      </c>
      <c r="F362">
        <v>1</v>
      </c>
      <c r="G362">
        <v>11</v>
      </c>
      <c r="H362">
        <v>4</v>
      </c>
      <c r="I362">
        <v>172</v>
      </c>
      <c r="J362">
        <v>34</v>
      </c>
      <c r="K362">
        <v>0</v>
      </c>
      <c r="L362">
        <v>2</v>
      </c>
      <c r="M362" t="s">
        <v>109</v>
      </c>
      <c r="N362">
        <v>519</v>
      </c>
      <c r="O362">
        <v>44</v>
      </c>
      <c r="P362">
        <v>288</v>
      </c>
      <c r="Q362">
        <v>30</v>
      </c>
      <c r="R362">
        <v>3</v>
      </c>
      <c r="S362">
        <v>21</v>
      </c>
      <c r="T362">
        <v>0</v>
      </c>
      <c r="U362">
        <v>271</v>
      </c>
      <c r="V362">
        <v>55</v>
      </c>
      <c r="W362">
        <v>2</v>
      </c>
      <c r="X362">
        <v>2</v>
      </c>
      <c r="Y362" t="s">
        <v>19</v>
      </c>
      <c r="Z362">
        <v>3</v>
      </c>
      <c r="AA362">
        <f>IF(AND(Table1[[#This Row],[Throw Out Pass Eff]]="N", Table1[[#This Row],[Against FCS Team]]="N"), ROUND(((5.45 * D362) + (150 * F362) + (100 * G362) - (300 * H362)) / E362, 2), " ")</f>
        <v>31.61</v>
      </c>
      <c r="AB362">
        <f>IF(AND(Table1[[#This Row],[Throw Out Pass Def Eff]]="N", Table1[[#This Row],[Against FCS Team]]="N"),200 - ROUND(((5.45 * P362) + (150 * R362) + (100 * S362) - (300 * T362)) / Q362, 2), " ")</f>
        <v>62.680000000000007</v>
      </c>
      <c r="AC362">
        <f>IF(AND(Table1[[#This Row],[Throw Out Rush Eff]]="N", Table1[[#This Row],[Against FCS Team]]="N"), ROUND(((23.2 * I362) + (150 * K362) - (300 * L362)) / J362, 2), " ")</f>
        <v>99.72</v>
      </c>
      <c r="AD362" s="3">
        <f>IF(AND(Table1[[#This Row],[Throw Out Rush Def Eff]]="N", Table1[[#This Row],[Against FCS Team]]="N"), 200 - ROUND(((23.2 * U362) + (150 * W362) - (300 * X362)) / V362, 2), " ")</f>
        <v>91.14</v>
      </c>
      <c r="AE362" s="3">
        <f>ROUND(Table1[[#This Row],[Opp Passing Attempts]]/(Table1[[#This Row],[Opp Passing Attempts]]+Table1[[#This Row],[Opp Rushing Attempts]]), 2)</f>
        <v>0.35</v>
      </c>
      <c r="AF362" s="3">
        <f>1-Table1[[#This Row],[Passing Weight]]</f>
        <v>0.65</v>
      </c>
      <c r="AG362" s="3" t="str">
        <f>IF(COUNTIF(A:A,Table1[[#This Row],[Opp Team Name]]) &gt; 0, "N", "Y")</f>
        <v>N</v>
      </c>
      <c r="AH362" s="3" t="str">
        <f>IF(Table1[[#This Row],[Passing Attempts]] &lt;15, "Y", "N")</f>
        <v>N</v>
      </c>
      <c r="AI362" s="3" t="str">
        <f>IF(Table1[[#This Row],[Rushing Attempts]] &lt; 15, "Y", "N")</f>
        <v>N</v>
      </c>
      <c r="AJ362" s="3" t="str">
        <f>IF(Table1[[#This Row],[Opp Passing Attempts]]&lt;15, "Y", "N")</f>
        <v>N</v>
      </c>
      <c r="AK362" s="3" t="str">
        <f>IF(Table1[[#This Row],[Opp Rushing Attempts]]&lt;15, "Y", "N")</f>
        <v>N</v>
      </c>
      <c r="AL3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37.75</v>
      </c>
      <c r="AM3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71.5</v>
      </c>
      <c r="AN36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128.87</v>
      </c>
      <c r="AO3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90.68</v>
      </c>
      <c r="AP362" s="3">
        <f>ABS(Table1[[#This Row],[Team Score]]-Table1[[#This Row],[Opp Team Score]])</f>
        <v>37</v>
      </c>
      <c r="AQ362" s="3">
        <f>SUM(Table1[[#This Row],[Team Score]], Table1[[#This Row],[Opp Team Score]])</f>
        <v>51</v>
      </c>
      <c r="AR36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114.85000000000002</v>
      </c>
      <c r="AS362" s="3">
        <f>IF(Table1[[#This Row],[Efficiency Difference]] = " ", " ", ROUND((Table1[[#This Row],[Winning Margin]]*100)/Table1[[#This Row],[Efficiency Difference]], 2))</f>
        <v>32.22</v>
      </c>
    </row>
    <row r="363" spans="1:45">
      <c r="A363" t="s">
        <v>176</v>
      </c>
      <c r="B363">
        <v>388</v>
      </c>
      <c r="C363">
        <v>10</v>
      </c>
      <c r="D363">
        <v>245</v>
      </c>
      <c r="E363">
        <v>33</v>
      </c>
      <c r="F363">
        <v>1</v>
      </c>
      <c r="G363">
        <v>17</v>
      </c>
      <c r="H363">
        <v>1</v>
      </c>
      <c r="I363">
        <v>6</v>
      </c>
      <c r="J363">
        <v>24</v>
      </c>
      <c r="K363">
        <v>0</v>
      </c>
      <c r="L363">
        <v>1</v>
      </c>
      <c r="M363" t="s">
        <v>156</v>
      </c>
      <c r="N363">
        <v>742</v>
      </c>
      <c r="O363">
        <v>30</v>
      </c>
      <c r="P363">
        <v>229</v>
      </c>
      <c r="Q363">
        <v>33</v>
      </c>
      <c r="R363">
        <v>0</v>
      </c>
      <c r="S363">
        <v>22</v>
      </c>
      <c r="T363">
        <v>1</v>
      </c>
      <c r="U363">
        <v>215</v>
      </c>
      <c r="V363">
        <v>41</v>
      </c>
      <c r="W363">
        <v>4</v>
      </c>
      <c r="X363">
        <v>1</v>
      </c>
      <c r="Y363" t="s">
        <v>19</v>
      </c>
      <c r="Z363">
        <v>4</v>
      </c>
      <c r="AA363">
        <f>IF(AND(Table1[[#This Row],[Throw Out Pass Eff]]="N", Table1[[#This Row],[Against FCS Team]]="N"), ROUND(((5.45 * D363) + (150 * F363) + (100 * G363) - (300 * H363)) / E363, 2), " ")</f>
        <v>87.43</v>
      </c>
      <c r="AB363">
        <f>IF(AND(Table1[[#This Row],[Throw Out Pass Def Eff]]="N", Table1[[#This Row],[Against FCS Team]]="N"),200 - ROUND(((5.45 * P363) + (150 * R363) + (100 * S363) - (300 * T363)) / Q363, 2), " ")</f>
        <v>104.6</v>
      </c>
      <c r="AC363">
        <f>IF(AND(Table1[[#This Row],[Throw Out Rush Eff]]="N", Table1[[#This Row],[Against FCS Team]]="N"), ROUND(((23.2 * I363) + (150 * K363) - (300 * L363)) / J363, 2), " ")</f>
        <v>-6.7</v>
      </c>
      <c r="AD363" s="3">
        <f>IF(AND(Table1[[#This Row],[Throw Out Rush Def Eff]]="N", Table1[[#This Row],[Against FCS Team]]="N"), 200 - ROUND(((23.2 * U363) + (150 * W363) - (300 * X363)) / V363, 2), " ")</f>
        <v>71.02000000000001</v>
      </c>
      <c r="AE363" s="3">
        <f>ROUND(Table1[[#This Row],[Opp Passing Attempts]]/(Table1[[#This Row],[Opp Passing Attempts]]+Table1[[#This Row],[Opp Rushing Attempts]]), 2)</f>
        <v>0.45</v>
      </c>
      <c r="AF363" s="3">
        <f>1-Table1[[#This Row],[Passing Weight]]</f>
        <v>0.55000000000000004</v>
      </c>
      <c r="AG363" s="3" t="str">
        <f>IF(COUNTIF(A:A,Table1[[#This Row],[Opp Team Name]]) &gt; 0, "N", "Y")</f>
        <v>N</v>
      </c>
      <c r="AH363" s="3" t="str">
        <f>IF(Table1[[#This Row],[Passing Attempts]] &lt;15, "Y", "N")</f>
        <v>N</v>
      </c>
      <c r="AI363" s="3" t="str">
        <f>IF(Table1[[#This Row],[Rushing Attempts]] &lt; 15, "Y", "N")</f>
        <v>N</v>
      </c>
      <c r="AJ363" s="3" t="str">
        <f>IF(Table1[[#This Row],[Opp Passing Attempts]]&lt;15, "Y", "N")</f>
        <v>N</v>
      </c>
      <c r="AK363" s="3" t="str">
        <f>IF(Table1[[#This Row],[Opp Rushing Attempts]]&lt;15, "Y", "N")</f>
        <v>N</v>
      </c>
      <c r="AL3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99.02</v>
      </c>
      <c r="AM36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106.28</v>
      </c>
      <c r="AN3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-9.75</v>
      </c>
      <c r="AO36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76.33</v>
      </c>
      <c r="AP363" s="3">
        <f>ABS(Table1[[#This Row],[Team Score]]-Table1[[#This Row],[Opp Team Score]])</f>
        <v>20</v>
      </c>
      <c r="AQ363" s="3">
        <f>SUM(Table1[[#This Row],[Team Score]], Table1[[#This Row],[Opp Team Score]])</f>
        <v>40</v>
      </c>
      <c r="AR36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143.64999999999998</v>
      </c>
      <c r="AS363" s="3">
        <f>IF(Table1[[#This Row],[Efficiency Difference]] = " ", " ", ROUND((Table1[[#This Row],[Winning Margin]]*100)/Table1[[#This Row],[Efficiency Difference]], 2))</f>
        <v>13.92</v>
      </c>
    </row>
    <row r="364" spans="1:45">
      <c r="A364" t="s">
        <v>176</v>
      </c>
      <c r="B364">
        <v>388</v>
      </c>
      <c r="C364">
        <v>17</v>
      </c>
      <c r="D364">
        <v>236</v>
      </c>
      <c r="E364">
        <v>30</v>
      </c>
      <c r="F364">
        <v>2</v>
      </c>
      <c r="G364">
        <v>18</v>
      </c>
      <c r="H364">
        <v>0</v>
      </c>
      <c r="I364">
        <v>117</v>
      </c>
      <c r="J364">
        <v>45</v>
      </c>
      <c r="K364">
        <v>0</v>
      </c>
      <c r="L364">
        <v>0</v>
      </c>
      <c r="M364" t="s">
        <v>90</v>
      </c>
      <c r="N364">
        <v>367</v>
      </c>
      <c r="O364">
        <v>13</v>
      </c>
      <c r="P364">
        <v>221</v>
      </c>
      <c r="Q364">
        <v>29</v>
      </c>
      <c r="R364">
        <v>1</v>
      </c>
      <c r="S364">
        <v>20</v>
      </c>
      <c r="T364">
        <v>2</v>
      </c>
      <c r="U364">
        <v>60</v>
      </c>
      <c r="V364">
        <v>29</v>
      </c>
      <c r="W364">
        <v>1</v>
      </c>
      <c r="X364">
        <v>0</v>
      </c>
      <c r="Y364" t="s">
        <v>16</v>
      </c>
      <c r="Z364">
        <v>5</v>
      </c>
      <c r="AA364">
        <f>IF(AND(Table1[[#This Row],[Throw Out Pass Eff]]="N", Table1[[#This Row],[Against FCS Team]]="N"), ROUND(((5.45 * D364) + (150 * F364) + (100 * G364) - (300 * H364)) / E364, 2), " ")</f>
        <v>112.87</v>
      </c>
      <c r="AB364">
        <f>IF(AND(Table1[[#This Row],[Throw Out Pass Def Eff]]="N", Table1[[#This Row],[Against FCS Team]]="N"),200 - ROUND(((5.45 * P364) + (150 * R364) + (100 * S364) - (300 * T364)) / Q364, 2), " ")</f>
        <v>105.02</v>
      </c>
      <c r="AC364">
        <f>IF(AND(Table1[[#This Row],[Throw Out Rush Eff]]="N", Table1[[#This Row],[Against FCS Team]]="N"), ROUND(((23.2 * I364) + (150 * K364) - (300 * L364)) / J364, 2), " ")</f>
        <v>60.32</v>
      </c>
      <c r="AD364" s="3">
        <f>IF(AND(Table1[[#This Row],[Throw Out Rush Def Eff]]="N", Table1[[#This Row],[Against FCS Team]]="N"), 200 - ROUND(((23.2 * U364) + (150 * W364) - (300 * X364)) / V364, 2), " ")</f>
        <v>146.82999999999998</v>
      </c>
      <c r="AE364" s="3">
        <f>ROUND(Table1[[#This Row],[Opp Passing Attempts]]/(Table1[[#This Row],[Opp Passing Attempts]]+Table1[[#This Row],[Opp Rushing Attempts]]), 2)</f>
        <v>0.5</v>
      </c>
      <c r="AF364" s="3">
        <f>1-Table1[[#This Row],[Passing Weight]]</f>
        <v>0.5</v>
      </c>
      <c r="AG364" s="3" t="str">
        <f>IF(COUNTIF(A:A,Table1[[#This Row],[Opp Team Name]]) &gt; 0, "N", "Y")</f>
        <v>N</v>
      </c>
      <c r="AH364" s="3" t="str">
        <f>IF(Table1[[#This Row],[Passing Attempts]] &lt;15, "Y", "N")</f>
        <v>N</v>
      </c>
      <c r="AI364" s="3" t="str">
        <f>IF(Table1[[#This Row],[Rushing Attempts]] &lt; 15, "Y", "N")</f>
        <v>N</v>
      </c>
      <c r="AJ364" s="3" t="str">
        <f>IF(Table1[[#This Row],[Opp Passing Attempts]]&lt;15, "Y", "N")</f>
        <v>N</v>
      </c>
      <c r="AK364" s="3" t="str">
        <f>IF(Table1[[#This Row],[Opp Rushing Attempts]]&lt;15, "Y", "N")</f>
        <v>N</v>
      </c>
      <c r="AL3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104.19</v>
      </c>
      <c r="AM3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100.9</v>
      </c>
      <c r="AN36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83.19</v>
      </c>
      <c r="AO3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107.69</v>
      </c>
      <c r="AP364" s="3">
        <f>ABS(Table1[[#This Row],[Team Score]]-Table1[[#This Row],[Opp Team Score]])</f>
        <v>4</v>
      </c>
      <c r="AQ364" s="3">
        <f>SUM(Table1[[#This Row],[Team Score]], Table1[[#This Row],[Opp Team Score]])</f>
        <v>30</v>
      </c>
      <c r="AR36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25.039999999999964</v>
      </c>
      <c r="AS364" s="3">
        <f>IF(Table1[[#This Row],[Efficiency Difference]] = " ", " ", ROUND((Table1[[#This Row],[Winning Margin]]*100)/Table1[[#This Row],[Efficiency Difference]], 2))</f>
        <v>15.97</v>
      </c>
    </row>
    <row r="365" spans="1:45">
      <c r="A365" t="s">
        <v>176</v>
      </c>
      <c r="B365">
        <v>388</v>
      </c>
      <c r="C365">
        <v>6</v>
      </c>
      <c r="D365">
        <v>87</v>
      </c>
      <c r="E365">
        <v>29</v>
      </c>
      <c r="F365">
        <v>0</v>
      </c>
      <c r="G365">
        <v>11</v>
      </c>
      <c r="H365">
        <v>0</v>
      </c>
      <c r="I365">
        <v>43</v>
      </c>
      <c r="J365">
        <v>21</v>
      </c>
      <c r="K365">
        <v>0</v>
      </c>
      <c r="L365">
        <v>1</v>
      </c>
      <c r="M365" t="s">
        <v>142</v>
      </c>
      <c r="N365">
        <v>128</v>
      </c>
      <c r="O365">
        <v>16</v>
      </c>
      <c r="P365">
        <v>147</v>
      </c>
      <c r="Q365">
        <v>22</v>
      </c>
      <c r="R365">
        <v>1</v>
      </c>
      <c r="S365">
        <v>13</v>
      </c>
      <c r="T365">
        <v>1</v>
      </c>
      <c r="U365">
        <v>240</v>
      </c>
      <c r="V365">
        <v>51</v>
      </c>
      <c r="W365">
        <v>1</v>
      </c>
      <c r="X365">
        <v>2</v>
      </c>
      <c r="Y365" t="s">
        <v>19</v>
      </c>
      <c r="Z365">
        <v>6</v>
      </c>
      <c r="AA365">
        <f>IF(AND(Table1[[#This Row],[Throw Out Pass Eff]]="N", Table1[[#This Row],[Against FCS Team]]="N"), ROUND(((5.45 * D365) + (150 * F365) + (100 * G365) - (300 * H365)) / E365, 2), " ")</f>
        <v>54.28</v>
      </c>
      <c r="AB365">
        <f>IF(AND(Table1[[#This Row],[Throw Out Pass Def Eff]]="N", Table1[[#This Row],[Against FCS Team]]="N"),200 - ROUND(((5.45 * P365) + (150 * R365) + (100 * S365) - (300 * T365)) / Q365, 2), " ")</f>
        <v>111.31</v>
      </c>
      <c r="AC365">
        <f>IF(AND(Table1[[#This Row],[Throw Out Rush Eff]]="N", Table1[[#This Row],[Against FCS Team]]="N"), ROUND(((23.2 * I365) + (150 * K365) - (300 * L365)) / J365, 2), " ")</f>
        <v>33.22</v>
      </c>
      <c r="AD365" s="3">
        <f>IF(AND(Table1[[#This Row],[Throw Out Rush Def Eff]]="N", Table1[[#This Row],[Against FCS Team]]="N"), 200 - ROUND(((23.2 * U365) + (150 * W365) - (300 * X365)) / V365, 2), " ")</f>
        <v>99.65</v>
      </c>
      <c r="AE365" s="3">
        <f>ROUND(Table1[[#This Row],[Opp Passing Attempts]]/(Table1[[#This Row],[Opp Passing Attempts]]+Table1[[#This Row],[Opp Rushing Attempts]]), 2)</f>
        <v>0.3</v>
      </c>
      <c r="AF365" s="3">
        <f>1-Table1[[#This Row],[Passing Weight]]</f>
        <v>0.7</v>
      </c>
      <c r="AG365" s="3" t="str">
        <f>IF(COUNTIF(A:A,Table1[[#This Row],[Opp Team Name]]) &gt; 0, "N", "Y")</f>
        <v>N</v>
      </c>
      <c r="AH365" s="3" t="str">
        <f>IF(Table1[[#This Row],[Passing Attempts]] &lt;15, "Y", "N")</f>
        <v>N</v>
      </c>
      <c r="AI365" s="3" t="str">
        <f>IF(Table1[[#This Row],[Rushing Attempts]] &lt; 15, "Y", "N")</f>
        <v>N</v>
      </c>
      <c r="AJ365" s="3" t="str">
        <f>IF(Table1[[#This Row],[Opp Passing Attempts]]&lt;15, "Y", "N")</f>
        <v>N</v>
      </c>
      <c r="AK365" s="3" t="str">
        <f>IF(Table1[[#This Row],[Opp Rushing Attempts]]&lt;15, "Y", "N")</f>
        <v>N</v>
      </c>
      <c r="AL36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66.569999999999993</v>
      </c>
      <c r="AM3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116.2</v>
      </c>
      <c r="AN3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36.71</v>
      </c>
      <c r="AO3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86.06</v>
      </c>
      <c r="AP365" s="3">
        <f>ABS(Table1[[#This Row],[Team Score]]-Table1[[#This Row],[Opp Team Score]])</f>
        <v>10</v>
      </c>
      <c r="AQ365" s="3">
        <f>SUM(Table1[[#This Row],[Team Score]], Table1[[#This Row],[Opp Team Score]])</f>
        <v>22</v>
      </c>
      <c r="AR36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101.53999999999999</v>
      </c>
      <c r="AS365" s="3">
        <f>IF(Table1[[#This Row],[Efficiency Difference]] = " ", " ", ROUND((Table1[[#This Row],[Winning Margin]]*100)/Table1[[#This Row],[Efficiency Difference]], 2))</f>
        <v>9.85</v>
      </c>
    </row>
    <row r="366" spans="1:45">
      <c r="A366" t="s">
        <v>176</v>
      </c>
      <c r="B366">
        <v>388</v>
      </c>
      <c r="C366">
        <v>24</v>
      </c>
      <c r="D366">
        <v>111</v>
      </c>
      <c r="E366">
        <v>27</v>
      </c>
      <c r="F366">
        <v>0</v>
      </c>
      <c r="G366">
        <v>14</v>
      </c>
      <c r="H366">
        <v>1</v>
      </c>
      <c r="I366">
        <v>217</v>
      </c>
      <c r="J366">
        <v>43</v>
      </c>
      <c r="K366">
        <v>3</v>
      </c>
      <c r="L366">
        <v>0</v>
      </c>
      <c r="M366" t="s">
        <v>122</v>
      </c>
      <c r="N366">
        <v>574</v>
      </c>
      <c r="O366">
        <v>20</v>
      </c>
      <c r="P366">
        <v>167</v>
      </c>
      <c r="Q366">
        <v>21</v>
      </c>
      <c r="R366">
        <v>1</v>
      </c>
      <c r="S366">
        <v>12</v>
      </c>
      <c r="T366">
        <v>0</v>
      </c>
      <c r="U366">
        <v>194</v>
      </c>
      <c r="V366">
        <v>41</v>
      </c>
      <c r="W366">
        <v>1</v>
      </c>
      <c r="X366">
        <v>2</v>
      </c>
      <c r="Y366" t="s">
        <v>16</v>
      </c>
      <c r="Z366">
        <v>7</v>
      </c>
      <c r="AA366">
        <f>IF(AND(Table1[[#This Row],[Throw Out Pass Eff]]="N", Table1[[#This Row],[Against FCS Team]]="N"), ROUND(((5.45 * D366) + (150 * F366) + (100 * G366) - (300 * H366)) / E366, 2), " ")</f>
        <v>63.15</v>
      </c>
      <c r="AB366">
        <f>IF(AND(Table1[[#This Row],[Throw Out Pass Def Eff]]="N", Table1[[#This Row],[Against FCS Team]]="N"),200 - ROUND(((5.45 * P366) + (150 * R366) + (100 * S366) - (300 * T366)) / Q366, 2), " ")</f>
        <v>92.37</v>
      </c>
      <c r="AC366">
        <f>IF(AND(Table1[[#This Row],[Throw Out Rush Eff]]="N", Table1[[#This Row],[Against FCS Team]]="N"), ROUND(((23.2 * I366) + (150 * K366) - (300 * L366)) / J366, 2), " ")</f>
        <v>127.54</v>
      </c>
      <c r="AD366" s="3">
        <f>IF(AND(Table1[[#This Row],[Throw Out Rush Def Eff]]="N", Table1[[#This Row],[Against FCS Team]]="N"), 200 - ROUND(((23.2 * U366) + (150 * W366) - (300 * X366)) / V366, 2), " ")</f>
        <v>101.2</v>
      </c>
      <c r="AE366" s="3">
        <f>ROUND(Table1[[#This Row],[Opp Passing Attempts]]/(Table1[[#This Row],[Opp Passing Attempts]]+Table1[[#This Row],[Opp Rushing Attempts]]), 2)</f>
        <v>0.34</v>
      </c>
      <c r="AF366" s="3">
        <f>1-Table1[[#This Row],[Passing Weight]]</f>
        <v>0.65999999999999992</v>
      </c>
      <c r="AG366" s="3" t="str">
        <f>IF(COUNTIF(A:A,Table1[[#This Row],[Opp Team Name]]) &gt; 0, "N", "Y")</f>
        <v>N</v>
      </c>
      <c r="AH366" s="3" t="str">
        <f>IF(Table1[[#This Row],[Passing Attempts]] &lt;15, "Y", "N")</f>
        <v>N</v>
      </c>
      <c r="AI366" s="3" t="str">
        <f>IF(Table1[[#This Row],[Rushing Attempts]] &lt; 15, "Y", "N")</f>
        <v>N</v>
      </c>
      <c r="AJ366" s="3" t="str">
        <f>IF(Table1[[#This Row],[Opp Passing Attempts]]&lt;15, "Y", "N")</f>
        <v>N</v>
      </c>
      <c r="AK366" s="3" t="str">
        <f>IF(Table1[[#This Row],[Opp Rushing Attempts]]&lt;15, "Y", "N")</f>
        <v>N</v>
      </c>
      <c r="AL3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59.02</v>
      </c>
      <c r="AM3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83.37</v>
      </c>
      <c r="AN3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112.83</v>
      </c>
      <c r="AO3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68.58</v>
      </c>
      <c r="AP366" s="3">
        <f>ABS(Table1[[#This Row],[Team Score]]-Table1[[#This Row],[Opp Team Score]])</f>
        <v>4</v>
      </c>
      <c r="AQ366" s="3">
        <f>SUM(Table1[[#This Row],[Team Score]], Table1[[#This Row],[Opp Team Score]])</f>
        <v>44</v>
      </c>
      <c r="AR3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15.740000000000009</v>
      </c>
      <c r="AS366" s="3">
        <f>IF(Table1[[#This Row],[Efficiency Difference]] = " ", " ", ROUND((Table1[[#This Row],[Winning Margin]]*100)/Table1[[#This Row],[Efficiency Difference]], 2))</f>
        <v>25.41</v>
      </c>
    </row>
    <row r="367" spans="1:45">
      <c r="A367" t="s">
        <v>176</v>
      </c>
      <c r="B367">
        <v>388</v>
      </c>
      <c r="C367">
        <v>28</v>
      </c>
      <c r="D367">
        <v>309</v>
      </c>
      <c r="E367">
        <v>39</v>
      </c>
      <c r="F367">
        <v>3</v>
      </c>
      <c r="G367">
        <v>29</v>
      </c>
      <c r="H367">
        <v>2</v>
      </c>
      <c r="I367">
        <v>197</v>
      </c>
      <c r="J367">
        <v>47</v>
      </c>
      <c r="K367">
        <v>1</v>
      </c>
      <c r="L367">
        <v>0</v>
      </c>
      <c r="M367" t="s">
        <v>74</v>
      </c>
      <c r="N367">
        <v>288</v>
      </c>
      <c r="O367">
        <v>63</v>
      </c>
      <c r="P367">
        <v>479</v>
      </c>
      <c r="Q367">
        <v>37</v>
      </c>
      <c r="R367">
        <v>7</v>
      </c>
      <c r="S367">
        <v>29</v>
      </c>
      <c r="T367">
        <v>0</v>
      </c>
      <c r="U367">
        <v>142</v>
      </c>
      <c r="V367">
        <v>20</v>
      </c>
      <c r="W367">
        <v>1</v>
      </c>
      <c r="X367">
        <v>0</v>
      </c>
      <c r="Y367" t="s">
        <v>19</v>
      </c>
      <c r="Z367">
        <v>8</v>
      </c>
      <c r="AA367" s="3">
        <f>IF(AND(Table1[[#This Row],[Throw Out Pass Eff]]="N", Table1[[#This Row],[Against FCS Team]]="N"), ROUND(((5.45 * D367) + (150 * F367) + (100 * G367) - (300 * H367)) / E367, 2), " ")</f>
        <v>113.69</v>
      </c>
      <c r="AB367" s="3">
        <f>IF(AND(Table1[[#This Row],[Throw Out Pass Def Eff]]="N", Table1[[#This Row],[Against FCS Team]]="N"),200 - ROUND(((5.45 * P367) + (150 * R367) + (100 * S367) - (300 * T367)) / Q367, 2), " ")</f>
        <v>22.689999999999998</v>
      </c>
      <c r="AC367" s="3">
        <f>IF(AND(Table1[[#This Row],[Throw Out Rush Eff]]="N", Table1[[#This Row],[Against FCS Team]]="N"), ROUND(((23.2 * I367) + (150 * K367) - (300 * L367)) / J367, 2), " ")</f>
        <v>100.43</v>
      </c>
      <c r="AD367" s="3">
        <f>IF(AND(Table1[[#This Row],[Throw Out Rush Def Eff]]="N", Table1[[#This Row],[Against FCS Team]]="N"), 200 - ROUND(((23.2 * U367) + (150 * W367) - (300 * X367)) / V367, 2), " ")</f>
        <v>27.78</v>
      </c>
      <c r="AE367" s="3">
        <f>ROUND(Table1[[#This Row],[Opp Passing Attempts]]/(Table1[[#This Row],[Opp Passing Attempts]]+Table1[[#This Row],[Opp Rushing Attempts]]), 2)</f>
        <v>0.65</v>
      </c>
      <c r="AF367" s="3">
        <f>1-Table1[[#This Row],[Passing Weight]]</f>
        <v>0.35</v>
      </c>
      <c r="AG367" s="3" t="str">
        <f>IF(COUNTIF(A:A,Table1[[#This Row],[Opp Team Name]]) &gt; 0, "N", "Y")</f>
        <v>N</v>
      </c>
      <c r="AH367" s="3" t="str">
        <f>IF(Table1[[#This Row],[Passing Attempts]] &lt;15, "Y", "N")</f>
        <v>N</v>
      </c>
      <c r="AI367" s="3" t="str">
        <f>IF(Table1[[#This Row],[Rushing Attempts]] &lt; 15, "Y", "N")</f>
        <v>N</v>
      </c>
      <c r="AJ367" s="3" t="str">
        <f>IF(Table1[[#This Row],[Opp Passing Attempts]]&lt;15, "Y", "N")</f>
        <v>N</v>
      </c>
      <c r="AK367" s="3" t="str">
        <f>IF(Table1[[#This Row],[Opp Rushing Attempts]]&lt;15, "Y", "N")</f>
        <v>N</v>
      </c>
      <c r="AL3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111.57</v>
      </c>
      <c r="AM3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29.75</v>
      </c>
      <c r="AN3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106.91</v>
      </c>
      <c r="AO3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37.03</v>
      </c>
      <c r="AP367" s="3">
        <f>ABS(Table1[[#This Row],[Team Score]]-Table1[[#This Row],[Opp Team Score]])</f>
        <v>35</v>
      </c>
      <c r="AQ367" s="3">
        <f>SUM(Table1[[#This Row],[Team Score]], Table1[[#This Row],[Opp Team Score]])</f>
        <v>91</v>
      </c>
      <c r="AR3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135.40999999999997</v>
      </c>
      <c r="AS367" s="3">
        <f>IF(Table1[[#This Row],[Efficiency Difference]] = " ", " ", ROUND((Table1[[#This Row],[Winning Margin]]*100)/Table1[[#This Row],[Efficiency Difference]], 2))</f>
        <v>25.85</v>
      </c>
    </row>
    <row r="368" spans="1:45">
      <c r="A368" t="s">
        <v>178</v>
      </c>
      <c r="B368">
        <v>392</v>
      </c>
      <c r="C368">
        <v>28</v>
      </c>
      <c r="D368">
        <v>137</v>
      </c>
      <c r="E368">
        <v>24</v>
      </c>
      <c r="F368">
        <v>2</v>
      </c>
      <c r="G368">
        <v>16</v>
      </c>
      <c r="H368">
        <v>0</v>
      </c>
      <c r="I368">
        <v>198</v>
      </c>
      <c r="J368">
        <v>37</v>
      </c>
      <c r="K368">
        <v>2</v>
      </c>
      <c r="L368">
        <v>1</v>
      </c>
      <c r="M368" t="s">
        <v>210</v>
      </c>
      <c r="N368">
        <v>711</v>
      </c>
      <c r="O368">
        <v>3</v>
      </c>
      <c r="P368">
        <v>217</v>
      </c>
      <c r="Q368">
        <v>29</v>
      </c>
      <c r="R368">
        <v>0</v>
      </c>
      <c r="S368">
        <v>17</v>
      </c>
      <c r="T368">
        <v>2</v>
      </c>
      <c r="U368">
        <v>161</v>
      </c>
      <c r="V368">
        <v>43</v>
      </c>
      <c r="W368">
        <v>0</v>
      </c>
      <c r="X368">
        <v>2</v>
      </c>
      <c r="Y368" t="s">
        <v>16</v>
      </c>
      <c r="Z368">
        <v>5</v>
      </c>
      <c r="AA368" t="str">
        <f>IF(AND(Table1[[#This Row],[Throw Out Pass Eff]]="N", Table1[[#This Row],[Against FCS Team]]="N"), ROUND(((5.45 * D368) + (150 * F368) + (100 * G368) - (300 * H368)) / E368, 2), " ")</f>
        <v xml:space="preserve"> </v>
      </c>
      <c r="AB368" t="str">
        <f>IF(AND(Table1[[#This Row],[Throw Out Pass Def Eff]]="N", Table1[[#This Row],[Against FCS Team]]="N"),200 - ROUND(((5.45 * P368) + (150 * R368) + (100 * S368) - (300 * T368)) / Q368, 2), " ")</f>
        <v xml:space="preserve"> </v>
      </c>
      <c r="AC368" t="str">
        <f>IF(AND(Table1[[#This Row],[Throw Out Rush Eff]]="N", Table1[[#This Row],[Against FCS Team]]="N"), ROUND(((23.2 * I368) + (150 * K368) - (300 * L368)) / J368, 2), " ")</f>
        <v xml:space="preserve"> </v>
      </c>
      <c r="AD368" s="3" t="str">
        <f>IF(AND(Table1[[#This Row],[Throw Out Rush Def Eff]]="N", Table1[[#This Row],[Against FCS Team]]="N"), 200 - ROUND(((23.2 * U368) + (150 * W368) - (300 * X368)) / V368, 2), " ")</f>
        <v xml:space="preserve"> </v>
      </c>
      <c r="AE368" s="3">
        <f>ROUND(Table1[[#This Row],[Opp Passing Attempts]]/(Table1[[#This Row],[Opp Passing Attempts]]+Table1[[#This Row],[Opp Rushing Attempts]]), 2)</f>
        <v>0.4</v>
      </c>
      <c r="AF368" s="3">
        <f>1-Table1[[#This Row],[Passing Weight]]</f>
        <v>0.6</v>
      </c>
      <c r="AG368" s="3" t="str">
        <f>IF(COUNTIF(A:A,Table1[[#This Row],[Opp Team Name]]) &gt; 0, "N", "Y")</f>
        <v>Y</v>
      </c>
      <c r="AH368" s="3" t="str">
        <f>IF(Table1[[#This Row],[Passing Attempts]] &lt;15, "Y", "N")</f>
        <v>N</v>
      </c>
      <c r="AI368" s="3" t="str">
        <f>IF(Table1[[#This Row],[Rushing Attempts]] &lt; 15, "Y", "N")</f>
        <v>N</v>
      </c>
      <c r="AJ368" s="3" t="str">
        <f>IF(Table1[[#This Row],[Opp Passing Attempts]]&lt;15, "Y", "N")</f>
        <v>N</v>
      </c>
      <c r="AK368" s="3" t="str">
        <f>IF(Table1[[#This Row],[Opp Rushing Attempts]]&lt;15, "Y", "N")</f>
        <v>N</v>
      </c>
      <c r="AL36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6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6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6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68" s="3">
        <f>ABS(Table1[[#This Row],[Team Score]]-Table1[[#This Row],[Opp Team Score]])</f>
        <v>25</v>
      </c>
      <c r="AQ368" s="3">
        <f>SUM(Table1[[#This Row],[Team Score]], Table1[[#This Row],[Opp Team Score]])</f>
        <v>31</v>
      </c>
      <c r="AR36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68" s="3" t="str">
        <f>IF(Table1[[#This Row],[Efficiency Difference]] = " ", " ", ROUND((Table1[[#This Row],[Winning Margin]]*100)/Table1[[#This Row],[Efficiency Difference]], 2))</f>
        <v xml:space="preserve"> </v>
      </c>
    </row>
    <row r="369" spans="1:45">
      <c r="A369" t="s">
        <v>178</v>
      </c>
      <c r="B369">
        <v>392</v>
      </c>
      <c r="C369">
        <v>32</v>
      </c>
      <c r="D369">
        <v>348</v>
      </c>
      <c r="E369">
        <v>44</v>
      </c>
      <c r="F369">
        <v>1</v>
      </c>
      <c r="G369">
        <v>31</v>
      </c>
      <c r="H369">
        <v>1</v>
      </c>
      <c r="I369">
        <v>151</v>
      </c>
      <c r="J369">
        <v>34</v>
      </c>
      <c r="K369">
        <v>0</v>
      </c>
      <c r="L369">
        <v>0</v>
      </c>
      <c r="M369" t="s">
        <v>179</v>
      </c>
      <c r="N369">
        <v>415</v>
      </c>
      <c r="O369">
        <v>24</v>
      </c>
      <c r="P369">
        <v>195</v>
      </c>
      <c r="Q369">
        <v>28</v>
      </c>
      <c r="R369">
        <v>0</v>
      </c>
      <c r="S369">
        <v>19</v>
      </c>
      <c r="T369">
        <v>2</v>
      </c>
      <c r="U369">
        <v>172</v>
      </c>
      <c r="V369">
        <v>40</v>
      </c>
      <c r="W369">
        <v>3</v>
      </c>
      <c r="X369">
        <v>2</v>
      </c>
      <c r="Y369" t="s">
        <v>16</v>
      </c>
      <c r="Z369">
        <v>2</v>
      </c>
      <c r="AA369">
        <f>IF(AND(Table1[[#This Row],[Throw Out Pass Eff]]="N", Table1[[#This Row],[Against FCS Team]]="N"), ROUND(((5.45 * D369) + (150 * F369) + (100 * G369) - (300 * H369)) / E369, 2), " ")</f>
        <v>110.15</v>
      </c>
      <c r="AB369">
        <f>IF(AND(Table1[[#This Row],[Throw Out Pass Def Eff]]="N", Table1[[#This Row],[Against FCS Team]]="N"),200 - ROUND(((5.45 * P369) + (150 * R369) + (100 * S369) - (300 * T369)) / Q369, 2), " ")</f>
        <v>115.62</v>
      </c>
      <c r="AC369">
        <f>IF(AND(Table1[[#This Row],[Throw Out Rush Eff]]="N", Table1[[#This Row],[Against FCS Team]]="N"), ROUND(((23.2 * I369) + (150 * K369) - (300 * L369)) / J369, 2), " ")</f>
        <v>103.04</v>
      </c>
      <c r="AD369" s="3">
        <f>IF(AND(Table1[[#This Row],[Throw Out Rush Def Eff]]="N", Table1[[#This Row],[Against FCS Team]]="N"), 200 - ROUND(((23.2 * U369) + (150 * W369) - (300 * X369)) / V369, 2), " ")</f>
        <v>103.99</v>
      </c>
      <c r="AE369" s="3">
        <f>ROUND(Table1[[#This Row],[Opp Passing Attempts]]/(Table1[[#This Row],[Opp Passing Attempts]]+Table1[[#This Row],[Opp Rushing Attempts]]), 2)</f>
        <v>0.41</v>
      </c>
      <c r="AF369" s="3">
        <f>1-Table1[[#This Row],[Passing Weight]]</f>
        <v>0.59000000000000008</v>
      </c>
      <c r="AG369" s="3" t="str">
        <f>IF(COUNTIF(A:A,Table1[[#This Row],[Opp Team Name]]) &gt; 0, "N", "Y")</f>
        <v>N</v>
      </c>
      <c r="AH369" s="3" t="str">
        <f>IF(Table1[[#This Row],[Passing Attempts]] &lt;15, "Y", "N")</f>
        <v>N</v>
      </c>
      <c r="AI369" s="3" t="str">
        <f>IF(Table1[[#This Row],[Rushing Attempts]] &lt; 15, "Y", "N")</f>
        <v>N</v>
      </c>
      <c r="AJ369" s="3" t="str">
        <f>IF(Table1[[#This Row],[Opp Passing Attempts]]&lt;15, "Y", "N")</f>
        <v>N</v>
      </c>
      <c r="AK369" s="3" t="str">
        <f>IF(Table1[[#This Row],[Opp Rushing Attempts]]&lt;15, "Y", "N")</f>
        <v>N</v>
      </c>
      <c r="AL3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98.47</v>
      </c>
      <c r="AM3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121.73</v>
      </c>
      <c r="AN3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106.79</v>
      </c>
      <c r="AO3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105.41</v>
      </c>
      <c r="AP369" s="3">
        <f>ABS(Table1[[#This Row],[Team Score]]-Table1[[#This Row],[Opp Team Score]])</f>
        <v>8</v>
      </c>
      <c r="AQ369" s="3">
        <f>SUM(Table1[[#This Row],[Team Score]], Table1[[#This Row],[Opp Team Score]])</f>
        <v>56</v>
      </c>
      <c r="AR3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32.800000000000011</v>
      </c>
      <c r="AS369" s="3">
        <f>IF(Table1[[#This Row],[Efficiency Difference]] = " ", " ", ROUND((Table1[[#This Row],[Winning Margin]]*100)/Table1[[#This Row],[Efficiency Difference]], 2))</f>
        <v>24.39</v>
      </c>
    </row>
    <row r="370" spans="1:45">
      <c r="A370" t="s">
        <v>178</v>
      </c>
      <c r="B370">
        <v>392</v>
      </c>
      <c r="C370">
        <v>31</v>
      </c>
      <c r="D370">
        <v>289</v>
      </c>
      <c r="E370">
        <v>52</v>
      </c>
      <c r="F370">
        <v>1</v>
      </c>
      <c r="G370">
        <v>34</v>
      </c>
      <c r="H370">
        <v>3</v>
      </c>
      <c r="I370">
        <v>188</v>
      </c>
      <c r="J370">
        <v>35</v>
      </c>
      <c r="K370">
        <v>3</v>
      </c>
      <c r="L370">
        <v>0</v>
      </c>
      <c r="M370" t="s">
        <v>177</v>
      </c>
      <c r="N370">
        <v>768</v>
      </c>
      <c r="O370">
        <v>37</v>
      </c>
      <c r="P370">
        <v>388</v>
      </c>
      <c r="Q370">
        <v>49</v>
      </c>
      <c r="R370">
        <v>1</v>
      </c>
      <c r="S370">
        <v>36</v>
      </c>
      <c r="T370">
        <v>1</v>
      </c>
      <c r="U370">
        <v>92</v>
      </c>
      <c r="V370">
        <v>31</v>
      </c>
      <c r="W370">
        <v>2</v>
      </c>
      <c r="X370">
        <v>2</v>
      </c>
      <c r="Y370" t="s">
        <v>19</v>
      </c>
      <c r="Z370">
        <v>3</v>
      </c>
      <c r="AA370">
        <f>IF(AND(Table1[[#This Row],[Throw Out Pass Eff]]="N", Table1[[#This Row],[Against FCS Team]]="N"), ROUND(((5.45 * D370) + (150 * F370) + (100 * G370) - (300 * H370)) / E370, 2), " ")</f>
        <v>81.25</v>
      </c>
      <c r="AB370">
        <f>IF(AND(Table1[[#This Row],[Throw Out Pass Def Eff]]="N", Table1[[#This Row],[Against FCS Team]]="N"),200 - ROUND(((5.45 * P370) + (150 * R370) + (100 * S370) - (300 * T370)) / Q370, 2), " ")</f>
        <v>86.44</v>
      </c>
      <c r="AC370">
        <f>IF(AND(Table1[[#This Row],[Throw Out Rush Eff]]="N", Table1[[#This Row],[Against FCS Team]]="N"), ROUND(((23.2 * I370) + (150 * K370) - (300 * L370)) / J370, 2), " ")</f>
        <v>137.47</v>
      </c>
      <c r="AD370" s="3">
        <f>IF(AND(Table1[[#This Row],[Throw Out Rush Def Eff]]="N", Table1[[#This Row],[Against FCS Team]]="N"), 200 - ROUND(((23.2 * U370) + (150 * W370) - (300 * X370)) / V370, 2), " ")</f>
        <v>140.82999999999998</v>
      </c>
      <c r="AE370" s="3">
        <f>ROUND(Table1[[#This Row],[Opp Passing Attempts]]/(Table1[[#This Row],[Opp Passing Attempts]]+Table1[[#This Row],[Opp Rushing Attempts]]), 2)</f>
        <v>0.61</v>
      </c>
      <c r="AF370" s="3">
        <f>1-Table1[[#This Row],[Passing Weight]]</f>
        <v>0.39</v>
      </c>
      <c r="AG370" s="3" t="str">
        <f>IF(COUNTIF(A:A,Table1[[#This Row],[Opp Team Name]]) &gt; 0, "N", "Y")</f>
        <v>N</v>
      </c>
      <c r="AH370" s="3" t="str">
        <f>IF(Table1[[#This Row],[Passing Attempts]] &lt;15, "Y", "N")</f>
        <v>N</v>
      </c>
      <c r="AI370" s="3" t="str">
        <f>IF(Table1[[#This Row],[Rushing Attempts]] &lt; 15, "Y", "N")</f>
        <v>N</v>
      </c>
      <c r="AJ370" s="3" t="str">
        <f>IF(Table1[[#This Row],[Opp Passing Attempts]]&lt;15, "Y", "N")</f>
        <v>N</v>
      </c>
      <c r="AK370" s="3" t="str">
        <f>IF(Table1[[#This Row],[Opp Rushing Attempts]]&lt;15, "Y", "N")</f>
        <v>N</v>
      </c>
      <c r="AL3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87.2</v>
      </c>
      <c r="AM37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95.05</v>
      </c>
      <c r="AN3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151.47</v>
      </c>
      <c r="AO3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111.9</v>
      </c>
      <c r="AP370" s="3">
        <f>ABS(Table1[[#This Row],[Team Score]]-Table1[[#This Row],[Opp Team Score]])</f>
        <v>6</v>
      </c>
      <c r="AQ370" s="3">
        <f>SUM(Table1[[#This Row],[Team Score]], Table1[[#This Row],[Opp Team Score]])</f>
        <v>68</v>
      </c>
      <c r="AR37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45.989999999999981</v>
      </c>
      <c r="AS370" s="3">
        <f>IF(Table1[[#This Row],[Efficiency Difference]] = " ", " ", ROUND((Table1[[#This Row],[Winning Margin]]*100)/Table1[[#This Row],[Efficiency Difference]], 2))</f>
        <v>13.05</v>
      </c>
    </row>
    <row r="371" spans="1:45">
      <c r="A371" t="s">
        <v>178</v>
      </c>
      <c r="B371">
        <v>392</v>
      </c>
      <c r="C371">
        <v>7</v>
      </c>
      <c r="D371">
        <v>195</v>
      </c>
      <c r="E371">
        <v>37</v>
      </c>
      <c r="F371">
        <v>1</v>
      </c>
      <c r="G371">
        <v>21</v>
      </c>
      <c r="H371">
        <v>1</v>
      </c>
      <c r="I371">
        <v>45</v>
      </c>
      <c r="J371">
        <v>23</v>
      </c>
      <c r="K371">
        <v>0</v>
      </c>
      <c r="L371">
        <v>0</v>
      </c>
      <c r="M371" t="s">
        <v>132</v>
      </c>
      <c r="N371">
        <v>690</v>
      </c>
      <c r="O371">
        <v>38</v>
      </c>
      <c r="P371">
        <v>140</v>
      </c>
      <c r="Q371">
        <v>9</v>
      </c>
      <c r="R371">
        <v>0</v>
      </c>
      <c r="S371">
        <v>9</v>
      </c>
      <c r="T371">
        <v>0</v>
      </c>
      <c r="U371">
        <v>285</v>
      </c>
      <c r="V371">
        <v>62</v>
      </c>
      <c r="W371">
        <v>5</v>
      </c>
      <c r="X371">
        <v>1</v>
      </c>
      <c r="Y371" t="s">
        <v>19</v>
      </c>
      <c r="Z371">
        <v>4</v>
      </c>
      <c r="AA371">
        <f>IF(AND(Table1[[#This Row],[Throw Out Pass Eff]]="N", Table1[[#This Row],[Against FCS Team]]="N"), ROUND(((5.45 * D371) + (150 * F371) + (100 * G371) - (300 * H371)) / E371, 2), " ")</f>
        <v>81.430000000000007</v>
      </c>
      <c r="AB371" t="str">
        <f>IF(AND(Table1[[#This Row],[Throw Out Pass Def Eff]]="N", Table1[[#This Row],[Against FCS Team]]="N"),200 - ROUND(((5.45 * P371) + (150 * R371) + (100 * S371) - (300 * T371)) / Q371, 2), " ")</f>
        <v xml:space="preserve"> </v>
      </c>
      <c r="AC371">
        <f>IF(AND(Table1[[#This Row],[Throw Out Rush Eff]]="N", Table1[[#This Row],[Against FCS Team]]="N"), ROUND(((23.2 * I371) + (150 * K371) - (300 * L371)) / J371, 2), " ")</f>
        <v>45.39</v>
      </c>
      <c r="AD371" s="3">
        <f>IF(AND(Table1[[#This Row],[Throw Out Rush Def Eff]]="N", Table1[[#This Row],[Against FCS Team]]="N"), 200 - ROUND(((23.2 * U371) + (150 * W371) - (300 * X371)) / V371, 2), " ")</f>
        <v>86.1</v>
      </c>
      <c r="AE371" s="3">
        <f>ROUND(Table1[[#This Row],[Opp Passing Attempts]]/(Table1[[#This Row],[Opp Passing Attempts]]+Table1[[#This Row],[Opp Rushing Attempts]]), 2)</f>
        <v>0.13</v>
      </c>
      <c r="AF371" s="3">
        <f>1-Table1[[#This Row],[Passing Weight]]</f>
        <v>0.87</v>
      </c>
      <c r="AG371" s="3" t="str">
        <f>IF(COUNTIF(A:A,Table1[[#This Row],[Opp Team Name]]) &gt; 0, "N", "Y")</f>
        <v>N</v>
      </c>
      <c r="AH371" s="3" t="str">
        <f>IF(Table1[[#This Row],[Passing Attempts]] &lt;15, "Y", "N")</f>
        <v>N</v>
      </c>
      <c r="AI371" s="3" t="str">
        <f>IF(Table1[[#This Row],[Rushing Attempts]] &lt; 15, "Y", "N")</f>
        <v>N</v>
      </c>
      <c r="AJ371" s="3" t="str">
        <f>IF(Table1[[#This Row],[Opp Passing Attempts]]&lt;15, "Y", "N")</f>
        <v>Y</v>
      </c>
      <c r="AK371" s="3" t="str">
        <f>IF(Table1[[#This Row],[Opp Rushing Attempts]]&lt;15, "Y", "N")</f>
        <v>N</v>
      </c>
      <c r="AL3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93.14</v>
      </c>
      <c r="AM37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62.63</v>
      </c>
      <c r="AO3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95.71</v>
      </c>
      <c r="AP371" s="3">
        <f>ABS(Table1[[#This Row],[Team Score]]-Table1[[#This Row],[Opp Team Score]])</f>
        <v>31</v>
      </c>
      <c r="AQ371" s="3">
        <f>SUM(Table1[[#This Row],[Team Score]], Table1[[#This Row],[Opp Team Score]])</f>
        <v>45</v>
      </c>
      <c r="AR37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71" s="3" t="str">
        <f>IF(Table1[[#This Row],[Efficiency Difference]] = " ", " ", ROUND((Table1[[#This Row],[Winning Margin]]*100)/Table1[[#This Row],[Efficiency Difference]], 2))</f>
        <v xml:space="preserve"> </v>
      </c>
    </row>
    <row r="372" spans="1:45">
      <c r="A372" t="s">
        <v>178</v>
      </c>
      <c r="B372">
        <v>392</v>
      </c>
      <c r="C372">
        <v>16</v>
      </c>
      <c r="D372">
        <v>87</v>
      </c>
      <c r="E372">
        <v>24</v>
      </c>
      <c r="F372">
        <v>0</v>
      </c>
      <c r="G372">
        <v>6</v>
      </c>
      <c r="H372">
        <v>2</v>
      </c>
      <c r="I372">
        <v>246</v>
      </c>
      <c r="J372">
        <v>41</v>
      </c>
      <c r="K372">
        <v>2</v>
      </c>
      <c r="L372">
        <v>0</v>
      </c>
      <c r="M372" t="s">
        <v>72</v>
      </c>
      <c r="N372">
        <v>255</v>
      </c>
      <c r="O372">
        <v>21</v>
      </c>
      <c r="P372">
        <v>114</v>
      </c>
      <c r="Q372">
        <v>21</v>
      </c>
      <c r="R372">
        <v>0</v>
      </c>
      <c r="S372">
        <v>6</v>
      </c>
      <c r="T372">
        <v>1</v>
      </c>
      <c r="U372">
        <v>272</v>
      </c>
      <c r="V372">
        <v>60</v>
      </c>
      <c r="W372">
        <v>3</v>
      </c>
      <c r="X372">
        <v>0</v>
      </c>
      <c r="Y372" t="s">
        <v>19</v>
      </c>
      <c r="Z372">
        <v>6</v>
      </c>
      <c r="AA372">
        <f>IF(AND(Table1[[#This Row],[Throw Out Pass Eff]]="N", Table1[[#This Row],[Against FCS Team]]="N"), ROUND(((5.45 * D372) + (150 * F372) + (100 * G372) - (300 * H372)) / E372, 2), " ")</f>
        <v>19.760000000000002</v>
      </c>
      <c r="AB372">
        <f>IF(AND(Table1[[#This Row],[Throw Out Pass Def Eff]]="N", Table1[[#This Row],[Against FCS Team]]="N"),200 - ROUND(((5.45 * P372) + (150 * R372) + (100 * S372) - (300 * T372)) / Q372, 2), " ")</f>
        <v>156.13</v>
      </c>
      <c r="AC372">
        <f>IF(AND(Table1[[#This Row],[Throw Out Rush Eff]]="N", Table1[[#This Row],[Against FCS Team]]="N"), ROUND(((23.2 * I372) + (150 * K372) - (300 * L372)) / J372, 2), " ")</f>
        <v>146.52000000000001</v>
      </c>
      <c r="AD372" s="3">
        <f>IF(AND(Table1[[#This Row],[Throw Out Rush Def Eff]]="N", Table1[[#This Row],[Against FCS Team]]="N"), 200 - ROUND(((23.2 * U372) + (150 * W372) - (300 * X372)) / V372, 2), " ")</f>
        <v>87.33</v>
      </c>
      <c r="AE372" s="3">
        <f>ROUND(Table1[[#This Row],[Opp Passing Attempts]]/(Table1[[#This Row],[Opp Passing Attempts]]+Table1[[#This Row],[Opp Rushing Attempts]]), 2)</f>
        <v>0.26</v>
      </c>
      <c r="AF372" s="3">
        <f>1-Table1[[#This Row],[Passing Weight]]</f>
        <v>0.74</v>
      </c>
      <c r="AG372" s="3" t="str">
        <f>IF(COUNTIF(A:A,Table1[[#This Row],[Opp Team Name]]) &gt; 0, "N", "Y")</f>
        <v>N</v>
      </c>
      <c r="AH372" s="3" t="str">
        <f>IF(Table1[[#This Row],[Passing Attempts]] &lt;15, "Y", "N")</f>
        <v>N</v>
      </c>
      <c r="AI372" s="3" t="str">
        <f>IF(Table1[[#This Row],[Rushing Attempts]] &lt; 15, "Y", "N")</f>
        <v>N</v>
      </c>
      <c r="AJ372" s="3" t="str">
        <f>IF(Table1[[#This Row],[Opp Passing Attempts]]&lt;15, "Y", "N")</f>
        <v>N</v>
      </c>
      <c r="AK372" s="3" t="str">
        <f>IF(Table1[[#This Row],[Opp Rushing Attempts]]&lt;15, "Y", "N")</f>
        <v>N</v>
      </c>
      <c r="AL3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23.96</v>
      </c>
      <c r="AM3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68.489999999999995</v>
      </c>
      <c r="AN3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123.97</v>
      </c>
      <c r="AO3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124.71</v>
      </c>
      <c r="AP372" s="3">
        <f>ABS(Table1[[#This Row],[Team Score]]-Table1[[#This Row],[Opp Team Score]])</f>
        <v>5</v>
      </c>
      <c r="AQ372" s="3">
        <f>SUM(Table1[[#This Row],[Team Score]], Table1[[#This Row],[Opp Team Score]])</f>
        <v>37</v>
      </c>
      <c r="AR3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9.7399999999999807</v>
      </c>
      <c r="AS372" s="3">
        <f>IF(Table1[[#This Row],[Efficiency Difference]] = " ", " ", ROUND((Table1[[#This Row],[Winning Margin]]*100)/Table1[[#This Row],[Efficiency Difference]], 2))</f>
        <v>51.33</v>
      </c>
    </row>
    <row r="373" spans="1:45">
      <c r="A373" t="s">
        <v>178</v>
      </c>
      <c r="B373">
        <v>392</v>
      </c>
      <c r="C373">
        <v>45</v>
      </c>
      <c r="D373">
        <v>177</v>
      </c>
      <c r="E373">
        <v>35</v>
      </c>
      <c r="F373">
        <v>3</v>
      </c>
      <c r="G373">
        <v>17</v>
      </c>
      <c r="H373">
        <v>1</v>
      </c>
      <c r="I373">
        <v>291</v>
      </c>
      <c r="J373">
        <v>48</v>
      </c>
      <c r="K373">
        <v>2</v>
      </c>
      <c r="L373">
        <v>0</v>
      </c>
      <c r="M373" t="s">
        <v>54</v>
      </c>
      <c r="N373">
        <v>147</v>
      </c>
      <c r="O373">
        <v>56</v>
      </c>
      <c r="P373">
        <v>270</v>
      </c>
      <c r="Q373">
        <v>38</v>
      </c>
      <c r="R373">
        <v>4</v>
      </c>
      <c r="S373">
        <v>26</v>
      </c>
      <c r="T373">
        <v>1</v>
      </c>
      <c r="U373">
        <v>306</v>
      </c>
      <c r="V373">
        <v>42</v>
      </c>
      <c r="W373">
        <v>2</v>
      </c>
      <c r="X373">
        <v>1</v>
      </c>
      <c r="Y373" t="s">
        <v>19</v>
      </c>
      <c r="Z373">
        <v>7</v>
      </c>
      <c r="AA373">
        <f>IF(AND(Table1[[#This Row],[Throw Out Pass Eff]]="N", Table1[[#This Row],[Against FCS Team]]="N"), ROUND(((5.45 * D373) + (150 * F373) + (100 * G373) - (300 * H373)) / E373, 2), " ")</f>
        <v>80.42</v>
      </c>
      <c r="AB373">
        <f>IF(AND(Table1[[#This Row],[Throw Out Pass Def Eff]]="N", Table1[[#This Row],[Against FCS Team]]="N"),200 - ROUND(((5.45 * P373) + (150 * R373) + (100 * S373) - (300 * T373)) / Q373, 2), " ")</f>
        <v>84.96</v>
      </c>
      <c r="AC373">
        <f>IF(AND(Table1[[#This Row],[Throw Out Rush Eff]]="N", Table1[[#This Row],[Against FCS Team]]="N"), ROUND(((23.2 * I373) + (150 * K373) - (300 * L373)) / J373, 2), " ")</f>
        <v>146.9</v>
      </c>
      <c r="AD373" s="3">
        <f>IF(AND(Table1[[#This Row],[Throw Out Rush Def Eff]]="N", Table1[[#This Row],[Against FCS Team]]="N"), 200 - ROUND(((23.2 * U373) + (150 * W373) - (300 * X373)) / V373, 2), " ")</f>
        <v>30.97</v>
      </c>
      <c r="AE373" s="3">
        <f>ROUND(Table1[[#This Row],[Opp Passing Attempts]]/(Table1[[#This Row],[Opp Passing Attempts]]+Table1[[#This Row],[Opp Rushing Attempts]]), 2)</f>
        <v>0.48</v>
      </c>
      <c r="AF373" s="3">
        <f>1-Table1[[#This Row],[Passing Weight]]</f>
        <v>0.52</v>
      </c>
      <c r="AG373" s="3" t="str">
        <f>IF(COUNTIF(A:A,Table1[[#This Row],[Opp Team Name]]) &gt; 0, "N", "Y")</f>
        <v>N</v>
      </c>
      <c r="AH373" s="3" t="str">
        <f>IF(Table1[[#This Row],[Passing Attempts]] &lt;15, "Y", "N")</f>
        <v>N</v>
      </c>
      <c r="AI373" s="3" t="str">
        <f>IF(Table1[[#This Row],[Rushing Attempts]] &lt; 15, "Y", "N")</f>
        <v>N</v>
      </c>
      <c r="AJ373" s="3" t="str">
        <f>IF(Table1[[#This Row],[Opp Passing Attempts]]&lt;15, "Y", "N")</f>
        <v>N</v>
      </c>
      <c r="AK373" s="3" t="str">
        <f>IF(Table1[[#This Row],[Opp Rushing Attempts]]&lt;15, "Y", "N")</f>
        <v>N</v>
      </c>
      <c r="AL37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90.03</v>
      </c>
      <c r="AM37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96.85</v>
      </c>
      <c r="AN37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157.37</v>
      </c>
      <c r="AO37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30.64</v>
      </c>
      <c r="AP373" s="3">
        <f>ABS(Table1[[#This Row],[Team Score]]-Table1[[#This Row],[Opp Team Score]])</f>
        <v>11</v>
      </c>
      <c r="AQ373" s="3">
        <f>SUM(Table1[[#This Row],[Team Score]], Table1[[#This Row],[Opp Team Score]])</f>
        <v>101</v>
      </c>
      <c r="AR37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56.75</v>
      </c>
      <c r="AS373" s="3">
        <f>IF(Table1[[#This Row],[Efficiency Difference]] = " ", " ", ROUND((Table1[[#This Row],[Winning Margin]]*100)/Table1[[#This Row],[Efficiency Difference]], 2))</f>
        <v>19.38</v>
      </c>
    </row>
    <row r="374" spans="1:45">
      <c r="A374" t="s">
        <v>178</v>
      </c>
      <c r="B374">
        <v>392</v>
      </c>
      <c r="C374">
        <v>16</v>
      </c>
      <c r="D374">
        <v>272</v>
      </c>
      <c r="E374">
        <v>38</v>
      </c>
      <c r="F374">
        <v>1</v>
      </c>
      <c r="G374">
        <v>20</v>
      </c>
      <c r="H374">
        <v>0</v>
      </c>
      <c r="I374">
        <v>59</v>
      </c>
      <c r="J374">
        <v>37</v>
      </c>
      <c r="K374">
        <v>1</v>
      </c>
      <c r="L374">
        <v>0</v>
      </c>
      <c r="M374" t="s">
        <v>70</v>
      </c>
      <c r="N374">
        <v>234</v>
      </c>
      <c r="O374">
        <v>41</v>
      </c>
      <c r="P374">
        <v>264</v>
      </c>
      <c r="Q374">
        <v>26</v>
      </c>
      <c r="R374">
        <v>1</v>
      </c>
      <c r="S374">
        <v>18</v>
      </c>
      <c r="T374">
        <v>1</v>
      </c>
      <c r="U374">
        <v>218</v>
      </c>
      <c r="V374">
        <v>44</v>
      </c>
      <c r="W374">
        <v>4</v>
      </c>
      <c r="X374">
        <v>0</v>
      </c>
      <c r="Y374" t="s">
        <v>19</v>
      </c>
      <c r="Z374">
        <v>8</v>
      </c>
      <c r="AA374" s="3">
        <f>IF(AND(Table1[[#This Row],[Throw Out Pass Eff]]="N", Table1[[#This Row],[Against FCS Team]]="N"), ROUND(((5.45 * D374) + (150 * F374) + (100 * G374) - (300 * H374)) / E374, 2), " ")</f>
        <v>95.59</v>
      </c>
      <c r="AB374" s="3">
        <f>IF(AND(Table1[[#This Row],[Throw Out Pass Def Eff]]="N", Table1[[#This Row],[Against FCS Team]]="N"),200 - ROUND(((5.45 * P374) + (150 * R374) + (100 * S374) - (300 * T374)) / Q374, 2), " ")</f>
        <v>81.2</v>
      </c>
      <c r="AC374" s="3">
        <f>IF(AND(Table1[[#This Row],[Throw Out Rush Eff]]="N", Table1[[#This Row],[Against FCS Team]]="N"), ROUND(((23.2 * I374) + (150 * K374) - (300 * L374)) / J374, 2), " ")</f>
        <v>41.05</v>
      </c>
      <c r="AD374" s="3">
        <f>IF(AND(Table1[[#This Row],[Throw Out Rush Def Eff]]="N", Table1[[#This Row],[Against FCS Team]]="N"), 200 - ROUND(((23.2 * U374) + (150 * W374) - (300 * X374)) / V374, 2), " ")</f>
        <v>71.419999999999987</v>
      </c>
      <c r="AE374" s="3">
        <f>ROUND(Table1[[#This Row],[Opp Passing Attempts]]/(Table1[[#This Row],[Opp Passing Attempts]]+Table1[[#This Row],[Opp Rushing Attempts]]), 2)</f>
        <v>0.37</v>
      </c>
      <c r="AF374" s="3">
        <f>1-Table1[[#This Row],[Passing Weight]]</f>
        <v>0.63</v>
      </c>
      <c r="AG374" s="3" t="str">
        <f>IF(COUNTIF(A:A,Table1[[#This Row],[Opp Team Name]]) &gt; 0, "N", "Y")</f>
        <v>N</v>
      </c>
      <c r="AH374" s="3" t="str">
        <f>IF(Table1[[#This Row],[Passing Attempts]] &lt;15, "Y", "N")</f>
        <v>N</v>
      </c>
      <c r="AI374" s="3" t="str">
        <f>IF(Table1[[#This Row],[Rushing Attempts]] &lt; 15, "Y", "N")</f>
        <v>N</v>
      </c>
      <c r="AJ374" s="3" t="str">
        <f>IF(Table1[[#This Row],[Opp Passing Attempts]]&lt;15, "Y", "N")</f>
        <v>N</v>
      </c>
      <c r="AK374" s="3" t="str">
        <f>IF(Table1[[#This Row],[Opp Rushing Attempts]]&lt;15, "Y", "N")</f>
        <v>N</v>
      </c>
      <c r="AL3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98.47</v>
      </c>
      <c r="AM3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79.849999999999994</v>
      </c>
      <c r="AN3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58.67</v>
      </c>
      <c r="AO3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58.93</v>
      </c>
      <c r="AP374" s="3">
        <f>ABS(Table1[[#This Row],[Team Score]]-Table1[[#This Row],[Opp Team Score]])</f>
        <v>25</v>
      </c>
      <c r="AQ374" s="3">
        <f>SUM(Table1[[#This Row],[Team Score]], Table1[[#This Row],[Opp Team Score]])</f>
        <v>57</v>
      </c>
      <c r="AR3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110.74000000000001</v>
      </c>
      <c r="AS374" s="3">
        <f>IF(Table1[[#This Row],[Efficiency Difference]] = " ", " ", ROUND((Table1[[#This Row],[Winning Margin]]*100)/Table1[[#This Row],[Efficiency Difference]], 2))</f>
        <v>22.58</v>
      </c>
    </row>
    <row r="375" spans="1:45">
      <c r="A375" t="s">
        <v>81</v>
      </c>
      <c r="B375">
        <v>402</v>
      </c>
      <c r="C375">
        <v>14</v>
      </c>
      <c r="D375">
        <v>145</v>
      </c>
      <c r="E375">
        <v>27</v>
      </c>
      <c r="F375">
        <v>0</v>
      </c>
      <c r="G375">
        <v>13</v>
      </c>
      <c r="H375">
        <v>1</v>
      </c>
      <c r="I375">
        <v>220</v>
      </c>
      <c r="J375">
        <v>35</v>
      </c>
      <c r="K375">
        <v>2</v>
      </c>
      <c r="L375">
        <v>0</v>
      </c>
      <c r="M375" t="s">
        <v>136</v>
      </c>
      <c r="N375">
        <v>670</v>
      </c>
      <c r="O375">
        <v>21</v>
      </c>
      <c r="P375">
        <v>110</v>
      </c>
      <c r="Q375">
        <v>12</v>
      </c>
      <c r="R375">
        <v>1</v>
      </c>
      <c r="S375">
        <v>8</v>
      </c>
      <c r="T375">
        <v>0</v>
      </c>
      <c r="U375">
        <v>139</v>
      </c>
      <c r="V375">
        <v>48</v>
      </c>
      <c r="W375">
        <v>1</v>
      </c>
      <c r="X375">
        <v>0</v>
      </c>
      <c r="Y375" t="s">
        <v>19</v>
      </c>
      <c r="Z375">
        <v>6</v>
      </c>
      <c r="AA375">
        <f>IF(AND(Table1[[#This Row],[Throw Out Pass Eff]]="N", Table1[[#This Row],[Against FCS Team]]="N"), ROUND(((5.45 * D375) + (150 * F375) + (100 * G375) - (300 * H375)) / E375, 2), " ")</f>
        <v>66.31</v>
      </c>
      <c r="AB375" t="str">
        <f>IF(AND(Table1[[#This Row],[Throw Out Pass Def Eff]]="N", Table1[[#This Row],[Against FCS Team]]="N"),200 - ROUND(((5.45 * P375) + (150 * R375) + (100 * S375) - (300 * T375)) / Q375, 2), " ")</f>
        <v xml:space="preserve"> </v>
      </c>
      <c r="AC375">
        <f>IF(AND(Table1[[#This Row],[Throw Out Rush Eff]]="N", Table1[[#This Row],[Against FCS Team]]="N"), ROUND(((23.2 * I375) + (150 * K375) - (300 * L375)) / J375, 2), " ")</f>
        <v>154.4</v>
      </c>
      <c r="AD375" s="3">
        <f>IF(AND(Table1[[#This Row],[Throw Out Rush Def Eff]]="N", Table1[[#This Row],[Against FCS Team]]="N"), 200 - ROUND(((23.2 * U375) + (150 * W375) - (300 * X375)) / V375, 2), " ")</f>
        <v>129.69</v>
      </c>
      <c r="AE375" s="3">
        <f>ROUND(Table1[[#This Row],[Opp Passing Attempts]]/(Table1[[#This Row],[Opp Passing Attempts]]+Table1[[#This Row],[Opp Rushing Attempts]]), 2)</f>
        <v>0.2</v>
      </c>
      <c r="AF375" s="3">
        <f>1-Table1[[#This Row],[Passing Weight]]</f>
        <v>0.8</v>
      </c>
      <c r="AG375" s="3" t="str">
        <f>IF(COUNTIF(A:A,Table1[[#This Row],[Opp Team Name]]) &gt; 0, "N", "Y")</f>
        <v>N</v>
      </c>
      <c r="AH375" s="3" t="str">
        <f>IF(Table1[[#This Row],[Passing Attempts]] &lt;15, "Y", "N")</f>
        <v>N</v>
      </c>
      <c r="AI375" s="3" t="str">
        <f>IF(Table1[[#This Row],[Rushing Attempts]] &lt; 15, "Y", "N")</f>
        <v>N</v>
      </c>
      <c r="AJ375" s="3" t="str">
        <f>IF(Table1[[#This Row],[Opp Passing Attempts]]&lt;15, "Y", "N")</f>
        <v>Y</v>
      </c>
      <c r="AK375" s="3" t="str">
        <f>IF(Table1[[#This Row],[Opp Rushing Attempts]]&lt;15, "Y", "N")</f>
        <v>N</v>
      </c>
      <c r="AL3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72.38</v>
      </c>
      <c r="AM37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102.79</v>
      </c>
      <c r="AO3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127.23</v>
      </c>
      <c r="AP375" s="3">
        <f>ABS(Table1[[#This Row],[Team Score]]-Table1[[#This Row],[Opp Team Score]])</f>
        <v>7</v>
      </c>
      <c r="AQ375" s="3">
        <f>SUM(Table1[[#This Row],[Team Score]], Table1[[#This Row],[Opp Team Score]])</f>
        <v>35</v>
      </c>
      <c r="AR37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75" s="3" t="str">
        <f>IF(Table1[[#This Row],[Efficiency Difference]] = " ", " ", ROUND((Table1[[#This Row],[Winning Margin]]*100)/Table1[[#This Row],[Efficiency Difference]], 2))</f>
        <v xml:space="preserve"> </v>
      </c>
    </row>
    <row r="376" spans="1:45">
      <c r="A376" t="s">
        <v>94</v>
      </c>
      <c r="B376">
        <v>404</v>
      </c>
      <c r="C376">
        <v>27</v>
      </c>
      <c r="D376">
        <v>332</v>
      </c>
      <c r="E376">
        <v>30</v>
      </c>
      <c r="F376">
        <v>3</v>
      </c>
      <c r="G376">
        <v>20</v>
      </c>
      <c r="H376">
        <v>0</v>
      </c>
      <c r="I376">
        <v>113</v>
      </c>
      <c r="J376">
        <v>33</v>
      </c>
      <c r="K376">
        <v>0</v>
      </c>
      <c r="L376">
        <v>1</v>
      </c>
      <c r="M376" t="s">
        <v>53</v>
      </c>
      <c r="N376">
        <v>43</v>
      </c>
      <c r="O376">
        <v>6</v>
      </c>
      <c r="P376">
        <v>245</v>
      </c>
      <c r="Q376">
        <v>45</v>
      </c>
      <c r="R376">
        <v>1</v>
      </c>
      <c r="S376">
        <v>23</v>
      </c>
      <c r="T376">
        <v>2</v>
      </c>
      <c r="U376">
        <v>123</v>
      </c>
      <c r="V376">
        <v>28</v>
      </c>
      <c r="W376">
        <v>0</v>
      </c>
      <c r="X376">
        <v>1</v>
      </c>
      <c r="Y376" t="s">
        <v>16</v>
      </c>
      <c r="Z376">
        <v>3</v>
      </c>
      <c r="AA376" t="str">
        <f>IF(AND(Table1[[#This Row],[Throw Out Pass Eff]]="N", Table1[[#This Row],[Against FCS Team]]="N"), ROUND(((5.45 * D376) + (150 * F376) + (100 * G376) - (300 * H376)) / E376, 2), " ")</f>
        <v xml:space="preserve"> </v>
      </c>
      <c r="AB376" t="str">
        <f>IF(AND(Table1[[#This Row],[Throw Out Pass Def Eff]]="N", Table1[[#This Row],[Against FCS Team]]="N"),200 - ROUND(((5.45 * P376) + (150 * R376) + (100 * S376) - (300 * T376)) / Q376, 2), " ")</f>
        <v xml:space="preserve"> </v>
      </c>
      <c r="AC376" t="str">
        <f>IF(AND(Table1[[#This Row],[Throw Out Rush Eff]]="N", Table1[[#This Row],[Against FCS Team]]="N"), ROUND(((23.2 * I376) + (150 * K376) - (300 * L376)) / J376, 2), " ")</f>
        <v xml:space="preserve"> </v>
      </c>
      <c r="AD376" s="3" t="str">
        <f>IF(AND(Table1[[#This Row],[Throw Out Rush Def Eff]]="N", Table1[[#This Row],[Against FCS Team]]="N"), 200 - ROUND(((23.2 * U376) + (150 * W376) - (300 * X376)) / V376, 2), " ")</f>
        <v xml:space="preserve"> </v>
      </c>
      <c r="AE376" s="3">
        <f>ROUND(Table1[[#This Row],[Opp Passing Attempts]]/(Table1[[#This Row],[Opp Passing Attempts]]+Table1[[#This Row],[Opp Rushing Attempts]]), 2)</f>
        <v>0.62</v>
      </c>
      <c r="AF376" s="3">
        <f>1-Table1[[#This Row],[Passing Weight]]</f>
        <v>0.38</v>
      </c>
      <c r="AG376" s="3" t="str">
        <f>IF(COUNTIF(A:A,Table1[[#This Row],[Opp Team Name]]) &gt; 0, "N", "Y")</f>
        <v>Y</v>
      </c>
      <c r="AH376" s="3" t="str">
        <f>IF(Table1[[#This Row],[Passing Attempts]] &lt;15, "Y", "N")</f>
        <v>N</v>
      </c>
      <c r="AI376" s="3" t="str">
        <f>IF(Table1[[#This Row],[Rushing Attempts]] &lt; 15, "Y", "N")</f>
        <v>N</v>
      </c>
      <c r="AJ376" s="3" t="str">
        <f>IF(Table1[[#This Row],[Opp Passing Attempts]]&lt;15, "Y", "N")</f>
        <v>N</v>
      </c>
      <c r="AK376" s="3" t="str">
        <f>IF(Table1[[#This Row],[Opp Rushing Attempts]]&lt;15, "Y", "N")</f>
        <v>N</v>
      </c>
      <c r="AL376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7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76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7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76" s="3">
        <f>ABS(Table1[[#This Row],[Team Score]]-Table1[[#This Row],[Opp Team Score]])</f>
        <v>21</v>
      </c>
      <c r="AQ376" s="3">
        <f>SUM(Table1[[#This Row],[Team Score]], Table1[[#This Row],[Opp Team Score]])</f>
        <v>33</v>
      </c>
      <c r="AR37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76" s="3" t="str">
        <f>IF(Table1[[#This Row],[Efficiency Difference]] = " ", " ", ROUND((Table1[[#This Row],[Winning Margin]]*100)/Table1[[#This Row],[Efficiency Difference]], 2))</f>
        <v xml:space="preserve"> </v>
      </c>
    </row>
    <row r="377" spans="1:45">
      <c r="A377" t="s">
        <v>94</v>
      </c>
      <c r="B377">
        <v>404</v>
      </c>
      <c r="C377">
        <v>14</v>
      </c>
      <c r="D377">
        <v>174</v>
      </c>
      <c r="E377">
        <v>40</v>
      </c>
      <c r="F377">
        <v>1</v>
      </c>
      <c r="G377">
        <v>26</v>
      </c>
      <c r="H377">
        <v>1</v>
      </c>
      <c r="I377">
        <v>164</v>
      </c>
      <c r="J377">
        <v>47</v>
      </c>
      <c r="K377">
        <v>1</v>
      </c>
      <c r="L377">
        <v>2</v>
      </c>
      <c r="M377" t="s">
        <v>95</v>
      </c>
      <c r="N377">
        <v>430</v>
      </c>
      <c r="O377">
        <v>59</v>
      </c>
      <c r="P377">
        <v>336</v>
      </c>
      <c r="Q377">
        <v>31</v>
      </c>
      <c r="R377">
        <v>3</v>
      </c>
      <c r="S377">
        <v>19</v>
      </c>
      <c r="T377">
        <v>0</v>
      </c>
      <c r="U377">
        <v>309</v>
      </c>
      <c r="V377">
        <v>38</v>
      </c>
      <c r="W377">
        <v>5</v>
      </c>
      <c r="X377">
        <v>1</v>
      </c>
      <c r="Y377" t="s">
        <v>19</v>
      </c>
      <c r="Z377">
        <v>1</v>
      </c>
      <c r="AA377">
        <f>IF(AND(Table1[[#This Row],[Throw Out Pass Eff]]="N", Table1[[#This Row],[Against FCS Team]]="N"), ROUND(((5.45 * D377) + (150 * F377) + (100 * G377) - (300 * H377)) / E377, 2), " ")</f>
        <v>84.96</v>
      </c>
      <c r="AB377">
        <f>IF(AND(Table1[[#This Row],[Throw Out Pass Def Eff]]="N", Table1[[#This Row],[Against FCS Team]]="N"),200 - ROUND(((5.45 * P377) + (150 * R377) + (100 * S377) - (300 * T377)) / Q377, 2), " ")</f>
        <v>65.12</v>
      </c>
      <c r="AC377">
        <f>IF(AND(Table1[[#This Row],[Throw Out Rush Eff]]="N", Table1[[#This Row],[Against FCS Team]]="N"), ROUND(((23.2 * I377) + (150 * K377) - (300 * L377)) / J377, 2), " ")</f>
        <v>71.38</v>
      </c>
      <c r="AD377" s="3">
        <f>IF(AND(Table1[[#This Row],[Throw Out Rush Def Eff]]="N", Table1[[#This Row],[Against FCS Team]]="N"), 200 - ROUND(((23.2 * U377) + (150 * W377) - (300 * X377)) / V377, 2), " ")</f>
        <v>-0.49000000000000909</v>
      </c>
      <c r="AE377" s="3">
        <f>ROUND(Table1[[#This Row],[Opp Passing Attempts]]/(Table1[[#This Row],[Opp Passing Attempts]]+Table1[[#This Row],[Opp Rushing Attempts]]), 2)</f>
        <v>0.45</v>
      </c>
      <c r="AF377" s="3">
        <f>1-Table1[[#This Row],[Passing Weight]]</f>
        <v>0.55000000000000004</v>
      </c>
      <c r="AG377" s="3" t="str">
        <f>IF(COUNTIF(A:A,Table1[[#This Row],[Opp Team Name]]) &gt; 0, "N", "Y")</f>
        <v>N</v>
      </c>
      <c r="AH377" s="3" t="str">
        <f>IF(Table1[[#This Row],[Passing Attempts]] &lt;15, "Y", "N")</f>
        <v>N</v>
      </c>
      <c r="AI377" s="3" t="str">
        <f>IF(Table1[[#This Row],[Rushing Attempts]] &lt; 15, "Y", "N")</f>
        <v>N</v>
      </c>
      <c r="AJ377" s="3" t="str">
        <f>IF(Table1[[#This Row],[Opp Passing Attempts]]&lt;15, "Y", "N")</f>
        <v>N</v>
      </c>
      <c r="AK377" s="3" t="str">
        <f>IF(Table1[[#This Row],[Opp Rushing Attempts]]&lt;15, "Y", "N")</f>
        <v>N</v>
      </c>
      <c r="AL37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94.76</v>
      </c>
      <c r="AM37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58.17</v>
      </c>
      <c r="AN37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80.42</v>
      </c>
      <c r="AO37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-0.48</v>
      </c>
      <c r="AP377" s="3">
        <f>ABS(Table1[[#This Row],[Team Score]]-Table1[[#This Row],[Opp Team Score]])</f>
        <v>45</v>
      </c>
      <c r="AQ377" s="3">
        <f>SUM(Table1[[#This Row],[Team Score]], Table1[[#This Row],[Opp Team Score]])</f>
        <v>73</v>
      </c>
      <c r="AR37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179.03000000000003</v>
      </c>
      <c r="AS377" s="3">
        <f>IF(Table1[[#This Row],[Efficiency Difference]] = " ", " ", ROUND((Table1[[#This Row],[Winning Margin]]*100)/Table1[[#This Row],[Efficiency Difference]], 2))</f>
        <v>25.14</v>
      </c>
    </row>
    <row r="378" spans="1:45">
      <c r="A378" t="s">
        <v>94</v>
      </c>
      <c r="B378">
        <v>404</v>
      </c>
      <c r="C378">
        <v>3</v>
      </c>
      <c r="D378">
        <v>87</v>
      </c>
      <c r="E378">
        <v>29</v>
      </c>
      <c r="F378">
        <v>0</v>
      </c>
      <c r="G378">
        <v>13</v>
      </c>
      <c r="H378">
        <v>0</v>
      </c>
      <c r="I378">
        <v>82</v>
      </c>
      <c r="J378">
        <v>38</v>
      </c>
      <c r="K378">
        <v>0</v>
      </c>
      <c r="L378">
        <v>1</v>
      </c>
      <c r="M378" t="s">
        <v>28</v>
      </c>
      <c r="N378">
        <v>30</v>
      </c>
      <c r="O378">
        <v>47</v>
      </c>
      <c r="P378">
        <v>375</v>
      </c>
      <c r="Q378">
        <v>33</v>
      </c>
      <c r="R378">
        <v>4</v>
      </c>
      <c r="S378">
        <v>29</v>
      </c>
      <c r="T378">
        <v>1</v>
      </c>
      <c r="U378">
        <v>236</v>
      </c>
      <c r="V378">
        <v>46</v>
      </c>
      <c r="W378">
        <v>2</v>
      </c>
      <c r="X378">
        <v>1</v>
      </c>
      <c r="Y378" t="s">
        <v>19</v>
      </c>
      <c r="Z378">
        <v>2</v>
      </c>
      <c r="AA378">
        <f>IF(AND(Table1[[#This Row],[Throw Out Pass Eff]]="N", Table1[[#This Row],[Against FCS Team]]="N"), ROUND(((5.45 * D378) + (150 * F378) + (100 * G378) - (300 * H378)) / E378, 2), " ")</f>
        <v>61.18</v>
      </c>
      <c r="AB378">
        <f>IF(AND(Table1[[#This Row],[Throw Out Pass Def Eff]]="N", Table1[[#This Row],[Against FCS Team]]="N"),200 - ROUND(((5.45 * P378) + (150 * R378) + (100 * S378) - (300 * T378)) / Q378, 2), " ")</f>
        <v>41.099999999999994</v>
      </c>
      <c r="AC378">
        <f>IF(AND(Table1[[#This Row],[Throw Out Rush Eff]]="N", Table1[[#This Row],[Against FCS Team]]="N"), ROUND(((23.2 * I378) + (150 * K378) - (300 * L378)) / J378, 2), " ")</f>
        <v>42.17</v>
      </c>
      <c r="AD378" s="3">
        <f>IF(AND(Table1[[#This Row],[Throw Out Rush Def Eff]]="N", Table1[[#This Row],[Against FCS Team]]="N"), 200 - ROUND(((23.2 * U378) + (150 * W378) - (300 * X378)) / V378, 2), " ")</f>
        <v>80.97</v>
      </c>
      <c r="AE378" s="3">
        <f>ROUND(Table1[[#This Row],[Opp Passing Attempts]]/(Table1[[#This Row],[Opp Passing Attempts]]+Table1[[#This Row],[Opp Rushing Attempts]]), 2)</f>
        <v>0.42</v>
      </c>
      <c r="AF378" s="3">
        <f>1-Table1[[#This Row],[Passing Weight]]</f>
        <v>0.58000000000000007</v>
      </c>
      <c r="AG378" s="3" t="str">
        <f>IF(COUNTIF(A:A,Table1[[#This Row],[Opp Team Name]]) &gt; 0, "N", "Y")</f>
        <v>N</v>
      </c>
      <c r="AH378" s="3" t="str">
        <f>IF(Table1[[#This Row],[Passing Attempts]] &lt;15, "Y", "N")</f>
        <v>N</v>
      </c>
      <c r="AI378" s="3" t="str">
        <f>IF(Table1[[#This Row],[Rushing Attempts]] &lt; 15, "Y", "N")</f>
        <v>N</v>
      </c>
      <c r="AJ378" s="3" t="str">
        <f>IF(Table1[[#This Row],[Opp Passing Attempts]]&lt;15, "Y", "N")</f>
        <v>N</v>
      </c>
      <c r="AK378" s="3" t="str">
        <f>IF(Table1[[#This Row],[Opp Rushing Attempts]]&lt;15, "Y", "N")</f>
        <v>N</v>
      </c>
      <c r="AL3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67.11</v>
      </c>
      <c r="AM3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41.91</v>
      </c>
      <c r="AN3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56.58</v>
      </c>
      <c r="AO3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58.29</v>
      </c>
      <c r="AP378" s="3">
        <f>ABS(Table1[[#This Row],[Team Score]]-Table1[[#This Row],[Opp Team Score]])</f>
        <v>44</v>
      </c>
      <c r="AQ378" s="3">
        <f>SUM(Table1[[#This Row],[Team Score]], Table1[[#This Row],[Opp Team Score]])</f>
        <v>50</v>
      </c>
      <c r="AR3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174.58</v>
      </c>
      <c r="AS378" s="3">
        <f>IF(Table1[[#This Row],[Efficiency Difference]] = " ", " ", ROUND((Table1[[#This Row],[Winning Margin]]*100)/Table1[[#This Row],[Efficiency Difference]], 2))</f>
        <v>25.2</v>
      </c>
    </row>
    <row r="379" spans="1:45">
      <c r="A379" t="s">
        <v>94</v>
      </c>
      <c r="B379">
        <v>404</v>
      </c>
      <c r="C379">
        <v>0</v>
      </c>
      <c r="D379">
        <v>153</v>
      </c>
      <c r="E379">
        <v>32</v>
      </c>
      <c r="F379">
        <v>0</v>
      </c>
      <c r="G379">
        <v>17</v>
      </c>
      <c r="H379">
        <v>0</v>
      </c>
      <c r="I379">
        <v>-14</v>
      </c>
      <c r="J379">
        <v>24</v>
      </c>
      <c r="K379">
        <v>0</v>
      </c>
      <c r="L379">
        <v>1</v>
      </c>
      <c r="M379" t="s">
        <v>186</v>
      </c>
      <c r="N379">
        <v>663</v>
      </c>
      <c r="O379">
        <v>42</v>
      </c>
      <c r="P379">
        <v>357</v>
      </c>
      <c r="Q379">
        <v>44</v>
      </c>
      <c r="R379">
        <v>3</v>
      </c>
      <c r="S379">
        <v>28</v>
      </c>
      <c r="T379">
        <v>1</v>
      </c>
      <c r="U379">
        <v>162</v>
      </c>
      <c r="V379">
        <v>30</v>
      </c>
      <c r="W379">
        <v>3</v>
      </c>
      <c r="X379">
        <v>3</v>
      </c>
      <c r="Y379" t="s">
        <v>19</v>
      </c>
      <c r="Z379">
        <v>4</v>
      </c>
      <c r="AA379">
        <f>IF(AND(Table1[[#This Row],[Throw Out Pass Eff]]="N", Table1[[#This Row],[Against FCS Team]]="N"), ROUND(((5.45 * D379) + (150 * F379) + (100 * G379) - (300 * H379)) / E379, 2), " ")</f>
        <v>79.180000000000007</v>
      </c>
      <c r="AB379">
        <f>IF(AND(Table1[[#This Row],[Throw Out Pass Def Eff]]="N", Table1[[#This Row],[Against FCS Team]]="N"),200 - ROUND(((5.45 * P379) + (150 * R379) + (100 * S379) - (300 * T379)) / Q379, 2), " ")</f>
        <v>88.74</v>
      </c>
      <c r="AC379">
        <f>IF(AND(Table1[[#This Row],[Throw Out Rush Eff]]="N", Table1[[#This Row],[Against FCS Team]]="N"), ROUND(((23.2 * I379) + (150 * K379) - (300 * L379)) / J379, 2), " ")</f>
        <v>-26.03</v>
      </c>
      <c r="AD379" s="3">
        <f>IF(AND(Table1[[#This Row],[Throw Out Rush Def Eff]]="N", Table1[[#This Row],[Against FCS Team]]="N"), 200 - ROUND(((23.2 * U379) + (150 * W379) - (300 * X379)) / V379, 2), " ")</f>
        <v>89.72</v>
      </c>
      <c r="AE379" s="3">
        <f>ROUND(Table1[[#This Row],[Opp Passing Attempts]]/(Table1[[#This Row],[Opp Passing Attempts]]+Table1[[#This Row],[Opp Rushing Attempts]]), 2)</f>
        <v>0.59</v>
      </c>
      <c r="AF379" s="3">
        <f>1-Table1[[#This Row],[Passing Weight]]</f>
        <v>0.41000000000000003</v>
      </c>
      <c r="AG379" s="3" t="str">
        <f>IF(COUNTIF(A:A,Table1[[#This Row],[Opp Team Name]]) &gt; 0, "N", "Y")</f>
        <v>N</v>
      </c>
      <c r="AH379" s="3" t="str">
        <f>IF(Table1[[#This Row],[Passing Attempts]] &lt;15, "Y", "N")</f>
        <v>N</v>
      </c>
      <c r="AI379" s="3" t="str">
        <f>IF(Table1[[#This Row],[Rushing Attempts]] &lt; 15, "Y", "N")</f>
        <v>N</v>
      </c>
      <c r="AJ379" s="3" t="str">
        <f>IF(Table1[[#This Row],[Opp Passing Attempts]]&lt;15, "Y", "N")</f>
        <v>N</v>
      </c>
      <c r="AK379" s="3" t="str">
        <f>IF(Table1[[#This Row],[Opp Rushing Attempts]]&lt;15, "Y", "N")</f>
        <v>N</v>
      </c>
      <c r="AL3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72.66</v>
      </c>
      <c r="AM3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85.47</v>
      </c>
      <c r="AN3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-33.83</v>
      </c>
      <c r="AO3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103.15</v>
      </c>
      <c r="AP379" s="3">
        <f>ABS(Table1[[#This Row],[Team Score]]-Table1[[#This Row],[Opp Team Score]])</f>
        <v>42</v>
      </c>
      <c r="AQ379" s="3">
        <f>SUM(Table1[[#This Row],[Team Score]], Table1[[#This Row],[Opp Team Score]])</f>
        <v>42</v>
      </c>
      <c r="AR3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168.39000000000001</v>
      </c>
      <c r="AS379" s="3">
        <f>IF(Table1[[#This Row],[Efficiency Difference]] = " ", " ", ROUND((Table1[[#This Row],[Winning Margin]]*100)/Table1[[#This Row],[Efficiency Difference]], 2))</f>
        <v>24.94</v>
      </c>
    </row>
    <row r="380" spans="1:45">
      <c r="A380" t="s">
        <v>94</v>
      </c>
      <c r="B380">
        <v>404</v>
      </c>
      <c r="C380">
        <v>31</v>
      </c>
      <c r="D380">
        <v>230</v>
      </c>
      <c r="E380">
        <v>32</v>
      </c>
      <c r="F380">
        <v>1</v>
      </c>
      <c r="G380">
        <v>25</v>
      </c>
      <c r="H380">
        <v>0</v>
      </c>
      <c r="I380">
        <v>165</v>
      </c>
      <c r="J380">
        <v>43</v>
      </c>
      <c r="K380">
        <v>3</v>
      </c>
      <c r="L380">
        <v>2</v>
      </c>
      <c r="M380" t="s">
        <v>100</v>
      </c>
      <c r="N380">
        <v>419</v>
      </c>
      <c r="O380">
        <v>38</v>
      </c>
      <c r="P380">
        <v>277</v>
      </c>
      <c r="Q380">
        <v>42</v>
      </c>
      <c r="R380">
        <v>3</v>
      </c>
      <c r="S380">
        <v>27</v>
      </c>
      <c r="T380">
        <v>1</v>
      </c>
      <c r="U380">
        <v>200</v>
      </c>
      <c r="V380">
        <v>33</v>
      </c>
      <c r="W380">
        <v>2</v>
      </c>
      <c r="X380">
        <v>0</v>
      </c>
      <c r="Y380" t="s">
        <v>19</v>
      </c>
      <c r="Z380">
        <v>5</v>
      </c>
      <c r="AA380">
        <f>IF(AND(Table1[[#This Row],[Throw Out Pass Eff]]="N", Table1[[#This Row],[Against FCS Team]]="N"), ROUND(((5.45 * D380) + (150 * F380) + (100 * G380) - (300 * H380)) / E380, 2), " ")</f>
        <v>121.98</v>
      </c>
      <c r="AB380">
        <f>IF(AND(Table1[[#This Row],[Throw Out Pass Def Eff]]="N", Table1[[#This Row],[Against FCS Team]]="N"),200 - ROUND(((5.45 * P380) + (150 * R380) + (100 * S380) - (300 * T380)) / Q380, 2), " ")</f>
        <v>96.2</v>
      </c>
      <c r="AC380">
        <f>IF(AND(Table1[[#This Row],[Throw Out Rush Eff]]="N", Table1[[#This Row],[Against FCS Team]]="N"), ROUND(((23.2 * I380) + (150 * K380) - (300 * L380)) / J380, 2), " ")</f>
        <v>85.53</v>
      </c>
      <c r="AD380" s="3">
        <f>IF(AND(Table1[[#This Row],[Throw Out Rush Def Eff]]="N", Table1[[#This Row],[Against FCS Team]]="N"), 200 - ROUND(((23.2 * U380) + (150 * W380) - (300 * X380)) / V380, 2), " ")</f>
        <v>50.300000000000011</v>
      </c>
      <c r="AE380" s="3">
        <f>ROUND(Table1[[#This Row],[Opp Passing Attempts]]/(Table1[[#This Row],[Opp Passing Attempts]]+Table1[[#This Row],[Opp Rushing Attempts]]), 2)</f>
        <v>0.56000000000000005</v>
      </c>
      <c r="AF380" s="3">
        <f>1-Table1[[#This Row],[Passing Weight]]</f>
        <v>0.43999999999999995</v>
      </c>
      <c r="AG380" s="3" t="str">
        <f>IF(COUNTIF(A:A,Table1[[#This Row],[Opp Team Name]]) &gt; 0, "N", "Y")</f>
        <v>N</v>
      </c>
      <c r="AH380" s="3" t="str">
        <f>IF(Table1[[#This Row],[Passing Attempts]] &lt;15, "Y", "N")</f>
        <v>N</v>
      </c>
      <c r="AI380" s="3" t="str">
        <f>IF(Table1[[#This Row],[Rushing Attempts]] &lt; 15, "Y", "N")</f>
        <v>N</v>
      </c>
      <c r="AJ380" s="3" t="str">
        <f>IF(Table1[[#This Row],[Opp Passing Attempts]]&lt;15, "Y", "N")</f>
        <v>N</v>
      </c>
      <c r="AK380" s="3" t="str">
        <f>IF(Table1[[#This Row],[Opp Rushing Attempts]]&lt;15, "Y", "N")</f>
        <v>N</v>
      </c>
      <c r="AL3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127.03</v>
      </c>
      <c r="AM3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</v>
      </c>
      <c r="AN3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93.86</v>
      </c>
      <c r="AO3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54.68</v>
      </c>
      <c r="AP380" s="3">
        <f>ABS(Table1[[#This Row],[Team Score]]-Table1[[#This Row],[Opp Team Score]])</f>
        <v>7</v>
      </c>
      <c r="AQ380" s="3">
        <f>SUM(Table1[[#This Row],[Team Score]], Table1[[#This Row],[Opp Team Score]])</f>
        <v>69</v>
      </c>
      <c r="AR3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45.990000000000009</v>
      </c>
      <c r="AS380" s="3">
        <f>IF(Table1[[#This Row],[Efficiency Difference]] = " ", " ", ROUND((Table1[[#This Row],[Winning Margin]]*100)/Table1[[#This Row],[Efficiency Difference]], 2))</f>
        <v>15.22</v>
      </c>
    </row>
    <row r="381" spans="1:45">
      <c r="A381" t="s">
        <v>94</v>
      </c>
      <c r="B381">
        <v>404</v>
      </c>
      <c r="C381">
        <v>6</v>
      </c>
      <c r="D381">
        <v>237</v>
      </c>
      <c r="E381">
        <v>43</v>
      </c>
      <c r="F381">
        <v>0</v>
      </c>
      <c r="G381">
        <v>24</v>
      </c>
      <c r="H381">
        <v>2</v>
      </c>
      <c r="I381">
        <v>70</v>
      </c>
      <c r="J381">
        <v>29</v>
      </c>
      <c r="K381">
        <v>0</v>
      </c>
      <c r="L381">
        <v>1</v>
      </c>
      <c r="M381" t="s">
        <v>122</v>
      </c>
      <c r="N381">
        <v>574</v>
      </c>
      <c r="O381">
        <v>28</v>
      </c>
      <c r="P381">
        <v>170</v>
      </c>
      <c r="Q381">
        <v>22</v>
      </c>
      <c r="R381">
        <v>1</v>
      </c>
      <c r="S381">
        <v>15</v>
      </c>
      <c r="T381">
        <v>2</v>
      </c>
      <c r="U381">
        <v>180</v>
      </c>
      <c r="V381">
        <v>45</v>
      </c>
      <c r="W381">
        <v>2</v>
      </c>
      <c r="X381">
        <v>1</v>
      </c>
      <c r="Y381" t="s">
        <v>19</v>
      </c>
      <c r="Z381">
        <v>6</v>
      </c>
      <c r="AA381">
        <f>IF(AND(Table1[[#This Row],[Throw Out Pass Eff]]="N", Table1[[#This Row],[Against FCS Team]]="N"), ROUND(((5.45 * D381) + (150 * F381) + (100 * G381) - (300 * H381)) / E381, 2), " ")</f>
        <v>71.900000000000006</v>
      </c>
      <c r="AB381">
        <f>IF(AND(Table1[[#This Row],[Throw Out Pass Def Eff]]="N", Table1[[#This Row],[Against FCS Team]]="N"),200 - ROUND(((5.45 * P381) + (150 * R381) + (100 * S381) - (300 * T381)) / Q381, 2), " ")</f>
        <v>110.16</v>
      </c>
      <c r="AC381">
        <f>IF(AND(Table1[[#This Row],[Throw Out Rush Eff]]="N", Table1[[#This Row],[Against FCS Team]]="N"), ROUND(((23.2 * I381) + (150 * K381) - (300 * L381)) / J381, 2), " ")</f>
        <v>45.66</v>
      </c>
      <c r="AD381" s="3">
        <f>IF(AND(Table1[[#This Row],[Throw Out Rush Def Eff]]="N", Table1[[#This Row],[Against FCS Team]]="N"), 200 - ROUND(((23.2 * U381) + (150 * W381) - (300 * X381)) / V381, 2), " ")</f>
        <v>107.2</v>
      </c>
      <c r="AE381" s="3">
        <f>ROUND(Table1[[#This Row],[Opp Passing Attempts]]/(Table1[[#This Row],[Opp Passing Attempts]]+Table1[[#This Row],[Opp Rushing Attempts]]), 2)</f>
        <v>0.33</v>
      </c>
      <c r="AF381" s="3">
        <f>1-Table1[[#This Row],[Passing Weight]]</f>
        <v>0.66999999999999993</v>
      </c>
      <c r="AG381" s="3" t="str">
        <f>IF(COUNTIF(A:A,Table1[[#This Row],[Opp Team Name]]) &gt; 0, "N", "Y")</f>
        <v>N</v>
      </c>
      <c r="AH381" s="3" t="str">
        <f>IF(Table1[[#This Row],[Passing Attempts]] &lt;15, "Y", "N")</f>
        <v>N</v>
      </c>
      <c r="AI381" s="3" t="str">
        <f>IF(Table1[[#This Row],[Rushing Attempts]] &lt; 15, "Y", "N")</f>
        <v>N</v>
      </c>
      <c r="AJ381" s="3" t="str">
        <f>IF(Table1[[#This Row],[Opp Passing Attempts]]&lt;15, "Y", "N")</f>
        <v>N</v>
      </c>
      <c r="AK381" s="3" t="str">
        <f>IF(Table1[[#This Row],[Opp Rushing Attempts]]&lt;15, "Y", "N")</f>
        <v>N</v>
      </c>
      <c r="AL38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67.2</v>
      </c>
      <c r="AM38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99.43</v>
      </c>
      <c r="AN38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40.39</v>
      </c>
      <c r="AO38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72.650000000000006</v>
      </c>
      <c r="AP381" s="3">
        <f>ABS(Table1[[#This Row],[Team Score]]-Table1[[#This Row],[Opp Team Score]])</f>
        <v>22</v>
      </c>
      <c r="AQ381" s="3">
        <f>SUM(Table1[[#This Row],[Team Score]], Table1[[#This Row],[Opp Team Score]])</f>
        <v>34</v>
      </c>
      <c r="AR38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65.079999999999984</v>
      </c>
      <c r="AS381" s="3">
        <f>IF(Table1[[#This Row],[Efficiency Difference]] = " ", " ", ROUND((Table1[[#This Row],[Winning Margin]]*100)/Table1[[#This Row],[Efficiency Difference]], 2))</f>
        <v>33.799999999999997</v>
      </c>
    </row>
    <row r="382" spans="1:45">
      <c r="A382" t="s">
        <v>94</v>
      </c>
      <c r="B382">
        <v>404</v>
      </c>
      <c r="C382">
        <v>17</v>
      </c>
      <c r="D382">
        <v>177</v>
      </c>
      <c r="E382">
        <v>30</v>
      </c>
      <c r="F382">
        <v>1</v>
      </c>
      <c r="G382">
        <v>15</v>
      </c>
      <c r="H382">
        <v>2</v>
      </c>
      <c r="I382">
        <v>56</v>
      </c>
      <c r="J382">
        <v>29</v>
      </c>
      <c r="K382">
        <v>0</v>
      </c>
      <c r="L382">
        <v>0</v>
      </c>
      <c r="M382" t="s">
        <v>64</v>
      </c>
      <c r="N382">
        <v>196</v>
      </c>
      <c r="O382">
        <v>35</v>
      </c>
      <c r="P382">
        <v>367</v>
      </c>
      <c r="Q382">
        <v>39</v>
      </c>
      <c r="R382">
        <v>3</v>
      </c>
      <c r="S382">
        <v>30</v>
      </c>
      <c r="T382">
        <v>0</v>
      </c>
      <c r="U382">
        <v>157</v>
      </c>
      <c r="V382">
        <v>36</v>
      </c>
      <c r="W382">
        <v>2</v>
      </c>
      <c r="X382">
        <v>2</v>
      </c>
      <c r="Y382" t="s">
        <v>19</v>
      </c>
      <c r="Z382">
        <v>7</v>
      </c>
      <c r="AA382">
        <f>IF(AND(Table1[[#This Row],[Throw Out Pass Eff]]="N", Table1[[#This Row],[Against FCS Team]]="N"), ROUND(((5.45 * D382) + (150 * F382) + (100 * G382) - (300 * H382)) / E382, 2), " ")</f>
        <v>67.16</v>
      </c>
      <c r="AB382">
        <f>IF(AND(Table1[[#This Row],[Throw Out Pass Def Eff]]="N", Table1[[#This Row],[Against FCS Team]]="N"),200 - ROUND(((5.45 * P382) + (150 * R382) + (100 * S382) - (300 * T382)) / Q382, 2), " ")</f>
        <v>60.25</v>
      </c>
      <c r="AC382">
        <f>IF(AND(Table1[[#This Row],[Throw Out Rush Eff]]="N", Table1[[#This Row],[Against FCS Team]]="N"), ROUND(((23.2 * I382) + (150 * K382) - (300 * L382)) / J382, 2), " ")</f>
        <v>44.8</v>
      </c>
      <c r="AD382" s="3">
        <f>IF(AND(Table1[[#This Row],[Throw Out Rush Def Eff]]="N", Table1[[#This Row],[Against FCS Team]]="N"), 200 - ROUND(((23.2 * U382) + (150 * W382) - (300 * X382)) / V382, 2), " ")</f>
        <v>107.16</v>
      </c>
      <c r="AE382" s="3">
        <f>ROUND(Table1[[#This Row],[Opp Passing Attempts]]/(Table1[[#This Row],[Opp Passing Attempts]]+Table1[[#This Row],[Opp Rushing Attempts]]), 2)</f>
        <v>0.52</v>
      </c>
      <c r="AF382" s="3">
        <f>1-Table1[[#This Row],[Passing Weight]]</f>
        <v>0.48</v>
      </c>
      <c r="AG382" s="3" t="str">
        <f>IF(COUNTIF(A:A,Table1[[#This Row],[Opp Team Name]]) &gt; 0, "N", "Y")</f>
        <v>N</v>
      </c>
      <c r="AH382" s="3" t="str">
        <f>IF(Table1[[#This Row],[Passing Attempts]] &lt;15, "Y", "N")</f>
        <v>N</v>
      </c>
      <c r="AI382" s="3" t="str">
        <f>IF(Table1[[#This Row],[Rushing Attempts]] &lt; 15, "Y", "N")</f>
        <v>N</v>
      </c>
      <c r="AJ382" s="3" t="str">
        <f>IF(Table1[[#This Row],[Opp Passing Attempts]]&lt;15, "Y", "N")</f>
        <v>N</v>
      </c>
      <c r="AK382" s="3" t="str">
        <f>IF(Table1[[#This Row],[Opp Rushing Attempts]]&lt;15, "Y", "N")</f>
        <v>N</v>
      </c>
      <c r="AL38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69.709999999999994</v>
      </c>
      <c r="AM38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62.71</v>
      </c>
      <c r="AN38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40.630000000000003</v>
      </c>
      <c r="AO38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55.1</v>
      </c>
      <c r="AP382" s="3">
        <f>ABS(Table1[[#This Row],[Team Score]]-Table1[[#This Row],[Opp Team Score]])</f>
        <v>18</v>
      </c>
      <c r="AQ382" s="3">
        <f>SUM(Table1[[#This Row],[Team Score]], Table1[[#This Row],[Opp Team Score]])</f>
        <v>52</v>
      </c>
      <c r="AR38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120.63000000000001</v>
      </c>
      <c r="AS382" s="3">
        <f>IF(Table1[[#This Row],[Efficiency Difference]] = " ", " ", ROUND((Table1[[#This Row],[Winning Margin]]*100)/Table1[[#This Row],[Efficiency Difference]], 2))</f>
        <v>14.92</v>
      </c>
    </row>
    <row r="383" spans="1:45">
      <c r="A383" t="s">
        <v>94</v>
      </c>
      <c r="B383">
        <v>404</v>
      </c>
      <c r="C383">
        <v>33</v>
      </c>
      <c r="D383">
        <v>213</v>
      </c>
      <c r="E383">
        <v>26</v>
      </c>
      <c r="F383">
        <v>2</v>
      </c>
      <c r="G383">
        <v>14</v>
      </c>
      <c r="H383">
        <v>1</v>
      </c>
      <c r="I383">
        <v>76</v>
      </c>
      <c r="J383">
        <v>33</v>
      </c>
      <c r="K383">
        <v>2</v>
      </c>
      <c r="L383">
        <v>0</v>
      </c>
      <c r="M383" t="s">
        <v>140</v>
      </c>
      <c r="N383">
        <v>718</v>
      </c>
      <c r="O383">
        <v>17</v>
      </c>
      <c r="P383">
        <v>377</v>
      </c>
      <c r="Q383">
        <v>50</v>
      </c>
      <c r="R383">
        <v>1</v>
      </c>
      <c r="S383">
        <v>31</v>
      </c>
      <c r="T383">
        <v>2</v>
      </c>
      <c r="U383">
        <v>82</v>
      </c>
      <c r="V383">
        <v>31</v>
      </c>
      <c r="W383">
        <v>1</v>
      </c>
      <c r="X383">
        <v>1</v>
      </c>
      <c r="Y383" t="s">
        <v>16</v>
      </c>
      <c r="Z383">
        <v>8</v>
      </c>
      <c r="AA383" s="3">
        <f>IF(AND(Table1[[#This Row],[Throw Out Pass Eff]]="N", Table1[[#This Row],[Against FCS Team]]="N"), ROUND(((5.45 * D383) + (150 * F383) + (100 * G383) - (300 * H383)) / E383, 2), " ")</f>
        <v>98.49</v>
      </c>
      <c r="AB383" s="3">
        <f>IF(AND(Table1[[#This Row],[Throw Out Pass Def Eff]]="N", Table1[[#This Row],[Against FCS Team]]="N"),200 - ROUND(((5.45 * P383) + (150 * R383) + (100 * S383) - (300 * T383)) / Q383, 2), " ")</f>
        <v>105.91</v>
      </c>
      <c r="AC383" s="3">
        <f>IF(AND(Table1[[#This Row],[Throw Out Rush Eff]]="N", Table1[[#This Row],[Against FCS Team]]="N"), ROUND(((23.2 * I383) + (150 * K383) - (300 * L383)) / J383, 2), " ")</f>
        <v>62.52</v>
      </c>
      <c r="AD383" s="3">
        <f>IF(AND(Table1[[#This Row],[Throw Out Rush Def Eff]]="N", Table1[[#This Row],[Against FCS Team]]="N"), 200 - ROUND(((23.2 * U383) + (150 * W383) - (300 * X383)) / V383, 2), " ")</f>
        <v>143.47</v>
      </c>
      <c r="AE383" s="3">
        <f>ROUND(Table1[[#This Row],[Opp Passing Attempts]]/(Table1[[#This Row],[Opp Passing Attempts]]+Table1[[#This Row],[Opp Rushing Attempts]]), 2)</f>
        <v>0.62</v>
      </c>
      <c r="AF383" s="3">
        <f>1-Table1[[#This Row],[Passing Weight]]</f>
        <v>0.38</v>
      </c>
      <c r="AG383" s="3" t="str">
        <f>IF(COUNTIF(A:A,Table1[[#This Row],[Opp Team Name]]) &gt; 0, "N", "Y")</f>
        <v>N</v>
      </c>
      <c r="AH383" s="3" t="str">
        <f>IF(Table1[[#This Row],[Passing Attempts]] &lt;15, "Y", "N")</f>
        <v>N</v>
      </c>
      <c r="AI383" s="3" t="str">
        <f>IF(Table1[[#This Row],[Rushing Attempts]] &lt; 15, "Y", "N")</f>
        <v>N</v>
      </c>
      <c r="AJ383" s="3" t="str">
        <f>IF(Table1[[#This Row],[Opp Passing Attempts]]&lt;15, "Y", "N")</f>
        <v>N</v>
      </c>
      <c r="AK383" s="3" t="str">
        <f>IF(Table1[[#This Row],[Opp Rushing Attempts]]&lt;15, "Y", "N")</f>
        <v>N</v>
      </c>
      <c r="AL38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113.67</v>
      </c>
      <c r="AM38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101.55</v>
      </c>
      <c r="AN38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63.57</v>
      </c>
      <c r="AO38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120.28</v>
      </c>
      <c r="AP383" s="3">
        <f>ABS(Table1[[#This Row],[Team Score]]-Table1[[#This Row],[Opp Team Score]])</f>
        <v>16</v>
      </c>
      <c r="AQ383" s="3">
        <f>SUM(Table1[[#This Row],[Team Score]], Table1[[#This Row],[Opp Team Score]])</f>
        <v>50</v>
      </c>
      <c r="AR38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10.389999999999986</v>
      </c>
      <c r="AS383" s="3">
        <f>IF(Table1[[#This Row],[Efficiency Difference]] = " ", " ", ROUND((Table1[[#This Row],[Winning Margin]]*100)/Table1[[#This Row],[Efficiency Difference]], 2))</f>
        <v>153.99</v>
      </c>
    </row>
    <row r="384" spans="1:45">
      <c r="A384" t="s">
        <v>179</v>
      </c>
      <c r="B384">
        <v>415</v>
      </c>
      <c r="C384">
        <v>45</v>
      </c>
      <c r="D384">
        <v>209</v>
      </c>
      <c r="E384">
        <v>20</v>
      </c>
      <c r="F384">
        <v>2</v>
      </c>
      <c r="G384">
        <v>15</v>
      </c>
      <c r="H384">
        <v>0</v>
      </c>
      <c r="I384">
        <v>126</v>
      </c>
      <c r="J384">
        <v>24</v>
      </c>
      <c r="K384">
        <v>3</v>
      </c>
      <c r="L384">
        <v>1</v>
      </c>
      <c r="M384" t="s">
        <v>211</v>
      </c>
      <c r="N384">
        <v>61</v>
      </c>
      <c r="O384">
        <v>14</v>
      </c>
      <c r="P384">
        <v>203</v>
      </c>
      <c r="Q384">
        <v>38</v>
      </c>
      <c r="R384">
        <v>1</v>
      </c>
      <c r="S384">
        <v>23</v>
      </c>
      <c r="T384">
        <v>1</v>
      </c>
      <c r="U384">
        <v>219</v>
      </c>
      <c r="V384">
        <v>46</v>
      </c>
      <c r="W384">
        <v>1</v>
      </c>
      <c r="X384">
        <v>1</v>
      </c>
      <c r="Y384" t="s">
        <v>16</v>
      </c>
      <c r="Z384">
        <v>5</v>
      </c>
      <c r="AA384" t="str">
        <f>IF(AND(Table1[[#This Row],[Throw Out Pass Eff]]="N", Table1[[#This Row],[Against FCS Team]]="N"), ROUND(((5.45 * D384) + (150 * F384) + (100 * G384) - (300 * H384)) / E384, 2), " ")</f>
        <v xml:space="preserve"> </v>
      </c>
      <c r="AB384" t="str">
        <f>IF(AND(Table1[[#This Row],[Throw Out Pass Def Eff]]="N", Table1[[#This Row],[Against FCS Team]]="N"),200 - ROUND(((5.45 * P384) + (150 * R384) + (100 * S384) - (300 * T384)) / Q384, 2), " ")</f>
        <v xml:space="preserve"> </v>
      </c>
      <c r="AC384" t="str">
        <f>IF(AND(Table1[[#This Row],[Throw Out Rush Eff]]="N", Table1[[#This Row],[Against FCS Team]]="N"), ROUND(((23.2 * I384) + (150 * K384) - (300 * L384)) / J384, 2), " ")</f>
        <v xml:space="preserve"> </v>
      </c>
      <c r="AD384" s="3" t="str">
        <f>IF(AND(Table1[[#This Row],[Throw Out Rush Def Eff]]="N", Table1[[#This Row],[Against FCS Team]]="N"), 200 - ROUND(((23.2 * U384) + (150 * W384) - (300 * X384)) / V384, 2), " ")</f>
        <v xml:space="preserve"> </v>
      </c>
      <c r="AE384" s="3">
        <f>ROUND(Table1[[#This Row],[Opp Passing Attempts]]/(Table1[[#This Row],[Opp Passing Attempts]]+Table1[[#This Row],[Opp Rushing Attempts]]), 2)</f>
        <v>0.45</v>
      </c>
      <c r="AF384" s="3">
        <f>1-Table1[[#This Row],[Passing Weight]]</f>
        <v>0.55000000000000004</v>
      </c>
      <c r="AG384" s="3" t="str">
        <f>IF(COUNTIF(A:A,Table1[[#This Row],[Opp Team Name]]) &gt; 0, "N", "Y")</f>
        <v>Y</v>
      </c>
      <c r="AH384" s="3" t="str">
        <f>IF(Table1[[#This Row],[Passing Attempts]] &lt;15, "Y", "N")</f>
        <v>N</v>
      </c>
      <c r="AI384" s="3" t="str">
        <f>IF(Table1[[#This Row],[Rushing Attempts]] &lt; 15, "Y", "N")</f>
        <v>N</v>
      </c>
      <c r="AJ384" s="3" t="str">
        <f>IF(Table1[[#This Row],[Opp Passing Attempts]]&lt;15, "Y", "N")</f>
        <v>N</v>
      </c>
      <c r="AK384" s="3" t="str">
        <f>IF(Table1[[#This Row],[Opp Rushing Attempts]]&lt;15, "Y", "N")</f>
        <v>N</v>
      </c>
      <c r="AL38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38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8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38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384" s="3">
        <f>ABS(Table1[[#This Row],[Team Score]]-Table1[[#This Row],[Opp Team Score]])</f>
        <v>31</v>
      </c>
      <c r="AQ384" s="3">
        <f>SUM(Table1[[#This Row],[Team Score]], Table1[[#This Row],[Opp Team Score]])</f>
        <v>59</v>
      </c>
      <c r="AR38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84" s="3" t="str">
        <f>IF(Table1[[#This Row],[Efficiency Difference]] = " ", " ", ROUND((Table1[[#This Row],[Winning Margin]]*100)/Table1[[#This Row],[Efficiency Difference]], 2))</f>
        <v xml:space="preserve"> </v>
      </c>
    </row>
    <row r="385" spans="1:45">
      <c r="A385" t="s">
        <v>179</v>
      </c>
      <c r="B385">
        <v>415</v>
      </c>
      <c r="C385">
        <v>24</v>
      </c>
      <c r="D385">
        <v>195</v>
      </c>
      <c r="E385">
        <v>28</v>
      </c>
      <c r="F385">
        <v>0</v>
      </c>
      <c r="G385">
        <v>19</v>
      </c>
      <c r="H385">
        <v>2</v>
      </c>
      <c r="I385">
        <v>172</v>
      </c>
      <c r="J385">
        <v>40</v>
      </c>
      <c r="K385">
        <v>3</v>
      </c>
      <c r="L385">
        <v>2</v>
      </c>
      <c r="M385" t="s">
        <v>178</v>
      </c>
      <c r="N385">
        <v>392</v>
      </c>
      <c r="O385">
        <v>32</v>
      </c>
      <c r="P385">
        <v>348</v>
      </c>
      <c r="Q385">
        <v>44</v>
      </c>
      <c r="R385">
        <v>1</v>
      </c>
      <c r="S385">
        <v>31</v>
      </c>
      <c r="T385">
        <v>1</v>
      </c>
      <c r="U385">
        <v>151</v>
      </c>
      <c r="V385">
        <v>34</v>
      </c>
      <c r="W385">
        <v>0</v>
      </c>
      <c r="X385">
        <v>0</v>
      </c>
      <c r="Y385" t="s">
        <v>19</v>
      </c>
      <c r="Z385">
        <v>2</v>
      </c>
      <c r="AA385">
        <f>IF(AND(Table1[[#This Row],[Throw Out Pass Eff]]="N", Table1[[#This Row],[Against FCS Team]]="N"), ROUND(((5.45 * D385) + (150 * F385) + (100 * G385) - (300 * H385)) / E385, 2), " ")</f>
        <v>84.38</v>
      </c>
      <c r="AB385">
        <f>IF(AND(Table1[[#This Row],[Throw Out Pass Def Eff]]="N", Table1[[#This Row],[Against FCS Team]]="N"),200 - ROUND(((5.45 * P385) + (150 * R385) + (100 * S385) - (300 * T385)) / Q385, 2), " ")</f>
        <v>89.85</v>
      </c>
      <c r="AC385">
        <f>IF(AND(Table1[[#This Row],[Throw Out Rush Eff]]="N", Table1[[#This Row],[Against FCS Team]]="N"), ROUND(((23.2 * I385) + (150 * K385) - (300 * L385)) / J385, 2), " ")</f>
        <v>96.01</v>
      </c>
      <c r="AD385" s="3">
        <f>IF(AND(Table1[[#This Row],[Throw Out Rush Def Eff]]="N", Table1[[#This Row],[Against FCS Team]]="N"), 200 - ROUND(((23.2 * U385) + (150 * W385) - (300 * X385)) / V385, 2), " ")</f>
        <v>96.96</v>
      </c>
      <c r="AE385" s="3">
        <f>ROUND(Table1[[#This Row],[Opp Passing Attempts]]/(Table1[[#This Row],[Opp Passing Attempts]]+Table1[[#This Row],[Opp Rushing Attempts]]), 2)</f>
        <v>0.56000000000000005</v>
      </c>
      <c r="AF385" s="3">
        <f>1-Table1[[#This Row],[Passing Weight]]</f>
        <v>0.43999999999999995</v>
      </c>
      <c r="AG385" s="3" t="str">
        <f>IF(COUNTIF(A:A,Table1[[#This Row],[Opp Team Name]]) &gt; 0, "N", "Y")</f>
        <v>N</v>
      </c>
      <c r="AH385" s="3" t="str">
        <f>IF(Table1[[#This Row],[Passing Attempts]] &lt;15, "Y", "N")</f>
        <v>N</v>
      </c>
      <c r="AI385" s="3" t="str">
        <f>IF(Table1[[#This Row],[Rushing Attempts]] &lt; 15, "Y", "N")</f>
        <v>N</v>
      </c>
      <c r="AJ385" s="3" t="str">
        <f>IF(Table1[[#This Row],[Opp Passing Attempts]]&lt;15, "Y", "N")</f>
        <v>N</v>
      </c>
      <c r="AK385" s="3" t="str">
        <f>IF(Table1[[#This Row],[Opp Rushing Attempts]]&lt;15, "Y", "N")</f>
        <v>N</v>
      </c>
      <c r="AL38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88.49</v>
      </c>
      <c r="AM38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70.17</v>
      </c>
      <c r="AN38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83.31</v>
      </c>
      <c r="AO38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100.25</v>
      </c>
      <c r="AP385" s="3">
        <f>ABS(Table1[[#This Row],[Team Score]]-Table1[[#This Row],[Opp Team Score]])</f>
        <v>8</v>
      </c>
      <c r="AQ385" s="3">
        <f>SUM(Table1[[#This Row],[Team Score]], Table1[[#This Row],[Opp Team Score]])</f>
        <v>56</v>
      </c>
      <c r="AR38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32.800000000000011</v>
      </c>
      <c r="AS385" s="3">
        <f>IF(Table1[[#This Row],[Efficiency Difference]] = " ", " ", ROUND((Table1[[#This Row],[Winning Margin]]*100)/Table1[[#This Row],[Efficiency Difference]], 2))</f>
        <v>24.39</v>
      </c>
    </row>
    <row r="386" spans="1:45">
      <c r="A386" t="s">
        <v>179</v>
      </c>
      <c r="B386">
        <v>415</v>
      </c>
      <c r="C386">
        <v>24</v>
      </c>
      <c r="D386">
        <v>123</v>
      </c>
      <c r="E386">
        <v>23</v>
      </c>
      <c r="F386">
        <v>2</v>
      </c>
      <c r="G386">
        <v>16</v>
      </c>
      <c r="H386">
        <v>2</v>
      </c>
      <c r="I386">
        <v>240</v>
      </c>
      <c r="J386">
        <v>42</v>
      </c>
      <c r="K386">
        <v>1</v>
      </c>
      <c r="L386">
        <v>0</v>
      </c>
      <c r="M386" t="s">
        <v>18</v>
      </c>
      <c r="N386">
        <v>518</v>
      </c>
      <c r="O386">
        <v>6</v>
      </c>
      <c r="P386">
        <v>35</v>
      </c>
      <c r="Q386">
        <v>18</v>
      </c>
      <c r="R386">
        <v>0</v>
      </c>
      <c r="S386">
        <v>4</v>
      </c>
      <c r="T386">
        <v>1</v>
      </c>
      <c r="U386">
        <v>174</v>
      </c>
      <c r="V386">
        <v>37</v>
      </c>
      <c r="W386">
        <v>0</v>
      </c>
      <c r="X386">
        <v>1</v>
      </c>
      <c r="Y386" t="s">
        <v>16</v>
      </c>
      <c r="Z386">
        <v>3</v>
      </c>
      <c r="AA386">
        <f>IF(AND(Table1[[#This Row],[Throw Out Pass Eff]]="N", Table1[[#This Row],[Against FCS Team]]="N"), ROUND(((5.45 * D386) + (150 * F386) + (100 * G386) - (300 * H386)) / E386, 2), " ")</f>
        <v>85.67</v>
      </c>
      <c r="AB386">
        <f>IF(AND(Table1[[#This Row],[Throw Out Pass Def Eff]]="N", Table1[[#This Row],[Against FCS Team]]="N"),200 - ROUND(((5.45 * P386) + (150 * R386) + (100 * S386) - (300 * T386)) / Q386, 2), " ")</f>
        <v>183.85</v>
      </c>
      <c r="AC386">
        <f>IF(AND(Table1[[#This Row],[Throw Out Rush Eff]]="N", Table1[[#This Row],[Against FCS Team]]="N"), ROUND(((23.2 * I386) + (150 * K386) - (300 * L386)) / J386, 2), " ")</f>
        <v>136.13999999999999</v>
      </c>
      <c r="AD386" s="3">
        <f>IF(AND(Table1[[#This Row],[Throw Out Rush Def Eff]]="N", Table1[[#This Row],[Against FCS Team]]="N"), 200 - ROUND(((23.2 * U386) + (150 * W386) - (300 * X386)) / V386, 2), " ")</f>
        <v>99.01</v>
      </c>
      <c r="AE386" s="3">
        <f>ROUND(Table1[[#This Row],[Opp Passing Attempts]]/(Table1[[#This Row],[Opp Passing Attempts]]+Table1[[#This Row],[Opp Rushing Attempts]]), 2)</f>
        <v>0.33</v>
      </c>
      <c r="AF386" s="3">
        <f>1-Table1[[#This Row],[Passing Weight]]</f>
        <v>0.66999999999999993</v>
      </c>
      <c r="AG386" s="3" t="str">
        <f>IF(COUNTIF(A:A,Table1[[#This Row],[Opp Team Name]]) &gt; 0, "N", "Y")</f>
        <v>N</v>
      </c>
      <c r="AH386" s="3" t="str">
        <f>IF(Table1[[#This Row],[Passing Attempts]] &lt;15, "Y", "N")</f>
        <v>N</v>
      </c>
      <c r="AI386" s="3" t="str">
        <f>IF(Table1[[#This Row],[Rushing Attempts]] &lt; 15, "Y", "N")</f>
        <v>N</v>
      </c>
      <c r="AJ386" s="3" t="str">
        <f>IF(Table1[[#This Row],[Opp Passing Attempts]]&lt;15, "Y", "N")</f>
        <v>N</v>
      </c>
      <c r="AK386" s="3" t="str">
        <f>IF(Table1[[#This Row],[Opp Rushing Attempts]]&lt;15, "Y", "N")</f>
        <v>N</v>
      </c>
      <c r="AL38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98.95</v>
      </c>
      <c r="AM38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152.05000000000001</v>
      </c>
      <c r="AN38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174.52</v>
      </c>
      <c r="AO38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92.57</v>
      </c>
      <c r="AP386" s="3">
        <f>ABS(Table1[[#This Row],[Team Score]]-Table1[[#This Row],[Opp Team Score]])</f>
        <v>18</v>
      </c>
      <c r="AQ386" s="3">
        <f>SUM(Table1[[#This Row],[Team Score]], Table1[[#This Row],[Opp Team Score]])</f>
        <v>30</v>
      </c>
      <c r="AR38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104.67000000000002</v>
      </c>
      <c r="AS386" s="3">
        <f>IF(Table1[[#This Row],[Efficiency Difference]] = " ", " ", ROUND((Table1[[#This Row],[Winning Margin]]*100)/Table1[[#This Row],[Efficiency Difference]], 2))</f>
        <v>17.2</v>
      </c>
    </row>
    <row r="387" spans="1:45">
      <c r="A387" t="s">
        <v>179</v>
      </c>
      <c r="B387">
        <v>415</v>
      </c>
      <c r="C387">
        <v>24</v>
      </c>
      <c r="D387">
        <v>272</v>
      </c>
      <c r="E387">
        <v>31</v>
      </c>
      <c r="F387">
        <v>2</v>
      </c>
      <c r="G387">
        <v>21</v>
      </c>
      <c r="H387">
        <v>1</v>
      </c>
      <c r="I387">
        <v>139</v>
      </c>
      <c r="J387">
        <v>27</v>
      </c>
      <c r="K387">
        <v>1</v>
      </c>
      <c r="L387">
        <v>0</v>
      </c>
      <c r="M387" t="s">
        <v>82</v>
      </c>
      <c r="N387">
        <v>327</v>
      </c>
      <c r="O387">
        <v>28</v>
      </c>
      <c r="P387">
        <v>133</v>
      </c>
      <c r="Q387">
        <v>18</v>
      </c>
      <c r="R387">
        <v>2</v>
      </c>
      <c r="S387">
        <v>12</v>
      </c>
      <c r="T387">
        <v>0</v>
      </c>
      <c r="U387">
        <v>265</v>
      </c>
      <c r="V387">
        <v>44</v>
      </c>
      <c r="W387">
        <v>2</v>
      </c>
      <c r="X387">
        <v>0</v>
      </c>
      <c r="Y387" t="s">
        <v>19</v>
      </c>
      <c r="Z387">
        <v>4</v>
      </c>
      <c r="AA387">
        <f>IF(AND(Table1[[#This Row],[Throw Out Pass Eff]]="N", Table1[[#This Row],[Against FCS Team]]="N"), ROUND(((5.45 * D387) + (150 * F387) + (100 * G387) - (300 * H387)) / E387, 2), " ")</f>
        <v>115.56</v>
      </c>
      <c r="AB387">
        <f>IF(AND(Table1[[#This Row],[Throw Out Pass Def Eff]]="N", Table1[[#This Row],[Against FCS Team]]="N"),200 - ROUND(((5.45 * P387) + (150 * R387) + (100 * S387) - (300 * T387)) / Q387, 2), " ")</f>
        <v>76.400000000000006</v>
      </c>
      <c r="AC387">
        <f>IF(AND(Table1[[#This Row],[Throw Out Rush Eff]]="N", Table1[[#This Row],[Against FCS Team]]="N"), ROUND(((23.2 * I387) + (150 * K387) - (300 * L387)) / J387, 2), " ")</f>
        <v>124.99</v>
      </c>
      <c r="AD387" s="3">
        <f>IF(AND(Table1[[#This Row],[Throw Out Rush Def Eff]]="N", Table1[[#This Row],[Against FCS Team]]="N"), 200 - ROUND(((23.2 * U387) + (150 * W387) - (300 * X387)) / V387, 2), " ")</f>
        <v>53.449999999999989</v>
      </c>
      <c r="AE387" s="3">
        <f>ROUND(Table1[[#This Row],[Opp Passing Attempts]]/(Table1[[#This Row],[Opp Passing Attempts]]+Table1[[#This Row],[Opp Rushing Attempts]]), 2)</f>
        <v>0.28999999999999998</v>
      </c>
      <c r="AF387" s="3">
        <f>1-Table1[[#This Row],[Passing Weight]]</f>
        <v>0.71</v>
      </c>
      <c r="AG387" s="3" t="str">
        <f>IF(COUNTIF(A:A,Table1[[#This Row],[Opp Team Name]]) &gt; 0, "N", "Y")</f>
        <v>N</v>
      </c>
      <c r="AH387" s="3" t="str">
        <f>IF(Table1[[#This Row],[Passing Attempts]] &lt;15, "Y", "N")</f>
        <v>N</v>
      </c>
      <c r="AI387" s="3" t="str">
        <f>IF(Table1[[#This Row],[Rushing Attempts]] &lt; 15, "Y", "N")</f>
        <v>N</v>
      </c>
      <c r="AJ387" s="3" t="str">
        <f>IF(Table1[[#This Row],[Opp Passing Attempts]]&lt;15, "Y", "N")</f>
        <v>N</v>
      </c>
      <c r="AK387" s="3" t="str">
        <f>IF(Table1[[#This Row],[Opp Rushing Attempts]]&lt;15, "Y", "N")</f>
        <v>N</v>
      </c>
      <c r="AL38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118.22</v>
      </c>
      <c r="AM3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78.89</v>
      </c>
      <c r="AN3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153.65</v>
      </c>
      <c r="AO3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65</v>
      </c>
      <c r="AP387" s="3">
        <f>ABS(Table1[[#This Row],[Team Score]]-Table1[[#This Row],[Opp Team Score]])</f>
        <v>4</v>
      </c>
      <c r="AQ387" s="3">
        <f>SUM(Table1[[#This Row],[Team Score]], Table1[[#This Row],[Opp Team Score]])</f>
        <v>52</v>
      </c>
      <c r="AR38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29.599999999999966</v>
      </c>
      <c r="AS387" s="3">
        <f>IF(Table1[[#This Row],[Efficiency Difference]] = " ", " ", ROUND((Table1[[#This Row],[Winning Margin]]*100)/Table1[[#This Row],[Efficiency Difference]], 2))</f>
        <v>13.51</v>
      </c>
    </row>
    <row r="388" spans="1:45">
      <c r="A388" t="s">
        <v>179</v>
      </c>
      <c r="B388">
        <v>415</v>
      </c>
      <c r="C388">
        <v>35</v>
      </c>
      <c r="D388">
        <v>283</v>
      </c>
      <c r="E388">
        <v>22</v>
      </c>
      <c r="F388">
        <v>4</v>
      </c>
      <c r="G388">
        <v>14</v>
      </c>
      <c r="H388">
        <v>0</v>
      </c>
      <c r="I388">
        <v>236</v>
      </c>
      <c r="J388">
        <v>38</v>
      </c>
      <c r="K388">
        <v>1</v>
      </c>
      <c r="L388">
        <v>0</v>
      </c>
      <c r="M388" t="s">
        <v>156</v>
      </c>
      <c r="N388">
        <v>742</v>
      </c>
      <c r="O388">
        <v>38</v>
      </c>
      <c r="P388">
        <v>310</v>
      </c>
      <c r="Q388">
        <v>25</v>
      </c>
      <c r="R388">
        <v>3</v>
      </c>
      <c r="S388">
        <v>23</v>
      </c>
      <c r="T388">
        <v>0</v>
      </c>
      <c r="U388">
        <v>172</v>
      </c>
      <c r="V388">
        <v>38</v>
      </c>
      <c r="W388">
        <v>2</v>
      </c>
      <c r="X388">
        <v>1</v>
      </c>
      <c r="Y388" t="s">
        <v>19</v>
      </c>
      <c r="Z388">
        <v>6</v>
      </c>
      <c r="AA388">
        <f>IF(AND(Table1[[#This Row],[Throw Out Pass Eff]]="N", Table1[[#This Row],[Against FCS Team]]="N"), ROUND(((5.45 * D388) + (150 * F388) + (100 * G388) - (300 * H388)) / E388, 2), " ")</f>
        <v>161.02000000000001</v>
      </c>
      <c r="AB388">
        <f>IF(AND(Table1[[#This Row],[Throw Out Pass Def Eff]]="N", Table1[[#This Row],[Against FCS Team]]="N"),200 - ROUND(((5.45 * P388) + (150 * R388) + (100 * S388) - (300 * T388)) / Q388, 2), " ")</f>
        <v>22.419999999999987</v>
      </c>
      <c r="AC388">
        <f>IF(AND(Table1[[#This Row],[Throw Out Rush Eff]]="N", Table1[[#This Row],[Against FCS Team]]="N"), ROUND(((23.2 * I388) + (150 * K388) - (300 * L388)) / J388, 2), " ")</f>
        <v>148.03</v>
      </c>
      <c r="AD388" s="3">
        <f>IF(AND(Table1[[#This Row],[Throw Out Rush Def Eff]]="N", Table1[[#This Row],[Against FCS Team]]="N"), 200 - ROUND(((23.2 * U388) + (150 * W388) - (300 * X388)) / V388, 2), " ")</f>
        <v>94.99</v>
      </c>
      <c r="AE388" s="3">
        <f>ROUND(Table1[[#This Row],[Opp Passing Attempts]]/(Table1[[#This Row],[Opp Passing Attempts]]+Table1[[#This Row],[Opp Rushing Attempts]]), 2)</f>
        <v>0.4</v>
      </c>
      <c r="AF388" s="3">
        <f>1-Table1[[#This Row],[Passing Weight]]</f>
        <v>0.6</v>
      </c>
      <c r="AG388" s="3" t="str">
        <f>IF(COUNTIF(A:A,Table1[[#This Row],[Opp Team Name]]) &gt; 0, "N", "Y")</f>
        <v>N</v>
      </c>
      <c r="AH388" s="3" t="str">
        <f>IF(Table1[[#This Row],[Passing Attempts]] &lt;15, "Y", "N")</f>
        <v>N</v>
      </c>
      <c r="AI388" s="3" t="str">
        <f>IF(Table1[[#This Row],[Rushing Attempts]] &lt; 15, "Y", "N")</f>
        <v>N</v>
      </c>
      <c r="AJ388" s="3" t="str">
        <f>IF(Table1[[#This Row],[Opp Passing Attempts]]&lt;15, "Y", "N")</f>
        <v>N</v>
      </c>
      <c r="AK388" s="3" t="str">
        <f>IF(Table1[[#This Row],[Opp Rushing Attempts]]&lt;15, "Y", "N")</f>
        <v>N</v>
      </c>
      <c r="AL38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182.37</v>
      </c>
      <c r="AM38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22.78</v>
      </c>
      <c r="AN38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215.51</v>
      </c>
      <c r="AO38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102.09</v>
      </c>
      <c r="AP388" s="3">
        <f>ABS(Table1[[#This Row],[Team Score]]-Table1[[#This Row],[Opp Team Score]])</f>
        <v>3</v>
      </c>
      <c r="AQ388" s="3">
        <f>SUM(Table1[[#This Row],[Team Score]], Table1[[#This Row],[Opp Team Score]])</f>
        <v>73</v>
      </c>
      <c r="AR38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26.45999999999998</v>
      </c>
      <c r="AS388" s="3">
        <f>IF(Table1[[#This Row],[Efficiency Difference]] = " ", " ", ROUND((Table1[[#This Row],[Winning Margin]]*100)/Table1[[#This Row],[Efficiency Difference]], 2))</f>
        <v>11.34</v>
      </c>
    </row>
    <row r="389" spans="1:45">
      <c r="A389" t="s">
        <v>179</v>
      </c>
      <c r="B389">
        <v>415</v>
      </c>
      <c r="C389">
        <v>30</v>
      </c>
      <c r="D389">
        <v>267</v>
      </c>
      <c r="E389">
        <v>30</v>
      </c>
      <c r="F389">
        <v>3</v>
      </c>
      <c r="G389">
        <v>20</v>
      </c>
      <c r="H389">
        <v>0</v>
      </c>
      <c r="I389">
        <v>44</v>
      </c>
      <c r="J389">
        <v>27</v>
      </c>
      <c r="K389">
        <v>0</v>
      </c>
      <c r="L389">
        <v>1</v>
      </c>
      <c r="M389" t="s">
        <v>110</v>
      </c>
      <c r="N389">
        <v>457</v>
      </c>
      <c r="O389">
        <v>24</v>
      </c>
      <c r="P389">
        <v>288</v>
      </c>
      <c r="Q389">
        <v>38</v>
      </c>
      <c r="R389">
        <v>2</v>
      </c>
      <c r="S389">
        <v>29</v>
      </c>
      <c r="T389">
        <v>0</v>
      </c>
      <c r="U389">
        <v>141</v>
      </c>
      <c r="V389">
        <v>42</v>
      </c>
      <c r="W389">
        <v>1</v>
      </c>
      <c r="X389">
        <v>2</v>
      </c>
      <c r="Y389" t="s">
        <v>16</v>
      </c>
      <c r="Z389">
        <v>7</v>
      </c>
      <c r="AA389">
        <f>IF(AND(Table1[[#This Row],[Throw Out Pass Eff]]="N", Table1[[#This Row],[Against FCS Team]]="N"), ROUND(((5.45 * D389) + (150 * F389) + (100 * G389) - (300 * H389)) / E389, 2), " ")</f>
        <v>130.16999999999999</v>
      </c>
      <c r="AB389">
        <f>IF(AND(Table1[[#This Row],[Throw Out Pass Def Eff]]="N", Table1[[#This Row],[Against FCS Team]]="N"),200 - ROUND(((5.45 * P389) + (150 * R389) + (100 * S389) - (300 * T389)) / Q389, 2), " ")</f>
        <v>74.48</v>
      </c>
      <c r="AC389">
        <f>IF(AND(Table1[[#This Row],[Throw Out Rush Eff]]="N", Table1[[#This Row],[Against FCS Team]]="N"), ROUND(((23.2 * I389) + (150 * K389) - (300 * L389)) / J389, 2), " ")</f>
        <v>26.7</v>
      </c>
      <c r="AD389" s="3">
        <f>IF(AND(Table1[[#This Row],[Throw Out Rush Def Eff]]="N", Table1[[#This Row],[Against FCS Team]]="N"), 200 - ROUND(((23.2 * U389) + (150 * W389) - (300 * X389)) / V389, 2), " ")</f>
        <v>132.82999999999998</v>
      </c>
      <c r="AE389" s="3">
        <f>ROUND(Table1[[#This Row],[Opp Passing Attempts]]/(Table1[[#This Row],[Opp Passing Attempts]]+Table1[[#This Row],[Opp Rushing Attempts]]), 2)</f>
        <v>0.48</v>
      </c>
      <c r="AF389" s="3">
        <f>1-Table1[[#This Row],[Passing Weight]]</f>
        <v>0.52</v>
      </c>
      <c r="AG389" s="3" t="str">
        <f>IF(COUNTIF(A:A,Table1[[#This Row],[Opp Team Name]]) &gt; 0, "N", "Y")</f>
        <v>N</v>
      </c>
      <c r="AH389" s="3" t="str">
        <f>IF(Table1[[#This Row],[Passing Attempts]] &lt;15, "Y", "N")</f>
        <v>N</v>
      </c>
      <c r="AI389" s="3" t="str">
        <f>IF(Table1[[#This Row],[Rushing Attempts]] &lt; 15, "Y", "N")</f>
        <v>N</v>
      </c>
      <c r="AJ389" s="3" t="str">
        <f>IF(Table1[[#This Row],[Opp Passing Attempts]]&lt;15, "Y", "N")</f>
        <v>N</v>
      </c>
      <c r="AK389" s="3" t="str">
        <f>IF(Table1[[#This Row],[Opp Rushing Attempts]]&lt;15, "Y", "N")</f>
        <v>N</v>
      </c>
      <c r="AL38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127.89</v>
      </c>
      <c r="AM3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87.81</v>
      </c>
      <c r="AN3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37.18</v>
      </c>
      <c r="AO3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126.14</v>
      </c>
      <c r="AP389" s="3">
        <f>ABS(Table1[[#This Row],[Team Score]]-Table1[[#This Row],[Opp Team Score]])</f>
        <v>6</v>
      </c>
      <c r="AQ389" s="3">
        <f>SUM(Table1[[#This Row],[Team Score]], Table1[[#This Row],[Opp Team Score]])</f>
        <v>54</v>
      </c>
      <c r="AR38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35.820000000000022</v>
      </c>
      <c r="AS389" s="3">
        <f>IF(Table1[[#This Row],[Efficiency Difference]] = " ", " ", ROUND((Table1[[#This Row],[Winning Margin]]*100)/Table1[[#This Row],[Efficiency Difference]], 2))</f>
        <v>16.75</v>
      </c>
    </row>
    <row r="390" spans="1:45">
      <c r="A390" t="s">
        <v>179</v>
      </c>
      <c r="B390">
        <v>415</v>
      </c>
      <c r="C390">
        <v>24</v>
      </c>
      <c r="D390">
        <v>140</v>
      </c>
      <c r="E390">
        <v>23</v>
      </c>
      <c r="F390">
        <v>0</v>
      </c>
      <c r="G390">
        <v>8</v>
      </c>
      <c r="H390">
        <v>1</v>
      </c>
      <c r="I390">
        <v>122</v>
      </c>
      <c r="J390">
        <v>41</v>
      </c>
      <c r="K390">
        <v>2</v>
      </c>
      <c r="L390">
        <v>0</v>
      </c>
      <c r="M390" t="s">
        <v>72</v>
      </c>
      <c r="N390">
        <v>255</v>
      </c>
      <c r="O390">
        <v>7</v>
      </c>
      <c r="P390">
        <v>77</v>
      </c>
      <c r="Q390">
        <v>14</v>
      </c>
      <c r="R390">
        <v>0</v>
      </c>
      <c r="S390">
        <v>7</v>
      </c>
      <c r="T390">
        <v>1</v>
      </c>
      <c r="U390">
        <v>134</v>
      </c>
      <c r="V390">
        <v>48</v>
      </c>
      <c r="W390">
        <v>1</v>
      </c>
      <c r="X390">
        <v>2</v>
      </c>
      <c r="Y390" t="s">
        <v>16</v>
      </c>
      <c r="Z390">
        <v>8</v>
      </c>
      <c r="AA390" s="3">
        <f>IF(AND(Table1[[#This Row],[Throw Out Pass Eff]]="N", Table1[[#This Row],[Against FCS Team]]="N"), ROUND(((5.45 * D390) + (150 * F390) + (100 * G390) - (300 * H390)) / E390, 2), " ")</f>
        <v>54.91</v>
      </c>
      <c r="AB390" s="3" t="str">
        <f>IF(AND(Table1[[#This Row],[Throw Out Pass Def Eff]]="N", Table1[[#This Row],[Against FCS Team]]="N"),200 - ROUND(((5.45 * P390) + (150 * R390) + (100 * S390) - (300 * T390)) / Q390, 2), " ")</f>
        <v xml:space="preserve"> </v>
      </c>
      <c r="AC390" s="3">
        <f>IF(AND(Table1[[#This Row],[Throw Out Rush Eff]]="N", Table1[[#This Row],[Against FCS Team]]="N"), ROUND(((23.2 * I390) + (150 * K390) - (300 * L390)) / J390, 2), " ")</f>
        <v>76.349999999999994</v>
      </c>
      <c r="AD390" s="3">
        <f>IF(AND(Table1[[#This Row],[Throw Out Rush Def Eff]]="N", Table1[[#This Row],[Against FCS Team]]="N"), 200 - ROUND(((23.2 * U390) + (150 * W390) - (300 * X390)) / V390, 2), " ")</f>
        <v>144.61000000000001</v>
      </c>
      <c r="AE390" s="3">
        <f>ROUND(Table1[[#This Row],[Opp Passing Attempts]]/(Table1[[#This Row],[Opp Passing Attempts]]+Table1[[#This Row],[Opp Rushing Attempts]]), 2)</f>
        <v>0.23</v>
      </c>
      <c r="AF390" s="3">
        <f>1-Table1[[#This Row],[Passing Weight]]</f>
        <v>0.77</v>
      </c>
      <c r="AG390" s="3" t="str">
        <f>IF(COUNTIF(A:A,Table1[[#This Row],[Opp Team Name]]) &gt; 0, "N", "Y")</f>
        <v>N</v>
      </c>
      <c r="AH390" s="3" t="str">
        <f>IF(Table1[[#This Row],[Passing Attempts]] &lt;15, "Y", "N")</f>
        <v>N</v>
      </c>
      <c r="AI390" s="3" t="str">
        <f>IF(Table1[[#This Row],[Rushing Attempts]] &lt; 15, "Y", "N")</f>
        <v>N</v>
      </c>
      <c r="AJ390" s="3" t="str">
        <f>IF(Table1[[#This Row],[Opp Passing Attempts]]&lt;15, "Y", "N")</f>
        <v>Y</v>
      </c>
      <c r="AK390" s="3" t="str">
        <f>IF(Table1[[#This Row],[Opp Rushing Attempts]]&lt;15, "Y", "N")</f>
        <v>N</v>
      </c>
      <c r="AL3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66.58</v>
      </c>
      <c r="AM390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9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64.599999999999994</v>
      </c>
      <c r="AO3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206.51</v>
      </c>
      <c r="AP390" s="3">
        <f>ABS(Table1[[#This Row],[Team Score]]-Table1[[#This Row],[Opp Team Score]])</f>
        <v>17</v>
      </c>
      <c r="AQ390" s="3">
        <f>SUM(Table1[[#This Row],[Team Score]], Table1[[#This Row],[Opp Team Score]])</f>
        <v>31</v>
      </c>
      <c r="AR39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90" s="3" t="str">
        <f>IF(Table1[[#This Row],[Efficiency Difference]] = " ", " ", ROUND((Table1[[#This Row],[Winning Margin]]*100)/Table1[[#This Row],[Efficiency Difference]], 2))</f>
        <v xml:space="preserve"> </v>
      </c>
    </row>
    <row r="391" spans="1:45">
      <c r="A391" t="s">
        <v>96</v>
      </c>
      <c r="B391">
        <v>414</v>
      </c>
      <c r="C391">
        <v>6</v>
      </c>
      <c r="D391">
        <v>194</v>
      </c>
      <c r="E391">
        <v>39</v>
      </c>
      <c r="F391">
        <v>0</v>
      </c>
      <c r="G391">
        <v>26</v>
      </c>
      <c r="H391">
        <v>1</v>
      </c>
      <c r="I391">
        <v>76</v>
      </c>
      <c r="J391">
        <v>36</v>
      </c>
      <c r="K391">
        <v>1</v>
      </c>
      <c r="L391">
        <v>1</v>
      </c>
      <c r="M391" t="s">
        <v>97</v>
      </c>
      <c r="N391">
        <v>434</v>
      </c>
      <c r="O391">
        <v>17</v>
      </c>
      <c r="P391">
        <v>129</v>
      </c>
      <c r="Q391">
        <v>26</v>
      </c>
      <c r="R391">
        <v>1</v>
      </c>
      <c r="S391">
        <v>17</v>
      </c>
      <c r="T391">
        <v>1</v>
      </c>
      <c r="U391">
        <v>162</v>
      </c>
      <c r="V391">
        <v>37</v>
      </c>
      <c r="W391">
        <v>1</v>
      </c>
      <c r="X391">
        <v>0</v>
      </c>
      <c r="Y391" t="s">
        <v>19</v>
      </c>
      <c r="Z391">
        <v>1</v>
      </c>
      <c r="AA391">
        <f>IF(AND(Table1[[#This Row],[Throw Out Pass Eff]]="N", Table1[[#This Row],[Against FCS Team]]="N"), ROUND(((5.45 * D391) + (150 * F391) + (100 * G391) - (300 * H391)) / E391, 2), " ")</f>
        <v>86.08</v>
      </c>
      <c r="AB391">
        <f>IF(AND(Table1[[#This Row],[Throw Out Pass Def Eff]]="N", Table1[[#This Row],[Against FCS Team]]="N"),200 - ROUND(((5.45 * P391) + (150 * R391) + (100 * S391) - (300 * T391)) / Q391, 2), " ")</f>
        <v>113.34</v>
      </c>
      <c r="AC391">
        <f>IF(AND(Table1[[#This Row],[Throw Out Rush Eff]]="N", Table1[[#This Row],[Against FCS Team]]="N"), ROUND(((23.2 * I391) + (150 * K391) - (300 * L391)) / J391, 2), " ")</f>
        <v>44.81</v>
      </c>
      <c r="AD391" s="3">
        <f>IF(AND(Table1[[#This Row],[Throw Out Rush Def Eff]]="N", Table1[[#This Row],[Against FCS Team]]="N"), 200 - ROUND(((23.2 * U391) + (150 * W391) - (300 * X391)) / V391, 2), " ")</f>
        <v>94.37</v>
      </c>
      <c r="AE391" s="3">
        <f>ROUND(Table1[[#This Row],[Opp Passing Attempts]]/(Table1[[#This Row],[Opp Passing Attempts]]+Table1[[#This Row],[Opp Rushing Attempts]]), 2)</f>
        <v>0.41</v>
      </c>
      <c r="AF391" s="3">
        <f>1-Table1[[#This Row],[Passing Weight]]</f>
        <v>0.59000000000000008</v>
      </c>
      <c r="AG391" s="3" t="str">
        <f>IF(COUNTIF(A:A,Table1[[#This Row],[Opp Team Name]]) &gt; 0, "N", "Y")</f>
        <v>N</v>
      </c>
      <c r="AH391" s="3" t="str">
        <f>IF(Table1[[#This Row],[Passing Attempts]] &lt;15, "Y", "N")</f>
        <v>N</v>
      </c>
      <c r="AI391" s="3" t="str">
        <f>IF(Table1[[#This Row],[Rushing Attempts]] &lt; 15, "Y", "N")</f>
        <v>N</v>
      </c>
      <c r="AJ391" s="3" t="str">
        <f>IF(Table1[[#This Row],[Opp Passing Attempts]]&lt;15, "Y", "N")</f>
        <v>N</v>
      </c>
      <c r="AK391" s="3" t="str">
        <f>IF(Table1[[#This Row],[Opp Rushing Attempts]]&lt;15, "Y", "N")</f>
        <v>N</v>
      </c>
      <c r="AL39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82.27</v>
      </c>
      <c r="AM39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106.53</v>
      </c>
      <c r="AN39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49.04</v>
      </c>
      <c r="AO39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109.24</v>
      </c>
      <c r="AP391" s="3">
        <f>ABS(Table1[[#This Row],[Team Score]]-Table1[[#This Row],[Opp Team Score]])</f>
        <v>11</v>
      </c>
      <c r="AQ391" s="3">
        <f>SUM(Table1[[#This Row],[Team Score]], Table1[[#This Row],[Opp Team Score]])</f>
        <v>23</v>
      </c>
      <c r="AR39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61.400000000000006</v>
      </c>
      <c r="AS391" s="3">
        <f>IF(Table1[[#This Row],[Efficiency Difference]] = " ", " ", ROUND((Table1[[#This Row],[Winning Margin]]*100)/Table1[[#This Row],[Efficiency Difference]], 2))</f>
        <v>17.920000000000002</v>
      </c>
    </row>
    <row r="392" spans="1:45">
      <c r="A392" t="s">
        <v>96</v>
      </c>
      <c r="B392">
        <v>414</v>
      </c>
      <c r="C392">
        <v>23</v>
      </c>
      <c r="D392">
        <v>325</v>
      </c>
      <c r="E392">
        <v>48</v>
      </c>
      <c r="F392">
        <v>2</v>
      </c>
      <c r="G392">
        <v>27</v>
      </c>
      <c r="H392">
        <v>1</v>
      </c>
      <c r="I392">
        <v>80</v>
      </c>
      <c r="J392">
        <v>21</v>
      </c>
      <c r="K392">
        <v>1</v>
      </c>
      <c r="L392">
        <v>0</v>
      </c>
      <c r="M392" t="s">
        <v>102</v>
      </c>
      <c r="N392">
        <v>428</v>
      </c>
      <c r="O392">
        <v>29</v>
      </c>
      <c r="P392">
        <v>163</v>
      </c>
      <c r="Q392">
        <v>21</v>
      </c>
      <c r="R392">
        <v>1</v>
      </c>
      <c r="S392">
        <v>11</v>
      </c>
      <c r="T392">
        <v>0</v>
      </c>
      <c r="U392">
        <v>236</v>
      </c>
      <c r="V392">
        <v>47</v>
      </c>
      <c r="W392">
        <v>1</v>
      </c>
      <c r="X392">
        <v>0</v>
      </c>
      <c r="Y392" t="s">
        <v>19</v>
      </c>
      <c r="Z392">
        <v>3</v>
      </c>
      <c r="AA392">
        <f>IF(AND(Table1[[#This Row],[Throw Out Pass Eff]]="N", Table1[[#This Row],[Against FCS Team]]="N"), ROUND(((5.45 * D392) + (150 * F392) + (100 * G392) - (300 * H392)) / E392, 2), " ")</f>
        <v>93.15</v>
      </c>
      <c r="AB392">
        <f>IF(AND(Table1[[#This Row],[Throw Out Pass Def Eff]]="N", Table1[[#This Row],[Against FCS Team]]="N"),200 - ROUND(((5.45 * P392) + (150 * R392) + (100 * S392) - (300 * T392)) / Q392, 2), " ")</f>
        <v>98.17</v>
      </c>
      <c r="AC392">
        <f>IF(AND(Table1[[#This Row],[Throw Out Rush Eff]]="N", Table1[[#This Row],[Against FCS Team]]="N"), ROUND(((23.2 * I392) + (150 * K392) - (300 * L392)) / J392, 2), " ")</f>
        <v>95.52</v>
      </c>
      <c r="AD392" s="3">
        <f>IF(AND(Table1[[#This Row],[Throw Out Rush Def Eff]]="N", Table1[[#This Row],[Against FCS Team]]="N"), 200 - ROUND(((23.2 * U392) + (150 * W392) - (300 * X392)) / V392, 2), " ")</f>
        <v>80.31</v>
      </c>
      <c r="AE392" s="3">
        <f>ROUND(Table1[[#This Row],[Opp Passing Attempts]]/(Table1[[#This Row],[Opp Passing Attempts]]+Table1[[#This Row],[Opp Rushing Attempts]]), 2)</f>
        <v>0.31</v>
      </c>
      <c r="AF392" s="3">
        <f>1-Table1[[#This Row],[Passing Weight]]</f>
        <v>0.69</v>
      </c>
      <c r="AG392" s="3" t="str">
        <f>IF(COUNTIF(A:A,Table1[[#This Row],[Opp Team Name]]) &gt; 0, "N", "Y")</f>
        <v>N</v>
      </c>
      <c r="AH392" s="3" t="str">
        <f>IF(Table1[[#This Row],[Passing Attempts]] &lt;15, "Y", "N")</f>
        <v>N</v>
      </c>
      <c r="AI392" s="3" t="str">
        <f>IF(Table1[[#This Row],[Rushing Attempts]] &lt; 15, "Y", "N")</f>
        <v>N</v>
      </c>
      <c r="AJ392" s="3" t="str">
        <f>IF(Table1[[#This Row],[Opp Passing Attempts]]&lt;15, "Y", "N")</f>
        <v>N</v>
      </c>
      <c r="AK392" s="3" t="str">
        <f>IF(Table1[[#This Row],[Opp Rushing Attempts]]&lt;15, "Y", "N")</f>
        <v>N</v>
      </c>
      <c r="AL39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80.790000000000006</v>
      </c>
      <c r="AM3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78.53</v>
      </c>
      <c r="AN3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82.68</v>
      </c>
      <c r="AO3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67.239999999999995</v>
      </c>
      <c r="AP392" s="3">
        <f>ABS(Table1[[#This Row],[Team Score]]-Table1[[#This Row],[Opp Team Score]])</f>
        <v>6</v>
      </c>
      <c r="AQ392" s="3">
        <f>SUM(Table1[[#This Row],[Team Score]], Table1[[#This Row],[Opp Team Score]])</f>
        <v>52</v>
      </c>
      <c r="AR39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32.849999999999966</v>
      </c>
      <c r="AS392" s="3">
        <f>IF(Table1[[#This Row],[Efficiency Difference]] = " ", " ", ROUND((Table1[[#This Row],[Winning Margin]]*100)/Table1[[#This Row],[Efficiency Difference]], 2))</f>
        <v>18.260000000000002</v>
      </c>
    </row>
    <row r="393" spans="1:45">
      <c r="A393" t="s">
        <v>96</v>
      </c>
      <c r="B393">
        <v>414</v>
      </c>
      <c r="C393">
        <v>23</v>
      </c>
      <c r="D393">
        <v>265</v>
      </c>
      <c r="E393">
        <v>40</v>
      </c>
      <c r="F393">
        <v>0</v>
      </c>
      <c r="G393">
        <v>25</v>
      </c>
      <c r="H393">
        <v>2</v>
      </c>
      <c r="I393">
        <v>43</v>
      </c>
      <c r="J393">
        <v>31</v>
      </c>
      <c r="K393">
        <v>2</v>
      </c>
      <c r="L393">
        <v>1</v>
      </c>
      <c r="M393" t="s">
        <v>42</v>
      </c>
      <c r="N393">
        <v>71</v>
      </c>
      <c r="O393">
        <v>37</v>
      </c>
      <c r="P393">
        <v>183</v>
      </c>
      <c r="Q393">
        <v>24</v>
      </c>
      <c r="R393">
        <v>3</v>
      </c>
      <c r="S393">
        <v>19</v>
      </c>
      <c r="T393">
        <v>1</v>
      </c>
      <c r="U393">
        <v>127</v>
      </c>
      <c r="V393">
        <v>38</v>
      </c>
      <c r="W393">
        <v>2</v>
      </c>
      <c r="X393">
        <v>1</v>
      </c>
      <c r="Y393" t="s">
        <v>19</v>
      </c>
      <c r="Z393">
        <v>4</v>
      </c>
      <c r="AA393">
        <f>IF(AND(Table1[[#This Row],[Throw Out Pass Eff]]="N", Table1[[#This Row],[Against FCS Team]]="N"), ROUND(((5.45 * D393) + (150 * F393) + (100 * G393) - (300 * H393)) / E393, 2), " ")</f>
        <v>83.61</v>
      </c>
      <c r="AB393">
        <f>IF(AND(Table1[[#This Row],[Throw Out Pass Def Eff]]="N", Table1[[#This Row],[Against FCS Team]]="N"),200 - ROUND(((5.45 * P393) + (150 * R393) + (100 * S393) - (300 * T393)) / Q393, 2), " ")</f>
        <v>73.03</v>
      </c>
      <c r="AC393">
        <f>IF(AND(Table1[[#This Row],[Throw Out Rush Eff]]="N", Table1[[#This Row],[Against FCS Team]]="N"), ROUND(((23.2 * I393) + (150 * K393) - (300 * L393)) / J393, 2), " ")</f>
        <v>32.18</v>
      </c>
      <c r="AD393" s="3">
        <f>IF(AND(Table1[[#This Row],[Throw Out Rush Def Eff]]="N", Table1[[#This Row],[Against FCS Team]]="N"), 200 - ROUND(((23.2 * U393) + (150 * W393) - (300 * X393)) / V393, 2), " ")</f>
        <v>122.46</v>
      </c>
      <c r="AE393" s="3">
        <f>ROUND(Table1[[#This Row],[Opp Passing Attempts]]/(Table1[[#This Row],[Opp Passing Attempts]]+Table1[[#This Row],[Opp Rushing Attempts]]), 2)</f>
        <v>0.39</v>
      </c>
      <c r="AF393" s="3">
        <f>1-Table1[[#This Row],[Passing Weight]]</f>
        <v>0.61</v>
      </c>
      <c r="AG393" s="3" t="str">
        <f>IF(COUNTIF(A:A,Table1[[#This Row],[Opp Team Name]]) &gt; 0, "N", "Y")</f>
        <v>N</v>
      </c>
      <c r="AH393" s="3" t="str">
        <f>IF(Table1[[#This Row],[Passing Attempts]] &lt;15, "Y", "N")</f>
        <v>N</v>
      </c>
      <c r="AI393" s="3" t="str">
        <f>IF(Table1[[#This Row],[Rushing Attempts]] &lt; 15, "Y", "N")</f>
        <v>N</v>
      </c>
      <c r="AJ393" s="3" t="str">
        <f>IF(Table1[[#This Row],[Opp Passing Attempts]]&lt;15, "Y", "N")</f>
        <v>N</v>
      </c>
      <c r="AK393" s="3" t="str">
        <f>IF(Table1[[#This Row],[Opp Rushing Attempts]]&lt;15, "Y", "N")</f>
        <v>N</v>
      </c>
      <c r="AL3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82.08</v>
      </c>
      <c r="AM3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69.569999999999993</v>
      </c>
      <c r="AN3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28.6</v>
      </c>
      <c r="AO3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92.25</v>
      </c>
      <c r="AP393" s="3">
        <f>ABS(Table1[[#This Row],[Team Score]]-Table1[[#This Row],[Opp Team Score]])</f>
        <v>14</v>
      </c>
      <c r="AQ393" s="3">
        <f>SUM(Table1[[#This Row],[Team Score]], Table1[[#This Row],[Opp Team Score]])</f>
        <v>60</v>
      </c>
      <c r="AR3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88.72</v>
      </c>
      <c r="AS393" s="3">
        <f>IF(Table1[[#This Row],[Efficiency Difference]] = " ", " ", ROUND((Table1[[#This Row],[Winning Margin]]*100)/Table1[[#This Row],[Efficiency Difference]], 2))</f>
        <v>15.78</v>
      </c>
    </row>
    <row r="394" spans="1:45">
      <c r="A394" t="s">
        <v>96</v>
      </c>
      <c r="B394">
        <v>414</v>
      </c>
      <c r="C394">
        <v>0</v>
      </c>
      <c r="D394">
        <v>267</v>
      </c>
      <c r="E394">
        <v>35</v>
      </c>
      <c r="F394">
        <v>0</v>
      </c>
      <c r="G394">
        <v>21</v>
      </c>
      <c r="H394">
        <v>1</v>
      </c>
      <c r="I394">
        <v>-3</v>
      </c>
      <c r="J394">
        <v>38</v>
      </c>
      <c r="K394">
        <v>0</v>
      </c>
      <c r="L394">
        <v>1</v>
      </c>
      <c r="M394" t="s">
        <v>52</v>
      </c>
      <c r="N394">
        <v>140</v>
      </c>
      <c r="O394">
        <v>27</v>
      </c>
      <c r="P394">
        <v>251</v>
      </c>
      <c r="Q394">
        <v>30</v>
      </c>
      <c r="R394">
        <v>1</v>
      </c>
      <c r="S394">
        <v>16</v>
      </c>
      <c r="T394">
        <v>2</v>
      </c>
      <c r="U394">
        <v>147</v>
      </c>
      <c r="V394">
        <v>40</v>
      </c>
      <c r="W394">
        <v>2</v>
      </c>
      <c r="X394">
        <v>2</v>
      </c>
      <c r="Y394" t="s">
        <v>19</v>
      </c>
      <c r="Z394">
        <v>5</v>
      </c>
      <c r="AA394">
        <f>IF(AND(Table1[[#This Row],[Throw Out Pass Eff]]="N", Table1[[#This Row],[Against FCS Team]]="N"), ROUND(((5.45 * D394) + (150 * F394) + (100 * G394) - (300 * H394)) / E394, 2), " ")</f>
        <v>93</v>
      </c>
      <c r="AB394">
        <f>IF(AND(Table1[[#This Row],[Throw Out Pass Def Eff]]="N", Table1[[#This Row],[Against FCS Team]]="N"),200 - ROUND(((5.45 * P394) + (150 * R394) + (100 * S394) - (300 * T394)) / Q394, 2), " ")</f>
        <v>116.07</v>
      </c>
      <c r="AC394">
        <f>IF(AND(Table1[[#This Row],[Throw Out Rush Eff]]="N", Table1[[#This Row],[Against FCS Team]]="N"), ROUND(((23.2 * I394) + (150 * K394) - (300 * L394)) / J394, 2), " ")</f>
        <v>-9.73</v>
      </c>
      <c r="AD394" s="3">
        <f>IF(AND(Table1[[#This Row],[Throw Out Rush Def Eff]]="N", Table1[[#This Row],[Against FCS Team]]="N"), 200 - ROUND(((23.2 * U394) + (150 * W394) - (300 * X394)) / V394, 2), " ")</f>
        <v>122.24</v>
      </c>
      <c r="AE394" s="3">
        <f>ROUND(Table1[[#This Row],[Opp Passing Attempts]]/(Table1[[#This Row],[Opp Passing Attempts]]+Table1[[#This Row],[Opp Rushing Attempts]]), 2)</f>
        <v>0.43</v>
      </c>
      <c r="AF394" s="3">
        <f>1-Table1[[#This Row],[Passing Weight]]</f>
        <v>0.57000000000000006</v>
      </c>
      <c r="AG394" s="3" t="str">
        <f>IF(COUNTIF(A:A,Table1[[#This Row],[Opp Team Name]]) &gt; 0, "N", "Y")</f>
        <v>N</v>
      </c>
      <c r="AH394" s="3" t="str">
        <f>IF(Table1[[#This Row],[Passing Attempts]] &lt;15, "Y", "N")</f>
        <v>N</v>
      </c>
      <c r="AI394" s="3" t="str">
        <f>IF(Table1[[#This Row],[Rushing Attempts]] &lt; 15, "Y", "N")</f>
        <v>N</v>
      </c>
      <c r="AJ394" s="3" t="str">
        <f>IF(Table1[[#This Row],[Opp Passing Attempts]]&lt;15, "Y", "N")</f>
        <v>N</v>
      </c>
      <c r="AK394" s="3" t="str">
        <f>IF(Table1[[#This Row],[Opp Rushing Attempts]]&lt;15, "Y", "N")</f>
        <v>N</v>
      </c>
      <c r="AL3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91.72</v>
      </c>
      <c r="AM3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121.7</v>
      </c>
      <c r="AN3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-16.57</v>
      </c>
      <c r="AO3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133.91</v>
      </c>
      <c r="AP394" s="3">
        <f>ABS(Table1[[#This Row],[Team Score]]-Table1[[#This Row],[Opp Team Score]])</f>
        <v>27</v>
      </c>
      <c r="AQ394" s="3">
        <f>SUM(Table1[[#This Row],[Team Score]], Table1[[#This Row],[Opp Team Score]])</f>
        <v>27</v>
      </c>
      <c r="AR3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78.42</v>
      </c>
      <c r="AS394" s="3">
        <f>IF(Table1[[#This Row],[Efficiency Difference]] = " ", " ", ROUND((Table1[[#This Row],[Winning Margin]]*100)/Table1[[#This Row],[Efficiency Difference]], 2))</f>
        <v>34.43</v>
      </c>
    </row>
    <row r="395" spans="1:45">
      <c r="A395" t="s">
        <v>96</v>
      </c>
      <c r="B395">
        <v>414</v>
      </c>
      <c r="C395">
        <v>35</v>
      </c>
      <c r="D395">
        <v>342</v>
      </c>
      <c r="E395">
        <v>37</v>
      </c>
      <c r="F395">
        <v>4</v>
      </c>
      <c r="G395">
        <v>24</v>
      </c>
      <c r="H395">
        <v>0</v>
      </c>
      <c r="I395">
        <v>161</v>
      </c>
      <c r="J395">
        <v>33</v>
      </c>
      <c r="K395">
        <v>1</v>
      </c>
      <c r="L395">
        <v>1</v>
      </c>
      <c r="M395" t="s">
        <v>30</v>
      </c>
      <c r="N395">
        <v>725</v>
      </c>
      <c r="O395">
        <v>28</v>
      </c>
      <c r="P395">
        <v>124</v>
      </c>
      <c r="Q395">
        <v>9</v>
      </c>
      <c r="R395">
        <v>1</v>
      </c>
      <c r="S395">
        <v>8</v>
      </c>
      <c r="T395">
        <v>0</v>
      </c>
      <c r="U395">
        <v>326</v>
      </c>
      <c r="V395">
        <v>65</v>
      </c>
      <c r="W395">
        <v>3</v>
      </c>
      <c r="X395">
        <v>2</v>
      </c>
      <c r="Y395" t="s">
        <v>16</v>
      </c>
      <c r="Z395">
        <v>6</v>
      </c>
      <c r="AA395">
        <f>IF(AND(Table1[[#This Row],[Throw Out Pass Eff]]="N", Table1[[#This Row],[Against FCS Team]]="N"), ROUND(((5.45 * D395) + (150 * F395) + (100 * G395) - (300 * H395)) / E395, 2), " ")</f>
        <v>131.46</v>
      </c>
      <c r="AB395" t="str">
        <f>IF(AND(Table1[[#This Row],[Throw Out Pass Def Eff]]="N", Table1[[#This Row],[Against FCS Team]]="N"),200 - ROUND(((5.45 * P395) + (150 * R395) + (100 * S395) - (300 * T395)) / Q395, 2), " ")</f>
        <v xml:space="preserve"> </v>
      </c>
      <c r="AC395">
        <f>IF(AND(Table1[[#This Row],[Throw Out Rush Eff]]="N", Table1[[#This Row],[Against FCS Team]]="N"), ROUND(((23.2 * I395) + (150 * K395) - (300 * L395)) / J395, 2), " ")</f>
        <v>108.64</v>
      </c>
      <c r="AD395" s="3">
        <f>IF(AND(Table1[[#This Row],[Throw Out Rush Def Eff]]="N", Table1[[#This Row],[Against FCS Team]]="N"), 200 - ROUND(((23.2 * U395) + (150 * W395) - (300 * X395)) / V395, 2), " ")</f>
        <v>85.95</v>
      </c>
      <c r="AE395" s="3">
        <f>ROUND(Table1[[#This Row],[Opp Passing Attempts]]/(Table1[[#This Row],[Opp Passing Attempts]]+Table1[[#This Row],[Opp Rushing Attempts]]), 2)</f>
        <v>0.12</v>
      </c>
      <c r="AF395" s="3">
        <f>1-Table1[[#This Row],[Passing Weight]]</f>
        <v>0.88</v>
      </c>
      <c r="AG395" s="3" t="str">
        <f>IF(COUNTIF(A:A,Table1[[#This Row],[Opp Team Name]]) &gt; 0, "N", "Y")</f>
        <v>N</v>
      </c>
      <c r="AH395" s="3" t="str">
        <f>IF(Table1[[#This Row],[Passing Attempts]] &lt;15, "Y", "N")</f>
        <v>N</v>
      </c>
      <c r="AI395" s="3" t="str">
        <f>IF(Table1[[#This Row],[Rushing Attempts]] &lt; 15, "Y", "N")</f>
        <v>N</v>
      </c>
      <c r="AJ395" s="3" t="str">
        <f>IF(Table1[[#This Row],[Opp Passing Attempts]]&lt;15, "Y", "N")</f>
        <v>Y</v>
      </c>
      <c r="AK395" s="3" t="str">
        <f>IF(Table1[[#This Row],[Opp Rushing Attempts]]&lt;15, "Y", "N")</f>
        <v>N</v>
      </c>
      <c r="AL39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128.58000000000001</v>
      </c>
      <c r="AM39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9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86.33</v>
      </c>
      <c r="AO39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106.82</v>
      </c>
      <c r="AP395" s="3">
        <f>ABS(Table1[[#This Row],[Team Score]]-Table1[[#This Row],[Opp Team Score]])</f>
        <v>7</v>
      </c>
      <c r="AQ395" s="3">
        <f>SUM(Table1[[#This Row],[Team Score]], Table1[[#This Row],[Opp Team Score]])</f>
        <v>63</v>
      </c>
      <c r="AR39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95" s="3" t="str">
        <f>IF(Table1[[#This Row],[Efficiency Difference]] = " ", " ", ROUND((Table1[[#This Row],[Winning Margin]]*100)/Table1[[#This Row],[Efficiency Difference]], 2))</f>
        <v xml:space="preserve"> </v>
      </c>
    </row>
    <row r="396" spans="1:45">
      <c r="A396" t="s">
        <v>96</v>
      </c>
      <c r="B396">
        <v>414</v>
      </c>
      <c r="C396">
        <v>9</v>
      </c>
      <c r="D396">
        <v>125</v>
      </c>
      <c r="E396">
        <v>27</v>
      </c>
      <c r="F396">
        <v>1</v>
      </c>
      <c r="G396">
        <v>13</v>
      </c>
      <c r="H396">
        <v>0</v>
      </c>
      <c r="I396">
        <v>41</v>
      </c>
      <c r="J396">
        <v>34</v>
      </c>
      <c r="K396">
        <v>0</v>
      </c>
      <c r="L396">
        <v>2</v>
      </c>
      <c r="M396" t="s">
        <v>21</v>
      </c>
      <c r="N396">
        <v>331</v>
      </c>
      <c r="O396">
        <v>3</v>
      </c>
      <c r="P396">
        <v>169</v>
      </c>
      <c r="Q396">
        <v>31</v>
      </c>
      <c r="R396">
        <v>0</v>
      </c>
      <c r="S396">
        <v>16</v>
      </c>
      <c r="T396">
        <v>1</v>
      </c>
      <c r="U396">
        <v>75</v>
      </c>
      <c r="V396">
        <v>36</v>
      </c>
      <c r="W396">
        <v>0</v>
      </c>
      <c r="X396">
        <v>0</v>
      </c>
      <c r="Y396" t="s">
        <v>16</v>
      </c>
      <c r="Z396">
        <v>7</v>
      </c>
      <c r="AA396">
        <f>IF(AND(Table1[[#This Row],[Throw Out Pass Eff]]="N", Table1[[#This Row],[Against FCS Team]]="N"), ROUND(((5.45 * D396) + (150 * F396) + (100 * G396) - (300 * H396)) / E396, 2), " ")</f>
        <v>78.94</v>
      </c>
      <c r="AB396">
        <f>IF(AND(Table1[[#This Row],[Throw Out Pass Def Eff]]="N", Table1[[#This Row],[Against FCS Team]]="N"),200 - ROUND(((5.45 * P396) + (150 * R396) + (100 * S396) - (300 * T396)) / Q396, 2), " ")</f>
        <v>128.35</v>
      </c>
      <c r="AC396">
        <f>IF(AND(Table1[[#This Row],[Throw Out Rush Eff]]="N", Table1[[#This Row],[Against FCS Team]]="N"), ROUND(((23.2 * I396) + (150 * K396) - (300 * L396)) / J396, 2), " ")</f>
        <v>10.33</v>
      </c>
      <c r="AD396" s="3">
        <f>IF(AND(Table1[[#This Row],[Throw Out Rush Def Eff]]="N", Table1[[#This Row],[Against FCS Team]]="N"), 200 - ROUND(((23.2 * U396) + (150 * W396) - (300 * X396)) / V396, 2), " ")</f>
        <v>151.67000000000002</v>
      </c>
      <c r="AE396" s="3">
        <f>ROUND(Table1[[#This Row],[Opp Passing Attempts]]/(Table1[[#This Row],[Opp Passing Attempts]]+Table1[[#This Row],[Opp Rushing Attempts]]), 2)</f>
        <v>0.46</v>
      </c>
      <c r="AF396" s="3">
        <f>1-Table1[[#This Row],[Passing Weight]]</f>
        <v>0.54</v>
      </c>
      <c r="AG396" s="3" t="str">
        <f>IF(COUNTIF(A:A,Table1[[#This Row],[Opp Team Name]]) &gt; 0, "N", "Y")</f>
        <v>N</v>
      </c>
      <c r="AH396" s="3" t="str">
        <f>IF(Table1[[#This Row],[Passing Attempts]] &lt;15, "Y", "N")</f>
        <v>N</v>
      </c>
      <c r="AI396" s="3" t="str">
        <f>IF(Table1[[#This Row],[Rushing Attempts]] &lt; 15, "Y", "N")</f>
        <v>N</v>
      </c>
      <c r="AJ396" s="3" t="str">
        <f>IF(Table1[[#This Row],[Opp Passing Attempts]]&lt;15, "Y", "N")</f>
        <v>N</v>
      </c>
      <c r="AK396" s="3" t="str">
        <f>IF(Table1[[#This Row],[Opp Rushing Attempts]]&lt;15, "Y", "N")</f>
        <v>N</v>
      </c>
      <c r="AL39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89.9</v>
      </c>
      <c r="AM39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60.83</v>
      </c>
      <c r="AN39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12.49</v>
      </c>
      <c r="AO39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45.06</v>
      </c>
      <c r="AP396" s="3">
        <f>ABS(Table1[[#This Row],[Team Score]]-Table1[[#This Row],[Opp Team Score]])</f>
        <v>6</v>
      </c>
      <c r="AQ396" s="3">
        <f>SUM(Table1[[#This Row],[Team Score]], Table1[[#This Row],[Opp Team Score]])</f>
        <v>12</v>
      </c>
      <c r="AR39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30.710000000000022</v>
      </c>
      <c r="AS396" s="3">
        <f>IF(Table1[[#This Row],[Efficiency Difference]] = " ", " ", ROUND((Table1[[#This Row],[Winning Margin]]*100)/Table1[[#This Row],[Efficiency Difference]], 2))</f>
        <v>19.54</v>
      </c>
    </row>
    <row r="397" spans="1:45">
      <c r="A397" t="s">
        <v>96</v>
      </c>
      <c r="B397">
        <v>414</v>
      </c>
      <c r="C397">
        <v>28</v>
      </c>
      <c r="D397">
        <v>394</v>
      </c>
      <c r="E397">
        <v>43</v>
      </c>
      <c r="F397">
        <v>3</v>
      </c>
      <c r="G397">
        <v>28</v>
      </c>
      <c r="H397">
        <v>2</v>
      </c>
      <c r="I397">
        <v>14</v>
      </c>
      <c r="J397">
        <v>21</v>
      </c>
      <c r="K397">
        <v>1</v>
      </c>
      <c r="L397">
        <v>1</v>
      </c>
      <c r="M397" t="s">
        <v>138</v>
      </c>
      <c r="N397">
        <v>709</v>
      </c>
      <c r="O397">
        <v>49</v>
      </c>
      <c r="P397">
        <v>228</v>
      </c>
      <c r="Q397">
        <v>28</v>
      </c>
      <c r="R397">
        <v>2</v>
      </c>
      <c r="S397">
        <v>18</v>
      </c>
      <c r="T397">
        <v>0</v>
      </c>
      <c r="U397">
        <v>269</v>
      </c>
      <c r="V397">
        <v>45</v>
      </c>
      <c r="W397">
        <v>4</v>
      </c>
      <c r="X397">
        <v>0</v>
      </c>
      <c r="Y397" t="s">
        <v>19</v>
      </c>
      <c r="Z397">
        <v>8</v>
      </c>
      <c r="AA397" s="3">
        <f>IF(AND(Table1[[#This Row],[Throw Out Pass Eff]]="N", Table1[[#This Row],[Against FCS Team]]="N"), ROUND(((5.45 * D397) + (150 * F397) + (100 * G397) - (300 * H397)) / E397, 2), " ")</f>
        <v>111.57</v>
      </c>
      <c r="AB397" s="3">
        <f>IF(AND(Table1[[#This Row],[Throw Out Pass Def Eff]]="N", Table1[[#This Row],[Against FCS Team]]="N"),200 - ROUND(((5.45 * P397) + (150 * R397) + (100 * S397) - (300 * T397)) / Q397, 2), " ")</f>
        <v>80.62</v>
      </c>
      <c r="AC397" s="3">
        <f>IF(AND(Table1[[#This Row],[Throw Out Rush Eff]]="N", Table1[[#This Row],[Against FCS Team]]="N"), ROUND(((23.2 * I397) + (150 * K397) - (300 * L397)) / J397, 2), " ")</f>
        <v>8.32</v>
      </c>
      <c r="AD397" s="3">
        <f>IF(AND(Table1[[#This Row],[Throw Out Rush Def Eff]]="N", Table1[[#This Row],[Against FCS Team]]="N"), 200 - ROUND(((23.2 * U397) + (150 * W397) - (300 * X397)) / V397, 2), " ")</f>
        <v>47.97999999999999</v>
      </c>
      <c r="AE397" s="3">
        <f>ROUND(Table1[[#This Row],[Opp Passing Attempts]]/(Table1[[#This Row],[Opp Passing Attempts]]+Table1[[#This Row],[Opp Rushing Attempts]]), 2)</f>
        <v>0.38</v>
      </c>
      <c r="AF397" s="3">
        <f>1-Table1[[#This Row],[Passing Weight]]</f>
        <v>0.62</v>
      </c>
      <c r="AG397" s="3" t="str">
        <f>IF(COUNTIF(A:A,Table1[[#This Row],[Opp Team Name]]) &gt; 0, "N", "Y")</f>
        <v>N</v>
      </c>
      <c r="AH397" s="3" t="str">
        <f>IF(Table1[[#This Row],[Passing Attempts]] &lt;15, "Y", "N")</f>
        <v>N</v>
      </c>
      <c r="AI397" s="3" t="str">
        <f>IF(Table1[[#This Row],[Rushing Attempts]] &lt; 15, "Y", "N")</f>
        <v>N</v>
      </c>
      <c r="AJ397" s="3" t="str">
        <f>IF(Table1[[#This Row],[Opp Passing Attempts]]&lt;15, "Y", "N")</f>
        <v>N</v>
      </c>
      <c r="AK397" s="3" t="str">
        <f>IF(Table1[[#This Row],[Opp Rushing Attempts]]&lt;15, "Y", "N")</f>
        <v>N</v>
      </c>
      <c r="AL39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113.29</v>
      </c>
      <c r="AM39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94.43</v>
      </c>
      <c r="AN39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11.04</v>
      </c>
      <c r="AO39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50.02</v>
      </c>
      <c r="AP397" s="3">
        <f>ABS(Table1[[#This Row],[Team Score]]-Table1[[#This Row],[Opp Team Score]])</f>
        <v>21</v>
      </c>
      <c r="AQ397" s="3">
        <f>SUM(Table1[[#This Row],[Team Score]], Table1[[#This Row],[Opp Team Score]])</f>
        <v>77</v>
      </c>
      <c r="AR39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151.51</v>
      </c>
      <c r="AS397" s="3">
        <f>IF(Table1[[#This Row],[Efficiency Difference]] = " ", " ", ROUND((Table1[[#This Row],[Winning Margin]]*100)/Table1[[#This Row],[Efficiency Difference]], 2))</f>
        <v>13.86</v>
      </c>
    </row>
    <row r="398" spans="1:45">
      <c r="A398" t="s">
        <v>180</v>
      </c>
      <c r="B398">
        <v>418</v>
      </c>
      <c r="C398">
        <v>35</v>
      </c>
      <c r="D398">
        <v>338</v>
      </c>
      <c r="E398">
        <v>24</v>
      </c>
      <c r="F398">
        <v>4</v>
      </c>
      <c r="G398">
        <v>11</v>
      </c>
      <c r="H398">
        <v>3</v>
      </c>
      <c r="I398">
        <v>114</v>
      </c>
      <c r="J398">
        <v>26</v>
      </c>
      <c r="K398">
        <v>1</v>
      </c>
      <c r="L398">
        <v>0</v>
      </c>
      <c r="M398" t="s">
        <v>114</v>
      </c>
      <c r="N398">
        <v>513</v>
      </c>
      <c r="O398">
        <v>31</v>
      </c>
      <c r="P398">
        <v>315</v>
      </c>
      <c r="Q398">
        <v>39</v>
      </c>
      <c r="R398">
        <v>3</v>
      </c>
      <c r="S398">
        <v>27</v>
      </c>
      <c r="T398">
        <v>2</v>
      </c>
      <c r="U398">
        <v>198</v>
      </c>
      <c r="V398">
        <v>33</v>
      </c>
      <c r="W398">
        <v>1</v>
      </c>
      <c r="X398">
        <v>3</v>
      </c>
      <c r="Y398" t="s">
        <v>16</v>
      </c>
      <c r="Z398">
        <v>2</v>
      </c>
      <c r="AA398">
        <f>IF(AND(Table1[[#This Row],[Throw Out Pass Eff]]="N", Table1[[#This Row],[Against FCS Team]]="N"), ROUND(((5.45 * D398) + (150 * F398) + (100 * G398) - (300 * H398)) / E398, 2), " ")</f>
        <v>110.09</v>
      </c>
      <c r="AB398">
        <f>IF(AND(Table1[[#This Row],[Throw Out Pass Def Eff]]="N", Table1[[#This Row],[Against FCS Team]]="N"),200 - ROUND(((5.45 * P398) + (150 * R398) + (100 * S398) - (300 * T398)) / Q398, 2), " ")</f>
        <v>90.6</v>
      </c>
      <c r="AC398">
        <f>IF(AND(Table1[[#This Row],[Throw Out Rush Eff]]="N", Table1[[#This Row],[Against FCS Team]]="N"), ROUND(((23.2 * I398) + (150 * K398) - (300 * L398)) / J398, 2), " ")</f>
        <v>107.49</v>
      </c>
      <c r="AD398" s="3">
        <f>IF(AND(Table1[[#This Row],[Throw Out Rush Def Eff]]="N", Table1[[#This Row],[Against FCS Team]]="N"), 200 - ROUND(((23.2 * U398) + (150 * W398) - (300 * X398)) / V398, 2), " ")</f>
        <v>83.53</v>
      </c>
      <c r="AE398" s="3">
        <f>ROUND(Table1[[#This Row],[Opp Passing Attempts]]/(Table1[[#This Row],[Opp Passing Attempts]]+Table1[[#This Row],[Opp Rushing Attempts]]), 2)</f>
        <v>0.54</v>
      </c>
      <c r="AF398" s="3">
        <f>1-Table1[[#This Row],[Passing Weight]]</f>
        <v>0.45999999999999996</v>
      </c>
      <c r="AG398" s="3" t="str">
        <f>IF(COUNTIF(A:A,Table1[[#This Row],[Opp Team Name]]) &gt; 0, "N", "Y")</f>
        <v>N</v>
      </c>
      <c r="AH398" s="3" t="str">
        <f>IF(Table1[[#This Row],[Passing Attempts]] &lt;15, "Y", "N")</f>
        <v>N</v>
      </c>
      <c r="AI398" s="3" t="str">
        <f>IF(Table1[[#This Row],[Rushing Attempts]] &lt; 15, "Y", "N")</f>
        <v>N</v>
      </c>
      <c r="AJ398" s="3" t="str">
        <f>IF(Table1[[#This Row],[Opp Passing Attempts]]&lt;15, "Y", "N")</f>
        <v>N</v>
      </c>
      <c r="AK398" s="3" t="str">
        <f>IF(Table1[[#This Row],[Opp Rushing Attempts]]&lt;15, "Y", "N")</f>
        <v>N</v>
      </c>
      <c r="AL39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113.29</v>
      </c>
      <c r="AM39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92.2</v>
      </c>
      <c r="AN39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125.27</v>
      </c>
      <c r="AO39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111.73</v>
      </c>
      <c r="AP398" s="3">
        <f>ABS(Table1[[#This Row],[Team Score]]-Table1[[#This Row],[Opp Team Score]])</f>
        <v>4</v>
      </c>
      <c r="AQ398" s="3">
        <f>SUM(Table1[[#This Row],[Team Score]], Table1[[#This Row],[Opp Team Score]])</f>
        <v>66</v>
      </c>
      <c r="AR39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8.2900000000000205</v>
      </c>
      <c r="AS398" s="3">
        <f>IF(Table1[[#This Row],[Efficiency Difference]] = " ", " ", ROUND((Table1[[#This Row],[Winning Margin]]*100)/Table1[[#This Row],[Efficiency Difference]], 2))</f>
        <v>48.25</v>
      </c>
    </row>
    <row r="399" spans="1:45">
      <c r="A399" t="s">
        <v>180</v>
      </c>
      <c r="B399">
        <v>418</v>
      </c>
      <c r="C399">
        <v>31</v>
      </c>
      <c r="D399">
        <v>95</v>
      </c>
      <c r="E399">
        <v>18</v>
      </c>
      <c r="F399">
        <v>2</v>
      </c>
      <c r="G399">
        <v>7</v>
      </c>
      <c r="H399">
        <v>1</v>
      </c>
      <c r="I399">
        <v>376</v>
      </c>
      <c r="J399">
        <v>50</v>
      </c>
      <c r="K399">
        <v>2</v>
      </c>
      <c r="L399">
        <v>0</v>
      </c>
      <c r="M399" t="s">
        <v>167</v>
      </c>
      <c r="N399">
        <v>204</v>
      </c>
      <c r="O399">
        <v>3</v>
      </c>
      <c r="P399">
        <v>29</v>
      </c>
      <c r="Q399">
        <v>6</v>
      </c>
      <c r="R399">
        <v>0</v>
      </c>
      <c r="S399">
        <v>3</v>
      </c>
      <c r="T399">
        <v>1</v>
      </c>
      <c r="U399">
        <v>207</v>
      </c>
      <c r="V399">
        <v>46</v>
      </c>
      <c r="W399">
        <v>0</v>
      </c>
      <c r="X399">
        <v>1</v>
      </c>
      <c r="Y399" t="s">
        <v>16</v>
      </c>
      <c r="Z399">
        <v>3</v>
      </c>
      <c r="AA399">
        <f>IF(AND(Table1[[#This Row],[Throw Out Pass Eff]]="N", Table1[[#This Row],[Against FCS Team]]="N"), ROUND(((5.45 * D399) + (150 * F399) + (100 * G399) - (300 * H399)) / E399, 2), " ")</f>
        <v>67.650000000000006</v>
      </c>
      <c r="AB399" t="str">
        <f>IF(AND(Table1[[#This Row],[Throw Out Pass Def Eff]]="N", Table1[[#This Row],[Against FCS Team]]="N"),200 - ROUND(((5.45 * P399) + (150 * R399) + (100 * S399) - (300 * T399)) / Q399, 2), " ")</f>
        <v xml:space="preserve"> </v>
      </c>
      <c r="AC399">
        <f>IF(AND(Table1[[#This Row],[Throw Out Rush Eff]]="N", Table1[[#This Row],[Against FCS Team]]="N"), ROUND(((23.2 * I399) + (150 * K399) - (300 * L399)) / J399, 2), " ")</f>
        <v>180.46</v>
      </c>
      <c r="AD399" s="3">
        <f>IF(AND(Table1[[#This Row],[Throw Out Rush Def Eff]]="N", Table1[[#This Row],[Against FCS Team]]="N"), 200 - ROUND(((23.2 * U399) + (150 * W399) - (300 * X399)) / V399, 2), " ")</f>
        <v>102.12</v>
      </c>
      <c r="AE399" s="3">
        <f>ROUND(Table1[[#This Row],[Opp Passing Attempts]]/(Table1[[#This Row],[Opp Passing Attempts]]+Table1[[#This Row],[Opp Rushing Attempts]]), 2)</f>
        <v>0.12</v>
      </c>
      <c r="AF399" s="3">
        <f>1-Table1[[#This Row],[Passing Weight]]</f>
        <v>0.88</v>
      </c>
      <c r="AG399" s="3" t="str">
        <f>IF(COUNTIF(A:A,Table1[[#This Row],[Opp Team Name]]) &gt; 0, "N", "Y")</f>
        <v>N</v>
      </c>
      <c r="AH399" s="3" t="str">
        <f>IF(Table1[[#This Row],[Passing Attempts]] &lt;15, "Y", "N")</f>
        <v>N</v>
      </c>
      <c r="AI399" s="3" t="str">
        <f>IF(Table1[[#This Row],[Rushing Attempts]] &lt; 15, "Y", "N")</f>
        <v>N</v>
      </c>
      <c r="AJ399" s="3" t="str">
        <f>IF(Table1[[#This Row],[Opp Passing Attempts]]&lt;15, "Y", "N")</f>
        <v>Y</v>
      </c>
      <c r="AK399" s="3" t="str">
        <f>IF(Table1[[#This Row],[Opp Rushing Attempts]]&lt;15, "Y", "N")</f>
        <v>N</v>
      </c>
      <c r="AL39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60.84</v>
      </c>
      <c r="AM399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39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165.34</v>
      </c>
      <c r="AO39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93.57</v>
      </c>
      <c r="AP399" s="3">
        <f>ABS(Table1[[#This Row],[Team Score]]-Table1[[#This Row],[Opp Team Score]])</f>
        <v>28</v>
      </c>
      <c r="AQ399" s="3">
        <f>SUM(Table1[[#This Row],[Team Score]], Table1[[#This Row],[Opp Team Score]])</f>
        <v>34</v>
      </c>
      <c r="AR39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399" s="3" t="str">
        <f>IF(Table1[[#This Row],[Efficiency Difference]] = " ", " ", ROUND((Table1[[#This Row],[Winning Margin]]*100)/Table1[[#This Row],[Efficiency Difference]], 2))</f>
        <v xml:space="preserve"> </v>
      </c>
    </row>
    <row r="400" spans="1:45">
      <c r="A400" t="s">
        <v>180</v>
      </c>
      <c r="B400">
        <v>418</v>
      </c>
      <c r="C400">
        <v>28</v>
      </c>
      <c r="D400">
        <v>93</v>
      </c>
      <c r="E400">
        <v>17</v>
      </c>
      <c r="F400">
        <v>0</v>
      </c>
      <c r="G400">
        <v>8</v>
      </c>
      <c r="H400">
        <v>2</v>
      </c>
      <c r="I400">
        <v>320</v>
      </c>
      <c r="J400">
        <v>45</v>
      </c>
      <c r="K400">
        <v>4</v>
      </c>
      <c r="L400">
        <v>2</v>
      </c>
      <c r="M400" t="s">
        <v>126</v>
      </c>
      <c r="N400">
        <v>626</v>
      </c>
      <c r="O400">
        <v>7</v>
      </c>
      <c r="P400">
        <v>253</v>
      </c>
      <c r="Q400">
        <v>48</v>
      </c>
      <c r="R400">
        <v>1</v>
      </c>
      <c r="S400">
        <v>23</v>
      </c>
      <c r="T400">
        <v>0</v>
      </c>
      <c r="U400">
        <v>123</v>
      </c>
      <c r="V400">
        <v>29</v>
      </c>
      <c r="W400">
        <v>0</v>
      </c>
      <c r="X400">
        <v>3</v>
      </c>
      <c r="Y400" t="s">
        <v>16</v>
      </c>
      <c r="Z400">
        <v>4</v>
      </c>
      <c r="AA400">
        <f>IF(AND(Table1[[#This Row],[Throw Out Pass Eff]]="N", Table1[[#This Row],[Against FCS Team]]="N"), ROUND(((5.45 * D400) + (150 * F400) + (100 * G400) - (300 * H400)) / E400, 2), " ")</f>
        <v>41.58</v>
      </c>
      <c r="AB400">
        <f>IF(AND(Table1[[#This Row],[Throw Out Pass Def Eff]]="N", Table1[[#This Row],[Against FCS Team]]="N"),200 - ROUND(((5.45 * P400) + (150 * R400) + (100 * S400) - (300 * T400)) / Q400, 2), " ")</f>
        <v>120.23</v>
      </c>
      <c r="AC400">
        <f>IF(AND(Table1[[#This Row],[Throw Out Rush Eff]]="N", Table1[[#This Row],[Against FCS Team]]="N"), ROUND(((23.2 * I400) + (150 * K400) - (300 * L400)) / J400, 2), " ")</f>
        <v>164.98</v>
      </c>
      <c r="AD400" s="3">
        <f>IF(AND(Table1[[#This Row],[Throw Out Rush Def Eff]]="N", Table1[[#This Row],[Against FCS Team]]="N"), 200 - ROUND(((23.2 * U400) + (150 * W400) - (300 * X400)) / V400, 2), " ")</f>
        <v>132.63</v>
      </c>
      <c r="AE400" s="3">
        <f>ROUND(Table1[[#This Row],[Opp Passing Attempts]]/(Table1[[#This Row],[Opp Passing Attempts]]+Table1[[#This Row],[Opp Rushing Attempts]]), 2)</f>
        <v>0.62</v>
      </c>
      <c r="AF400" s="3">
        <f>1-Table1[[#This Row],[Passing Weight]]</f>
        <v>0.38</v>
      </c>
      <c r="AG400" s="3" t="str">
        <f>IF(COUNTIF(A:A,Table1[[#This Row],[Opp Team Name]]) &gt; 0, "N", "Y")</f>
        <v>N</v>
      </c>
      <c r="AH400" s="3" t="str">
        <f>IF(Table1[[#This Row],[Passing Attempts]] &lt;15, "Y", "N")</f>
        <v>N</v>
      </c>
      <c r="AI400" s="3" t="str">
        <f>IF(Table1[[#This Row],[Rushing Attempts]] &lt; 15, "Y", "N")</f>
        <v>N</v>
      </c>
      <c r="AJ400" s="3" t="str">
        <f>IF(Table1[[#This Row],[Opp Passing Attempts]]&lt;15, "Y", "N")</f>
        <v>N</v>
      </c>
      <c r="AK400" s="3" t="str">
        <f>IF(Table1[[#This Row],[Opp Rushing Attempts]]&lt;15, "Y", "N")</f>
        <v>N</v>
      </c>
      <c r="AL40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49.87</v>
      </c>
      <c r="AM40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111.62</v>
      </c>
      <c r="AN40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168.21</v>
      </c>
      <c r="AO40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141.69999999999999</v>
      </c>
      <c r="AP400" s="3">
        <f>ABS(Table1[[#This Row],[Team Score]]-Table1[[#This Row],[Opp Team Score]])</f>
        <v>21</v>
      </c>
      <c r="AQ400" s="3">
        <f>SUM(Table1[[#This Row],[Team Score]], Table1[[#This Row],[Opp Team Score]])</f>
        <v>35</v>
      </c>
      <c r="AR40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59.420000000000016</v>
      </c>
      <c r="AS400" s="3">
        <f>IF(Table1[[#This Row],[Efficiency Difference]] = " ", " ", ROUND((Table1[[#This Row],[Winning Margin]]*100)/Table1[[#This Row],[Efficiency Difference]], 2))</f>
        <v>35.340000000000003</v>
      </c>
    </row>
    <row r="401" spans="1:45">
      <c r="A401" t="s">
        <v>180</v>
      </c>
      <c r="B401">
        <v>418</v>
      </c>
      <c r="C401">
        <v>58</v>
      </c>
      <c r="D401">
        <v>217</v>
      </c>
      <c r="E401">
        <v>25</v>
      </c>
      <c r="F401">
        <v>3</v>
      </c>
      <c r="G401">
        <v>18</v>
      </c>
      <c r="H401">
        <v>0</v>
      </c>
      <c r="I401">
        <v>363</v>
      </c>
      <c r="J401">
        <v>48</v>
      </c>
      <c r="K401">
        <v>3</v>
      </c>
      <c r="L401">
        <v>0</v>
      </c>
      <c r="M401" t="s">
        <v>102</v>
      </c>
      <c r="N401">
        <v>428</v>
      </c>
      <c r="O401">
        <v>0</v>
      </c>
      <c r="P401">
        <v>104</v>
      </c>
      <c r="Q401">
        <v>22</v>
      </c>
      <c r="R401">
        <v>0</v>
      </c>
      <c r="S401">
        <v>11</v>
      </c>
      <c r="T401">
        <v>0</v>
      </c>
      <c r="U401">
        <v>73</v>
      </c>
      <c r="V401">
        <v>25</v>
      </c>
      <c r="W401">
        <v>0</v>
      </c>
      <c r="X401">
        <v>2</v>
      </c>
      <c r="Y401" t="s">
        <v>16</v>
      </c>
      <c r="Z401">
        <v>5</v>
      </c>
      <c r="AA401">
        <f>IF(AND(Table1[[#This Row],[Throw Out Pass Eff]]="N", Table1[[#This Row],[Against FCS Team]]="N"), ROUND(((5.45 * D401) + (150 * F401) + (100 * G401) - (300 * H401)) / E401, 2), " ")</f>
        <v>137.31</v>
      </c>
      <c r="AB401">
        <f>IF(AND(Table1[[#This Row],[Throw Out Pass Def Eff]]="N", Table1[[#This Row],[Against FCS Team]]="N"),200 - ROUND(((5.45 * P401) + (150 * R401) + (100 * S401) - (300 * T401)) / Q401, 2), " ")</f>
        <v>124.24</v>
      </c>
      <c r="AC401">
        <f>IF(AND(Table1[[#This Row],[Throw Out Rush Eff]]="N", Table1[[#This Row],[Against FCS Team]]="N"), ROUND(((23.2 * I401) + (150 * K401) - (300 * L401)) / J401, 2), " ")</f>
        <v>184.83</v>
      </c>
      <c r="AD401" s="3">
        <f>IF(AND(Table1[[#This Row],[Throw Out Rush Def Eff]]="N", Table1[[#This Row],[Against FCS Team]]="N"), 200 - ROUND(((23.2 * U401) + (150 * W401) - (300 * X401)) / V401, 2), " ")</f>
        <v>156.26</v>
      </c>
      <c r="AE401" s="3">
        <f>ROUND(Table1[[#This Row],[Opp Passing Attempts]]/(Table1[[#This Row],[Opp Passing Attempts]]+Table1[[#This Row],[Opp Rushing Attempts]]), 2)</f>
        <v>0.47</v>
      </c>
      <c r="AF401" s="3">
        <f>1-Table1[[#This Row],[Passing Weight]]</f>
        <v>0.53</v>
      </c>
      <c r="AG401" s="3" t="str">
        <f>IF(COUNTIF(A:A,Table1[[#This Row],[Opp Team Name]]) &gt; 0, "N", "Y")</f>
        <v>N</v>
      </c>
      <c r="AH401" s="3" t="str">
        <f>IF(Table1[[#This Row],[Passing Attempts]] &lt;15, "Y", "N")</f>
        <v>N</v>
      </c>
      <c r="AI401" s="3" t="str">
        <f>IF(Table1[[#This Row],[Rushing Attempts]] &lt; 15, "Y", "N")</f>
        <v>N</v>
      </c>
      <c r="AJ401" s="3" t="str">
        <f>IF(Table1[[#This Row],[Opp Passing Attempts]]&lt;15, "Y", "N")</f>
        <v>N</v>
      </c>
      <c r="AK401" s="3" t="str">
        <f>IF(Table1[[#This Row],[Opp Rushing Attempts]]&lt;15, "Y", "N")</f>
        <v>N</v>
      </c>
      <c r="AL40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119.08</v>
      </c>
      <c r="AM40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99.39</v>
      </c>
      <c r="AN40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159.97999999999999</v>
      </c>
      <c r="AO40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130.83000000000001</v>
      </c>
      <c r="AP401" s="3">
        <f>ABS(Table1[[#This Row],[Team Score]]-Table1[[#This Row],[Opp Team Score]])</f>
        <v>58</v>
      </c>
      <c r="AQ401" s="3">
        <f>SUM(Table1[[#This Row],[Team Score]], Table1[[#This Row],[Opp Team Score]])</f>
        <v>58</v>
      </c>
      <c r="AR40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202.64</v>
      </c>
      <c r="AS401" s="3">
        <f>IF(Table1[[#This Row],[Efficiency Difference]] = " ", " ", ROUND((Table1[[#This Row],[Winning Margin]]*100)/Table1[[#This Row],[Efficiency Difference]], 2))</f>
        <v>28.62</v>
      </c>
    </row>
    <row r="402" spans="1:45">
      <c r="A402" t="s">
        <v>180</v>
      </c>
      <c r="B402">
        <v>418</v>
      </c>
      <c r="C402">
        <v>42</v>
      </c>
      <c r="D402">
        <v>362</v>
      </c>
      <c r="E402">
        <v>28</v>
      </c>
      <c r="F402">
        <v>2</v>
      </c>
      <c r="G402">
        <v>19</v>
      </c>
      <c r="H402">
        <v>3</v>
      </c>
      <c r="I402">
        <v>179</v>
      </c>
      <c r="J402">
        <v>50</v>
      </c>
      <c r="K402">
        <v>4</v>
      </c>
      <c r="L402">
        <v>0</v>
      </c>
      <c r="M402" t="s">
        <v>41</v>
      </c>
      <c r="N402">
        <v>509</v>
      </c>
      <c r="O402">
        <v>24</v>
      </c>
      <c r="P402">
        <v>331</v>
      </c>
      <c r="Q402">
        <v>45</v>
      </c>
      <c r="R402">
        <v>0</v>
      </c>
      <c r="S402">
        <v>32</v>
      </c>
      <c r="T402">
        <v>1</v>
      </c>
      <c r="U402">
        <v>107</v>
      </c>
      <c r="V402">
        <v>25</v>
      </c>
      <c r="W402">
        <v>3</v>
      </c>
      <c r="X402">
        <v>1</v>
      </c>
      <c r="Y402" t="s">
        <v>16</v>
      </c>
      <c r="Z402">
        <v>6</v>
      </c>
      <c r="AA402">
        <f>IF(AND(Table1[[#This Row],[Throw Out Pass Eff]]="N", Table1[[#This Row],[Against FCS Team]]="N"), ROUND(((5.45 * D402) + (150 * F402) + (100 * G402) - (300 * H402)) / E402, 2), " ")</f>
        <v>116.89</v>
      </c>
      <c r="AB402">
        <f>IF(AND(Table1[[#This Row],[Throw Out Pass Def Eff]]="N", Table1[[#This Row],[Against FCS Team]]="N"),200 - ROUND(((5.45 * P402) + (150 * R402) + (100 * S402) - (300 * T402)) / Q402, 2), " ")</f>
        <v>95.47</v>
      </c>
      <c r="AC402">
        <f>IF(AND(Table1[[#This Row],[Throw Out Rush Eff]]="N", Table1[[#This Row],[Against FCS Team]]="N"), ROUND(((23.2 * I402) + (150 * K402) - (300 * L402)) / J402, 2), " ")</f>
        <v>95.06</v>
      </c>
      <c r="AD402" s="3">
        <f>IF(AND(Table1[[#This Row],[Throw Out Rush Def Eff]]="N", Table1[[#This Row],[Against FCS Team]]="N"), 200 - ROUND(((23.2 * U402) + (150 * W402) - (300 * X402)) / V402, 2), " ")</f>
        <v>94.7</v>
      </c>
      <c r="AE402" s="3">
        <f>ROUND(Table1[[#This Row],[Opp Passing Attempts]]/(Table1[[#This Row],[Opp Passing Attempts]]+Table1[[#This Row],[Opp Rushing Attempts]]), 2)</f>
        <v>0.64</v>
      </c>
      <c r="AF402" s="3">
        <f>1-Table1[[#This Row],[Passing Weight]]</f>
        <v>0.36</v>
      </c>
      <c r="AG402" s="3" t="str">
        <f>IF(COUNTIF(A:A,Table1[[#This Row],[Opp Team Name]]) &gt; 0, "N", "Y")</f>
        <v>N</v>
      </c>
      <c r="AH402" s="3" t="str">
        <f>IF(Table1[[#This Row],[Passing Attempts]] &lt;15, "Y", "N")</f>
        <v>N</v>
      </c>
      <c r="AI402" s="3" t="str">
        <f>IF(Table1[[#This Row],[Rushing Attempts]] &lt; 15, "Y", "N")</f>
        <v>N</v>
      </c>
      <c r="AJ402" s="3" t="str">
        <f>IF(Table1[[#This Row],[Opp Passing Attempts]]&lt;15, "Y", "N")</f>
        <v>N</v>
      </c>
      <c r="AK402" s="3" t="str">
        <f>IF(Table1[[#This Row],[Opp Rushing Attempts]]&lt;15, "Y", "N")</f>
        <v>N</v>
      </c>
      <c r="AL40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98.9</v>
      </c>
      <c r="AM40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111.4</v>
      </c>
      <c r="AN40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93.96</v>
      </c>
      <c r="AO40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84.26</v>
      </c>
      <c r="AP402" s="3">
        <f>ABS(Table1[[#This Row],[Team Score]]-Table1[[#This Row],[Opp Team Score]])</f>
        <v>18</v>
      </c>
      <c r="AQ402" s="3">
        <f>SUM(Table1[[#This Row],[Team Score]], Table1[[#This Row],[Opp Team Score]])</f>
        <v>66</v>
      </c>
      <c r="AR40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2.1200000000000045</v>
      </c>
      <c r="AS402" s="3">
        <f>IF(Table1[[#This Row],[Efficiency Difference]] = " ", " ", ROUND((Table1[[#This Row],[Winning Margin]]*100)/Table1[[#This Row],[Efficiency Difference]], 2))</f>
        <v>849.06</v>
      </c>
    </row>
    <row r="403" spans="1:45">
      <c r="A403" t="s">
        <v>180</v>
      </c>
      <c r="B403">
        <v>418</v>
      </c>
      <c r="C403">
        <v>14</v>
      </c>
      <c r="D403">
        <v>168</v>
      </c>
      <c r="E403">
        <v>31</v>
      </c>
      <c r="F403">
        <v>1</v>
      </c>
      <c r="G403">
        <v>12</v>
      </c>
      <c r="H403">
        <v>1</v>
      </c>
      <c r="I403">
        <v>82</v>
      </c>
      <c r="J403">
        <v>36</v>
      </c>
      <c r="K403">
        <v>1</v>
      </c>
      <c r="L403">
        <v>0</v>
      </c>
      <c r="M403" t="s">
        <v>98</v>
      </c>
      <c r="N403">
        <v>416</v>
      </c>
      <c r="O403">
        <v>28</v>
      </c>
      <c r="P403">
        <v>120</v>
      </c>
      <c r="Q403">
        <v>24</v>
      </c>
      <c r="R403">
        <v>2</v>
      </c>
      <c r="S403">
        <v>13</v>
      </c>
      <c r="T403">
        <v>0</v>
      </c>
      <c r="U403">
        <v>213</v>
      </c>
      <c r="V403">
        <v>39</v>
      </c>
      <c r="W403">
        <v>1</v>
      </c>
      <c r="X403">
        <v>2</v>
      </c>
      <c r="Y403" t="s">
        <v>19</v>
      </c>
      <c r="Z403">
        <v>7</v>
      </c>
      <c r="AA403">
        <f>IF(AND(Table1[[#This Row],[Throw Out Pass Eff]]="N", Table1[[#This Row],[Against FCS Team]]="N"), ROUND(((5.45 * D403) + (150 * F403) + (100 * G403) - (300 * H403)) / E403, 2), " ")</f>
        <v>63.41</v>
      </c>
      <c r="AB403">
        <f>IF(AND(Table1[[#This Row],[Throw Out Pass Def Eff]]="N", Table1[[#This Row],[Against FCS Team]]="N"),200 - ROUND(((5.45 * P403) + (150 * R403) + (100 * S403) - (300 * T403)) / Q403, 2), " ")</f>
        <v>106.08</v>
      </c>
      <c r="AC403">
        <f>IF(AND(Table1[[#This Row],[Throw Out Rush Eff]]="N", Table1[[#This Row],[Against FCS Team]]="N"), ROUND(((23.2 * I403) + (150 * K403) - (300 * L403)) / J403, 2), " ")</f>
        <v>57.01</v>
      </c>
      <c r="AD403" s="3">
        <f>IF(AND(Table1[[#This Row],[Throw Out Rush Def Eff]]="N", Table1[[#This Row],[Against FCS Team]]="N"), 200 - ROUND(((23.2 * U403) + (150 * W403) - (300 * X403)) / V403, 2), " ")</f>
        <v>84.83</v>
      </c>
      <c r="AE403" s="3">
        <f>ROUND(Table1[[#This Row],[Opp Passing Attempts]]/(Table1[[#This Row],[Opp Passing Attempts]]+Table1[[#This Row],[Opp Rushing Attempts]]), 2)</f>
        <v>0.38</v>
      </c>
      <c r="AF403" s="3">
        <f>1-Table1[[#This Row],[Passing Weight]]</f>
        <v>0.62</v>
      </c>
      <c r="AG403" s="3" t="str">
        <f>IF(COUNTIF(A:A,Table1[[#This Row],[Opp Team Name]]) &gt; 0, "N", "Y")</f>
        <v>N</v>
      </c>
      <c r="AH403" s="3" t="str">
        <f>IF(Table1[[#This Row],[Passing Attempts]] &lt;15, "Y", "N")</f>
        <v>N</v>
      </c>
      <c r="AI403" s="3" t="str">
        <f>IF(Table1[[#This Row],[Rushing Attempts]] &lt; 15, "Y", "N")</f>
        <v>N</v>
      </c>
      <c r="AJ403" s="3" t="str">
        <f>IF(Table1[[#This Row],[Opp Passing Attempts]]&lt;15, "Y", "N")</f>
        <v>N</v>
      </c>
      <c r="AK403" s="3" t="str">
        <f>IF(Table1[[#This Row],[Opp Rushing Attempts]]&lt;15, "Y", "N")</f>
        <v>N</v>
      </c>
      <c r="AL40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80.709999999999994</v>
      </c>
      <c r="AM40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115.46</v>
      </c>
      <c r="AN40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83.57</v>
      </c>
      <c r="AO40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63.25</v>
      </c>
      <c r="AP403" s="3">
        <f>ABS(Table1[[#This Row],[Team Score]]-Table1[[#This Row],[Opp Team Score]])</f>
        <v>14</v>
      </c>
      <c r="AQ403" s="3">
        <f>SUM(Table1[[#This Row],[Team Score]], Table1[[#This Row],[Opp Team Score]])</f>
        <v>42</v>
      </c>
      <c r="AR40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88.670000000000016</v>
      </c>
      <c r="AS403" s="3">
        <f>IF(Table1[[#This Row],[Efficiency Difference]] = " ", " ", ROUND((Table1[[#This Row],[Winning Margin]]*100)/Table1[[#This Row],[Efficiency Difference]], 2))</f>
        <v>15.79</v>
      </c>
    </row>
    <row r="404" spans="1:45">
      <c r="A404" t="s">
        <v>98</v>
      </c>
      <c r="B404">
        <v>416</v>
      </c>
      <c r="C404">
        <v>28</v>
      </c>
      <c r="D404">
        <v>237</v>
      </c>
      <c r="E404">
        <v>23</v>
      </c>
      <c r="F404">
        <v>1</v>
      </c>
      <c r="G404">
        <v>19</v>
      </c>
      <c r="H404">
        <v>0</v>
      </c>
      <c r="I404">
        <v>159</v>
      </c>
      <c r="J404">
        <v>35</v>
      </c>
      <c r="K404">
        <v>3</v>
      </c>
      <c r="L404">
        <v>1</v>
      </c>
      <c r="M404" t="s">
        <v>99</v>
      </c>
      <c r="N404">
        <v>817</v>
      </c>
      <c r="O404">
        <v>6</v>
      </c>
      <c r="P404">
        <v>126</v>
      </c>
      <c r="Q404">
        <v>35</v>
      </c>
      <c r="R404">
        <v>1</v>
      </c>
      <c r="S404">
        <v>17</v>
      </c>
      <c r="T404">
        <v>1</v>
      </c>
      <c r="U404">
        <v>128</v>
      </c>
      <c r="V404">
        <v>34</v>
      </c>
      <c r="W404">
        <v>0</v>
      </c>
      <c r="X404">
        <v>0</v>
      </c>
      <c r="Y404" t="s">
        <v>16</v>
      </c>
      <c r="Z404">
        <v>1</v>
      </c>
      <c r="AA404" t="str">
        <f>IF(AND(Table1[[#This Row],[Throw Out Pass Eff]]="N", Table1[[#This Row],[Against FCS Team]]="N"), ROUND(((5.45 * D404) + (150 * F404) + (100 * G404) - (300 * H404)) / E404, 2), " ")</f>
        <v xml:space="preserve"> </v>
      </c>
      <c r="AB404" t="str">
        <f>IF(AND(Table1[[#This Row],[Throw Out Pass Def Eff]]="N", Table1[[#This Row],[Against FCS Team]]="N"),200 - ROUND(((5.45 * P404) + (150 * R404) + (100 * S404) - (300 * T404)) / Q404, 2), " ")</f>
        <v xml:space="preserve"> </v>
      </c>
      <c r="AC404" t="str">
        <f>IF(AND(Table1[[#This Row],[Throw Out Rush Eff]]="N", Table1[[#This Row],[Against FCS Team]]="N"), ROUND(((23.2 * I404) + (150 * K404) - (300 * L404)) / J404, 2), " ")</f>
        <v xml:space="preserve"> </v>
      </c>
      <c r="AD404" s="3" t="str">
        <f>IF(AND(Table1[[#This Row],[Throw Out Rush Def Eff]]="N", Table1[[#This Row],[Against FCS Team]]="N"), 200 - ROUND(((23.2 * U404) + (150 * W404) - (300 * X404)) / V404, 2), " ")</f>
        <v xml:space="preserve"> </v>
      </c>
      <c r="AE404" s="3">
        <f>ROUND(Table1[[#This Row],[Opp Passing Attempts]]/(Table1[[#This Row],[Opp Passing Attempts]]+Table1[[#This Row],[Opp Rushing Attempts]]), 2)</f>
        <v>0.51</v>
      </c>
      <c r="AF404" s="3">
        <f>1-Table1[[#This Row],[Passing Weight]]</f>
        <v>0.49</v>
      </c>
      <c r="AG404" s="3" t="str">
        <f>IF(COUNTIF(A:A,Table1[[#This Row],[Opp Team Name]]) &gt; 0, "N", "Y")</f>
        <v>Y</v>
      </c>
      <c r="AH404" s="3" t="str">
        <f>IF(Table1[[#This Row],[Passing Attempts]] &lt;15, "Y", "N")</f>
        <v>N</v>
      </c>
      <c r="AI404" s="3" t="str">
        <f>IF(Table1[[#This Row],[Rushing Attempts]] &lt; 15, "Y", "N")</f>
        <v>N</v>
      </c>
      <c r="AJ404" s="3" t="str">
        <f>IF(Table1[[#This Row],[Opp Passing Attempts]]&lt;15, "Y", "N")</f>
        <v>N</v>
      </c>
      <c r="AK404" s="3" t="str">
        <f>IF(Table1[[#This Row],[Opp Rushing Attempts]]&lt;15, "Y", "N")</f>
        <v>N</v>
      </c>
      <c r="AL40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0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0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0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04" s="3">
        <f>ABS(Table1[[#This Row],[Team Score]]-Table1[[#This Row],[Opp Team Score]])</f>
        <v>22</v>
      </c>
      <c r="AQ404" s="3">
        <f>SUM(Table1[[#This Row],[Team Score]], Table1[[#This Row],[Opp Team Score]])</f>
        <v>34</v>
      </c>
      <c r="AR40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04" s="3" t="str">
        <f>IF(Table1[[#This Row],[Efficiency Difference]] = " ", " ", ROUND((Table1[[#This Row],[Winning Margin]]*100)/Table1[[#This Row],[Efficiency Difference]], 2))</f>
        <v xml:space="preserve"> </v>
      </c>
    </row>
    <row r="405" spans="1:45">
      <c r="A405" t="s">
        <v>98</v>
      </c>
      <c r="B405">
        <v>416</v>
      </c>
      <c r="C405">
        <v>44</v>
      </c>
      <c r="D405">
        <v>246</v>
      </c>
      <c r="E405">
        <v>32</v>
      </c>
      <c r="F405">
        <v>2</v>
      </c>
      <c r="G405">
        <v>22</v>
      </c>
      <c r="H405">
        <v>0</v>
      </c>
      <c r="I405">
        <v>188</v>
      </c>
      <c r="J405">
        <v>51</v>
      </c>
      <c r="K405">
        <v>2</v>
      </c>
      <c r="L405">
        <v>0</v>
      </c>
      <c r="M405" t="s">
        <v>68</v>
      </c>
      <c r="N405">
        <v>229</v>
      </c>
      <c r="O405">
        <v>0</v>
      </c>
      <c r="P405">
        <v>26</v>
      </c>
      <c r="Q405">
        <v>13</v>
      </c>
      <c r="R405">
        <v>0</v>
      </c>
      <c r="S405">
        <v>6</v>
      </c>
      <c r="T405">
        <v>0</v>
      </c>
      <c r="U405">
        <v>22</v>
      </c>
      <c r="V405">
        <v>20</v>
      </c>
      <c r="W405">
        <v>0</v>
      </c>
      <c r="X405">
        <v>1</v>
      </c>
      <c r="Y405" t="s">
        <v>16</v>
      </c>
      <c r="Z405">
        <v>2</v>
      </c>
      <c r="AA405">
        <f>IF(AND(Table1[[#This Row],[Throw Out Pass Eff]]="N", Table1[[#This Row],[Against FCS Team]]="N"), ROUND(((5.45 * D405) + (150 * F405) + (100 * G405) - (300 * H405)) / E405, 2), " ")</f>
        <v>120.02</v>
      </c>
      <c r="AB405" t="str">
        <f>IF(AND(Table1[[#This Row],[Throw Out Pass Def Eff]]="N", Table1[[#This Row],[Against FCS Team]]="N"),200 - ROUND(((5.45 * P405) + (150 * R405) + (100 * S405) - (300 * T405)) / Q405, 2), " ")</f>
        <v xml:space="preserve"> </v>
      </c>
      <c r="AC405">
        <f>IF(AND(Table1[[#This Row],[Throw Out Rush Eff]]="N", Table1[[#This Row],[Against FCS Team]]="N"), ROUND(((23.2 * I405) + (150 * K405) - (300 * L405)) / J405, 2), " ")</f>
        <v>91.4</v>
      </c>
      <c r="AD405" s="3">
        <f>IF(AND(Table1[[#This Row],[Throw Out Rush Def Eff]]="N", Table1[[#This Row],[Against FCS Team]]="N"), 200 - ROUND(((23.2 * U405) + (150 * W405) - (300 * X405)) / V405, 2), " ")</f>
        <v>189.48</v>
      </c>
      <c r="AE405" s="3">
        <f>ROUND(Table1[[#This Row],[Opp Passing Attempts]]/(Table1[[#This Row],[Opp Passing Attempts]]+Table1[[#This Row],[Opp Rushing Attempts]]), 2)</f>
        <v>0.39</v>
      </c>
      <c r="AF405" s="3">
        <f>1-Table1[[#This Row],[Passing Weight]]</f>
        <v>0.61</v>
      </c>
      <c r="AG405" s="3" t="str">
        <f>IF(COUNTIF(A:A,Table1[[#This Row],[Opp Team Name]]) &gt; 0, "N", "Y")</f>
        <v>N</v>
      </c>
      <c r="AH405" s="3" t="str">
        <f>IF(Table1[[#This Row],[Passing Attempts]] &lt;15, "Y", "N")</f>
        <v>N</v>
      </c>
      <c r="AI405" s="3" t="str">
        <f>IF(Table1[[#This Row],[Rushing Attempts]] &lt; 15, "Y", "N")</f>
        <v>N</v>
      </c>
      <c r="AJ405" s="3" t="str">
        <f>IF(Table1[[#This Row],[Opp Passing Attempts]]&lt;15, "Y", "N")</f>
        <v>Y</v>
      </c>
      <c r="AK405" s="3" t="str">
        <f>IF(Table1[[#This Row],[Opp Rushing Attempts]]&lt;15, "Y", "N")</f>
        <v>N</v>
      </c>
      <c r="AL40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120.26</v>
      </c>
      <c r="AM40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0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95.75</v>
      </c>
      <c r="AO40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105.3</v>
      </c>
      <c r="AP405" s="3">
        <f>ABS(Table1[[#This Row],[Team Score]]-Table1[[#This Row],[Opp Team Score]])</f>
        <v>44</v>
      </c>
      <c r="AQ405" s="3">
        <f>SUM(Table1[[#This Row],[Team Score]], Table1[[#This Row],[Opp Team Score]])</f>
        <v>44</v>
      </c>
      <c r="AR40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05" s="3" t="str">
        <f>IF(Table1[[#This Row],[Efficiency Difference]] = " ", " ", ROUND((Table1[[#This Row],[Winning Margin]]*100)/Table1[[#This Row],[Efficiency Difference]], 2))</f>
        <v xml:space="preserve"> </v>
      </c>
    </row>
    <row r="406" spans="1:45">
      <c r="A406" t="s">
        <v>98</v>
      </c>
      <c r="B406">
        <v>416</v>
      </c>
      <c r="C406">
        <v>13</v>
      </c>
      <c r="D406">
        <v>329</v>
      </c>
      <c r="E406">
        <v>54</v>
      </c>
      <c r="F406">
        <v>1</v>
      </c>
      <c r="G406">
        <v>34</v>
      </c>
      <c r="H406">
        <v>1</v>
      </c>
      <c r="I406">
        <v>29</v>
      </c>
      <c r="J406">
        <v>23</v>
      </c>
      <c r="K406">
        <v>0</v>
      </c>
      <c r="L406">
        <v>1</v>
      </c>
      <c r="M406" t="s">
        <v>114</v>
      </c>
      <c r="N406">
        <v>513</v>
      </c>
      <c r="O406">
        <v>31</v>
      </c>
      <c r="P406">
        <v>161</v>
      </c>
      <c r="Q406">
        <v>26</v>
      </c>
      <c r="R406">
        <v>1</v>
      </c>
      <c r="S406">
        <v>18</v>
      </c>
      <c r="T406">
        <v>1</v>
      </c>
      <c r="U406">
        <v>114</v>
      </c>
      <c r="V406">
        <v>32</v>
      </c>
      <c r="W406">
        <v>2</v>
      </c>
      <c r="X406">
        <v>2</v>
      </c>
      <c r="Y406" t="s">
        <v>19</v>
      </c>
      <c r="Z406">
        <v>3</v>
      </c>
      <c r="AA406">
        <f>IF(AND(Table1[[#This Row],[Throw Out Pass Eff]]="N", Table1[[#This Row],[Against FCS Team]]="N"), ROUND(((5.45 * D406) + (150 * F406) + (100 * G406) - (300 * H406)) / E406, 2), " ")</f>
        <v>93.39</v>
      </c>
      <c r="AB406">
        <f>IF(AND(Table1[[#This Row],[Throw Out Pass Def Eff]]="N", Table1[[#This Row],[Against FCS Team]]="N"),200 - ROUND(((5.45 * P406) + (150 * R406) + (100 * S406) - (300 * T406)) / Q406, 2), " ")</f>
        <v>102.79</v>
      </c>
      <c r="AC406">
        <f>IF(AND(Table1[[#This Row],[Throw Out Rush Eff]]="N", Table1[[#This Row],[Against FCS Team]]="N"), ROUND(((23.2 * I406) + (150 * K406) - (300 * L406)) / J406, 2), " ")</f>
        <v>16.21</v>
      </c>
      <c r="AD406" s="3">
        <f>IF(AND(Table1[[#This Row],[Throw Out Rush Def Eff]]="N", Table1[[#This Row],[Against FCS Team]]="N"), 200 - ROUND(((23.2 * U406) + (150 * W406) - (300 * X406)) / V406, 2), " ")</f>
        <v>126.72</v>
      </c>
      <c r="AE406" s="3">
        <f>ROUND(Table1[[#This Row],[Opp Passing Attempts]]/(Table1[[#This Row],[Opp Passing Attempts]]+Table1[[#This Row],[Opp Rushing Attempts]]), 2)</f>
        <v>0.45</v>
      </c>
      <c r="AF406" s="3">
        <f>1-Table1[[#This Row],[Passing Weight]]</f>
        <v>0.55000000000000004</v>
      </c>
      <c r="AG406" s="3" t="str">
        <f>IF(COUNTIF(A:A,Table1[[#This Row],[Opp Team Name]]) &gt; 0, "N", "Y")</f>
        <v>N</v>
      </c>
      <c r="AH406" s="3" t="str">
        <f>IF(Table1[[#This Row],[Passing Attempts]] &lt;15, "Y", "N")</f>
        <v>N</v>
      </c>
      <c r="AI406" s="3" t="str">
        <f>IF(Table1[[#This Row],[Rushing Attempts]] &lt; 15, "Y", "N")</f>
        <v>N</v>
      </c>
      <c r="AJ406" s="3" t="str">
        <f>IF(Table1[[#This Row],[Opp Passing Attempts]]&lt;15, "Y", "N")</f>
        <v>N</v>
      </c>
      <c r="AK406" s="3" t="str">
        <f>IF(Table1[[#This Row],[Opp Rushing Attempts]]&lt;15, "Y", "N")</f>
        <v>N</v>
      </c>
      <c r="AL40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96.11</v>
      </c>
      <c r="AM40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104.61</v>
      </c>
      <c r="AN40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18.89</v>
      </c>
      <c r="AO40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169.5</v>
      </c>
      <c r="AP406" s="3">
        <f>ABS(Table1[[#This Row],[Team Score]]-Table1[[#This Row],[Opp Team Score]])</f>
        <v>18</v>
      </c>
      <c r="AQ406" s="3">
        <f>SUM(Table1[[#This Row],[Team Score]], Table1[[#This Row],[Opp Team Score]])</f>
        <v>44</v>
      </c>
      <c r="AR40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60.890000000000015</v>
      </c>
      <c r="AS406" s="3">
        <f>IF(Table1[[#This Row],[Efficiency Difference]] = " ", " ", ROUND((Table1[[#This Row],[Winning Margin]]*100)/Table1[[#This Row],[Efficiency Difference]], 2))</f>
        <v>29.56</v>
      </c>
    </row>
    <row r="407" spans="1:45">
      <c r="A407" t="s">
        <v>98</v>
      </c>
      <c r="B407">
        <v>416</v>
      </c>
      <c r="C407">
        <v>45</v>
      </c>
      <c r="D407">
        <v>284</v>
      </c>
      <c r="E407">
        <v>30</v>
      </c>
      <c r="F407">
        <v>2</v>
      </c>
      <c r="G407">
        <v>20</v>
      </c>
      <c r="H407">
        <v>1</v>
      </c>
      <c r="I407">
        <v>197</v>
      </c>
      <c r="J407">
        <v>47</v>
      </c>
      <c r="K407">
        <v>3</v>
      </c>
      <c r="L407">
        <v>0</v>
      </c>
      <c r="M407" t="s">
        <v>50</v>
      </c>
      <c r="N407">
        <v>129</v>
      </c>
      <c r="O407">
        <v>7</v>
      </c>
      <c r="P407">
        <v>91</v>
      </c>
      <c r="Q407">
        <v>33</v>
      </c>
      <c r="R407">
        <v>1</v>
      </c>
      <c r="S407">
        <v>12</v>
      </c>
      <c r="T407">
        <v>4</v>
      </c>
      <c r="U407">
        <v>21</v>
      </c>
      <c r="V407">
        <v>18</v>
      </c>
      <c r="W407">
        <v>0</v>
      </c>
      <c r="X407">
        <v>0</v>
      </c>
      <c r="Y407" t="s">
        <v>16</v>
      </c>
      <c r="Z407">
        <v>4</v>
      </c>
      <c r="AA407">
        <f>IF(AND(Table1[[#This Row],[Throw Out Pass Eff]]="N", Table1[[#This Row],[Against FCS Team]]="N"), ROUND(((5.45 * D407) + (150 * F407) + (100 * G407) - (300 * H407)) / E407, 2), " ")</f>
        <v>118.26</v>
      </c>
      <c r="AB407">
        <f>IF(AND(Table1[[#This Row],[Throw Out Pass Def Eff]]="N", Table1[[#This Row],[Against FCS Team]]="N"),200 - ROUND(((5.45 * P407) + (150 * R407) + (100 * S407) - (300 * T407)) / Q407, 2), " ")</f>
        <v>180.43</v>
      </c>
      <c r="AC407">
        <f>IF(AND(Table1[[#This Row],[Throw Out Rush Eff]]="N", Table1[[#This Row],[Against FCS Team]]="N"), ROUND(((23.2 * I407) + (150 * K407) - (300 * L407)) / J407, 2), " ")</f>
        <v>106.82</v>
      </c>
      <c r="AD407" s="3">
        <f>IF(AND(Table1[[#This Row],[Throw Out Rush Def Eff]]="N", Table1[[#This Row],[Against FCS Team]]="N"), 200 - ROUND(((23.2 * U407) + (150 * W407) - (300 * X407)) / V407, 2), " ")</f>
        <v>172.93</v>
      </c>
      <c r="AE407" s="3">
        <f>ROUND(Table1[[#This Row],[Opp Passing Attempts]]/(Table1[[#This Row],[Opp Passing Attempts]]+Table1[[#This Row],[Opp Rushing Attempts]]), 2)</f>
        <v>0.65</v>
      </c>
      <c r="AF407" s="3">
        <f>1-Table1[[#This Row],[Passing Weight]]</f>
        <v>0.35</v>
      </c>
      <c r="AG407" s="3" t="str">
        <f>IF(COUNTIF(A:A,Table1[[#This Row],[Opp Team Name]]) &gt; 0, "N", "Y")</f>
        <v>N</v>
      </c>
      <c r="AH407" s="3" t="str">
        <f>IF(Table1[[#This Row],[Passing Attempts]] &lt;15, "Y", "N")</f>
        <v>N</v>
      </c>
      <c r="AI407" s="3" t="str">
        <f>IF(Table1[[#This Row],[Rushing Attempts]] &lt; 15, "Y", "N")</f>
        <v>N</v>
      </c>
      <c r="AJ407" s="3" t="str">
        <f>IF(Table1[[#This Row],[Opp Passing Attempts]]&lt;15, "Y", "N")</f>
        <v>N</v>
      </c>
      <c r="AK407" s="3" t="str">
        <f>IF(Table1[[#This Row],[Opp Rushing Attempts]]&lt;15, "Y", "N")</f>
        <v>N</v>
      </c>
      <c r="AL40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110.31</v>
      </c>
      <c r="AM40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166.83</v>
      </c>
      <c r="AN40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92.6</v>
      </c>
      <c r="AO40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160.47999999999999</v>
      </c>
      <c r="AP407" s="3">
        <f>ABS(Table1[[#This Row],[Team Score]]-Table1[[#This Row],[Opp Team Score]])</f>
        <v>38</v>
      </c>
      <c r="AQ407" s="3">
        <f>SUM(Table1[[#This Row],[Team Score]], Table1[[#This Row],[Opp Team Score]])</f>
        <v>52</v>
      </c>
      <c r="AR40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178.44</v>
      </c>
      <c r="AS407" s="3">
        <f>IF(Table1[[#This Row],[Efficiency Difference]] = " ", " ", ROUND((Table1[[#This Row],[Winning Margin]]*100)/Table1[[#This Row],[Efficiency Difference]], 2))</f>
        <v>21.3</v>
      </c>
    </row>
    <row r="408" spans="1:45">
      <c r="A408" t="s">
        <v>98</v>
      </c>
      <c r="B408">
        <v>416</v>
      </c>
      <c r="C408">
        <v>10</v>
      </c>
      <c r="D408">
        <v>250</v>
      </c>
      <c r="E408">
        <v>32</v>
      </c>
      <c r="F408">
        <v>1</v>
      </c>
      <c r="G408">
        <v>20</v>
      </c>
      <c r="H408">
        <v>2</v>
      </c>
      <c r="I408">
        <v>71</v>
      </c>
      <c r="J408">
        <v>31</v>
      </c>
      <c r="K408">
        <v>0</v>
      </c>
      <c r="L408">
        <v>1</v>
      </c>
      <c r="M408" t="s">
        <v>18</v>
      </c>
      <c r="N408">
        <v>518</v>
      </c>
      <c r="O408">
        <v>7</v>
      </c>
      <c r="P408">
        <v>143</v>
      </c>
      <c r="Q408">
        <v>25</v>
      </c>
      <c r="R408">
        <v>1</v>
      </c>
      <c r="S408">
        <v>12</v>
      </c>
      <c r="T408">
        <v>1</v>
      </c>
      <c r="U408">
        <v>35</v>
      </c>
      <c r="V408">
        <v>39</v>
      </c>
      <c r="W408">
        <v>0</v>
      </c>
      <c r="X408">
        <v>0</v>
      </c>
      <c r="Y408" t="s">
        <v>16</v>
      </c>
      <c r="Z408">
        <v>5</v>
      </c>
      <c r="AA408">
        <f>IF(AND(Table1[[#This Row],[Throw Out Pass Eff]]="N", Table1[[#This Row],[Against FCS Team]]="N"), ROUND(((5.45 * D408) + (150 * F408) + (100 * G408) - (300 * H408)) / E408, 2), " ")</f>
        <v>91.02</v>
      </c>
      <c r="AB408">
        <f>IF(AND(Table1[[#This Row],[Throw Out Pass Def Eff]]="N", Table1[[#This Row],[Against FCS Team]]="N"),200 - ROUND(((5.45 * P408) + (150 * R408) + (100 * S408) - (300 * T408)) / Q408, 2), " ")</f>
        <v>126.83</v>
      </c>
      <c r="AC408">
        <f>IF(AND(Table1[[#This Row],[Throw Out Rush Eff]]="N", Table1[[#This Row],[Against FCS Team]]="N"), ROUND(((23.2 * I408) + (150 * K408) - (300 * L408)) / J408, 2), " ")</f>
        <v>43.46</v>
      </c>
      <c r="AD408" s="3">
        <f>IF(AND(Table1[[#This Row],[Throw Out Rush Def Eff]]="N", Table1[[#This Row],[Against FCS Team]]="N"), 200 - ROUND(((23.2 * U408) + (150 * W408) - (300 * X408)) / V408, 2), " ")</f>
        <v>179.18</v>
      </c>
      <c r="AE408" s="3">
        <f>ROUND(Table1[[#This Row],[Opp Passing Attempts]]/(Table1[[#This Row],[Opp Passing Attempts]]+Table1[[#This Row],[Opp Rushing Attempts]]), 2)</f>
        <v>0.39</v>
      </c>
      <c r="AF408" s="3">
        <f>1-Table1[[#This Row],[Passing Weight]]</f>
        <v>0.61</v>
      </c>
      <c r="AG408" s="3" t="str">
        <f>IF(COUNTIF(A:A,Table1[[#This Row],[Opp Team Name]]) &gt; 0, "N", "Y")</f>
        <v>N</v>
      </c>
      <c r="AH408" s="3" t="str">
        <f>IF(Table1[[#This Row],[Passing Attempts]] &lt;15, "Y", "N")</f>
        <v>N</v>
      </c>
      <c r="AI408" s="3" t="str">
        <f>IF(Table1[[#This Row],[Rushing Attempts]] &lt; 15, "Y", "N")</f>
        <v>N</v>
      </c>
      <c r="AJ408" s="3" t="str">
        <f>IF(Table1[[#This Row],[Opp Passing Attempts]]&lt;15, "Y", "N")</f>
        <v>N</v>
      </c>
      <c r="AK408" s="3" t="str">
        <f>IF(Table1[[#This Row],[Opp Rushing Attempts]]&lt;15, "Y", "N")</f>
        <v>N</v>
      </c>
      <c r="AL40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105.13</v>
      </c>
      <c r="AM40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104.89</v>
      </c>
      <c r="AN40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55.71</v>
      </c>
      <c r="AO40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167.53</v>
      </c>
      <c r="AP408" s="3">
        <f>ABS(Table1[[#This Row],[Team Score]]-Table1[[#This Row],[Opp Team Score]])</f>
        <v>3</v>
      </c>
      <c r="AQ408" s="3">
        <f>SUM(Table1[[#This Row],[Team Score]], Table1[[#This Row],[Opp Team Score]])</f>
        <v>17</v>
      </c>
      <c r="AR40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40.489999999999981</v>
      </c>
      <c r="AS408" s="3">
        <f>IF(Table1[[#This Row],[Efficiency Difference]] = " ", " ", ROUND((Table1[[#This Row],[Winning Margin]]*100)/Table1[[#This Row],[Efficiency Difference]], 2))</f>
        <v>7.41</v>
      </c>
    </row>
    <row r="409" spans="1:45">
      <c r="A409" t="s">
        <v>98</v>
      </c>
      <c r="B409">
        <v>416</v>
      </c>
      <c r="C409">
        <v>28</v>
      </c>
      <c r="D409">
        <v>120</v>
      </c>
      <c r="E409">
        <v>24</v>
      </c>
      <c r="F409">
        <v>2</v>
      </c>
      <c r="G409">
        <v>13</v>
      </c>
      <c r="H409">
        <v>0</v>
      </c>
      <c r="I409">
        <v>213</v>
      </c>
      <c r="J409">
        <v>39</v>
      </c>
      <c r="K409">
        <v>1</v>
      </c>
      <c r="L409">
        <v>2</v>
      </c>
      <c r="M409" t="s">
        <v>180</v>
      </c>
      <c r="N409">
        <v>418</v>
      </c>
      <c r="O409">
        <v>14</v>
      </c>
      <c r="P409">
        <v>168</v>
      </c>
      <c r="Q409">
        <v>31</v>
      </c>
      <c r="R409">
        <v>1</v>
      </c>
      <c r="S409">
        <v>12</v>
      </c>
      <c r="T409">
        <v>1</v>
      </c>
      <c r="U409">
        <v>82</v>
      </c>
      <c r="V409">
        <v>36</v>
      </c>
      <c r="W409">
        <v>1</v>
      </c>
      <c r="X409">
        <v>0</v>
      </c>
      <c r="Y409" t="s">
        <v>16</v>
      </c>
      <c r="Z409">
        <v>7</v>
      </c>
      <c r="AA409">
        <f>IF(AND(Table1[[#This Row],[Throw Out Pass Eff]]="N", Table1[[#This Row],[Against FCS Team]]="N"), ROUND(((5.45 * D409) + (150 * F409) + (100 * G409) - (300 * H409)) / E409, 2), " ")</f>
        <v>93.92</v>
      </c>
      <c r="AB409">
        <f>IF(AND(Table1[[#This Row],[Throw Out Pass Def Eff]]="N", Table1[[#This Row],[Against FCS Team]]="N"),200 - ROUND(((5.45 * P409) + (150 * R409) + (100 * S409) - (300 * T409)) / Q409, 2), " ")</f>
        <v>136.59</v>
      </c>
      <c r="AC409">
        <f>IF(AND(Table1[[#This Row],[Throw Out Rush Eff]]="N", Table1[[#This Row],[Against FCS Team]]="N"), ROUND(((23.2 * I409) + (150 * K409) - (300 * L409)) / J409, 2), " ")</f>
        <v>115.17</v>
      </c>
      <c r="AD409" s="3">
        <f>IF(AND(Table1[[#This Row],[Throw Out Rush Def Eff]]="N", Table1[[#This Row],[Against FCS Team]]="N"), 200 - ROUND(((23.2 * U409) + (150 * W409) - (300 * X409)) / V409, 2), " ")</f>
        <v>142.99</v>
      </c>
      <c r="AE409" s="3">
        <f>ROUND(Table1[[#This Row],[Opp Passing Attempts]]/(Table1[[#This Row],[Opp Passing Attempts]]+Table1[[#This Row],[Opp Rushing Attempts]]), 2)</f>
        <v>0.46</v>
      </c>
      <c r="AF409" s="3">
        <f>1-Table1[[#This Row],[Passing Weight]]</f>
        <v>0.54</v>
      </c>
      <c r="AG409" s="3" t="str">
        <f>IF(COUNTIF(A:A,Table1[[#This Row],[Opp Team Name]]) &gt; 0, "N", "Y")</f>
        <v>N</v>
      </c>
      <c r="AH409" s="3" t="str">
        <f>IF(Table1[[#This Row],[Passing Attempts]] &lt;15, "Y", "N")</f>
        <v>N</v>
      </c>
      <c r="AI409" s="3" t="str">
        <f>IF(Table1[[#This Row],[Rushing Attempts]] &lt; 15, "Y", "N")</f>
        <v>N</v>
      </c>
      <c r="AJ409" s="3" t="str">
        <f>IF(Table1[[#This Row],[Opp Passing Attempts]]&lt;15, "Y", "N")</f>
        <v>N</v>
      </c>
      <c r="AK409" s="3" t="str">
        <f>IF(Table1[[#This Row],[Opp Rushing Attempts]]&lt;15, "Y", "N")</f>
        <v>N</v>
      </c>
      <c r="AL40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100.8</v>
      </c>
      <c r="AM40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122.23</v>
      </c>
      <c r="AN40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125.55</v>
      </c>
      <c r="AO40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188.23</v>
      </c>
      <c r="AP409" s="3">
        <f>ABS(Table1[[#This Row],[Team Score]]-Table1[[#This Row],[Opp Team Score]])</f>
        <v>14</v>
      </c>
      <c r="AQ409" s="3">
        <f>SUM(Table1[[#This Row],[Team Score]], Table1[[#This Row],[Opp Team Score]])</f>
        <v>42</v>
      </c>
      <c r="AR40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88.670000000000044</v>
      </c>
      <c r="AS409" s="3">
        <f>IF(Table1[[#This Row],[Efficiency Difference]] = " ", " ", ROUND((Table1[[#This Row],[Winning Margin]]*100)/Table1[[#This Row],[Efficiency Difference]], 2))</f>
        <v>15.79</v>
      </c>
    </row>
    <row r="410" spans="1:45">
      <c r="A410" t="s">
        <v>98</v>
      </c>
      <c r="B410">
        <v>416</v>
      </c>
      <c r="C410">
        <v>37</v>
      </c>
      <c r="D410">
        <v>290</v>
      </c>
      <c r="E410">
        <v>31</v>
      </c>
      <c r="F410">
        <v>3</v>
      </c>
      <c r="G410">
        <v>22</v>
      </c>
      <c r="H410">
        <v>0</v>
      </c>
      <c r="I410">
        <v>109</v>
      </c>
      <c r="J410">
        <v>32</v>
      </c>
      <c r="K410">
        <v>1</v>
      </c>
      <c r="L410">
        <v>1</v>
      </c>
      <c r="M410" t="s">
        <v>145</v>
      </c>
      <c r="N410">
        <v>796</v>
      </c>
      <c r="O410">
        <v>31</v>
      </c>
      <c r="P410">
        <v>223</v>
      </c>
      <c r="Q410">
        <v>21</v>
      </c>
      <c r="R410">
        <v>2</v>
      </c>
      <c r="S410">
        <v>14</v>
      </c>
      <c r="T410">
        <v>2</v>
      </c>
      <c r="U410">
        <v>220</v>
      </c>
      <c r="V410">
        <v>41</v>
      </c>
      <c r="W410">
        <v>2</v>
      </c>
      <c r="X410">
        <v>0</v>
      </c>
      <c r="Y410" t="s">
        <v>16</v>
      </c>
      <c r="Z410">
        <v>8</v>
      </c>
      <c r="AA410" s="3">
        <f>IF(AND(Table1[[#This Row],[Throw Out Pass Eff]]="N", Table1[[#This Row],[Against FCS Team]]="N"), ROUND(((5.45 * D410) + (150 * F410) + (100 * G410) - (300 * H410)) / E410, 2), " ")</f>
        <v>136.47</v>
      </c>
      <c r="AB410" s="3">
        <f>IF(AND(Table1[[#This Row],[Throw Out Pass Def Eff]]="N", Table1[[#This Row],[Against FCS Team]]="N"),200 - ROUND(((5.45 * P410) + (150 * R410) + (100 * S410) - (300 * T410)) / Q410, 2), " ")</f>
        <v>89.75</v>
      </c>
      <c r="AC410" s="3">
        <f>IF(AND(Table1[[#This Row],[Throw Out Rush Eff]]="N", Table1[[#This Row],[Against FCS Team]]="N"), ROUND(((23.2 * I410) + (150 * K410) - (300 * L410)) / J410, 2), " ")</f>
        <v>74.34</v>
      </c>
      <c r="AD410" s="3">
        <f>IF(AND(Table1[[#This Row],[Throw Out Rush Def Eff]]="N", Table1[[#This Row],[Against FCS Team]]="N"), 200 - ROUND(((23.2 * U410) + (150 * W410) - (300 * X410)) / V410, 2), " ")</f>
        <v>68.199999999999989</v>
      </c>
      <c r="AE410" s="3">
        <f>ROUND(Table1[[#This Row],[Opp Passing Attempts]]/(Table1[[#This Row],[Opp Passing Attempts]]+Table1[[#This Row],[Opp Rushing Attempts]]), 2)</f>
        <v>0.34</v>
      </c>
      <c r="AF410" s="3">
        <f>1-Table1[[#This Row],[Passing Weight]]</f>
        <v>0.65999999999999992</v>
      </c>
      <c r="AG410" s="3" t="str">
        <f>IF(COUNTIF(A:A,Table1[[#This Row],[Opp Team Name]]) &gt; 0, "N", "Y")</f>
        <v>N</v>
      </c>
      <c r="AH410" s="3" t="str">
        <f>IF(Table1[[#This Row],[Passing Attempts]] &lt;15, "Y", "N")</f>
        <v>N</v>
      </c>
      <c r="AI410" s="3" t="str">
        <f>IF(Table1[[#This Row],[Rushing Attempts]] &lt; 15, "Y", "N")</f>
        <v>N</v>
      </c>
      <c r="AJ410" s="3" t="str">
        <f>IF(Table1[[#This Row],[Opp Passing Attempts]]&lt;15, "Y", "N")</f>
        <v>N</v>
      </c>
      <c r="AK410" s="3" t="str">
        <f>IF(Table1[[#This Row],[Opp Rushing Attempts]]&lt;15, "Y", "N")</f>
        <v>N</v>
      </c>
      <c r="AL4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154.15</v>
      </c>
      <c r="AM4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126.8</v>
      </c>
      <c r="AN4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93.79</v>
      </c>
      <c r="AO4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99.55</v>
      </c>
      <c r="AP410" s="3">
        <f>ABS(Table1[[#This Row],[Team Score]]-Table1[[#This Row],[Opp Team Score]])</f>
        <v>6</v>
      </c>
      <c r="AQ410" s="3">
        <f>SUM(Table1[[#This Row],[Team Score]], Table1[[#This Row],[Opp Team Score]])</f>
        <v>68</v>
      </c>
      <c r="AR4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31.240000000000009</v>
      </c>
      <c r="AS410" s="3">
        <f>IF(Table1[[#This Row],[Efficiency Difference]] = " ", " ", ROUND((Table1[[#This Row],[Winning Margin]]*100)/Table1[[#This Row],[Efficiency Difference]], 2))</f>
        <v>19.21</v>
      </c>
    </row>
    <row r="411" spans="1:45">
      <c r="A411" t="s">
        <v>100</v>
      </c>
      <c r="B411">
        <v>419</v>
      </c>
      <c r="C411">
        <v>24</v>
      </c>
      <c r="D411">
        <v>330</v>
      </c>
      <c r="E411">
        <v>47</v>
      </c>
      <c r="F411">
        <v>2</v>
      </c>
      <c r="G411">
        <v>27</v>
      </c>
      <c r="H411">
        <v>1</v>
      </c>
      <c r="I411">
        <v>130</v>
      </c>
      <c r="J411">
        <v>33</v>
      </c>
      <c r="K411">
        <v>1</v>
      </c>
      <c r="L411">
        <v>0</v>
      </c>
      <c r="M411" t="s">
        <v>101</v>
      </c>
      <c r="N411">
        <v>559</v>
      </c>
      <c r="O411">
        <v>27</v>
      </c>
      <c r="P411">
        <v>220</v>
      </c>
      <c r="Q411">
        <v>35</v>
      </c>
      <c r="R411">
        <v>2</v>
      </c>
      <c r="S411">
        <v>19</v>
      </c>
      <c r="T411">
        <v>1</v>
      </c>
      <c r="U411">
        <v>200</v>
      </c>
      <c r="V411">
        <v>46</v>
      </c>
      <c r="W411">
        <v>1</v>
      </c>
      <c r="X411">
        <v>1</v>
      </c>
      <c r="Y411" t="s">
        <v>19</v>
      </c>
      <c r="Z411">
        <v>1</v>
      </c>
      <c r="AA411">
        <f>IF(AND(Table1[[#This Row],[Throw Out Pass Eff]]="N", Table1[[#This Row],[Against FCS Team]]="N"), ROUND(((5.45 * D411) + (150 * F411) + (100 * G411) - (300 * H411)) / E411, 2), " ")</f>
        <v>95.71</v>
      </c>
      <c r="AB411">
        <f>IF(AND(Table1[[#This Row],[Throw Out Pass Def Eff]]="N", Table1[[#This Row],[Against FCS Team]]="N"),200 - ROUND(((5.45 * P411) + (150 * R411) + (100 * S411) - (300 * T411)) / Q411, 2), " ")</f>
        <v>111.46</v>
      </c>
      <c r="AC411">
        <f>IF(AND(Table1[[#This Row],[Throw Out Rush Eff]]="N", Table1[[#This Row],[Against FCS Team]]="N"), ROUND(((23.2 * I411) + (150 * K411) - (300 * L411)) / J411, 2), " ")</f>
        <v>95.94</v>
      </c>
      <c r="AD411" s="3">
        <f>IF(AND(Table1[[#This Row],[Throw Out Rush Def Eff]]="N", Table1[[#This Row],[Against FCS Team]]="N"), 200 - ROUND(((23.2 * U411) + (150 * W411) - (300 * X411)) / V411, 2), " ")</f>
        <v>102.39</v>
      </c>
      <c r="AE411" s="3">
        <f>ROUND(Table1[[#This Row],[Opp Passing Attempts]]/(Table1[[#This Row],[Opp Passing Attempts]]+Table1[[#This Row],[Opp Rushing Attempts]]), 2)</f>
        <v>0.43</v>
      </c>
      <c r="AF411" s="3">
        <f>1-Table1[[#This Row],[Passing Weight]]</f>
        <v>0.57000000000000006</v>
      </c>
      <c r="AG411" s="3" t="str">
        <f>IF(COUNTIF(A:A,Table1[[#This Row],[Opp Team Name]]) &gt; 0, "N", "Y")</f>
        <v>N</v>
      </c>
      <c r="AH411" s="3" t="str">
        <f>IF(Table1[[#This Row],[Passing Attempts]] &lt;15, "Y", "N")</f>
        <v>N</v>
      </c>
      <c r="AI411" s="3" t="str">
        <f>IF(Table1[[#This Row],[Rushing Attempts]] &lt; 15, "Y", "N")</f>
        <v>N</v>
      </c>
      <c r="AJ411" s="3" t="str">
        <f>IF(Table1[[#This Row],[Opp Passing Attempts]]&lt;15, "Y", "N")</f>
        <v>N</v>
      </c>
      <c r="AK411" s="3" t="str">
        <f>IF(Table1[[#This Row],[Opp Rushing Attempts]]&lt;15, "Y", "N")</f>
        <v>N</v>
      </c>
      <c r="AL41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105.92</v>
      </c>
      <c r="AM41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98.98</v>
      </c>
      <c r="AN41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101.54</v>
      </c>
      <c r="AO4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99.12</v>
      </c>
      <c r="AP411" s="3">
        <f>ABS(Table1[[#This Row],[Team Score]]-Table1[[#This Row],[Opp Team Score]])</f>
        <v>3</v>
      </c>
      <c r="AQ411" s="3">
        <f>SUM(Table1[[#This Row],[Team Score]], Table1[[#This Row],[Opp Team Score]])</f>
        <v>51</v>
      </c>
      <c r="AR41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5.4999999999999716</v>
      </c>
      <c r="AS411" s="3">
        <f>IF(Table1[[#This Row],[Efficiency Difference]] = " ", " ", ROUND((Table1[[#This Row],[Winning Margin]]*100)/Table1[[#This Row],[Efficiency Difference]], 2))</f>
        <v>54.55</v>
      </c>
    </row>
    <row r="412" spans="1:45">
      <c r="A412" t="s">
        <v>100</v>
      </c>
      <c r="B412">
        <v>419</v>
      </c>
      <c r="C412">
        <v>21</v>
      </c>
      <c r="D412">
        <v>198</v>
      </c>
      <c r="E412">
        <v>36</v>
      </c>
      <c r="F412">
        <v>1</v>
      </c>
      <c r="G412">
        <v>23</v>
      </c>
      <c r="H412">
        <v>1</v>
      </c>
      <c r="I412">
        <v>144</v>
      </c>
      <c r="J412">
        <v>28</v>
      </c>
      <c r="K412">
        <v>2</v>
      </c>
      <c r="L412">
        <v>2</v>
      </c>
      <c r="M412" t="s">
        <v>72</v>
      </c>
      <c r="N412">
        <v>255</v>
      </c>
      <c r="O412">
        <v>49</v>
      </c>
      <c r="P412">
        <v>214</v>
      </c>
      <c r="Q412">
        <v>10</v>
      </c>
      <c r="R412">
        <v>2</v>
      </c>
      <c r="S412">
        <v>6</v>
      </c>
      <c r="T412">
        <v>0</v>
      </c>
      <c r="U412">
        <v>382</v>
      </c>
      <c r="V412">
        <v>65</v>
      </c>
      <c r="W412">
        <v>5</v>
      </c>
      <c r="X412">
        <v>1</v>
      </c>
      <c r="Y412" t="s">
        <v>19</v>
      </c>
      <c r="Z412">
        <v>2</v>
      </c>
      <c r="AA412">
        <f>IF(AND(Table1[[#This Row],[Throw Out Pass Eff]]="N", Table1[[#This Row],[Against FCS Team]]="N"), ROUND(((5.45 * D412) + (150 * F412) + (100 * G412) - (300 * H412)) / E412, 2), " ")</f>
        <v>89.7</v>
      </c>
      <c r="AB412" t="str">
        <f>IF(AND(Table1[[#This Row],[Throw Out Pass Def Eff]]="N", Table1[[#This Row],[Against FCS Team]]="N"),200 - ROUND(((5.45 * P412) + (150 * R412) + (100 * S412) - (300 * T412)) / Q412, 2), " ")</f>
        <v xml:space="preserve"> </v>
      </c>
      <c r="AC412">
        <f>IF(AND(Table1[[#This Row],[Throw Out Rush Eff]]="N", Table1[[#This Row],[Against FCS Team]]="N"), ROUND(((23.2 * I412) + (150 * K412) - (300 * L412)) / J412, 2), " ")</f>
        <v>108.6</v>
      </c>
      <c r="AD412" s="3">
        <f>IF(AND(Table1[[#This Row],[Throw Out Rush Def Eff]]="N", Table1[[#This Row],[Against FCS Team]]="N"), 200 - ROUND(((23.2 * U412) + (150 * W412) - (300 * X412)) / V412, 2), " ")</f>
        <v>56.72999999999999</v>
      </c>
      <c r="AE412" s="3">
        <f>ROUND(Table1[[#This Row],[Opp Passing Attempts]]/(Table1[[#This Row],[Opp Passing Attempts]]+Table1[[#This Row],[Opp Rushing Attempts]]), 2)</f>
        <v>0.13</v>
      </c>
      <c r="AF412" s="3">
        <f>1-Table1[[#This Row],[Passing Weight]]</f>
        <v>0.87</v>
      </c>
      <c r="AG412" s="3" t="str">
        <f>IF(COUNTIF(A:A,Table1[[#This Row],[Opp Team Name]]) &gt; 0, "N", "Y")</f>
        <v>N</v>
      </c>
      <c r="AH412" s="3" t="str">
        <f>IF(Table1[[#This Row],[Passing Attempts]] &lt;15, "Y", "N")</f>
        <v>N</v>
      </c>
      <c r="AI412" s="3" t="str">
        <f>IF(Table1[[#This Row],[Rushing Attempts]] &lt; 15, "Y", "N")</f>
        <v>N</v>
      </c>
      <c r="AJ412" s="3" t="str">
        <f>IF(Table1[[#This Row],[Opp Passing Attempts]]&lt;15, "Y", "N")</f>
        <v>Y</v>
      </c>
      <c r="AK412" s="3" t="str">
        <f>IF(Table1[[#This Row],[Opp Rushing Attempts]]&lt;15, "Y", "N")</f>
        <v>N</v>
      </c>
      <c r="AL4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108.76</v>
      </c>
      <c r="AM41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91.88</v>
      </c>
      <c r="AO4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81.010000000000005</v>
      </c>
      <c r="AP412" s="3">
        <f>ABS(Table1[[#This Row],[Team Score]]-Table1[[#This Row],[Opp Team Score]])</f>
        <v>28</v>
      </c>
      <c r="AQ412" s="3">
        <f>SUM(Table1[[#This Row],[Team Score]], Table1[[#This Row],[Opp Team Score]])</f>
        <v>70</v>
      </c>
      <c r="AR41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12" s="3" t="str">
        <f>IF(Table1[[#This Row],[Efficiency Difference]] = " ", " ", ROUND((Table1[[#This Row],[Winning Margin]]*100)/Table1[[#This Row],[Efficiency Difference]], 2))</f>
        <v xml:space="preserve"> </v>
      </c>
    </row>
    <row r="413" spans="1:45">
      <c r="A413" t="s">
        <v>100</v>
      </c>
      <c r="B413">
        <v>419</v>
      </c>
      <c r="C413">
        <v>35</v>
      </c>
      <c r="D413">
        <v>415</v>
      </c>
      <c r="E413">
        <v>48</v>
      </c>
      <c r="F413">
        <v>5</v>
      </c>
      <c r="G413">
        <v>28</v>
      </c>
      <c r="H413">
        <v>1</v>
      </c>
      <c r="I413">
        <v>167</v>
      </c>
      <c r="J413">
        <v>42</v>
      </c>
      <c r="K413">
        <v>0</v>
      </c>
      <c r="L413">
        <v>1</v>
      </c>
      <c r="M413" t="s">
        <v>55</v>
      </c>
      <c r="N413">
        <v>716</v>
      </c>
      <c r="O413">
        <v>38</v>
      </c>
      <c r="P413">
        <v>347</v>
      </c>
      <c r="Q413">
        <v>42</v>
      </c>
      <c r="R413">
        <v>3</v>
      </c>
      <c r="S413">
        <v>27</v>
      </c>
      <c r="T413">
        <v>1</v>
      </c>
      <c r="U413">
        <v>132</v>
      </c>
      <c r="V413">
        <v>36</v>
      </c>
      <c r="W413">
        <v>1</v>
      </c>
      <c r="X413">
        <v>1</v>
      </c>
      <c r="Y413" t="s">
        <v>19</v>
      </c>
      <c r="Z413">
        <v>4</v>
      </c>
      <c r="AA413">
        <f>IF(AND(Table1[[#This Row],[Throw Out Pass Eff]]="N", Table1[[#This Row],[Against FCS Team]]="N"), ROUND(((5.45 * D413) + (150 * F413) + (100 * G413) - (300 * H413)) / E413, 2), " ")</f>
        <v>114.83</v>
      </c>
      <c r="AB413">
        <f>IF(AND(Table1[[#This Row],[Throw Out Pass Def Eff]]="N", Table1[[#This Row],[Against FCS Team]]="N"),200 - ROUND(((5.45 * P413) + (150 * R413) + (100 * S413) - (300 * T413)) / Q413, 2), " ")</f>
        <v>87.12</v>
      </c>
      <c r="AC413">
        <f>IF(AND(Table1[[#This Row],[Throw Out Rush Eff]]="N", Table1[[#This Row],[Against FCS Team]]="N"), ROUND(((23.2 * I413) + (150 * K413) - (300 * L413)) / J413, 2), " ")</f>
        <v>85.1</v>
      </c>
      <c r="AD413" s="3">
        <f>IF(AND(Table1[[#This Row],[Throw Out Rush Def Eff]]="N", Table1[[#This Row],[Against FCS Team]]="N"), 200 - ROUND(((23.2 * U413) + (150 * W413) - (300 * X413)) / V413, 2), " ")</f>
        <v>119.1</v>
      </c>
      <c r="AE413" s="3">
        <f>ROUND(Table1[[#This Row],[Opp Passing Attempts]]/(Table1[[#This Row],[Opp Passing Attempts]]+Table1[[#This Row],[Opp Rushing Attempts]]), 2)</f>
        <v>0.54</v>
      </c>
      <c r="AF413" s="3">
        <f>1-Table1[[#This Row],[Passing Weight]]</f>
        <v>0.45999999999999996</v>
      </c>
      <c r="AG413" s="3" t="str">
        <f>IF(COUNTIF(A:A,Table1[[#This Row],[Opp Team Name]]) &gt; 0, "N", "Y")</f>
        <v>N</v>
      </c>
      <c r="AH413" s="3" t="str">
        <f>IF(Table1[[#This Row],[Passing Attempts]] &lt;15, "Y", "N")</f>
        <v>N</v>
      </c>
      <c r="AI413" s="3" t="str">
        <f>IF(Table1[[#This Row],[Rushing Attempts]] &lt; 15, "Y", "N")</f>
        <v>N</v>
      </c>
      <c r="AJ413" s="3" t="str">
        <f>IF(Table1[[#This Row],[Opp Passing Attempts]]&lt;15, "Y", "N")</f>
        <v>N</v>
      </c>
      <c r="AK413" s="3" t="str">
        <f>IF(Table1[[#This Row],[Opp Rushing Attempts]]&lt;15, "Y", "N")</f>
        <v>N</v>
      </c>
      <c r="AL4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101.75</v>
      </c>
      <c r="AM4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79.42</v>
      </c>
      <c r="AN4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87.34</v>
      </c>
      <c r="AO4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81.069999999999993</v>
      </c>
      <c r="AP413" s="3">
        <f>ABS(Table1[[#This Row],[Team Score]]-Table1[[#This Row],[Opp Team Score]])</f>
        <v>3</v>
      </c>
      <c r="AQ413" s="3">
        <f>SUM(Table1[[#This Row],[Team Score]], Table1[[#This Row],[Opp Team Score]])</f>
        <v>73</v>
      </c>
      <c r="AR4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6.1500000000000057</v>
      </c>
      <c r="AS413" s="3">
        <f>IF(Table1[[#This Row],[Efficiency Difference]] = " ", " ", ROUND((Table1[[#This Row],[Winning Margin]]*100)/Table1[[#This Row],[Efficiency Difference]], 2))</f>
        <v>48.78</v>
      </c>
    </row>
    <row r="414" spans="1:45">
      <c r="A414" t="s">
        <v>100</v>
      </c>
      <c r="B414">
        <v>419</v>
      </c>
      <c r="C414">
        <v>38</v>
      </c>
      <c r="D414">
        <v>277</v>
      </c>
      <c r="E414">
        <v>42</v>
      </c>
      <c r="F414">
        <v>3</v>
      </c>
      <c r="G414">
        <v>27</v>
      </c>
      <c r="H414">
        <v>1</v>
      </c>
      <c r="I414">
        <v>200</v>
      </c>
      <c r="J414">
        <v>33</v>
      </c>
      <c r="K414">
        <v>2</v>
      </c>
      <c r="L414">
        <v>0</v>
      </c>
      <c r="M414" t="s">
        <v>94</v>
      </c>
      <c r="N414">
        <v>404</v>
      </c>
      <c r="O414">
        <v>31</v>
      </c>
      <c r="P414">
        <v>230</v>
      </c>
      <c r="Q414">
        <v>32</v>
      </c>
      <c r="R414">
        <v>1</v>
      </c>
      <c r="S414">
        <v>25</v>
      </c>
      <c r="T414">
        <v>0</v>
      </c>
      <c r="U414">
        <v>165</v>
      </c>
      <c r="V414">
        <v>43</v>
      </c>
      <c r="W414">
        <v>3</v>
      </c>
      <c r="X414">
        <v>2</v>
      </c>
      <c r="Y414" t="s">
        <v>16</v>
      </c>
      <c r="Z414">
        <v>5</v>
      </c>
      <c r="AA414">
        <f>IF(AND(Table1[[#This Row],[Throw Out Pass Eff]]="N", Table1[[#This Row],[Against FCS Team]]="N"), ROUND(((5.45 * D414) + (150 * F414) + (100 * G414) - (300 * H414)) / E414, 2), " ")</f>
        <v>103.8</v>
      </c>
      <c r="AB414">
        <f>IF(AND(Table1[[#This Row],[Throw Out Pass Def Eff]]="N", Table1[[#This Row],[Against FCS Team]]="N"),200 - ROUND(((5.45 * P414) + (150 * R414) + (100 * S414) - (300 * T414)) / Q414, 2), " ")</f>
        <v>78.02</v>
      </c>
      <c r="AC414">
        <f>IF(AND(Table1[[#This Row],[Throw Out Rush Eff]]="N", Table1[[#This Row],[Against FCS Team]]="N"), ROUND(((23.2 * I414) + (150 * K414) - (300 * L414)) / J414, 2), " ")</f>
        <v>149.69999999999999</v>
      </c>
      <c r="AD414" s="3">
        <f>IF(AND(Table1[[#This Row],[Throw Out Rush Def Eff]]="N", Table1[[#This Row],[Against FCS Team]]="N"), 200 - ROUND(((23.2 * U414) + (150 * W414) - (300 * X414)) / V414, 2), " ")</f>
        <v>114.47</v>
      </c>
      <c r="AE414" s="3">
        <f>ROUND(Table1[[#This Row],[Opp Passing Attempts]]/(Table1[[#This Row],[Opp Passing Attempts]]+Table1[[#This Row],[Opp Rushing Attempts]]), 2)</f>
        <v>0.43</v>
      </c>
      <c r="AF414" s="3">
        <f>1-Table1[[#This Row],[Passing Weight]]</f>
        <v>0.57000000000000006</v>
      </c>
      <c r="AG414" s="3" t="str">
        <f>IF(COUNTIF(A:A,Table1[[#This Row],[Opp Team Name]]) &gt; 0, "N", "Y")</f>
        <v>N</v>
      </c>
      <c r="AH414" s="3" t="str">
        <f>IF(Table1[[#This Row],[Passing Attempts]] &lt;15, "Y", "N")</f>
        <v>N</v>
      </c>
      <c r="AI414" s="3" t="str">
        <f>IF(Table1[[#This Row],[Rushing Attempts]] &lt; 15, "Y", "N")</f>
        <v>N</v>
      </c>
      <c r="AJ414" s="3" t="str">
        <f>IF(Table1[[#This Row],[Opp Passing Attempts]]&lt;15, "Y", "N")</f>
        <v>N</v>
      </c>
      <c r="AK414" s="3" t="str">
        <f>IF(Table1[[#This Row],[Opp Rushing Attempts]]&lt;15, "Y", "N")</f>
        <v>N</v>
      </c>
      <c r="AL4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84.15</v>
      </c>
      <c r="AM4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65.19</v>
      </c>
      <c r="AN4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123.68</v>
      </c>
      <c r="AO4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53.32</v>
      </c>
      <c r="AP414" s="3">
        <f>ABS(Table1[[#This Row],[Team Score]]-Table1[[#This Row],[Opp Team Score]])</f>
        <v>7</v>
      </c>
      <c r="AQ414" s="3">
        <f>SUM(Table1[[#This Row],[Team Score]], Table1[[#This Row],[Opp Team Score]])</f>
        <v>69</v>
      </c>
      <c r="AR4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45.990000000000009</v>
      </c>
      <c r="AS414" s="3">
        <f>IF(Table1[[#This Row],[Efficiency Difference]] = " ", " ", ROUND((Table1[[#This Row],[Winning Margin]]*100)/Table1[[#This Row],[Efficiency Difference]], 2))</f>
        <v>15.22</v>
      </c>
    </row>
    <row r="415" spans="1:45">
      <c r="A415" t="s">
        <v>100</v>
      </c>
      <c r="B415">
        <v>419</v>
      </c>
      <c r="C415">
        <v>33</v>
      </c>
      <c r="D415">
        <v>276</v>
      </c>
      <c r="E415">
        <v>50</v>
      </c>
      <c r="F415">
        <v>2</v>
      </c>
      <c r="G415">
        <v>25</v>
      </c>
      <c r="H415">
        <v>2</v>
      </c>
      <c r="I415">
        <v>206</v>
      </c>
      <c r="J415">
        <v>39</v>
      </c>
      <c r="K415">
        <v>2</v>
      </c>
      <c r="L415">
        <v>1</v>
      </c>
      <c r="M415" t="s">
        <v>85</v>
      </c>
      <c r="N415">
        <v>772</v>
      </c>
      <c r="O415">
        <v>36</v>
      </c>
      <c r="P415">
        <v>222</v>
      </c>
      <c r="Q415">
        <v>35</v>
      </c>
      <c r="R415">
        <v>1</v>
      </c>
      <c r="S415">
        <v>17</v>
      </c>
      <c r="T415">
        <v>0</v>
      </c>
      <c r="U415">
        <v>168</v>
      </c>
      <c r="V415">
        <v>51</v>
      </c>
      <c r="W415">
        <v>3</v>
      </c>
      <c r="X415">
        <v>1</v>
      </c>
      <c r="Y415" t="s">
        <v>19</v>
      </c>
      <c r="Z415">
        <v>6</v>
      </c>
      <c r="AA415">
        <f>IF(AND(Table1[[#This Row],[Throw Out Pass Eff]]="N", Table1[[#This Row],[Against FCS Team]]="N"), ROUND(((5.45 * D415) + (150 * F415) + (100 * G415) - (300 * H415)) / E415, 2), " ")</f>
        <v>74.08</v>
      </c>
      <c r="AB415">
        <f>IF(AND(Table1[[#This Row],[Throw Out Pass Def Eff]]="N", Table1[[#This Row],[Against FCS Team]]="N"),200 - ROUND(((5.45 * P415) + (150 * R415) + (100 * S415) - (300 * T415)) / Q415, 2), " ")</f>
        <v>112.57</v>
      </c>
      <c r="AC415">
        <f>IF(AND(Table1[[#This Row],[Throw Out Rush Eff]]="N", Table1[[#This Row],[Against FCS Team]]="N"), ROUND(((23.2 * I415) + (150 * K415) - (300 * L415)) / J415, 2), " ")</f>
        <v>122.54</v>
      </c>
      <c r="AD415" s="3">
        <f>IF(AND(Table1[[#This Row],[Throw Out Rush Def Eff]]="N", Table1[[#This Row],[Against FCS Team]]="N"), 200 - ROUND(((23.2 * U415) + (150 * W415) - (300 * X415)) / V415, 2), " ")</f>
        <v>120.64</v>
      </c>
      <c r="AE415" s="3">
        <f>ROUND(Table1[[#This Row],[Opp Passing Attempts]]/(Table1[[#This Row],[Opp Passing Attempts]]+Table1[[#This Row],[Opp Rushing Attempts]]), 2)</f>
        <v>0.41</v>
      </c>
      <c r="AF415" s="3">
        <f>1-Table1[[#This Row],[Passing Weight]]</f>
        <v>0.59000000000000008</v>
      </c>
      <c r="AG415" s="3" t="str">
        <f>IF(COUNTIF(A:A,Table1[[#This Row],[Opp Team Name]]) &gt; 0, "N", "Y")</f>
        <v>N</v>
      </c>
      <c r="AH415" s="3" t="str">
        <f>IF(Table1[[#This Row],[Passing Attempts]] &lt;15, "Y", "N")</f>
        <v>N</v>
      </c>
      <c r="AI415" s="3" t="str">
        <f>IF(Table1[[#This Row],[Rushing Attempts]] &lt; 15, "Y", "N")</f>
        <v>N</v>
      </c>
      <c r="AJ415" s="3" t="str">
        <f>IF(Table1[[#This Row],[Opp Passing Attempts]]&lt;15, "Y", "N")</f>
        <v>N</v>
      </c>
      <c r="AK415" s="3" t="str">
        <f>IF(Table1[[#This Row],[Opp Rushing Attempts]]&lt;15, "Y", "N")</f>
        <v>N</v>
      </c>
      <c r="AL4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88.07</v>
      </c>
      <c r="AM4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90.16</v>
      </c>
      <c r="AN4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137.4</v>
      </c>
      <c r="AO4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114.98</v>
      </c>
      <c r="AP415" s="3">
        <f>ABS(Table1[[#This Row],[Team Score]]-Table1[[#This Row],[Opp Team Score]])</f>
        <v>3</v>
      </c>
      <c r="AQ415" s="3">
        <f>SUM(Table1[[#This Row],[Team Score]], Table1[[#This Row],[Opp Team Score]])</f>
        <v>69</v>
      </c>
      <c r="AR4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29.829999999999984</v>
      </c>
      <c r="AS415" s="3">
        <f>IF(Table1[[#This Row],[Efficiency Difference]] = " ", " ", ROUND((Table1[[#This Row],[Winning Margin]]*100)/Table1[[#This Row],[Efficiency Difference]], 2))</f>
        <v>10.06</v>
      </c>
    </row>
    <row r="416" spans="1:45">
      <c r="A416" t="s">
        <v>100</v>
      </c>
      <c r="B416">
        <v>419</v>
      </c>
      <c r="C416">
        <v>38</v>
      </c>
      <c r="D416">
        <v>292</v>
      </c>
      <c r="E416">
        <v>42</v>
      </c>
      <c r="F416">
        <v>3</v>
      </c>
      <c r="G416">
        <v>31</v>
      </c>
      <c r="H416">
        <v>2</v>
      </c>
      <c r="I416">
        <v>187</v>
      </c>
      <c r="J416">
        <v>48</v>
      </c>
      <c r="K416">
        <v>2</v>
      </c>
      <c r="L416">
        <v>1</v>
      </c>
      <c r="M416" t="s">
        <v>68</v>
      </c>
      <c r="N416">
        <v>229</v>
      </c>
      <c r="O416">
        <v>14</v>
      </c>
      <c r="P416">
        <v>135</v>
      </c>
      <c r="Q416">
        <v>29</v>
      </c>
      <c r="R416">
        <v>1</v>
      </c>
      <c r="S416">
        <v>14</v>
      </c>
      <c r="T416">
        <v>1</v>
      </c>
      <c r="U416">
        <v>141</v>
      </c>
      <c r="V416">
        <v>35</v>
      </c>
      <c r="W416">
        <v>1</v>
      </c>
      <c r="X416">
        <v>5</v>
      </c>
      <c r="Y416" t="s">
        <v>16</v>
      </c>
      <c r="Z416">
        <v>8</v>
      </c>
      <c r="AA416" s="3">
        <f>IF(AND(Table1[[#This Row],[Throw Out Pass Eff]]="N", Table1[[#This Row],[Against FCS Team]]="N"), ROUND(((5.45 * D416) + (150 * F416) + (100 * G416) - (300 * H416)) / E416, 2), " ")</f>
        <v>108.13</v>
      </c>
      <c r="AB416" s="3">
        <f>IF(AND(Table1[[#This Row],[Throw Out Pass Def Eff]]="N", Table1[[#This Row],[Against FCS Team]]="N"),200 - ROUND(((5.45 * P416) + (150 * R416) + (100 * S416) - (300 * T416)) / Q416, 2), " ")</f>
        <v>131.53</v>
      </c>
      <c r="AC416" s="3">
        <f>IF(AND(Table1[[#This Row],[Throw Out Rush Eff]]="N", Table1[[#This Row],[Against FCS Team]]="N"), ROUND(((23.2 * I416) + (150 * K416) - (300 * L416)) / J416, 2), " ")</f>
        <v>90.38</v>
      </c>
      <c r="AD416" s="3">
        <f>IF(AND(Table1[[#This Row],[Throw Out Rush Def Eff]]="N", Table1[[#This Row],[Against FCS Team]]="N"), 200 - ROUND(((23.2 * U416) + (150 * W416) - (300 * X416)) / V416, 2), " ")</f>
        <v>145.11000000000001</v>
      </c>
      <c r="AE416" s="3">
        <f>ROUND(Table1[[#This Row],[Opp Passing Attempts]]/(Table1[[#This Row],[Opp Passing Attempts]]+Table1[[#This Row],[Opp Rushing Attempts]]), 2)</f>
        <v>0.45</v>
      </c>
      <c r="AF416" s="3">
        <f>1-Table1[[#This Row],[Passing Weight]]</f>
        <v>0.55000000000000004</v>
      </c>
      <c r="AG416" s="3" t="str">
        <f>IF(COUNTIF(A:A,Table1[[#This Row],[Opp Team Name]]) &gt; 0, "N", "Y")</f>
        <v>N</v>
      </c>
      <c r="AH416" s="3" t="str">
        <f>IF(Table1[[#This Row],[Passing Attempts]] &lt;15, "Y", "N")</f>
        <v>N</v>
      </c>
      <c r="AI416" s="3" t="str">
        <f>IF(Table1[[#This Row],[Rushing Attempts]] &lt; 15, "Y", "N")</f>
        <v>N</v>
      </c>
      <c r="AJ416" s="3" t="str">
        <f>IF(Table1[[#This Row],[Opp Passing Attempts]]&lt;15, "Y", "N")</f>
        <v>N</v>
      </c>
      <c r="AK416" s="3" t="str">
        <f>IF(Table1[[#This Row],[Opp Rushing Attempts]]&lt;15, "Y", "N")</f>
        <v>N</v>
      </c>
      <c r="AL4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108.34</v>
      </c>
      <c r="AM4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92.65</v>
      </c>
      <c r="AN4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94.69</v>
      </c>
      <c r="AO4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80.64</v>
      </c>
      <c r="AP416" s="3">
        <f>ABS(Table1[[#This Row],[Team Score]]-Table1[[#This Row],[Opp Team Score]])</f>
        <v>24</v>
      </c>
      <c r="AQ416" s="3">
        <f>SUM(Table1[[#This Row],[Team Score]], Table1[[#This Row],[Opp Team Score]])</f>
        <v>52</v>
      </c>
      <c r="AR4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75.149999999999977</v>
      </c>
      <c r="AS416" s="3">
        <f>IF(Table1[[#This Row],[Efficiency Difference]] = " ", " ", ROUND((Table1[[#This Row],[Winning Margin]]*100)/Table1[[#This Row],[Efficiency Difference]], 2))</f>
        <v>31.94</v>
      </c>
    </row>
    <row r="417" spans="1:45">
      <c r="A417" t="s">
        <v>102</v>
      </c>
      <c r="B417">
        <v>428</v>
      </c>
      <c r="C417">
        <v>24</v>
      </c>
      <c r="D417">
        <v>124</v>
      </c>
      <c r="E417">
        <v>20</v>
      </c>
      <c r="F417">
        <v>1</v>
      </c>
      <c r="G417">
        <v>9</v>
      </c>
      <c r="H417">
        <v>2</v>
      </c>
      <c r="I417">
        <v>168</v>
      </c>
      <c r="J417">
        <v>41</v>
      </c>
      <c r="K417">
        <v>2</v>
      </c>
      <c r="L417">
        <v>0</v>
      </c>
      <c r="M417" t="s">
        <v>206</v>
      </c>
      <c r="N417">
        <v>493</v>
      </c>
      <c r="O417">
        <v>37</v>
      </c>
      <c r="P417">
        <v>197</v>
      </c>
      <c r="Q417">
        <v>21</v>
      </c>
      <c r="R417">
        <v>0</v>
      </c>
      <c r="S417">
        <v>16</v>
      </c>
      <c r="T417">
        <v>0</v>
      </c>
      <c r="U417">
        <v>139</v>
      </c>
      <c r="V417">
        <v>28</v>
      </c>
      <c r="W417">
        <v>3</v>
      </c>
      <c r="X417">
        <v>0</v>
      </c>
      <c r="Y417" t="s">
        <v>19</v>
      </c>
      <c r="Z417">
        <v>4</v>
      </c>
      <c r="AA417" t="str">
        <f>IF(AND(Table1[[#This Row],[Throw Out Pass Eff]]="N", Table1[[#This Row],[Against FCS Team]]="N"), ROUND(((5.45 * D417) + (150 * F417) + (100 * G417) - (300 * H417)) / E417, 2), " ")</f>
        <v xml:space="preserve"> </v>
      </c>
      <c r="AB417" t="str">
        <f>IF(AND(Table1[[#This Row],[Throw Out Pass Def Eff]]="N", Table1[[#This Row],[Against FCS Team]]="N"),200 - ROUND(((5.45 * P417) + (150 * R417) + (100 * S417) - (300 * T417)) / Q417, 2), " ")</f>
        <v xml:space="preserve"> </v>
      </c>
      <c r="AC417" t="str">
        <f>IF(AND(Table1[[#This Row],[Throw Out Rush Eff]]="N", Table1[[#This Row],[Against FCS Team]]="N"), ROUND(((23.2 * I417) + (150 * K417) - (300 * L417)) / J417, 2), " ")</f>
        <v xml:space="preserve"> </v>
      </c>
      <c r="AD417" s="3" t="str">
        <f>IF(AND(Table1[[#This Row],[Throw Out Rush Def Eff]]="N", Table1[[#This Row],[Against FCS Team]]="N"), 200 - ROUND(((23.2 * U417) + (150 * W417) - (300 * X417)) / V417, 2), " ")</f>
        <v xml:space="preserve"> </v>
      </c>
      <c r="AE417" s="3">
        <f>ROUND(Table1[[#This Row],[Opp Passing Attempts]]/(Table1[[#This Row],[Opp Passing Attempts]]+Table1[[#This Row],[Opp Rushing Attempts]]), 2)</f>
        <v>0.43</v>
      </c>
      <c r="AF417" s="3">
        <f>1-Table1[[#This Row],[Passing Weight]]</f>
        <v>0.57000000000000006</v>
      </c>
      <c r="AG417" s="3" t="str">
        <f>IF(COUNTIF(A:A,Table1[[#This Row],[Opp Team Name]]) &gt; 0, "N", "Y")</f>
        <v>Y</v>
      </c>
      <c r="AH417" s="3" t="str">
        <f>IF(Table1[[#This Row],[Passing Attempts]] &lt;15, "Y", "N")</f>
        <v>N</v>
      </c>
      <c r="AI417" s="3" t="str">
        <f>IF(Table1[[#This Row],[Rushing Attempts]] &lt; 15, "Y", "N")</f>
        <v>N</v>
      </c>
      <c r="AJ417" s="3" t="str">
        <f>IF(Table1[[#This Row],[Opp Passing Attempts]]&lt;15, "Y", "N")</f>
        <v>N</v>
      </c>
      <c r="AK417" s="3" t="str">
        <f>IF(Table1[[#This Row],[Opp Rushing Attempts]]&lt;15, "Y", "N")</f>
        <v>N</v>
      </c>
      <c r="AL41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1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1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17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17" s="3">
        <f>ABS(Table1[[#This Row],[Team Score]]-Table1[[#This Row],[Opp Team Score]])</f>
        <v>13</v>
      </c>
      <c r="AQ417" s="3">
        <f>SUM(Table1[[#This Row],[Team Score]], Table1[[#This Row],[Opp Team Score]])</f>
        <v>61</v>
      </c>
      <c r="AR41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17" s="3" t="str">
        <f>IF(Table1[[#This Row],[Efficiency Difference]] = " ", " ", ROUND((Table1[[#This Row],[Winning Margin]]*100)/Table1[[#This Row],[Efficiency Difference]], 2))</f>
        <v xml:space="preserve"> </v>
      </c>
    </row>
    <row r="418" spans="1:45">
      <c r="A418" t="s">
        <v>102</v>
      </c>
      <c r="B418">
        <v>428</v>
      </c>
      <c r="C418">
        <v>17</v>
      </c>
      <c r="D418">
        <v>192</v>
      </c>
      <c r="E418">
        <v>26</v>
      </c>
      <c r="F418">
        <v>1</v>
      </c>
      <c r="G418">
        <v>14</v>
      </c>
      <c r="H418">
        <v>1</v>
      </c>
      <c r="I418">
        <v>110</v>
      </c>
      <c r="J418">
        <v>34</v>
      </c>
      <c r="K418">
        <v>1</v>
      </c>
      <c r="L418">
        <v>0</v>
      </c>
      <c r="M418" t="s">
        <v>103</v>
      </c>
      <c r="N418">
        <v>657</v>
      </c>
      <c r="O418">
        <v>19</v>
      </c>
      <c r="P418">
        <v>304</v>
      </c>
      <c r="Q418">
        <v>45</v>
      </c>
      <c r="R418">
        <v>3</v>
      </c>
      <c r="S418">
        <v>34</v>
      </c>
      <c r="T418">
        <v>0</v>
      </c>
      <c r="U418">
        <v>67</v>
      </c>
      <c r="V418">
        <v>28</v>
      </c>
      <c r="W418">
        <v>0</v>
      </c>
      <c r="X418">
        <v>1</v>
      </c>
      <c r="Y418" t="s">
        <v>19</v>
      </c>
      <c r="Z418">
        <v>1</v>
      </c>
      <c r="AA418">
        <f>IF(AND(Table1[[#This Row],[Throw Out Pass Eff]]="N", Table1[[#This Row],[Against FCS Team]]="N"), ROUND(((5.45 * D418) + (150 * F418) + (100 * G418) - (300 * H418)) / E418, 2), " ")</f>
        <v>88.32</v>
      </c>
      <c r="AB418">
        <f>IF(AND(Table1[[#This Row],[Throw Out Pass Def Eff]]="N", Table1[[#This Row],[Against FCS Team]]="N"),200 - ROUND(((5.45 * P418) + (150 * R418) + (100 * S418) - (300 * T418)) / Q418, 2), " ")</f>
        <v>77.63</v>
      </c>
      <c r="AC418">
        <f>IF(AND(Table1[[#This Row],[Throw Out Rush Eff]]="N", Table1[[#This Row],[Against FCS Team]]="N"), ROUND(((23.2 * I418) + (150 * K418) - (300 * L418)) / J418, 2), " ")</f>
        <v>79.47</v>
      </c>
      <c r="AD418" s="3">
        <f>IF(AND(Table1[[#This Row],[Throw Out Rush Def Eff]]="N", Table1[[#This Row],[Against FCS Team]]="N"), 200 - ROUND(((23.2 * U418) + (150 * W418) - (300 * X418)) / V418, 2), " ")</f>
        <v>155.19999999999999</v>
      </c>
      <c r="AE418" s="3">
        <f>ROUND(Table1[[#This Row],[Opp Passing Attempts]]/(Table1[[#This Row],[Opp Passing Attempts]]+Table1[[#This Row],[Opp Rushing Attempts]]), 2)</f>
        <v>0.62</v>
      </c>
      <c r="AF418" s="3">
        <f>1-Table1[[#This Row],[Passing Weight]]</f>
        <v>0.38</v>
      </c>
      <c r="AG418" s="3" t="str">
        <f>IF(COUNTIF(A:A,Table1[[#This Row],[Opp Team Name]]) &gt; 0, "N", "Y")</f>
        <v>N</v>
      </c>
      <c r="AH418" s="3" t="str">
        <f>IF(Table1[[#This Row],[Passing Attempts]] &lt;15, "Y", "N")</f>
        <v>N</v>
      </c>
      <c r="AI418" s="3" t="str">
        <f>IF(Table1[[#This Row],[Rushing Attempts]] &lt; 15, "Y", "N")</f>
        <v>N</v>
      </c>
      <c r="AJ418" s="3" t="str">
        <f>IF(Table1[[#This Row],[Opp Passing Attempts]]&lt;15, "Y", "N")</f>
        <v>N</v>
      </c>
      <c r="AK418" s="3" t="str">
        <f>IF(Table1[[#This Row],[Opp Rushing Attempts]]&lt;15, "Y", "N")</f>
        <v>N</v>
      </c>
      <c r="AL41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89.76</v>
      </c>
      <c r="AM41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89.6</v>
      </c>
      <c r="AN41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99.32</v>
      </c>
      <c r="AO41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142.36000000000001</v>
      </c>
      <c r="AP418" s="3">
        <f>ABS(Table1[[#This Row],[Team Score]]-Table1[[#This Row],[Opp Team Score]])</f>
        <v>2</v>
      </c>
      <c r="AQ418" s="3">
        <f>SUM(Table1[[#This Row],[Team Score]], Table1[[#This Row],[Opp Team Score]])</f>
        <v>36</v>
      </c>
      <c r="AR41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0.61999999999997613</v>
      </c>
      <c r="AS418" s="3">
        <f>IF(Table1[[#This Row],[Efficiency Difference]] = " ", " ", ROUND((Table1[[#This Row],[Winning Margin]]*100)/Table1[[#This Row],[Efficiency Difference]], 2))</f>
        <v>322.58</v>
      </c>
    </row>
    <row r="419" spans="1:45">
      <c r="A419" t="s">
        <v>102</v>
      </c>
      <c r="B419">
        <v>428</v>
      </c>
      <c r="C419">
        <v>21</v>
      </c>
      <c r="D419">
        <v>238</v>
      </c>
      <c r="E419">
        <v>40</v>
      </c>
      <c r="F419">
        <v>2</v>
      </c>
      <c r="G419">
        <v>18</v>
      </c>
      <c r="H419">
        <v>2</v>
      </c>
      <c r="I419">
        <v>181</v>
      </c>
      <c r="J419">
        <v>35</v>
      </c>
      <c r="K419">
        <v>1</v>
      </c>
      <c r="L419">
        <v>0</v>
      </c>
      <c r="M419" t="s">
        <v>108</v>
      </c>
      <c r="N419">
        <v>472</v>
      </c>
      <c r="O419">
        <v>28</v>
      </c>
      <c r="P419">
        <v>288</v>
      </c>
      <c r="Q419">
        <v>31</v>
      </c>
      <c r="R419">
        <v>3</v>
      </c>
      <c r="S419">
        <v>20</v>
      </c>
      <c r="T419">
        <v>2</v>
      </c>
      <c r="U419">
        <v>133</v>
      </c>
      <c r="V419">
        <v>37</v>
      </c>
      <c r="W419">
        <v>1</v>
      </c>
      <c r="X419">
        <v>0</v>
      </c>
      <c r="Y419" t="s">
        <v>19</v>
      </c>
      <c r="Z419">
        <v>2</v>
      </c>
      <c r="AA419">
        <f>IF(AND(Table1[[#This Row],[Throw Out Pass Eff]]="N", Table1[[#This Row],[Against FCS Team]]="N"), ROUND(((5.45 * D419) + (150 * F419) + (100 * G419) - (300 * H419)) / E419, 2), " ")</f>
        <v>69.930000000000007</v>
      </c>
      <c r="AB419">
        <f>IF(AND(Table1[[#This Row],[Throw Out Pass Def Eff]]="N", Table1[[#This Row],[Against FCS Team]]="N"),200 - ROUND(((5.45 * P419) + (150 * R419) + (100 * S419) - (300 * T419)) / Q419, 2), " ")</f>
        <v>89.69</v>
      </c>
      <c r="AC419">
        <f>IF(AND(Table1[[#This Row],[Throw Out Rush Eff]]="N", Table1[[#This Row],[Against FCS Team]]="N"), ROUND(((23.2 * I419) + (150 * K419) - (300 * L419)) / J419, 2), " ")</f>
        <v>124.26</v>
      </c>
      <c r="AD419" s="3">
        <f>IF(AND(Table1[[#This Row],[Throw Out Rush Def Eff]]="N", Table1[[#This Row],[Against FCS Team]]="N"), 200 - ROUND(((23.2 * U419) + (150 * W419) - (300 * X419)) / V419, 2), " ")</f>
        <v>112.55</v>
      </c>
      <c r="AE419" s="3">
        <f>ROUND(Table1[[#This Row],[Opp Passing Attempts]]/(Table1[[#This Row],[Opp Passing Attempts]]+Table1[[#This Row],[Opp Rushing Attempts]]), 2)</f>
        <v>0.46</v>
      </c>
      <c r="AF419" s="3">
        <f>1-Table1[[#This Row],[Passing Weight]]</f>
        <v>0.54</v>
      </c>
      <c r="AG419" s="3" t="str">
        <f>IF(COUNTIF(A:A,Table1[[#This Row],[Opp Team Name]]) &gt; 0, "N", "Y")</f>
        <v>N</v>
      </c>
      <c r="AH419" s="3" t="str">
        <f>IF(Table1[[#This Row],[Passing Attempts]] &lt;15, "Y", "N")</f>
        <v>N</v>
      </c>
      <c r="AI419" s="3" t="str">
        <f>IF(Table1[[#This Row],[Rushing Attempts]] &lt; 15, "Y", "N")</f>
        <v>N</v>
      </c>
      <c r="AJ419" s="3" t="str">
        <f>IF(Table1[[#This Row],[Opp Passing Attempts]]&lt;15, "Y", "N")</f>
        <v>N</v>
      </c>
      <c r="AK419" s="3" t="str">
        <f>IF(Table1[[#This Row],[Opp Rushing Attempts]]&lt;15, "Y", "N")</f>
        <v>N</v>
      </c>
      <c r="AL41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79.900000000000006</v>
      </c>
      <c r="AM41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99.45</v>
      </c>
      <c r="AN41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103.22</v>
      </c>
      <c r="AO41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89.78</v>
      </c>
      <c r="AP419" s="3">
        <f>ABS(Table1[[#This Row],[Team Score]]-Table1[[#This Row],[Opp Team Score]])</f>
        <v>7</v>
      </c>
      <c r="AQ419" s="3">
        <f>SUM(Table1[[#This Row],[Team Score]], Table1[[#This Row],[Opp Team Score]])</f>
        <v>49</v>
      </c>
      <c r="AR41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3.5699999999999932</v>
      </c>
      <c r="AS419" s="3">
        <f>IF(Table1[[#This Row],[Efficiency Difference]] = " ", " ", ROUND((Table1[[#This Row],[Winning Margin]]*100)/Table1[[#This Row],[Efficiency Difference]], 2))</f>
        <v>196.08</v>
      </c>
    </row>
    <row r="420" spans="1:45">
      <c r="A420" t="s">
        <v>102</v>
      </c>
      <c r="B420">
        <v>428</v>
      </c>
      <c r="C420">
        <v>29</v>
      </c>
      <c r="D420">
        <v>163</v>
      </c>
      <c r="E420">
        <v>21</v>
      </c>
      <c r="F420">
        <v>1</v>
      </c>
      <c r="G420">
        <v>11</v>
      </c>
      <c r="H420">
        <v>0</v>
      </c>
      <c r="I420">
        <v>236</v>
      </c>
      <c r="J420">
        <v>47</v>
      </c>
      <c r="K420">
        <v>1</v>
      </c>
      <c r="L420">
        <v>0</v>
      </c>
      <c r="M420" t="s">
        <v>96</v>
      </c>
      <c r="N420">
        <v>414</v>
      </c>
      <c r="O420">
        <v>23</v>
      </c>
      <c r="P420">
        <v>325</v>
      </c>
      <c r="Q420">
        <v>48</v>
      </c>
      <c r="R420">
        <v>2</v>
      </c>
      <c r="S420">
        <v>27</v>
      </c>
      <c r="T420">
        <v>1</v>
      </c>
      <c r="U420">
        <v>80</v>
      </c>
      <c r="V420">
        <v>21</v>
      </c>
      <c r="W420">
        <v>1</v>
      </c>
      <c r="X420">
        <v>0</v>
      </c>
      <c r="Y420" t="s">
        <v>16</v>
      </c>
      <c r="Z420">
        <v>3</v>
      </c>
      <c r="AA420">
        <f>IF(AND(Table1[[#This Row],[Throw Out Pass Eff]]="N", Table1[[#This Row],[Against FCS Team]]="N"), ROUND(((5.45 * D420) + (150 * F420) + (100 * G420) - (300 * H420)) / E420, 2), " ")</f>
        <v>101.83</v>
      </c>
      <c r="AB420">
        <f>IF(AND(Table1[[#This Row],[Throw Out Pass Def Eff]]="N", Table1[[#This Row],[Against FCS Team]]="N"),200 - ROUND(((5.45 * P420) + (150 * R420) + (100 * S420) - (300 * T420)) / Q420, 2), " ")</f>
        <v>106.85</v>
      </c>
      <c r="AC420">
        <f>IF(AND(Table1[[#This Row],[Throw Out Rush Eff]]="N", Table1[[#This Row],[Against FCS Team]]="N"), ROUND(((23.2 * I420) + (150 * K420) - (300 * L420)) / J420, 2), " ")</f>
        <v>119.69</v>
      </c>
      <c r="AD420" s="3">
        <f>IF(AND(Table1[[#This Row],[Throw Out Rush Def Eff]]="N", Table1[[#This Row],[Against FCS Team]]="N"), 200 - ROUND(((23.2 * U420) + (150 * W420) - (300 * X420)) / V420, 2), " ")</f>
        <v>104.48</v>
      </c>
      <c r="AE420" s="3">
        <f>ROUND(Table1[[#This Row],[Opp Passing Attempts]]/(Table1[[#This Row],[Opp Passing Attempts]]+Table1[[#This Row],[Opp Rushing Attempts]]), 2)</f>
        <v>0.7</v>
      </c>
      <c r="AF420" s="3">
        <f>1-Table1[[#This Row],[Passing Weight]]</f>
        <v>0.30000000000000004</v>
      </c>
      <c r="AG420" s="3" t="str">
        <f>IF(COUNTIF(A:A,Table1[[#This Row],[Opp Team Name]]) &gt; 0, "N", "Y")</f>
        <v>N</v>
      </c>
      <c r="AH420" s="3" t="str">
        <f>IF(Table1[[#This Row],[Passing Attempts]] &lt;15, "Y", "N")</f>
        <v>N</v>
      </c>
      <c r="AI420" s="3" t="str">
        <f>IF(Table1[[#This Row],[Rushing Attempts]] &lt; 15, "Y", "N")</f>
        <v>N</v>
      </c>
      <c r="AJ420" s="3" t="str">
        <f>IF(Table1[[#This Row],[Opp Passing Attempts]]&lt;15, "Y", "N")</f>
        <v>N</v>
      </c>
      <c r="AK420" s="3" t="str">
        <f>IF(Table1[[#This Row],[Opp Rushing Attempts]]&lt;15, "Y", "N")</f>
        <v>N</v>
      </c>
      <c r="AL4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103.46</v>
      </c>
      <c r="AM4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103.46</v>
      </c>
      <c r="AN4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120.54</v>
      </c>
      <c r="AO4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43.3</v>
      </c>
      <c r="AP420" s="3">
        <f>ABS(Table1[[#This Row],[Team Score]]-Table1[[#This Row],[Opp Team Score]])</f>
        <v>6</v>
      </c>
      <c r="AQ420" s="3">
        <f>SUM(Table1[[#This Row],[Team Score]], Table1[[#This Row],[Opp Team Score]])</f>
        <v>52</v>
      </c>
      <c r="AR4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32.849999999999966</v>
      </c>
      <c r="AS420" s="3">
        <f>IF(Table1[[#This Row],[Efficiency Difference]] = " ", " ", ROUND((Table1[[#This Row],[Winning Margin]]*100)/Table1[[#This Row],[Efficiency Difference]], 2))</f>
        <v>18.260000000000002</v>
      </c>
    </row>
    <row r="421" spans="1:45">
      <c r="A421" t="s">
        <v>102</v>
      </c>
      <c r="B421">
        <v>428</v>
      </c>
      <c r="C421">
        <v>0</v>
      </c>
      <c r="D421">
        <v>104</v>
      </c>
      <c r="E421">
        <v>22</v>
      </c>
      <c r="F421">
        <v>0</v>
      </c>
      <c r="G421">
        <v>11</v>
      </c>
      <c r="H421">
        <v>0</v>
      </c>
      <c r="I421">
        <v>73</v>
      </c>
      <c r="J421">
        <v>25</v>
      </c>
      <c r="K421">
        <v>0</v>
      </c>
      <c r="L421">
        <v>2</v>
      </c>
      <c r="M421" t="s">
        <v>180</v>
      </c>
      <c r="N421">
        <v>418</v>
      </c>
      <c r="O421">
        <v>58</v>
      </c>
      <c r="P421">
        <v>217</v>
      </c>
      <c r="Q421">
        <v>25</v>
      </c>
      <c r="R421">
        <v>3</v>
      </c>
      <c r="S421">
        <v>18</v>
      </c>
      <c r="T421">
        <v>0</v>
      </c>
      <c r="U421">
        <v>363</v>
      </c>
      <c r="V421">
        <v>48</v>
      </c>
      <c r="W421">
        <v>3</v>
      </c>
      <c r="X421">
        <v>0</v>
      </c>
      <c r="Y421" t="s">
        <v>19</v>
      </c>
      <c r="Z421">
        <v>5</v>
      </c>
      <c r="AA421">
        <f>IF(AND(Table1[[#This Row],[Throw Out Pass Eff]]="N", Table1[[#This Row],[Against FCS Team]]="N"), ROUND(((5.45 * D421) + (150 * F421) + (100 * G421) - (300 * H421)) / E421, 2), " ")</f>
        <v>75.760000000000005</v>
      </c>
      <c r="AB421">
        <f>IF(AND(Table1[[#This Row],[Throw Out Pass Def Eff]]="N", Table1[[#This Row],[Against FCS Team]]="N"),200 - ROUND(((5.45 * P421) + (150 * R421) + (100 * S421) - (300 * T421)) / Q421, 2), " ")</f>
        <v>62.69</v>
      </c>
      <c r="AC421">
        <f>IF(AND(Table1[[#This Row],[Throw Out Rush Eff]]="N", Table1[[#This Row],[Against FCS Team]]="N"), ROUND(((23.2 * I421) + (150 * K421) - (300 * L421)) / J421, 2), " ")</f>
        <v>43.74</v>
      </c>
      <c r="AD421" s="3">
        <f>IF(AND(Table1[[#This Row],[Throw Out Rush Def Eff]]="N", Table1[[#This Row],[Against FCS Team]]="N"), 200 - ROUND(((23.2 * U421) + (150 * W421) - (300 * X421)) / V421, 2), " ")</f>
        <v>15.169999999999987</v>
      </c>
      <c r="AE421" s="3">
        <f>ROUND(Table1[[#This Row],[Opp Passing Attempts]]/(Table1[[#This Row],[Opp Passing Attempts]]+Table1[[#This Row],[Opp Rushing Attempts]]), 2)</f>
        <v>0.34</v>
      </c>
      <c r="AF421" s="3">
        <f>1-Table1[[#This Row],[Passing Weight]]</f>
        <v>0.65999999999999992</v>
      </c>
      <c r="AG421" s="3" t="str">
        <f>IF(COUNTIF(A:A,Table1[[#This Row],[Opp Team Name]]) &gt; 0, "N", "Y")</f>
        <v>N</v>
      </c>
      <c r="AH421" s="3" t="str">
        <f>IF(Table1[[#This Row],[Passing Attempts]] &lt;15, "Y", "N")</f>
        <v>N</v>
      </c>
      <c r="AI421" s="3" t="str">
        <f>IF(Table1[[#This Row],[Rushing Attempts]] &lt; 15, "Y", "N")</f>
        <v>N</v>
      </c>
      <c r="AJ421" s="3" t="str">
        <f>IF(Table1[[#This Row],[Opp Passing Attempts]]&lt;15, "Y", "N")</f>
        <v>N</v>
      </c>
      <c r="AK421" s="3" t="str">
        <f>IF(Table1[[#This Row],[Opp Rushing Attempts]]&lt;15, "Y", "N")</f>
        <v>N</v>
      </c>
      <c r="AL4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81.31</v>
      </c>
      <c r="AM4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56.1</v>
      </c>
      <c r="AN4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47.68</v>
      </c>
      <c r="AO4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19.97</v>
      </c>
      <c r="AP421" s="3">
        <f>ABS(Table1[[#This Row],[Team Score]]-Table1[[#This Row],[Opp Team Score]])</f>
        <v>58</v>
      </c>
      <c r="AQ421" s="3">
        <f>SUM(Table1[[#This Row],[Team Score]], Table1[[#This Row],[Opp Team Score]])</f>
        <v>58</v>
      </c>
      <c r="AR4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202.64</v>
      </c>
      <c r="AS421" s="3">
        <f>IF(Table1[[#This Row],[Efficiency Difference]] = " ", " ", ROUND((Table1[[#This Row],[Winning Margin]]*100)/Table1[[#This Row],[Efficiency Difference]], 2))</f>
        <v>28.62</v>
      </c>
    </row>
    <row r="422" spans="1:45">
      <c r="A422" t="s">
        <v>102</v>
      </c>
      <c r="B422">
        <v>428</v>
      </c>
      <c r="C422">
        <v>17</v>
      </c>
      <c r="D422">
        <v>113</v>
      </c>
      <c r="E422">
        <v>23</v>
      </c>
      <c r="F422">
        <v>0</v>
      </c>
      <c r="G422">
        <v>10</v>
      </c>
      <c r="H422">
        <v>1</v>
      </c>
      <c r="I422">
        <v>100</v>
      </c>
      <c r="J422">
        <v>33</v>
      </c>
      <c r="K422">
        <v>1</v>
      </c>
      <c r="L422">
        <v>2</v>
      </c>
      <c r="M422" t="s">
        <v>101</v>
      </c>
      <c r="N422">
        <v>559</v>
      </c>
      <c r="O422">
        <v>45</v>
      </c>
      <c r="P422">
        <v>155</v>
      </c>
      <c r="Q422">
        <v>27</v>
      </c>
      <c r="R422">
        <v>2</v>
      </c>
      <c r="S422">
        <v>18</v>
      </c>
      <c r="T422">
        <v>0</v>
      </c>
      <c r="U422">
        <v>217</v>
      </c>
      <c r="V422">
        <v>47</v>
      </c>
      <c r="W422">
        <v>3</v>
      </c>
      <c r="X422">
        <v>0</v>
      </c>
      <c r="Y422" t="s">
        <v>19</v>
      </c>
      <c r="Z422">
        <v>6</v>
      </c>
      <c r="AA422">
        <f>IF(AND(Table1[[#This Row],[Throw Out Pass Eff]]="N", Table1[[#This Row],[Against FCS Team]]="N"), ROUND(((5.45 * D422) + (150 * F422) + (100 * G422) - (300 * H422)) / E422, 2), " ")</f>
        <v>57.21</v>
      </c>
      <c r="AB422">
        <f>IF(AND(Table1[[#This Row],[Throw Out Pass Def Eff]]="N", Table1[[#This Row],[Against FCS Team]]="N"),200 - ROUND(((5.45 * P422) + (150 * R422) + (100 * S422) - (300 * T422)) / Q422, 2), " ")</f>
        <v>90.94</v>
      </c>
      <c r="AC422">
        <f>IF(AND(Table1[[#This Row],[Throw Out Rush Eff]]="N", Table1[[#This Row],[Against FCS Team]]="N"), ROUND(((23.2 * I422) + (150 * K422) - (300 * L422)) / J422, 2), " ")</f>
        <v>56.67</v>
      </c>
      <c r="AD422" s="3">
        <f>IF(AND(Table1[[#This Row],[Throw Out Rush Def Eff]]="N", Table1[[#This Row],[Against FCS Team]]="N"), 200 - ROUND(((23.2 * U422) + (150 * W422) - (300 * X422)) / V422, 2), " ")</f>
        <v>83.31</v>
      </c>
      <c r="AE422" s="3">
        <f>ROUND(Table1[[#This Row],[Opp Passing Attempts]]/(Table1[[#This Row],[Opp Passing Attempts]]+Table1[[#This Row],[Opp Rushing Attempts]]), 2)</f>
        <v>0.36</v>
      </c>
      <c r="AF422" s="3">
        <f>1-Table1[[#This Row],[Passing Weight]]</f>
        <v>0.64</v>
      </c>
      <c r="AG422" s="3" t="str">
        <f>IF(COUNTIF(A:A,Table1[[#This Row],[Opp Team Name]]) &gt; 0, "N", "Y")</f>
        <v>N</v>
      </c>
      <c r="AH422" s="3" t="str">
        <f>IF(Table1[[#This Row],[Passing Attempts]] &lt;15, "Y", "N")</f>
        <v>N</v>
      </c>
      <c r="AI422" s="3" t="str">
        <f>IF(Table1[[#This Row],[Rushing Attempts]] &lt; 15, "Y", "N")</f>
        <v>N</v>
      </c>
      <c r="AJ422" s="3" t="str">
        <f>IF(Table1[[#This Row],[Opp Passing Attempts]]&lt;15, "Y", "N")</f>
        <v>N</v>
      </c>
      <c r="AK422" s="3" t="str">
        <f>IF(Table1[[#This Row],[Opp Rushing Attempts]]&lt;15, "Y", "N")</f>
        <v>N</v>
      </c>
      <c r="AL4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63.31</v>
      </c>
      <c r="AM4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80.760000000000005</v>
      </c>
      <c r="AN4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59.98</v>
      </c>
      <c r="AO4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80.650000000000006</v>
      </c>
      <c r="AP422" s="3">
        <f>ABS(Table1[[#This Row],[Team Score]]-Table1[[#This Row],[Opp Team Score]])</f>
        <v>28</v>
      </c>
      <c r="AQ422" s="3">
        <f>SUM(Table1[[#This Row],[Team Score]], Table1[[#This Row],[Opp Team Score]])</f>
        <v>62</v>
      </c>
      <c r="AR4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111.87</v>
      </c>
      <c r="AS422" s="3">
        <f>IF(Table1[[#This Row],[Efficiency Difference]] = " ", " ", ROUND((Table1[[#This Row],[Winning Margin]]*100)/Table1[[#This Row],[Efficiency Difference]], 2))</f>
        <v>25.03</v>
      </c>
    </row>
    <row r="423" spans="1:45">
      <c r="A423" t="s">
        <v>102</v>
      </c>
      <c r="B423">
        <v>428</v>
      </c>
      <c r="C423">
        <v>14</v>
      </c>
      <c r="D423">
        <v>122</v>
      </c>
      <c r="E423">
        <v>18</v>
      </c>
      <c r="F423">
        <v>0</v>
      </c>
      <c r="G423">
        <v>9</v>
      </c>
      <c r="H423">
        <v>0</v>
      </c>
      <c r="I423">
        <v>132</v>
      </c>
      <c r="J423">
        <v>39</v>
      </c>
      <c r="K423">
        <v>2</v>
      </c>
      <c r="L423">
        <v>1</v>
      </c>
      <c r="M423" t="s">
        <v>106</v>
      </c>
      <c r="N423">
        <v>463</v>
      </c>
      <c r="O423">
        <v>41</v>
      </c>
      <c r="P423">
        <v>169</v>
      </c>
      <c r="Q423">
        <v>23</v>
      </c>
      <c r="R423">
        <v>1</v>
      </c>
      <c r="S423">
        <v>14</v>
      </c>
      <c r="T423">
        <v>0</v>
      </c>
      <c r="U423">
        <v>346</v>
      </c>
      <c r="V423">
        <v>56</v>
      </c>
      <c r="W423">
        <v>3</v>
      </c>
      <c r="X423">
        <v>0</v>
      </c>
      <c r="Y423" t="s">
        <v>19</v>
      </c>
      <c r="Z423">
        <v>8</v>
      </c>
      <c r="AA423" s="3">
        <f>IF(AND(Table1[[#This Row],[Throw Out Pass Eff]]="N", Table1[[#This Row],[Against FCS Team]]="N"), ROUND(((5.45 * D423) + (150 * F423) + (100 * G423) - (300 * H423)) / E423, 2), " ")</f>
        <v>86.94</v>
      </c>
      <c r="AB423" s="3">
        <f>IF(AND(Table1[[#This Row],[Throw Out Pass Def Eff]]="N", Table1[[#This Row],[Against FCS Team]]="N"),200 - ROUND(((5.45 * P423) + (150 * R423) + (100 * S423) - (300 * T423)) / Q423, 2), " ")</f>
        <v>92.56</v>
      </c>
      <c r="AC423" s="3">
        <f>IF(AND(Table1[[#This Row],[Throw Out Rush Eff]]="N", Table1[[#This Row],[Against FCS Team]]="N"), ROUND(((23.2 * I423) + (150 * K423) - (300 * L423)) / J423, 2), " ")</f>
        <v>78.52</v>
      </c>
      <c r="AD423" s="3">
        <f>IF(AND(Table1[[#This Row],[Throw Out Rush Def Eff]]="N", Table1[[#This Row],[Against FCS Team]]="N"), 200 - ROUND(((23.2 * U423) + (150 * W423) - (300 * X423)) / V423, 2), " ")</f>
        <v>48.620000000000005</v>
      </c>
      <c r="AE423" s="3">
        <f>ROUND(Table1[[#This Row],[Opp Passing Attempts]]/(Table1[[#This Row],[Opp Passing Attempts]]+Table1[[#This Row],[Opp Rushing Attempts]]), 2)</f>
        <v>0.28999999999999998</v>
      </c>
      <c r="AF423" s="3">
        <f>1-Table1[[#This Row],[Passing Weight]]</f>
        <v>0.71</v>
      </c>
      <c r="AG423" s="3" t="str">
        <f>IF(COUNTIF(A:A,Table1[[#This Row],[Opp Team Name]]) &gt; 0, "N", "Y")</f>
        <v>N</v>
      </c>
      <c r="AH423" s="3" t="str">
        <f>IF(Table1[[#This Row],[Passing Attempts]] &lt;15, "Y", "N")</f>
        <v>N</v>
      </c>
      <c r="AI423" s="3" t="str">
        <f>IF(Table1[[#This Row],[Rushing Attempts]] &lt; 15, "Y", "N")</f>
        <v>N</v>
      </c>
      <c r="AJ423" s="3" t="str">
        <f>IF(Table1[[#This Row],[Opp Passing Attempts]]&lt;15, "Y", "N")</f>
        <v>N</v>
      </c>
      <c r="AK423" s="3" t="str">
        <f>IF(Table1[[#This Row],[Opp Rushing Attempts]]&lt;15, "Y", "N")</f>
        <v>N</v>
      </c>
      <c r="AL4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92.4</v>
      </c>
      <c r="AM4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87.99</v>
      </c>
      <c r="AN4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72.55</v>
      </c>
      <c r="AO4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66.239999999999995</v>
      </c>
      <c r="AP423" s="3">
        <f>ABS(Table1[[#This Row],[Team Score]]-Table1[[#This Row],[Opp Team Score]])</f>
        <v>27</v>
      </c>
      <c r="AQ423" s="3">
        <f>SUM(Table1[[#This Row],[Team Score]], Table1[[#This Row],[Opp Team Score]])</f>
        <v>55</v>
      </c>
      <c r="AR4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93.360000000000014</v>
      </c>
      <c r="AS423" s="3">
        <f>IF(Table1[[#This Row],[Efficiency Difference]] = " ", " ", ROUND((Table1[[#This Row],[Winning Margin]]*100)/Table1[[#This Row],[Efficiency Difference]], 2))</f>
        <v>28.92</v>
      </c>
    </row>
    <row r="424" spans="1:45">
      <c r="A424" t="s">
        <v>95</v>
      </c>
      <c r="B424">
        <v>430</v>
      </c>
      <c r="C424">
        <v>59</v>
      </c>
      <c r="D424">
        <v>336</v>
      </c>
      <c r="E424">
        <v>31</v>
      </c>
      <c r="F424">
        <v>3</v>
      </c>
      <c r="G424">
        <v>19</v>
      </c>
      <c r="H424">
        <v>0</v>
      </c>
      <c r="I424">
        <v>309</v>
      </c>
      <c r="J424">
        <v>38</v>
      </c>
      <c r="K424">
        <v>5</v>
      </c>
      <c r="L424">
        <v>1</v>
      </c>
      <c r="M424" t="s">
        <v>94</v>
      </c>
      <c r="N424">
        <v>404</v>
      </c>
      <c r="O424">
        <v>14</v>
      </c>
      <c r="P424">
        <v>174</v>
      </c>
      <c r="Q424">
        <v>40</v>
      </c>
      <c r="R424">
        <v>1</v>
      </c>
      <c r="S424">
        <v>26</v>
      </c>
      <c r="T424">
        <v>1</v>
      </c>
      <c r="U424">
        <v>164</v>
      </c>
      <c r="V424">
        <v>47</v>
      </c>
      <c r="W424">
        <v>1</v>
      </c>
      <c r="X424">
        <v>2</v>
      </c>
      <c r="Y424" t="s">
        <v>16</v>
      </c>
      <c r="Z424">
        <v>1</v>
      </c>
      <c r="AA424">
        <f>IF(AND(Table1[[#This Row],[Throw Out Pass Eff]]="N", Table1[[#This Row],[Against FCS Team]]="N"), ROUND(((5.45 * D424) + (150 * F424) + (100 * G424) - (300 * H424)) / E424, 2), " ")</f>
        <v>134.88</v>
      </c>
      <c r="AB424">
        <f>IF(AND(Table1[[#This Row],[Throw Out Pass Def Eff]]="N", Table1[[#This Row],[Against FCS Team]]="N"),200 - ROUND(((5.45 * P424) + (150 * R424) + (100 * S424) - (300 * T424)) / Q424, 2), " ")</f>
        <v>115.04</v>
      </c>
      <c r="AC424">
        <f>IF(AND(Table1[[#This Row],[Throw Out Rush Eff]]="N", Table1[[#This Row],[Against FCS Team]]="N"), ROUND(((23.2 * I424) + (150 * K424) - (300 * L424)) / J424, 2), " ")</f>
        <v>200.49</v>
      </c>
      <c r="AD424" s="3">
        <f>IF(AND(Table1[[#This Row],[Throw Out Rush Def Eff]]="N", Table1[[#This Row],[Against FCS Team]]="N"), 200 - ROUND(((23.2 * U424) + (150 * W424) - (300 * X424)) / V424, 2), " ")</f>
        <v>128.62</v>
      </c>
      <c r="AE424" s="3">
        <f>ROUND(Table1[[#This Row],[Opp Passing Attempts]]/(Table1[[#This Row],[Opp Passing Attempts]]+Table1[[#This Row],[Opp Rushing Attempts]]), 2)</f>
        <v>0.46</v>
      </c>
      <c r="AF424" s="3">
        <f>1-Table1[[#This Row],[Passing Weight]]</f>
        <v>0.54</v>
      </c>
      <c r="AG424" s="3" t="str">
        <f>IF(COUNTIF(A:A,Table1[[#This Row],[Opp Team Name]]) &gt; 0, "N", "Y")</f>
        <v>N</v>
      </c>
      <c r="AH424" s="3" t="str">
        <f>IF(Table1[[#This Row],[Passing Attempts]] &lt;15, "Y", "N")</f>
        <v>N</v>
      </c>
      <c r="AI424" s="3" t="str">
        <f>IF(Table1[[#This Row],[Rushing Attempts]] &lt; 15, "Y", "N")</f>
        <v>N</v>
      </c>
      <c r="AJ424" s="3" t="str">
        <f>IF(Table1[[#This Row],[Opp Passing Attempts]]&lt;15, "Y", "N")</f>
        <v>N</v>
      </c>
      <c r="AK424" s="3" t="str">
        <f>IF(Table1[[#This Row],[Opp Rushing Attempts]]&lt;15, "Y", "N")</f>
        <v>N</v>
      </c>
      <c r="AL4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109.35</v>
      </c>
      <c r="AM4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96.12</v>
      </c>
      <c r="AN4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165.64</v>
      </c>
      <c r="AO4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59.91</v>
      </c>
      <c r="AP424" s="3">
        <f>ABS(Table1[[#This Row],[Team Score]]-Table1[[#This Row],[Opp Team Score]])</f>
        <v>45</v>
      </c>
      <c r="AQ424" s="3">
        <f>SUM(Table1[[#This Row],[Team Score]], Table1[[#This Row],[Opp Team Score]])</f>
        <v>73</v>
      </c>
      <c r="AR4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179.03000000000003</v>
      </c>
      <c r="AS424" s="3">
        <f>IF(Table1[[#This Row],[Efficiency Difference]] = " ", " ", ROUND((Table1[[#This Row],[Winning Margin]]*100)/Table1[[#This Row],[Efficiency Difference]], 2))</f>
        <v>25.14</v>
      </c>
    </row>
    <row r="425" spans="1:45">
      <c r="A425" t="s">
        <v>95</v>
      </c>
      <c r="B425">
        <v>430</v>
      </c>
      <c r="C425">
        <v>34</v>
      </c>
      <c r="D425">
        <v>198</v>
      </c>
      <c r="E425">
        <v>34</v>
      </c>
      <c r="F425">
        <v>1</v>
      </c>
      <c r="G425">
        <v>21</v>
      </c>
      <c r="H425">
        <v>1</v>
      </c>
      <c r="I425">
        <v>333</v>
      </c>
      <c r="J425">
        <v>63</v>
      </c>
      <c r="K425">
        <v>2</v>
      </c>
      <c r="L425">
        <v>0</v>
      </c>
      <c r="M425" t="s">
        <v>32</v>
      </c>
      <c r="N425">
        <v>37</v>
      </c>
      <c r="O425">
        <v>41</v>
      </c>
      <c r="P425">
        <v>146</v>
      </c>
      <c r="Q425">
        <v>23</v>
      </c>
      <c r="R425">
        <v>2</v>
      </c>
      <c r="S425">
        <v>16</v>
      </c>
      <c r="T425">
        <v>1</v>
      </c>
      <c r="U425">
        <v>235</v>
      </c>
      <c r="V425">
        <v>36</v>
      </c>
      <c r="W425">
        <v>2</v>
      </c>
      <c r="X425">
        <v>0</v>
      </c>
      <c r="Y425" t="s">
        <v>19</v>
      </c>
      <c r="Z425">
        <v>2</v>
      </c>
      <c r="AA425">
        <f>IF(AND(Table1[[#This Row],[Throw Out Pass Eff]]="N", Table1[[#This Row],[Against FCS Team]]="N"), ROUND(((5.45 * D425) + (150 * F425) + (100 * G425) - (300 * H425)) / E425, 2), " ")</f>
        <v>89.09</v>
      </c>
      <c r="AB425">
        <f>IF(AND(Table1[[#This Row],[Throw Out Pass Def Eff]]="N", Table1[[#This Row],[Against FCS Team]]="N"),200 - ROUND(((5.45 * P425) + (150 * R425) + (100 * S425) - (300 * T425)) / Q425, 2), " ")</f>
        <v>95.84</v>
      </c>
      <c r="AC425">
        <f>IF(AND(Table1[[#This Row],[Throw Out Rush Eff]]="N", Table1[[#This Row],[Against FCS Team]]="N"), ROUND(((23.2 * I425) + (150 * K425) - (300 * L425)) / J425, 2), " ")</f>
        <v>127.39</v>
      </c>
      <c r="AD425" s="3">
        <f>IF(AND(Table1[[#This Row],[Throw Out Rush Def Eff]]="N", Table1[[#This Row],[Against FCS Team]]="N"), 200 - ROUND(((23.2 * U425) + (150 * W425) - (300 * X425)) / V425, 2), " ")</f>
        <v>40.22</v>
      </c>
      <c r="AE425" s="3">
        <f>ROUND(Table1[[#This Row],[Opp Passing Attempts]]/(Table1[[#This Row],[Opp Passing Attempts]]+Table1[[#This Row],[Opp Rushing Attempts]]), 2)</f>
        <v>0.39</v>
      </c>
      <c r="AF425" s="3">
        <f>1-Table1[[#This Row],[Passing Weight]]</f>
        <v>0.61</v>
      </c>
      <c r="AG425" s="3" t="str">
        <f>IF(COUNTIF(A:A,Table1[[#This Row],[Opp Team Name]]) &gt; 0, "N", "Y")</f>
        <v>N</v>
      </c>
      <c r="AH425" s="3" t="str">
        <f>IF(Table1[[#This Row],[Passing Attempts]] &lt;15, "Y", "N")</f>
        <v>N</v>
      </c>
      <c r="AI425" s="3" t="str">
        <f>IF(Table1[[#This Row],[Rushing Attempts]] &lt; 15, "Y", "N")</f>
        <v>N</v>
      </c>
      <c r="AJ425" s="3" t="str">
        <f>IF(Table1[[#This Row],[Opp Passing Attempts]]&lt;15, "Y", "N")</f>
        <v>N</v>
      </c>
      <c r="AK425" s="3" t="str">
        <f>IF(Table1[[#This Row],[Opp Rushing Attempts]]&lt;15, "Y", "N")</f>
        <v>N</v>
      </c>
      <c r="AL4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90.27</v>
      </c>
      <c r="AM4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79.92</v>
      </c>
      <c r="AN4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127.75</v>
      </c>
      <c r="AO4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42.44</v>
      </c>
      <c r="AP425" s="3">
        <f>ABS(Table1[[#This Row],[Team Score]]-Table1[[#This Row],[Opp Team Score]])</f>
        <v>7</v>
      </c>
      <c r="AQ425" s="3">
        <f>SUM(Table1[[#This Row],[Team Score]], Table1[[#This Row],[Opp Team Score]])</f>
        <v>75</v>
      </c>
      <c r="AR4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47.45999999999998</v>
      </c>
      <c r="AS425" s="3">
        <f>IF(Table1[[#This Row],[Efficiency Difference]] = " ", " ", ROUND((Table1[[#This Row],[Winning Margin]]*100)/Table1[[#This Row],[Efficiency Difference]], 2))</f>
        <v>14.75</v>
      </c>
    </row>
    <row r="426" spans="1:45">
      <c r="A426" t="s">
        <v>95</v>
      </c>
      <c r="B426">
        <v>430</v>
      </c>
      <c r="C426">
        <v>6</v>
      </c>
      <c r="D426">
        <v>141</v>
      </c>
      <c r="E426">
        <v>25</v>
      </c>
      <c r="F426">
        <v>0</v>
      </c>
      <c r="G426">
        <v>15</v>
      </c>
      <c r="H426">
        <v>2</v>
      </c>
      <c r="I426">
        <v>52</v>
      </c>
      <c r="J426">
        <v>34</v>
      </c>
      <c r="K426">
        <v>0</v>
      </c>
      <c r="L426">
        <v>0</v>
      </c>
      <c r="M426" t="s">
        <v>92</v>
      </c>
      <c r="N426">
        <v>365</v>
      </c>
      <c r="O426">
        <v>19</v>
      </c>
      <c r="P426">
        <v>213</v>
      </c>
      <c r="Q426">
        <v>27</v>
      </c>
      <c r="R426">
        <v>1</v>
      </c>
      <c r="S426">
        <v>21</v>
      </c>
      <c r="T426">
        <v>1</v>
      </c>
      <c r="U426">
        <v>148</v>
      </c>
      <c r="V426">
        <v>38</v>
      </c>
      <c r="W426">
        <v>0</v>
      </c>
      <c r="X426">
        <v>0</v>
      </c>
      <c r="Y426" t="s">
        <v>19</v>
      </c>
      <c r="Z426">
        <v>3</v>
      </c>
      <c r="AA426">
        <f>IF(AND(Table1[[#This Row],[Throw Out Pass Eff]]="N", Table1[[#This Row],[Against FCS Team]]="N"), ROUND(((5.45 * D426) + (150 * F426) + (100 * G426) - (300 * H426)) / E426, 2), " ")</f>
        <v>66.739999999999995</v>
      </c>
      <c r="AB426">
        <f>IF(AND(Table1[[#This Row],[Throw Out Pass Def Eff]]="N", Table1[[#This Row],[Against FCS Team]]="N"),200 - ROUND(((5.45 * P426) + (150 * R426) + (100 * S426) - (300 * T426)) / Q426, 2), " ")</f>
        <v>84.78</v>
      </c>
      <c r="AC426">
        <f>IF(AND(Table1[[#This Row],[Throw Out Rush Eff]]="N", Table1[[#This Row],[Against FCS Team]]="N"), ROUND(((23.2 * I426) + (150 * K426) - (300 * L426)) / J426, 2), " ")</f>
        <v>35.479999999999997</v>
      </c>
      <c r="AD426" s="3">
        <f>IF(AND(Table1[[#This Row],[Throw Out Rush Def Eff]]="N", Table1[[#This Row],[Against FCS Team]]="N"), 200 - ROUND(((23.2 * U426) + (150 * W426) - (300 * X426)) / V426, 2), " ")</f>
        <v>109.64</v>
      </c>
      <c r="AE426" s="3">
        <f>ROUND(Table1[[#This Row],[Opp Passing Attempts]]/(Table1[[#This Row],[Opp Passing Attempts]]+Table1[[#This Row],[Opp Rushing Attempts]]), 2)</f>
        <v>0.42</v>
      </c>
      <c r="AF426" s="3">
        <f>1-Table1[[#This Row],[Passing Weight]]</f>
        <v>0.58000000000000007</v>
      </c>
      <c r="AG426" s="3" t="str">
        <f>IF(COUNTIF(A:A,Table1[[#This Row],[Opp Team Name]]) &gt; 0, "N", "Y")</f>
        <v>N</v>
      </c>
      <c r="AH426" s="3" t="str">
        <f>IF(Table1[[#This Row],[Passing Attempts]] &lt;15, "Y", "N")</f>
        <v>N</v>
      </c>
      <c r="AI426" s="3" t="str">
        <f>IF(Table1[[#This Row],[Rushing Attempts]] &lt; 15, "Y", "N")</f>
        <v>N</v>
      </c>
      <c r="AJ426" s="3" t="str">
        <f>IF(Table1[[#This Row],[Opp Passing Attempts]]&lt;15, "Y", "N")</f>
        <v>N</v>
      </c>
      <c r="AK426" s="3" t="str">
        <f>IF(Table1[[#This Row],[Opp Rushing Attempts]]&lt;15, "Y", "N")</f>
        <v>N</v>
      </c>
      <c r="AL4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89.04</v>
      </c>
      <c r="AM4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93.6</v>
      </c>
      <c r="AN4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49.56</v>
      </c>
      <c r="AO4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118.26</v>
      </c>
      <c r="AP426" s="3">
        <f>ABS(Table1[[#This Row],[Team Score]]-Table1[[#This Row],[Opp Team Score]])</f>
        <v>13</v>
      </c>
      <c r="AQ426" s="3">
        <f>SUM(Table1[[#This Row],[Team Score]], Table1[[#This Row],[Opp Team Score]])</f>
        <v>25</v>
      </c>
      <c r="AR4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103.35999999999999</v>
      </c>
      <c r="AS426" s="3">
        <f>IF(Table1[[#This Row],[Efficiency Difference]] = " ", " ", ROUND((Table1[[#This Row],[Winning Margin]]*100)/Table1[[#This Row],[Efficiency Difference]], 2))</f>
        <v>12.58</v>
      </c>
    </row>
    <row r="427" spans="1:45">
      <c r="A427" t="s">
        <v>95</v>
      </c>
      <c r="B427">
        <v>430</v>
      </c>
      <c r="C427">
        <v>26</v>
      </c>
      <c r="D427">
        <v>164</v>
      </c>
      <c r="E427">
        <v>29</v>
      </c>
      <c r="F427">
        <v>1</v>
      </c>
      <c r="G427">
        <v>14</v>
      </c>
      <c r="H427">
        <v>1</v>
      </c>
      <c r="I427">
        <v>176</v>
      </c>
      <c r="J427">
        <v>44</v>
      </c>
      <c r="K427">
        <v>1</v>
      </c>
      <c r="L427">
        <v>0</v>
      </c>
      <c r="M427" t="s">
        <v>88</v>
      </c>
      <c r="N427">
        <v>366</v>
      </c>
      <c r="O427">
        <v>20</v>
      </c>
      <c r="P427">
        <v>252</v>
      </c>
      <c r="Q427">
        <v>41</v>
      </c>
      <c r="R427">
        <v>1</v>
      </c>
      <c r="S427">
        <v>30</v>
      </c>
      <c r="T427">
        <v>2</v>
      </c>
      <c r="U427">
        <v>107</v>
      </c>
      <c r="V427">
        <v>37</v>
      </c>
      <c r="W427">
        <v>1</v>
      </c>
      <c r="X427">
        <v>1</v>
      </c>
      <c r="Y427" t="s">
        <v>16</v>
      </c>
      <c r="Z427">
        <v>4</v>
      </c>
      <c r="AA427">
        <f>IF(AND(Table1[[#This Row],[Throw Out Pass Eff]]="N", Table1[[#This Row],[Against FCS Team]]="N"), ROUND(((5.45 * D427) + (150 * F427) + (100 * G427) - (300 * H427)) / E427, 2), " ")</f>
        <v>73.92</v>
      </c>
      <c r="AB427">
        <f>IF(AND(Table1[[#This Row],[Throw Out Pass Def Eff]]="N", Table1[[#This Row],[Against FCS Team]]="N"),200 - ROUND(((5.45 * P427) + (150 * R427) + (100 * S427) - (300 * T427)) / Q427, 2), " ")</f>
        <v>104.31</v>
      </c>
      <c r="AC427">
        <f>IF(AND(Table1[[#This Row],[Throw Out Rush Eff]]="N", Table1[[#This Row],[Against FCS Team]]="N"), ROUND(((23.2 * I427) + (150 * K427) - (300 * L427)) / J427, 2), " ")</f>
        <v>96.21</v>
      </c>
      <c r="AD427" s="3">
        <f>IF(AND(Table1[[#This Row],[Throw Out Rush Def Eff]]="N", Table1[[#This Row],[Against FCS Team]]="N"), 200 - ROUND(((23.2 * U427) + (150 * W427) - (300 * X427)) / V427, 2), " ")</f>
        <v>136.96</v>
      </c>
      <c r="AE427" s="3">
        <f>ROUND(Table1[[#This Row],[Opp Passing Attempts]]/(Table1[[#This Row],[Opp Passing Attempts]]+Table1[[#This Row],[Opp Rushing Attempts]]), 2)</f>
        <v>0.53</v>
      </c>
      <c r="AF427" s="3">
        <f>1-Table1[[#This Row],[Passing Weight]]</f>
        <v>0.47</v>
      </c>
      <c r="AG427" s="3" t="str">
        <f>IF(COUNTIF(A:A,Table1[[#This Row],[Opp Team Name]]) &gt; 0, "N", "Y")</f>
        <v>N</v>
      </c>
      <c r="AH427" s="3" t="str">
        <f>IF(Table1[[#This Row],[Passing Attempts]] &lt;15, "Y", "N")</f>
        <v>N</v>
      </c>
      <c r="AI427" s="3" t="str">
        <f>IF(Table1[[#This Row],[Rushing Attempts]] &lt; 15, "Y", "N")</f>
        <v>N</v>
      </c>
      <c r="AJ427" s="3" t="str">
        <f>IF(Table1[[#This Row],[Opp Passing Attempts]]&lt;15, "Y", "N")</f>
        <v>N</v>
      </c>
      <c r="AK427" s="3" t="str">
        <f>IF(Table1[[#This Row],[Opp Rushing Attempts]]&lt;15, "Y", "N")</f>
        <v>N</v>
      </c>
      <c r="AL4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85.45</v>
      </c>
      <c r="AM42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90.71</v>
      </c>
      <c r="AN4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119.5</v>
      </c>
      <c r="AO4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91.85</v>
      </c>
      <c r="AP427" s="3">
        <f>ABS(Table1[[#This Row],[Team Score]]-Table1[[#This Row],[Opp Team Score]])</f>
        <v>6</v>
      </c>
      <c r="AQ427" s="3">
        <f>SUM(Table1[[#This Row],[Team Score]], Table1[[#This Row],[Opp Team Score]])</f>
        <v>46</v>
      </c>
      <c r="AR42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11.400000000000006</v>
      </c>
      <c r="AS427" s="3">
        <f>IF(Table1[[#This Row],[Efficiency Difference]] = " ", " ", ROUND((Table1[[#This Row],[Winning Margin]]*100)/Table1[[#This Row],[Efficiency Difference]], 2))</f>
        <v>52.63</v>
      </c>
    </row>
    <row r="428" spans="1:45">
      <c r="A428" t="s">
        <v>95</v>
      </c>
      <c r="B428">
        <v>430</v>
      </c>
      <c r="C428">
        <v>10</v>
      </c>
      <c r="D428">
        <v>157</v>
      </c>
      <c r="E428">
        <v>33</v>
      </c>
      <c r="F428">
        <v>0</v>
      </c>
      <c r="G428">
        <v>19</v>
      </c>
      <c r="H428">
        <v>2</v>
      </c>
      <c r="I428">
        <v>56</v>
      </c>
      <c r="J428">
        <v>34</v>
      </c>
      <c r="K428">
        <v>0</v>
      </c>
      <c r="L428">
        <v>1</v>
      </c>
      <c r="M428" t="s">
        <v>39</v>
      </c>
      <c r="N428">
        <v>257</v>
      </c>
      <c r="O428">
        <v>24</v>
      </c>
      <c r="P428">
        <v>160</v>
      </c>
      <c r="Q428">
        <v>25</v>
      </c>
      <c r="R428">
        <v>2</v>
      </c>
      <c r="S428">
        <v>13</v>
      </c>
      <c r="T428">
        <v>3</v>
      </c>
      <c r="U428">
        <v>155</v>
      </c>
      <c r="V428">
        <v>49</v>
      </c>
      <c r="W428">
        <v>1</v>
      </c>
      <c r="X428">
        <v>0</v>
      </c>
      <c r="Y428" t="s">
        <v>19</v>
      </c>
      <c r="Z428">
        <v>5</v>
      </c>
      <c r="AA428">
        <f>IF(AND(Table1[[#This Row],[Throw Out Pass Eff]]="N", Table1[[#This Row],[Against FCS Team]]="N"), ROUND(((5.45 * D428) + (150 * F428) + (100 * G428) - (300 * H428)) / E428, 2), " ")</f>
        <v>65.319999999999993</v>
      </c>
      <c r="AB428">
        <f>IF(AND(Table1[[#This Row],[Throw Out Pass Def Eff]]="N", Table1[[#This Row],[Against FCS Team]]="N"),200 - ROUND(((5.45 * P428) + (150 * R428) + (100 * S428) - (300 * T428)) / Q428, 2), " ")</f>
        <v>137.12</v>
      </c>
      <c r="AC428">
        <f>IF(AND(Table1[[#This Row],[Throw Out Rush Eff]]="N", Table1[[#This Row],[Against FCS Team]]="N"), ROUND(((23.2 * I428) + (150 * K428) - (300 * L428)) / J428, 2), " ")</f>
        <v>29.39</v>
      </c>
      <c r="AD428" s="3">
        <f>IF(AND(Table1[[#This Row],[Throw Out Rush Def Eff]]="N", Table1[[#This Row],[Against FCS Team]]="N"), 200 - ROUND(((23.2 * U428) + (150 * W428) - (300 * X428)) / V428, 2), " ")</f>
        <v>123.55</v>
      </c>
      <c r="AE428" s="3">
        <f>ROUND(Table1[[#This Row],[Opp Passing Attempts]]/(Table1[[#This Row],[Opp Passing Attempts]]+Table1[[#This Row],[Opp Rushing Attempts]]), 2)</f>
        <v>0.34</v>
      </c>
      <c r="AF428" s="3">
        <f>1-Table1[[#This Row],[Passing Weight]]</f>
        <v>0.65999999999999992</v>
      </c>
      <c r="AG428" s="3" t="str">
        <f>IF(COUNTIF(A:A,Table1[[#This Row],[Opp Team Name]]) &gt; 0, "N", "Y")</f>
        <v>N</v>
      </c>
      <c r="AH428" s="3" t="str">
        <f>IF(Table1[[#This Row],[Passing Attempts]] &lt;15, "Y", "N")</f>
        <v>N</v>
      </c>
      <c r="AI428" s="3" t="str">
        <f>IF(Table1[[#This Row],[Rushing Attempts]] &lt; 15, "Y", "N")</f>
        <v>N</v>
      </c>
      <c r="AJ428" s="3" t="str">
        <f>IF(Table1[[#This Row],[Opp Passing Attempts]]&lt;15, "Y", "N")</f>
        <v>N</v>
      </c>
      <c r="AK428" s="3" t="str">
        <f>IF(Table1[[#This Row],[Opp Rushing Attempts]]&lt;15, "Y", "N")</f>
        <v>N</v>
      </c>
      <c r="AL4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83.53</v>
      </c>
      <c r="AM4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142.72</v>
      </c>
      <c r="AN4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38.380000000000003</v>
      </c>
      <c r="AO4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112.8</v>
      </c>
      <c r="AP428" s="3">
        <f>ABS(Table1[[#This Row],[Team Score]]-Table1[[#This Row],[Opp Team Score]])</f>
        <v>14</v>
      </c>
      <c r="AQ428" s="3">
        <f>SUM(Table1[[#This Row],[Team Score]], Table1[[#This Row],[Opp Team Score]])</f>
        <v>34</v>
      </c>
      <c r="AR4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44.61999999999999</v>
      </c>
      <c r="AS428" s="3">
        <f>IF(Table1[[#This Row],[Efficiency Difference]] = " ", " ", ROUND((Table1[[#This Row],[Winning Margin]]*100)/Table1[[#This Row],[Efficiency Difference]], 2))</f>
        <v>31.38</v>
      </c>
    </row>
    <row r="429" spans="1:45">
      <c r="A429" t="s">
        <v>95</v>
      </c>
      <c r="B429">
        <v>430</v>
      </c>
      <c r="C429">
        <v>21</v>
      </c>
      <c r="D429">
        <v>212</v>
      </c>
      <c r="E429">
        <v>23</v>
      </c>
      <c r="F429">
        <v>3</v>
      </c>
      <c r="G429">
        <v>17</v>
      </c>
      <c r="H429">
        <v>0</v>
      </c>
      <c r="I429">
        <v>204</v>
      </c>
      <c r="J429">
        <v>43</v>
      </c>
      <c r="K429">
        <v>0</v>
      </c>
      <c r="L429">
        <v>0</v>
      </c>
      <c r="M429" t="s">
        <v>170</v>
      </c>
      <c r="N429">
        <v>9</v>
      </c>
      <c r="O429">
        <v>3</v>
      </c>
      <c r="P429">
        <v>195</v>
      </c>
      <c r="Q429">
        <v>36</v>
      </c>
      <c r="R429">
        <v>0</v>
      </c>
      <c r="S429">
        <v>18</v>
      </c>
      <c r="T429">
        <v>1</v>
      </c>
      <c r="U429">
        <v>145</v>
      </c>
      <c r="V429">
        <v>35</v>
      </c>
      <c r="W429">
        <v>0</v>
      </c>
      <c r="X429">
        <v>1</v>
      </c>
      <c r="Y429" t="s">
        <v>16</v>
      </c>
      <c r="Z429">
        <v>6</v>
      </c>
      <c r="AA429">
        <f>IF(AND(Table1[[#This Row],[Throw Out Pass Eff]]="N", Table1[[#This Row],[Against FCS Team]]="N"), ROUND(((5.45 * D429) + (150 * F429) + (100 * G429) - (300 * H429)) / E429, 2), " ")</f>
        <v>143.71</v>
      </c>
      <c r="AB429">
        <f>IF(AND(Table1[[#This Row],[Throw Out Pass Def Eff]]="N", Table1[[#This Row],[Against FCS Team]]="N"),200 - ROUND(((5.45 * P429) + (150 * R429) + (100 * S429) - (300 * T429)) / Q429, 2), " ")</f>
        <v>128.81</v>
      </c>
      <c r="AC429">
        <f>IF(AND(Table1[[#This Row],[Throw Out Rush Eff]]="N", Table1[[#This Row],[Against FCS Team]]="N"), ROUND(((23.2 * I429) + (150 * K429) - (300 * L429)) / J429, 2), " ")</f>
        <v>110.07</v>
      </c>
      <c r="AD429" s="3">
        <f>IF(AND(Table1[[#This Row],[Throw Out Rush Def Eff]]="N", Table1[[#This Row],[Against FCS Team]]="N"), 200 - ROUND(((23.2 * U429) + (150 * W429) - (300 * X429)) / V429, 2), " ")</f>
        <v>112.46</v>
      </c>
      <c r="AE429" s="3">
        <f>ROUND(Table1[[#This Row],[Opp Passing Attempts]]/(Table1[[#This Row],[Opp Passing Attempts]]+Table1[[#This Row],[Opp Rushing Attempts]]), 2)</f>
        <v>0.51</v>
      </c>
      <c r="AF429" s="3">
        <f>1-Table1[[#This Row],[Passing Weight]]</f>
        <v>0.49</v>
      </c>
      <c r="AG429" s="3" t="str">
        <f>IF(COUNTIF(A:A,Table1[[#This Row],[Opp Team Name]]) &gt; 0, "N", "Y")</f>
        <v>N</v>
      </c>
      <c r="AH429" s="3" t="str">
        <f>IF(Table1[[#This Row],[Passing Attempts]] &lt;15, "Y", "N")</f>
        <v>N</v>
      </c>
      <c r="AI429" s="3" t="str">
        <f>IF(Table1[[#This Row],[Rushing Attempts]] &lt; 15, "Y", "N")</f>
        <v>N</v>
      </c>
      <c r="AJ429" s="3" t="str">
        <f>IF(Table1[[#This Row],[Opp Passing Attempts]]&lt;15, "Y", "N")</f>
        <v>N</v>
      </c>
      <c r="AK429" s="3" t="str">
        <f>IF(Table1[[#This Row],[Opp Rushing Attempts]]&lt;15, "Y", "N")</f>
        <v>N</v>
      </c>
      <c r="AL4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115.91</v>
      </c>
      <c r="AM4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96.98</v>
      </c>
      <c r="AN4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96.02</v>
      </c>
      <c r="AO4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91.53</v>
      </c>
      <c r="AP429" s="3">
        <f>ABS(Table1[[#This Row],[Team Score]]-Table1[[#This Row],[Opp Team Score]])</f>
        <v>18</v>
      </c>
      <c r="AQ429" s="3">
        <f>SUM(Table1[[#This Row],[Team Score]], Table1[[#This Row],[Opp Team Score]])</f>
        <v>24</v>
      </c>
      <c r="AR4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95.049999999999983</v>
      </c>
      <c r="AS429" s="3">
        <f>IF(Table1[[#This Row],[Efficiency Difference]] = " ", " ", ROUND((Table1[[#This Row],[Winning Margin]]*100)/Table1[[#This Row],[Efficiency Difference]], 2))</f>
        <v>18.940000000000001</v>
      </c>
    </row>
    <row r="430" spans="1:45">
      <c r="A430" t="s">
        <v>95</v>
      </c>
      <c r="B430">
        <v>430</v>
      </c>
      <c r="C430">
        <v>12</v>
      </c>
      <c r="D430">
        <v>165</v>
      </c>
      <c r="E430">
        <v>30</v>
      </c>
      <c r="F430">
        <v>1</v>
      </c>
      <c r="G430">
        <v>11</v>
      </c>
      <c r="H430">
        <v>2</v>
      </c>
      <c r="I430">
        <v>131</v>
      </c>
      <c r="J430">
        <v>37</v>
      </c>
      <c r="K430">
        <v>0</v>
      </c>
      <c r="L430">
        <v>0</v>
      </c>
      <c r="M430" t="s">
        <v>65</v>
      </c>
      <c r="N430">
        <v>648</v>
      </c>
      <c r="O430">
        <v>14</v>
      </c>
      <c r="P430">
        <v>179</v>
      </c>
      <c r="Q430">
        <v>32</v>
      </c>
      <c r="R430">
        <v>1</v>
      </c>
      <c r="S430">
        <v>22</v>
      </c>
      <c r="T430">
        <v>2</v>
      </c>
      <c r="U430">
        <v>110</v>
      </c>
      <c r="V430">
        <v>43</v>
      </c>
      <c r="W430">
        <v>1</v>
      </c>
      <c r="X430">
        <v>0</v>
      </c>
      <c r="Y430" t="s">
        <v>19</v>
      </c>
      <c r="Z430">
        <v>7</v>
      </c>
      <c r="AA430">
        <f>IF(AND(Table1[[#This Row],[Throw Out Pass Eff]]="N", Table1[[#This Row],[Against FCS Team]]="N"), ROUND(((5.45 * D430) + (150 * F430) + (100 * G430) - (300 * H430)) / E430, 2), " ")</f>
        <v>51.64</v>
      </c>
      <c r="AB430">
        <f>IF(AND(Table1[[#This Row],[Throw Out Pass Def Eff]]="N", Table1[[#This Row],[Against FCS Team]]="N"),200 - ROUND(((5.45 * P430) + (150 * R430) + (100 * S430) - (300 * T430)) / Q430, 2), " ")</f>
        <v>114.83</v>
      </c>
      <c r="AC430">
        <f>IF(AND(Table1[[#This Row],[Throw Out Rush Eff]]="N", Table1[[#This Row],[Against FCS Team]]="N"), ROUND(((23.2 * I430) + (150 * K430) - (300 * L430)) / J430, 2), " ")</f>
        <v>82.14</v>
      </c>
      <c r="AD430" s="3">
        <f>IF(AND(Table1[[#This Row],[Throw Out Rush Def Eff]]="N", Table1[[#This Row],[Against FCS Team]]="N"), 200 - ROUND(((23.2 * U430) + (150 * W430) - (300 * X430)) / V430, 2), " ")</f>
        <v>137.16</v>
      </c>
      <c r="AE430" s="3">
        <f>ROUND(Table1[[#This Row],[Opp Passing Attempts]]/(Table1[[#This Row],[Opp Passing Attempts]]+Table1[[#This Row],[Opp Rushing Attempts]]), 2)</f>
        <v>0.43</v>
      </c>
      <c r="AF430" s="3">
        <f>1-Table1[[#This Row],[Passing Weight]]</f>
        <v>0.57000000000000006</v>
      </c>
      <c r="AG430" s="3" t="str">
        <f>IF(COUNTIF(A:A,Table1[[#This Row],[Opp Team Name]]) &gt; 0, "N", "Y")</f>
        <v>N</v>
      </c>
      <c r="AH430" s="3" t="str">
        <f>IF(Table1[[#This Row],[Passing Attempts]] &lt;15, "Y", "N")</f>
        <v>N</v>
      </c>
      <c r="AI430" s="3" t="str">
        <f>IF(Table1[[#This Row],[Rushing Attempts]] &lt; 15, "Y", "N")</f>
        <v>N</v>
      </c>
      <c r="AJ430" s="3" t="str">
        <f>IF(Table1[[#This Row],[Opp Passing Attempts]]&lt;15, "Y", "N")</f>
        <v>N</v>
      </c>
      <c r="AK430" s="3" t="str">
        <f>IF(Table1[[#This Row],[Opp Rushing Attempts]]&lt;15, "Y", "N")</f>
        <v>N</v>
      </c>
      <c r="AL4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73.34</v>
      </c>
      <c r="AM4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93.28</v>
      </c>
      <c r="AN4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108.47</v>
      </c>
      <c r="AO4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153.63999999999999</v>
      </c>
      <c r="AP430" s="3">
        <f>ABS(Table1[[#This Row],[Team Score]]-Table1[[#This Row],[Opp Team Score]])</f>
        <v>2</v>
      </c>
      <c r="AQ430" s="3">
        <f>SUM(Table1[[#This Row],[Team Score]], Table1[[#This Row],[Opp Team Score]])</f>
        <v>26</v>
      </c>
      <c r="AR4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14.22999999999999</v>
      </c>
      <c r="AS430" s="3">
        <f>IF(Table1[[#This Row],[Efficiency Difference]] = " ", " ", ROUND((Table1[[#This Row],[Winning Margin]]*100)/Table1[[#This Row],[Efficiency Difference]], 2))</f>
        <v>14.05</v>
      </c>
    </row>
    <row r="431" spans="1:45">
      <c r="A431" t="s">
        <v>97</v>
      </c>
      <c r="B431">
        <v>434</v>
      </c>
      <c r="C431">
        <v>69</v>
      </c>
      <c r="D431">
        <v>316</v>
      </c>
      <c r="E431">
        <v>27</v>
      </c>
      <c r="F431">
        <v>4</v>
      </c>
      <c r="G431">
        <v>20</v>
      </c>
      <c r="H431">
        <v>0</v>
      </c>
      <c r="I431">
        <v>428</v>
      </c>
      <c r="J431">
        <v>54</v>
      </c>
      <c r="K431">
        <v>4</v>
      </c>
      <c r="L431">
        <v>2</v>
      </c>
      <c r="M431" t="s">
        <v>196</v>
      </c>
      <c r="N431">
        <v>771</v>
      </c>
      <c r="O431">
        <v>0</v>
      </c>
      <c r="P431">
        <v>20</v>
      </c>
      <c r="Q431">
        <v>15</v>
      </c>
      <c r="R431">
        <v>0</v>
      </c>
      <c r="S431">
        <v>4</v>
      </c>
      <c r="T431">
        <v>1</v>
      </c>
      <c r="U431">
        <v>24</v>
      </c>
      <c r="V431">
        <v>31</v>
      </c>
      <c r="W431">
        <v>0</v>
      </c>
      <c r="X431">
        <v>0</v>
      </c>
      <c r="Y431" t="s">
        <v>16</v>
      </c>
      <c r="Z431">
        <v>3</v>
      </c>
      <c r="AA431" t="str">
        <f>IF(AND(Table1[[#This Row],[Throw Out Pass Eff]]="N", Table1[[#This Row],[Against FCS Team]]="N"), ROUND(((5.45 * D431) + (150 * F431) + (100 * G431) - (300 * H431)) / E431, 2), " ")</f>
        <v xml:space="preserve"> </v>
      </c>
      <c r="AB431" t="str">
        <f>IF(AND(Table1[[#This Row],[Throw Out Pass Def Eff]]="N", Table1[[#This Row],[Against FCS Team]]="N"),200 - ROUND(((5.45 * P431) + (150 * R431) + (100 * S431) - (300 * T431)) / Q431, 2), " ")</f>
        <v xml:space="preserve"> </v>
      </c>
      <c r="AC431" t="str">
        <f>IF(AND(Table1[[#This Row],[Throw Out Rush Eff]]="N", Table1[[#This Row],[Against FCS Team]]="N"), ROUND(((23.2 * I431) + (150 * K431) - (300 * L431)) / J431, 2), " ")</f>
        <v xml:space="preserve"> </v>
      </c>
      <c r="AD431" s="3" t="str">
        <f>IF(AND(Table1[[#This Row],[Throw Out Rush Def Eff]]="N", Table1[[#This Row],[Against FCS Team]]="N"), 200 - ROUND(((23.2 * U431) + (150 * W431) - (300 * X431)) / V431, 2), " ")</f>
        <v xml:space="preserve"> </v>
      </c>
      <c r="AE431" s="3">
        <f>ROUND(Table1[[#This Row],[Opp Passing Attempts]]/(Table1[[#This Row],[Opp Passing Attempts]]+Table1[[#This Row],[Opp Rushing Attempts]]), 2)</f>
        <v>0.33</v>
      </c>
      <c r="AF431" s="3">
        <f>1-Table1[[#This Row],[Passing Weight]]</f>
        <v>0.66999999999999993</v>
      </c>
      <c r="AG431" s="3" t="str">
        <f>IF(COUNTIF(A:A,Table1[[#This Row],[Opp Team Name]]) &gt; 0, "N", "Y")</f>
        <v>Y</v>
      </c>
      <c r="AH431" s="3" t="str">
        <f>IF(Table1[[#This Row],[Passing Attempts]] &lt;15, "Y", "N")</f>
        <v>N</v>
      </c>
      <c r="AI431" s="3" t="str">
        <f>IF(Table1[[#This Row],[Rushing Attempts]] &lt; 15, "Y", "N")</f>
        <v>N</v>
      </c>
      <c r="AJ431" s="3" t="str">
        <f>IF(Table1[[#This Row],[Opp Passing Attempts]]&lt;15, "Y", "N")</f>
        <v>N</v>
      </c>
      <c r="AK431" s="3" t="str">
        <f>IF(Table1[[#This Row],[Opp Rushing Attempts]]&lt;15, "Y", "N")</f>
        <v>N</v>
      </c>
      <c r="AL43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3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3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3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31" s="3">
        <f>ABS(Table1[[#This Row],[Team Score]]-Table1[[#This Row],[Opp Team Score]])</f>
        <v>69</v>
      </c>
      <c r="AQ431" s="3">
        <f>SUM(Table1[[#This Row],[Team Score]], Table1[[#This Row],[Opp Team Score]])</f>
        <v>69</v>
      </c>
      <c r="AR43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31" s="3" t="str">
        <f>IF(Table1[[#This Row],[Efficiency Difference]] = " ", " ", ROUND((Table1[[#This Row],[Winning Margin]]*100)/Table1[[#This Row],[Efficiency Difference]], 2))</f>
        <v xml:space="preserve"> </v>
      </c>
    </row>
    <row r="432" spans="1:45">
      <c r="A432" t="s">
        <v>97</v>
      </c>
      <c r="B432">
        <v>434</v>
      </c>
      <c r="C432">
        <v>17</v>
      </c>
      <c r="D432">
        <v>129</v>
      </c>
      <c r="E432">
        <v>26</v>
      </c>
      <c r="F432">
        <v>1</v>
      </c>
      <c r="G432">
        <v>17</v>
      </c>
      <c r="H432">
        <v>1</v>
      </c>
      <c r="I432">
        <v>162</v>
      </c>
      <c r="J432">
        <v>37</v>
      </c>
      <c r="K432">
        <v>1</v>
      </c>
      <c r="L432">
        <v>0</v>
      </c>
      <c r="M432" t="s">
        <v>96</v>
      </c>
      <c r="N432">
        <v>414</v>
      </c>
      <c r="O432">
        <v>6</v>
      </c>
      <c r="P432">
        <v>194</v>
      </c>
      <c r="Q432">
        <v>39</v>
      </c>
      <c r="R432">
        <v>0</v>
      </c>
      <c r="S432">
        <v>26</v>
      </c>
      <c r="T432">
        <v>1</v>
      </c>
      <c r="U432">
        <v>76</v>
      </c>
      <c r="V432">
        <v>36</v>
      </c>
      <c r="W432">
        <v>1</v>
      </c>
      <c r="X432">
        <v>1</v>
      </c>
      <c r="Y432" t="s">
        <v>16</v>
      </c>
      <c r="Z432">
        <v>1</v>
      </c>
      <c r="AA432">
        <f>IF(AND(Table1[[#This Row],[Throw Out Pass Eff]]="N", Table1[[#This Row],[Against FCS Team]]="N"), ROUND(((5.45 * D432) + (150 * F432) + (100 * G432) - (300 * H432)) / E432, 2), " ")</f>
        <v>86.66</v>
      </c>
      <c r="AB432">
        <f>IF(AND(Table1[[#This Row],[Throw Out Pass Def Eff]]="N", Table1[[#This Row],[Against FCS Team]]="N"),200 - ROUND(((5.45 * P432) + (150 * R432) + (100 * S432) - (300 * T432)) / Q432, 2), " ")</f>
        <v>113.92</v>
      </c>
      <c r="AC432">
        <f>IF(AND(Table1[[#This Row],[Throw Out Rush Eff]]="N", Table1[[#This Row],[Against FCS Team]]="N"), ROUND(((23.2 * I432) + (150 * K432) - (300 * L432)) / J432, 2), " ")</f>
        <v>105.63</v>
      </c>
      <c r="AD432" s="3">
        <f>IF(AND(Table1[[#This Row],[Throw Out Rush Def Eff]]="N", Table1[[#This Row],[Against FCS Team]]="N"), 200 - ROUND(((23.2 * U432) + (150 * W432) - (300 * X432)) / V432, 2), " ")</f>
        <v>155.19</v>
      </c>
      <c r="AE432" s="3">
        <f>ROUND(Table1[[#This Row],[Opp Passing Attempts]]/(Table1[[#This Row],[Opp Passing Attempts]]+Table1[[#This Row],[Opp Rushing Attempts]]), 2)</f>
        <v>0.52</v>
      </c>
      <c r="AF432" s="3">
        <f>1-Table1[[#This Row],[Passing Weight]]</f>
        <v>0.48</v>
      </c>
      <c r="AG432" s="3" t="str">
        <f>IF(COUNTIF(A:A,Table1[[#This Row],[Opp Team Name]]) &gt; 0, "N", "Y")</f>
        <v>N</v>
      </c>
      <c r="AH432" s="3" t="str">
        <f>IF(Table1[[#This Row],[Passing Attempts]] &lt;15, "Y", "N")</f>
        <v>N</v>
      </c>
      <c r="AI432" s="3" t="str">
        <f>IF(Table1[[#This Row],[Rushing Attempts]] &lt; 15, "Y", "N")</f>
        <v>N</v>
      </c>
      <c r="AJ432" s="3" t="str">
        <f>IF(Table1[[#This Row],[Opp Passing Attempts]]&lt;15, "Y", "N")</f>
        <v>N</v>
      </c>
      <c r="AK432" s="3" t="str">
        <f>IF(Table1[[#This Row],[Opp Rushing Attempts]]&lt;15, "Y", "N")</f>
        <v>N</v>
      </c>
      <c r="AL43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88.04</v>
      </c>
      <c r="AM43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110.31</v>
      </c>
      <c r="AN43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106.38</v>
      </c>
      <c r="AO4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64.31</v>
      </c>
      <c r="AP432" s="3">
        <f>ABS(Table1[[#This Row],[Team Score]]-Table1[[#This Row],[Opp Team Score]])</f>
        <v>11</v>
      </c>
      <c r="AQ432" s="3">
        <f>SUM(Table1[[#This Row],[Team Score]], Table1[[#This Row],[Opp Team Score]])</f>
        <v>23</v>
      </c>
      <c r="AR43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61.400000000000006</v>
      </c>
      <c r="AS432" s="3">
        <f>IF(Table1[[#This Row],[Efficiency Difference]] = " ", " ", ROUND((Table1[[#This Row],[Winning Margin]]*100)/Table1[[#This Row],[Efficiency Difference]], 2))</f>
        <v>17.920000000000002</v>
      </c>
    </row>
    <row r="433" spans="1:45">
      <c r="A433" t="s">
        <v>97</v>
      </c>
      <c r="B433">
        <v>434</v>
      </c>
      <c r="C433">
        <v>30</v>
      </c>
      <c r="D433">
        <v>319</v>
      </c>
      <c r="E433">
        <v>42</v>
      </c>
      <c r="F433">
        <v>2</v>
      </c>
      <c r="G433">
        <v>26</v>
      </c>
      <c r="H433">
        <v>0</v>
      </c>
      <c r="I433">
        <v>182</v>
      </c>
      <c r="J433">
        <v>37</v>
      </c>
      <c r="K433">
        <v>1</v>
      </c>
      <c r="L433">
        <v>0</v>
      </c>
      <c r="M433" t="s">
        <v>24</v>
      </c>
      <c r="N433">
        <v>28</v>
      </c>
      <c r="O433">
        <v>37</v>
      </c>
      <c r="P433">
        <v>388</v>
      </c>
      <c r="Q433">
        <v>33</v>
      </c>
      <c r="R433">
        <v>4</v>
      </c>
      <c r="S433">
        <v>25</v>
      </c>
      <c r="T433">
        <v>0</v>
      </c>
      <c r="U433">
        <v>104</v>
      </c>
      <c r="V433">
        <v>31</v>
      </c>
      <c r="W433">
        <v>1</v>
      </c>
      <c r="X433">
        <v>1</v>
      </c>
      <c r="Y433" t="s">
        <v>19</v>
      </c>
      <c r="Z433">
        <v>2</v>
      </c>
      <c r="AA433">
        <f>IF(AND(Table1[[#This Row],[Throw Out Pass Eff]]="N", Table1[[#This Row],[Against FCS Team]]="N"), ROUND(((5.45 * D433) + (150 * F433) + (100 * G433) - (300 * H433)) / E433, 2), " ")</f>
        <v>110.44</v>
      </c>
      <c r="AB433">
        <f>IF(AND(Table1[[#This Row],[Throw Out Pass Def Eff]]="N", Table1[[#This Row],[Against FCS Team]]="N"),200 - ROUND(((5.45 * P433) + (150 * R433) + (100 * S433) - (300 * T433)) / Q433, 2), " ")</f>
        <v>41.97999999999999</v>
      </c>
      <c r="AC433">
        <f>IF(AND(Table1[[#This Row],[Throw Out Rush Eff]]="N", Table1[[#This Row],[Against FCS Team]]="N"), ROUND(((23.2 * I433) + (150 * K433) - (300 * L433)) / J433, 2), " ")</f>
        <v>118.17</v>
      </c>
      <c r="AD433" s="3">
        <f>IF(AND(Table1[[#This Row],[Throw Out Rush Def Eff]]="N", Table1[[#This Row],[Against FCS Team]]="N"), 200 - ROUND(((23.2 * U433) + (150 * W433) - (300 * X433)) / V433, 2), " ")</f>
        <v>127.01</v>
      </c>
      <c r="AE433" s="3">
        <f>ROUND(Table1[[#This Row],[Opp Passing Attempts]]/(Table1[[#This Row],[Opp Passing Attempts]]+Table1[[#This Row],[Opp Rushing Attempts]]), 2)</f>
        <v>0.52</v>
      </c>
      <c r="AF433" s="3">
        <f>1-Table1[[#This Row],[Passing Weight]]</f>
        <v>0.48</v>
      </c>
      <c r="AG433" s="3" t="str">
        <f>IF(COUNTIF(A:A,Table1[[#This Row],[Opp Team Name]]) &gt; 0, "N", "Y")</f>
        <v>N</v>
      </c>
      <c r="AH433" s="3" t="str">
        <f>IF(Table1[[#This Row],[Passing Attempts]] &lt;15, "Y", "N")</f>
        <v>N</v>
      </c>
      <c r="AI433" s="3" t="str">
        <f>IF(Table1[[#This Row],[Rushing Attempts]] &lt; 15, "Y", "N")</f>
        <v>N</v>
      </c>
      <c r="AJ433" s="3" t="str">
        <f>IF(Table1[[#This Row],[Opp Passing Attempts]]&lt;15, "Y", "N")</f>
        <v>N</v>
      </c>
      <c r="AK433" s="3" t="str">
        <f>IF(Table1[[#This Row],[Opp Rushing Attempts]]&lt;15, "Y", "N")</f>
        <v>N</v>
      </c>
      <c r="AL4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116.37</v>
      </c>
      <c r="AM4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46.71</v>
      </c>
      <c r="AN4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120.8</v>
      </c>
      <c r="AO4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114.5</v>
      </c>
      <c r="AP433" s="3">
        <f>ABS(Table1[[#This Row],[Team Score]]-Table1[[#This Row],[Opp Team Score]])</f>
        <v>7</v>
      </c>
      <c r="AQ433" s="3">
        <f>SUM(Table1[[#This Row],[Team Score]], Table1[[#This Row],[Opp Team Score]])</f>
        <v>67</v>
      </c>
      <c r="AR4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2.3999999999999773</v>
      </c>
      <c r="AS433" s="3">
        <f>IF(Table1[[#This Row],[Efficiency Difference]] = " ", " ", ROUND((Table1[[#This Row],[Winning Margin]]*100)/Table1[[#This Row],[Efficiency Difference]], 2))</f>
        <v>291.67</v>
      </c>
    </row>
    <row r="434" spans="1:45">
      <c r="A434" t="s">
        <v>97</v>
      </c>
      <c r="B434">
        <v>434</v>
      </c>
      <c r="C434">
        <v>28</v>
      </c>
      <c r="D434">
        <v>291</v>
      </c>
      <c r="E434">
        <v>33</v>
      </c>
      <c r="F434">
        <v>1</v>
      </c>
      <c r="G434">
        <v>16</v>
      </c>
      <c r="H434">
        <v>0</v>
      </c>
      <c r="I434">
        <v>241</v>
      </c>
      <c r="J434">
        <v>42</v>
      </c>
      <c r="K434">
        <v>3</v>
      </c>
      <c r="L434">
        <v>0</v>
      </c>
      <c r="M434" t="s">
        <v>116</v>
      </c>
      <c r="N434">
        <v>522</v>
      </c>
      <c r="O434">
        <v>38</v>
      </c>
      <c r="P434">
        <v>448</v>
      </c>
      <c r="Q434">
        <v>48</v>
      </c>
      <c r="R434">
        <v>3</v>
      </c>
      <c r="S434">
        <v>35</v>
      </c>
      <c r="T434">
        <v>2</v>
      </c>
      <c r="U434">
        <v>144</v>
      </c>
      <c r="V434">
        <v>39</v>
      </c>
      <c r="W434">
        <v>2</v>
      </c>
      <c r="X434">
        <v>0</v>
      </c>
      <c r="Y434" t="s">
        <v>19</v>
      </c>
      <c r="Z434">
        <v>4</v>
      </c>
      <c r="AA434">
        <f>IF(AND(Table1[[#This Row],[Throw Out Pass Eff]]="N", Table1[[#This Row],[Against FCS Team]]="N"), ROUND(((5.45 * D434) + (150 * F434) + (100 * G434) - (300 * H434)) / E434, 2), " ")</f>
        <v>101.09</v>
      </c>
      <c r="AB434">
        <f>IF(AND(Table1[[#This Row],[Throw Out Pass Def Eff]]="N", Table1[[#This Row],[Against FCS Team]]="N"),200 - ROUND(((5.45 * P434) + (150 * R434) + (100 * S434) - (300 * T434)) / Q434, 2), " ")</f>
        <v>79.34</v>
      </c>
      <c r="AC434">
        <f>IF(AND(Table1[[#This Row],[Throw Out Rush Eff]]="N", Table1[[#This Row],[Against FCS Team]]="N"), ROUND(((23.2 * I434) + (150 * K434) - (300 * L434)) / J434, 2), " ")</f>
        <v>143.84</v>
      </c>
      <c r="AD434" s="3">
        <f>IF(AND(Table1[[#This Row],[Throw Out Rush Def Eff]]="N", Table1[[#This Row],[Against FCS Team]]="N"), 200 - ROUND(((23.2 * U434) + (150 * W434) - (300 * X434)) / V434, 2), " ")</f>
        <v>106.65</v>
      </c>
      <c r="AE434" s="3">
        <f>ROUND(Table1[[#This Row],[Opp Passing Attempts]]/(Table1[[#This Row],[Opp Passing Attempts]]+Table1[[#This Row],[Opp Rushing Attempts]]), 2)</f>
        <v>0.55000000000000004</v>
      </c>
      <c r="AF434" s="3">
        <f>1-Table1[[#This Row],[Passing Weight]]</f>
        <v>0.44999999999999996</v>
      </c>
      <c r="AG434" s="3" t="str">
        <f>IF(COUNTIF(A:A,Table1[[#This Row],[Opp Team Name]]) &gt; 0, "N", "Y")</f>
        <v>N</v>
      </c>
      <c r="AH434" s="3" t="str">
        <f>IF(Table1[[#This Row],[Passing Attempts]] &lt;15, "Y", "N")</f>
        <v>N</v>
      </c>
      <c r="AI434" s="3" t="str">
        <f>IF(Table1[[#This Row],[Rushing Attempts]] &lt; 15, "Y", "N")</f>
        <v>N</v>
      </c>
      <c r="AJ434" s="3" t="str">
        <f>IF(Table1[[#This Row],[Opp Passing Attempts]]&lt;15, "Y", "N")</f>
        <v>N</v>
      </c>
      <c r="AK434" s="3" t="str">
        <f>IF(Table1[[#This Row],[Opp Rushing Attempts]]&lt;15, "Y", "N")</f>
        <v>N</v>
      </c>
      <c r="AL43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119.16</v>
      </c>
      <c r="AM43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89.11</v>
      </c>
      <c r="AN43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189.45</v>
      </c>
      <c r="AO43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115.79</v>
      </c>
      <c r="AP434" s="3">
        <f>ABS(Table1[[#This Row],[Team Score]]-Table1[[#This Row],[Opp Team Score]])</f>
        <v>10</v>
      </c>
      <c r="AQ434" s="3">
        <f>SUM(Table1[[#This Row],[Team Score]], Table1[[#This Row],[Opp Team Score]])</f>
        <v>66</v>
      </c>
      <c r="AR43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30.920000000000016</v>
      </c>
      <c r="AS434" s="3">
        <f>IF(Table1[[#This Row],[Efficiency Difference]] = " ", " ", ROUND((Table1[[#This Row],[Winning Margin]]*100)/Table1[[#This Row],[Efficiency Difference]], 2))</f>
        <v>32.340000000000003</v>
      </c>
    </row>
    <row r="435" spans="1:45">
      <c r="A435" t="s">
        <v>97</v>
      </c>
      <c r="B435">
        <v>434</v>
      </c>
      <c r="C435">
        <v>17</v>
      </c>
      <c r="D435">
        <v>214</v>
      </c>
      <c r="E435">
        <v>35</v>
      </c>
      <c r="F435">
        <v>0</v>
      </c>
      <c r="G435">
        <v>19</v>
      </c>
      <c r="H435">
        <v>1</v>
      </c>
      <c r="I435">
        <v>112</v>
      </c>
      <c r="J435">
        <v>31</v>
      </c>
      <c r="K435">
        <v>2</v>
      </c>
      <c r="L435">
        <v>0</v>
      </c>
      <c r="M435" t="s">
        <v>82</v>
      </c>
      <c r="N435">
        <v>327</v>
      </c>
      <c r="O435">
        <v>24</v>
      </c>
      <c r="P435">
        <v>112</v>
      </c>
      <c r="Q435">
        <v>16</v>
      </c>
      <c r="R435">
        <v>0</v>
      </c>
      <c r="S435">
        <v>11</v>
      </c>
      <c r="T435">
        <v>1</v>
      </c>
      <c r="U435">
        <v>174</v>
      </c>
      <c r="V435">
        <v>54</v>
      </c>
      <c r="W435">
        <v>3</v>
      </c>
      <c r="X435">
        <v>0</v>
      </c>
      <c r="Y435" t="s">
        <v>19</v>
      </c>
      <c r="Z435">
        <v>6</v>
      </c>
      <c r="AA435">
        <f>IF(AND(Table1[[#This Row],[Throw Out Pass Eff]]="N", Table1[[#This Row],[Against FCS Team]]="N"), ROUND(((5.45 * D435) + (150 * F435) + (100 * G435) - (300 * H435)) / E435, 2), " ")</f>
        <v>79.040000000000006</v>
      </c>
      <c r="AB435">
        <f>IF(AND(Table1[[#This Row],[Throw Out Pass Def Eff]]="N", Table1[[#This Row],[Against FCS Team]]="N"),200 - ROUND(((5.45 * P435) + (150 * R435) + (100 * S435) - (300 * T435)) / Q435, 2), " ")</f>
        <v>111.85</v>
      </c>
      <c r="AC435">
        <f>IF(AND(Table1[[#This Row],[Throw Out Rush Eff]]="N", Table1[[#This Row],[Against FCS Team]]="N"), ROUND(((23.2 * I435) + (150 * K435) - (300 * L435)) / J435, 2), " ")</f>
        <v>93.5</v>
      </c>
      <c r="AD435" s="3">
        <f>IF(AND(Table1[[#This Row],[Throw Out Rush Def Eff]]="N", Table1[[#This Row],[Against FCS Team]]="N"), 200 - ROUND(((23.2 * U435) + (150 * W435) - (300 * X435)) / V435, 2), " ")</f>
        <v>116.91</v>
      </c>
      <c r="AE435" s="3">
        <f>ROUND(Table1[[#This Row],[Opp Passing Attempts]]/(Table1[[#This Row],[Opp Passing Attempts]]+Table1[[#This Row],[Opp Rushing Attempts]]), 2)</f>
        <v>0.23</v>
      </c>
      <c r="AF435" s="3">
        <f>1-Table1[[#This Row],[Passing Weight]]</f>
        <v>0.77</v>
      </c>
      <c r="AG435" s="3" t="str">
        <f>IF(COUNTIF(A:A,Table1[[#This Row],[Opp Team Name]]) &gt; 0, "N", "Y")</f>
        <v>N</v>
      </c>
      <c r="AH435" s="3" t="str">
        <f>IF(Table1[[#This Row],[Passing Attempts]] &lt;15, "Y", "N")</f>
        <v>N</v>
      </c>
      <c r="AI435" s="3" t="str">
        <f>IF(Table1[[#This Row],[Rushing Attempts]] &lt; 15, "Y", "N")</f>
        <v>N</v>
      </c>
      <c r="AJ435" s="3" t="str">
        <f>IF(Table1[[#This Row],[Opp Passing Attempts]]&lt;15, "Y", "N")</f>
        <v>N</v>
      </c>
      <c r="AK435" s="3" t="str">
        <f>IF(Table1[[#This Row],[Opp Rushing Attempts]]&lt;15, "Y", "N")</f>
        <v>N</v>
      </c>
      <c r="AL4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80.86</v>
      </c>
      <c r="AM4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115.5</v>
      </c>
      <c r="AN4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114.94</v>
      </c>
      <c r="AO4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142.16</v>
      </c>
      <c r="AP435" s="3">
        <f>ABS(Table1[[#This Row],[Team Score]]-Table1[[#This Row],[Opp Team Score]])</f>
        <v>7</v>
      </c>
      <c r="AQ435" s="3">
        <f>SUM(Table1[[#This Row],[Team Score]], Table1[[#This Row],[Opp Team Score]])</f>
        <v>41</v>
      </c>
      <c r="AR43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1.3000000000000114</v>
      </c>
      <c r="AS435" s="3">
        <f>IF(Table1[[#This Row],[Efficiency Difference]] = " ", " ", ROUND((Table1[[#This Row],[Winning Margin]]*100)/Table1[[#This Row],[Efficiency Difference]], 2))</f>
        <v>538.46</v>
      </c>
    </row>
    <row r="436" spans="1:45">
      <c r="A436" t="s">
        <v>97</v>
      </c>
      <c r="B436">
        <v>434</v>
      </c>
      <c r="C436">
        <v>52</v>
      </c>
      <c r="D436">
        <v>289</v>
      </c>
      <c r="E436">
        <v>29</v>
      </c>
      <c r="F436">
        <v>3</v>
      </c>
      <c r="G436">
        <v>20</v>
      </c>
      <c r="H436">
        <v>2</v>
      </c>
      <c r="I436">
        <v>294</v>
      </c>
      <c r="J436">
        <v>58</v>
      </c>
      <c r="K436">
        <v>4</v>
      </c>
      <c r="L436">
        <v>1</v>
      </c>
      <c r="M436" t="s">
        <v>78</v>
      </c>
      <c r="N436">
        <v>311</v>
      </c>
      <c r="O436">
        <v>17</v>
      </c>
      <c r="P436">
        <v>186</v>
      </c>
      <c r="Q436">
        <v>40</v>
      </c>
      <c r="R436">
        <v>0</v>
      </c>
      <c r="S436">
        <v>20</v>
      </c>
      <c r="T436">
        <v>1</v>
      </c>
      <c r="U436">
        <v>157</v>
      </c>
      <c r="V436">
        <v>36</v>
      </c>
      <c r="W436">
        <v>1</v>
      </c>
      <c r="X436">
        <v>2</v>
      </c>
      <c r="Y436" t="s">
        <v>16</v>
      </c>
      <c r="Z436">
        <v>7</v>
      </c>
      <c r="AA436">
        <f>IF(AND(Table1[[#This Row],[Throw Out Pass Eff]]="N", Table1[[#This Row],[Against FCS Team]]="N"), ROUND(((5.45 * D436) + (150 * F436) + (100 * G436) - (300 * H436)) / E436, 2), " ")</f>
        <v>118.11</v>
      </c>
      <c r="AB436">
        <f>IF(AND(Table1[[#This Row],[Throw Out Pass Def Eff]]="N", Table1[[#This Row],[Against FCS Team]]="N"),200 - ROUND(((5.45 * P436) + (150 * R436) + (100 * S436) - (300 * T436)) / Q436, 2), " ")</f>
        <v>132.16</v>
      </c>
      <c r="AC436">
        <f>IF(AND(Table1[[#This Row],[Throw Out Rush Eff]]="N", Table1[[#This Row],[Against FCS Team]]="N"), ROUND(((23.2 * I436) + (150 * K436) - (300 * L436)) / J436, 2), " ")</f>
        <v>122.77</v>
      </c>
      <c r="AD436" s="3">
        <f>IF(AND(Table1[[#This Row],[Throw Out Rush Def Eff]]="N", Table1[[#This Row],[Against FCS Team]]="N"), 200 - ROUND(((23.2 * U436) + (150 * W436) - (300 * X436)) / V436, 2), " ")</f>
        <v>111.32</v>
      </c>
      <c r="AE436" s="3">
        <f>ROUND(Table1[[#This Row],[Opp Passing Attempts]]/(Table1[[#This Row],[Opp Passing Attempts]]+Table1[[#This Row],[Opp Rushing Attempts]]), 2)</f>
        <v>0.53</v>
      </c>
      <c r="AF436" s="3">
        <f>1-Table1[[#This Row],[Passing Weight]]</f>
        <v>0.47</v>
      </c>
      <c r="AG436" s="3" t="str">
        <f>IF(COUNTIF(A:A,Table1[[#This Row],[Opp Team Name]]) &gt; 0, "N", "Y")</f>
        <v>N</v>
      </c>
      <c r="AH436" s="3" t="str">
        <f>IF(Table1[[#This Row],[Passing Attempts]] &lt;15, "Y", "N")</f>
        <v>N</v>
      </c>
      <c r="AI436" s="3" t="str">
        <f>IF(Table1[[#This Row],[Rushing Attempts]] &lt; 15, "Y", "N")</f>
        <v>N</v>
      </c>
      <c r="AJ436" s="3" t="str">
        <f>IF(Table1[[#This Row],[Opp Passing Attempts]]&lt;15, "Y", "N")</f>
        <v>N</v>
      </c>
      <c r="AK436" s="3" t="str">
        <f>IF(Table1[[#This Row],[Opp Rushing Attempts]]&lt;15, "Y", "N")</f>
        <v>N</v>
      </c>
      <c r="AL4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110.88</v>
      </c>
      <c r="AM4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110.8</v>
      </c>
      <c r="AN4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121.8</v>
      </c>
      <c r="AO4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97.15</v>
      </c>
      <c r="AP436" s="3">
        <f>ABS(Table1[[#This Row],[Team Score]]-Table1[[#This Row],[Opp Team Score]])</f>
        <v>35</v>
      </c>
      <c r="AQ436" s="3">
        <f>SUM(Table1[[#This Row],[Team Score]], Table1[[#This Row],[Opp Team Score]])</f>
        <v>69</v>
      </c>
      <c r="AR4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84.359999999999985</v>
      </c>
      <c r="AS436" s="3">
        <f>IF(Table1[[#This Row],[Efficiency Difference]] = " ", " ", ROUND((Table1[[#This Row],[Winning Margin]]*100)/Table1[[#This Row],[Efficiency Difference]], 2))</f>
        <v>41.49</v>
      </c>
    </row>
    <row r="437" spans="1:45">
      <c r="A437" t="s">
        <v>97</v>
      </c>
      <c r="B437">
        <v>434</v>
      </c>
      <c r="C437">
        <v>24</v>
      </c>
      <c r="D437">
        <v>215</v>
      </c>
      <c r="E437">
        <v>28</v>
      </c>
      <c r="F437">
        <v>1</v>
      </c>
      <c r="G437">
        <v>15</v>
      </c>
      <c r="H437">
        <v>3</v>
      </c>
      <c r="I437">
        <v>248</v>
      </c>
      <c r="J437">
        <v>52</v>
      </c>
      <c r="K437">
        <v>2</v>
      </c>
      <c r="L437">
        <v>1</v>
      </c>
      <c r="M437" t="s">
        <v>87</v>
      </c>
      <c r="N437">
        <v>521</v>
      </c>
      <c r="O437">
        <v>45</v>
      </c>
      <c r="P437">
        <v>338</v>
      </c>
      <c r="Q437">
        <v>50</v>
      </c>
      <c r="R437">
        <v>3</v>
      </c>
      <c r="S437">
        <v>33</v>
      </c>
      <c r="T437">
        <v>1</v>
      </c>
      <c r="U437">
        <v>195</v>
      </c>
      <c r="V437">
        <v>31</v>
      </c>
      <c r="W437">
        <v>3</v>
      </c>
      <c r="X437">
        <v>0</v>
      </c>
      <c r="Y437" t="s">
        <v>19</v>
      </c>
      <c r="Z437">
        <v>8</v>
      </c>
      <c r="AA437" s="3">
        <f>IF(AND(Table1[[#This Row],[Throw Out Pass Eff]]="N", Table1[[#This Row],[Against FCS Team]]="N"), ROUND(((5.45 * D437) + (150 * F437) + (100 * G437) - (300 * H437)) / E437, 2), " ")</f>
        <v>68.63</v>
      </c>
      <c r="AB437" s="3">
        <f>IF(AND(Table1[[#This Row],[Throw Out Pass Def Eff]]="N", Table1[[#This Row],[Against FCS Team]]="N"),200 - ROUND(((5.45 * P437) + (150 * R437) + (100 * S437) - (300 * T437)) / Q437, 2), " ")</f>
        <v>94.16</v>
      </c>
      <c r="AC437" s="3">
        <f>IF(AND(Table1[[#This Row],[Throw Out Rush Eff]]="N", Table1[[#This Row],[Against FCS Team]]="N"), ROUND(((23.2 * I437) + (150 * K437) - (300 * L437)) / J437, 2), " ")</f>
        <v>110.65</v>
      </c>
      <c r="AD437" s="3">
        <f>IF(AND(Table1[[#This Row],[Throw Out Rush Def Eff]]="N", Table1[[#This Row],[Against FCS Team]]="N"), 200 - ROUND(((23.2 * U437) + (150 * W437) - (300 * X437)) / V437, 2), " ")</f>
        <v>39.550000000000011</v>
      </c>
      <c r="AE437" s="3">
        <f>ROUND(Table1[[#This Row],[Opp Passing Attempts]]/(Table1[[#This Row],[Opp Passing Attempts]]+Table1[[#This Row],[Opp Rushing Attempts]]), 2)</f>
        <v>0.62</v>
      </c>
      <c r="AF437" s="3">
        <f>1-Table1[[#This Row],[Passing Weight]]</f>
        <v>0.38</v>
      </c>
      <c r="AG437" s="3" t="str">
        <f>IF(COUNTIF(A:A,Table1[[#This Row],[Opp Team Name]]) &gt; 0, "N", "Y")</f>
        <v>N</v>
      </c>
      <c r="AH437" s="3" t="str">
        <f>IF(Table1[[#This Row],[Passing Attempts]] &lt;15, "Y", "N")</f>
        <v>N</v>
      </c>
      <c r="AI437" s="3" t="str">
        <f>IF(Table1[[#This Row],[Rushing Attempts]] &lt; 15, "Y", "N")</f>
        <v>N</v>
      </c>
      <c r="AJ437" s="3" t="str">
        <f>IF(Table1[[#This Row],[Opp Passing Attempts]]&lt;15, "Y", "N")</f>
        <v>N</v>
      </c>
      <c r="AK437" s="3" t="str">
        <f>IF(Table1[[#This Row],[Opp Rushing Attempts]]&lt;15, "Y", "N")</f>
        <v>N</v>
      </c>
      <c r="AL4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84.7</v>
      </c>
      <c r="AM4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111.23</v>
      </c>
      <c r="AN4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115.1</v>
      </c>
      <c r="AO4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48.14</v>
      </c>
      <c r="AP437" s="3">
        <f>ABS(Table1[[#This Row],[Team Score]]-Table1[[#This Row],[Opp Team Score]])</f>
        <v>21</v>
      </c>
      <c r="AQ437" s="3">
        <f>SUM(Table1[[#This Row],[Team Score]], Table1[[#This Row],[Opp Team Score]])</f>
        <v>69</v>
      </c>
      <c r="AR4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87.009999999999962</v>
      </c>
      <c r="AS437" s="3">
        <f>IF(Table1[[#This Row],[Efficiency Difference]] = " ", " ", ROUND((Table1[[#This Row],[Winning Margin]]*100)/Table1[[#This Row],[Efficiency Difference]], 2))</f>
        <v>24.14</v>
      </c>
    </row>
    <row r="438" spans="1:45">
      <c r="A438" t="s">
        <v>104</v>
      </c>
      <c r="B438">
        <v>726</v>
      </c>
      <c r="C438">
        <v>40</v>
      </c>
      <c r="D438">
        <v>46</v>
      </c>
      <c r="E438">
        <v>7</v>
      </c>
      <c r="F438">
        <v>1</v>
      </c>
      <c r="G438">
        <v>4</v>
      </c>
      <c r="H438">
        <v>1</v>
      </c>
      <c r="I438">
        <v>391</v>
      </c>
      <c r="J438">
        <v>59</v>
      </c>
      <c r="K438">
        <v>4</v>
      </c>
      <c r="L438">
        <v>0</v>
      </c>
      <c r="M438" t="s">
        <v>105</v>
      </c>
      <c r="N438">
        <v>180</v>
      </c>
      <c r="O438">
        <v>17</v>
      </c>
      <c r="P438">
        <v>143</v>
      </c>
      <c r="Q438">
        <v>29</v>
      </c>
      <c r="R438">
        <v>0</v>
      </c>
      <c r="S438">
        <v>17</v>
      </c>
      <c r="T438">
        <v>1</v>
      </c>
      <c r="U438">
        <v>220</v>
      </c>
      <c r="V438">
        <v>37</v>
      </c>
      <c r="W438">
        <v>2</v>
      </c>
      <c r="X438">
        <v>1</v>
      </c>
      <c r="Y438" t="s">
        <v>16</v>
      </c>
      <c r="Z438">
        <v>1</v>
      </c>
      <c r="AA438" t="str">
        <f>IF(AND(Table1[[#This Row],[Throw Out Pass Eff]]="N", Table1[[#This Row],[Against FCS Team]]="N"), ROUND(((5.45 * D438) + (150 * F438) + (100 * G438) - (300 * H438)) / E438, 2), " ")</f>
        <v xml:space="preserve"> </v>
      </c>
      <c r="AB438" t="str">
        <f>IF(AND(Table1[[#This Row],[Throw Out Pass Def Eff]]="N", Table1[[#This Row],[Against FCS Team]]="N"),200 - ROUND(((5.45 * P438) + (150 * R438) + (100 * S438) - (300 * T438)) / Q438, 2), " ")</f>
        <v xml:space="preserve"> </v>
      </c>
      <c r="AC438" t="str">
        <f>IF(AND(Table1[[#This Row],[Throw Out Rush Eff]]="N", Table1[[#This Row],[Against FCS Team]]="N"), ROUND(((23.2 * I438) + (150 * K438) - (300 * L438)) / J438, 2), " ")</f>
        <v xml:space="preserve"> </v>
      </c>
      <c r="AD438" s="3" t="str">
        <f>IF(AND(Table1[[#This Row],[Throw Out Rush Def Eff]]="N", Table1[[#This Row],[Against FCS Team]]="N"), 200 - ROUND(((23.2 * U438) + (150 * W438) - (300 * X438)) / V438, 2), " ")</f>
        <v xml:space="preserve"> </v>
      </c>
      <c r="AE438" s="3">
        <f>ROUND(Table1[[#This Row],[Opp Passing Attempts]]/(Table1[[#This Row],[Opp Passing Attempts]]+Table1[[#This Row],[Opp Rushing Attempts]]), 2)</f>
        <v>0.44</v>
      </c>
      <c r="AF438" s="3">
        <f>1-Table1[[#This Row],[Passing Weight]]</f>
        <v>0.56000000000000005</v>
      </c>
      <c r="AG438" s="3" t="str">
        <f>IF(COUNTIF(A:A,Table1[[#This Row],[Opp Team Name]]) &gt; 0, "N", "Y")</f>
        <v>Y</v>
      </c>
      <c r="AH438" s="3" t="str">
        <f>IF(Table1[[#This Row],[Passing Attempts]] &lt;15, "Y", "N")</f>
        <v>Y</v>
      </c>
      <c r="AI438" s="3" t="str">
        <f>IF(Table1[[#This Row],[Rushing Attempts]] &lt; 15, "Y", "N")</f>
        <v>N</v>
      </c>
      <c r="AJ438" s="3" t="str">
        <f>IF(Table1[[#This Row],[Opp Passing Attempts]]&lt;15, "Y", "N")</f>
        <v>N</v>
      </c>
      <c r="AK438" s="3" t="str">
        <f>IF(Table1[[#This Row],[Opp Rushing Attempts]]&lt;15, "Y", "N")</f>
        <v>N</v>
      </c>
      <c r="AL43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3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3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3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38" s="3">
        <f>ABS(Table1[[#This Row],[Team Score]]-Table1[[#This Row],[Opp Team Score]])</f>
        <v>23</v>
      </c>
      <c r="AQ438" s="3">
        <f>SUM(Table1[[#This Row],[Team Score]], Table1[[#This Row],[Opp Team Score]])</f>
        <v>57</v>
      </c>
      <c r="AR43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38" s="3" t="str">
        <f>IF(Table1[[#This Row],[Efficiency Difference]] = " ", " ", ROUND((Table1[[#This Row],[Winning Margin]]*100)/Table1[[#This Row],[Efficiency Difference]], 2))</f>
        <v xml:space="preserve"> </v>
      </c>
    </row>
    <row r="439" spans="1:45">
      <c r="A439" t="s">
        <v>104</v>
      </c>
      <c r="B439">
        <v>726</v>
      </c>
      <c r="C439">
        <v>40</v>
      </c>
      <c r="D439">
        <v>100</v>
      </c>
      <c r="E439">
        <v>7</v>
      </c>
      <c r="F439">
        <v>2</v>
      </c>
      <c r="G439">
        <v>3</v>
      </c>
      <c r="H439">
        <v>0</v>
      </c>
      <c r="I439">
        <v>410</v>
      </c>
      <c r="J439">
        <v>57</v>
      </c>
      <c r="K439">
        <v>3</v>
      </c>
      <c r="L439">
        <v>3</v>
      </c>
      <c r="M439" t="s">
        <v>85</v>
      </c>
      <c r="N439">
        <v>772</v>
      </c>
      <c r="O439">
        <v>14</v>
      </c>
      <c r="P439">
        <v>153</v>
      </c>
      <c r="Q439">
        <v>33</v>
      </c>
      <c r="R439">
        <v>0</v>
      </c>
      <c r="S439">
        <v>19</v>
      </c>
      <c r="T439">
        <v>2</v>
      </c>
      <c r="U439">
        <v>124</v>
      </c>
      <c r="V439">
        <v>32</v>
      </c>
      <c r="W439">
        <v>2</v>
      </c>
      <c r="X439">
        <v>3</v>
      </c>
      <c r="Y439" t="s">
        <v>16</v>
      </c>
      <c r="Z439">
        <v>2</v>
      </c>
      <c r="AA439" t="str">
        <f>IF(AND(Table1[[#This Row],[Throw Out Pass Eff]]="N", Table1[[#This Row],[Against FCS Team]]="N"), ROUND(((5.45 * D439) + (150 * F439) + (100 * G439) - (300 * H439)) / E439, 2), " ")</f>
        <v xml:space="preserve"> </v>
      </c>
      <c r="AB439">
        <f>IF(AND(Table1[[#This Row],[Throw Out Pass Def Eff]]="N", Table1[[#This Row],[Against FCS Team]]="N"),200 - ROUND(((5.45 * P439) + (150 * R439) + (100 * S439) - (300 * T439)) / Q439, 2), " ")</f>
        <v>135.34</v>
      </c>
      <c r="AC439">
        <f>IF(AND(Table1[[#This Row],[Throw Out Rush Eff]]="N", Table1[[#This Row],[Against FCS Team]]="N"), ROUND(((23.2 * I439) + (150 * K439) - (300 * L439)) / J439, 2), " ")</f>
        <v>158.97999999999999</v>
      </c>
      <c r="AD439" s="3">
        <f>IF(AND(Table1[[#This Row],[Throw Out Rush Def Eff]]="N", Table1[[#This Row],[Against FCS Team]]="N"), 200 - ROUND(((23.2 * U439) + (150 * W439) - (300 * X439)) / V439, 2), " ")</f>
        <v>128.85</v>
      </c>
      <c r="AE439" s="3">
        <f>ROUND(Table1[[#This Row],[Opp Passing Attempts]]/(Table1[[#This Row],[Opp Passing Attempts]]+Table1[[#This Row],[Opp Rushing Attempts]]), 2)</f>
        <v>0.51</v>
      </c>
      <c r="AF439" s="3">
        <f>1-Table1[[#This Row],[Passing Weight]]</f>
        <v>0.49</v>
      </c>
      <c r="AG439" s="3" t="str">
        <f>IF(COUNTIF(A:A,Table1[[#This Row],[Opp Team Name]]) &gt; 0, "N", "Y")</f>
        <v>N</v>
      </c>
      <c r="AH439" s="3" t="str">
        <f>IF(Table1[[#This Row],[Passing Attempts]] &lt;15, "Y", "N")</f>
        <v>Y</v>
      </c>
      <c r="AI439" s="3" t="str">
        <f>IF(Table1[[#This Row],[Rushing Attempts]] &lt; 15, "Y", "N")</f>
        <v>N</v>
      </c>
      <c r="AJ439" s="3" t="str">
        <f>IF(Table1[[#This Row],[Opp Passing Attempts]]&lt;15, "Y", "N")</f>
        <v>N</v>
      </c>
      <c r="AK439" s="3" t="str">
        <f>IF(Table1[[#This Row],[Opp Rushing Attempts]]&lt;15, "Y", "N")</f>
        <v>N</v>
      </c>
      <c r="AL43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108.39</v>
      </c>
      <c r="AN4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178.26</v>
      </c>
      <c r="AO4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122.8</v>
      </c>
      <c r="AP439" s="3">
        <f>ABS(Table1[[#This Row],[Team Score]]-Table1[[#This Row],[Opp Team Score]])</f>
        <v>26</v>
      </c>
      <c r="AQ439" s="3">
        <f>SUM(Table1[[#This Row],[Team Score]], Table1[[#This Row],[Opp Team Score]])</f>
        <v>54</v>
      </c>
      <c r="AR43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39" s="3" t="str">
        <f>IF(Table1[[#This Row],[Efficiency Difference]] = " ", " ", ROUND((Table1[[#This Row],[Winning Margin]]*100)/Table1[[#This Row],[Efficiency Difference]], 2))</f>
        <v xml:space="preserve"> </v>
      </c>
    </row>
    <row r="440" spans="1:45">
      <c r="A440" t="s">
        <v>104</v>
      </c>
      <c r="B440">
        <v>726</v>
      </c>
      <c r="C440">
        <v>21</v>
      </c>
      <c r="D440">
        <v>61</v>
      </c>
      <c r="E440">
        <v>9</v>
      </c>
      <c r="F440">
        <v>0</v>
      </c>
      <c r="G440">
        <v>5</v>
      </c>
      <c r="H440">
        <v>1</v>
      </c>
      <c r="I440">
        <v>274</v>
      </c>
      <c r="J440">
        <v>47</v>
      </c>
      <c r="K440">
        <v>3</v>
      </c>
      <c r="L440">
        <v>0</v>
      </c>
      <c r="M440" t="s">
        <v>65</v>
      </c>
      <c r="N440">
        <v>648</v>
      </c>
      <c r="O440">
        <v>24</v>
      </c>
      <c r="P440">
        <v>204</v>
      </c>
      <c r="Q440">
        <v>25</v>
      </c>
      <c r="R440">
        <v>0</v>
      </c>
      <c r="S440">
        <v>18</v>
      </c>
      <c r="T440">
        <v>1</v>
      </c>
      <c r="U440">
        <v>254</v>
      </c>
      <c r="V440">
        <v>44</v>
      </c>
      <c r="W440">
        <v>3</v>
      </c>
      <c r="X440">
        <v>0</v>
      </c>
      <c r="Y440" t="s">
        <v>19</v>
      </c>
      <c r="Z440">
        <v>3</v>
      </c>
      <c r="AA440" t="str">
        <f>IF(AND(Table1[[#This Row],[Throw Out Pass Eff]]="N", Table1[[#This Row],[Against FCS Team]]="N"), ROUND(((5.45 * D440) + (150 * F440) + (100 * G440) - (300 * H440)) / E440, 2), " ")</f>
        <v xml:space="preserve"> </v>
      </c>
      <c r="AB440">
        <f>IF(AND(Table1[[#This Row],[Throw Out Pass Def Eff]]="N", Table1[[#This Row],[Against FCS Team]]="N"),200 - ROUND(((5.45 * P440) + (150 * R440) + (100 * S440) - (300 * T440)) / Q440, 2), " ")</f>
        <v>95.53</v>
      </c>
      <c r="AC440">
        <f>IF(AND(Table1[[#This Row],[Throw Out Rush Eff]]="N", Table1[[#This Row],[Against FCS Team]]="N"), ROUND(((23.2 * I440) + (150 * K440) - (300 * L440)) / J440, 2), " ")</f>
        <v>144.83000000000001</v>
      </c>
      <c r="AD440" s="3">
        <f>IF(AND(Table1[[#This Row],[Throw Out Rush Def Eff]]="N", Table1[[#This Row],[Against FCS Team]]="N"), 200 - ROUND(((23.2 * U440) + (150 * W440) - (300 * X440)) / V440, 2), " ")</f>
        <v>55.849999999999994</v>
      </c>
      <c r="AE440" s="3">
        <f>ROUND(Table1[[#This Row],[Opp Passing Attempts]]/(Table1[[#This Row],[Opp Passing Attempts]]+Table1[[#This Row],[Opp Rushing Attempts]]), 2)</f>
        <v>0.36</v>
      </c>
      <c r="AF440" s="3">
        <f>1-Table1[[#This Row],[Passing Weight]]</f>
        <v>0.64</v>
      </c>
      <c r="AG440" s="3" t="str">
        <f>IF(COUNTIF(A:A,Table1[[#This Row],[Opp Team Name]]) &gt; 0, "N", "Y")</f>
        <v>N</v>
      </c>
      <c r="AH440" s="3" t="str">
        <f>IF(Table1[[#This Row],[Passing Attempts]] &lt;15, "Y", "N")</f>
        <v>Y</v>
      </c>
      <c r="AI440" s="3" t="str">
        <f>IF(Table1[[#This Row],[Rushing Attempts]] &lt; 15, "Y", "N")</f>
        <v>N</v>
      </c>
      <c r="AJ440" s="3" t="str">
        <f>IF(Table1[[#This Row],[Opp Passing Attempts]]&lt;15, "Y", "N")</f>
        <v>N</v>
      </c>
      <c r="AK440" s="3" t="str">
        <f>IF(Table1[[#This Row],[Opp Rushing Attempts]]&lt;15, "Y", "N")</f>
        <v>N</v>
      </c>
      <c r="AL440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77.61</v>
      </c>
      <c r="AN4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191.25</v>
      </c>
      <c r="AO4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62.56</v>
      </c>
      <c r="AP440" s="3">
        <f>ABS(Table1[[#This Row],[Team Score]]-Table1[[#This Row],[Opp Team Score]])</f>
        <v>3</v>
      </c>
      <c r="AQ440" s="3">
        <f>SUM(Table1[[#This Row],[Team Score]], Table1[[#This Row],[Opp Team Score]])</f>
        <v>45</v>
      </c>
      <c r="AR44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40" s="3" t="str">
        <f>IF(Table1[[#This Row],[Efficiency Difference]] = " ", " ", ROUND((Table1[[#This Row],[Winning Margin]]*100)/Table1[[#This Row],[Efficiency Difference]], 2))</f>
        <v xml:space="preserve"> </v>
      </c>
    </row>
    <row r="441" spans="1:45">
      <c r="A441" t="s">
        <v>104</v>
      </c>
      <c r="B441">
        <v>726</v>
      </c>
      <c r="C441">
        <v>34</v>
      </c>
      <c r="D441">
        <v>132</v>
      </c>
      <c r="E441">
        <v>25</v>
      </c>
      <c r="F441">
        <v>1</v>
      </c>
      <c r="G441">
        <v>14</v>
      </c>
      <c r="H441">
        <v>1</v>
      </c>
      <c r="I441">
        <v>334</v>
      </c>
      <c r="J441">
        <v>80</v>
      </c>
      <c r="K441">
        <v>3</v>
      </c>
      <c r="L441">
        <v>0</v>
      </c>
      <c r="M441" t="s">
        <v>14</v>
      </c>
      <c r="N441">
        <v>721</v>
      </c>
      <c r="O441">
        <v>35</v>
      </c>
      <c r="P441">
        <v>136</v>
      </c>
      <c r="Q441">
        <v>10</v>
      </c>
      <c r="R441">
        <v>1</v>
      </c>
      <c r="S441">
        <v>9</v>
      </c>
      <c r="T441">
        <v>0</v>
      </c>
      <c r="U441">
        <v>223</v>
      </c>
      <c r="V441">
        <v>41</v>
      </c>
      <c r="W441">
        <v>4</v>
      </c>
      <c r="X441">
        <v>1</v>
      </c>
      <c r="Y441" t="s">
        <v>19</v>
      </c>
      <c r="Z441">
        <v>5</v>
      </c>
      <c r="AA441">
        <f>IF(AND(Table1[[#This Row],[Throw Out Pass Eff]]="N", Table1[[#This Row],[Against FCS Team]]="N"), ROUND(((5.45 * D441) + (150 * F441) + (100 * G441) - (300 * H441)) / E441, 2), " ")</f>
        <v>78.78</v>
      </c>
      <c r="AB441" t="str">
        <f>IF(AND(Table1[[#This Row],[Throw Out Pass Def Eff]]="N", Table1[[#This Row],[Against FCS Team]]="N"),200 - ROUND(((5.45 * P441) + (150 * R441) + (100 * S441) - (300 * T441)) / Q441, 2), " ")</f>
        <v xml:space="preserve"> </v>
      </c>
      <c r="AC441">
        <f>IF(AND(Table1[[#This Row],[Throw Out Rush Eff]]="N", Table1[[#This Row],[Against FCS Team]]="N"), ROUND(((23.2 * I441) + (150 * K441) - (300 * L441)) / J441, 2), " ")</f>
        <v>102.49</v>
      </c>
      <c r="AD441" s="3">
        <f>IF(AND(Table1[[#This Row],[Throw Out Rush Def Eff]]="N", Table1[[#This Row],[Against FCS Team]]="N"), 200 - ROUND(((23.2 * U441) + (150 * W441) - (300 * X441)) / V441, 2), " ")</f>
        <v>66.5</v>
      </c>
      <c r="AE441" s="3">
        <f>ROUND(Table1[[#This Row],[Opp Passing Attempts]]/(Table1[[#This Row],[Opp Passing Attempts]]+Table1[[#This Row],[Opp Rushing Attempts]]), 2)</f>
        <v>0.2</v>
      </c>
      <c r="AF441" s="3">
        <f>1-Table1[[#This Row],[Passing Weight]]</f>
        <v>0.8</v>
      </c>
      <c r="AG441" s="3" t="str">
        <f>IF(COUNTIF(A:A,Table1[[#This Row],[Opp Team Name]]) &gt; 0, "N", "Y")</f>
        <v>N</v>
      </c>
      <c r="AH441" s="3" t="str">
        <f>IF(Table1[[#This Row],[Passing Attempts]] &lt;15, "Y", "N")</f>
        <v>N</v>
      </c>
      <c r="AI441" s="3" t="str">
        <f>IF(Table1[[#This Row],[Rushing Attempts]] &lt; 15, "Y", "N")</f>
        <v>N</v>
      </c>
      <c r="AJ441" s="3" t="str">
        <f>IF(Table1[[#This Row],[Opp Passing Attempts]]&lt;15, "Y", "N")</f>
        <v>Y</v>
      </c>
      <c r="AK441" s="3" t="str">
        <f>IF(Table1[[#This Row],[Opp Rushing Attempts]]&lt;15, "Y", "N")</f>
        <v>N</v>
      </c>
      <c r="AL44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58.44</v>
      </c>
      <c r="AM44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4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61.26</v>
      </c>
      <c r="AO44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78.12</v>
      </c>
      <c r="AP441" s="3">
        <f>ABS(Table1[[#This Row],[Team Score]]-Table1[[#This Row],[Opp Team Score]])</f>
        <v>1</v>
      </c>
      <c r="AQ441" s="3">
        <f>SUM(Table1[[#This Row],[Team Score]], Table1[[#This Row],[Opp Team Score]])</f>
        <v>69</v>
      </c>
      <c r="AR44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41" s="3" t="str">
        <f>IF(Table1[[#This Row],[Efficiency Difference]] = " ", " ", ROUND((Table1[[#This Row],[Winning Margin]]*100)/Table1[[#This Row],[Efficiency Difference]], 2))</f>
        <v xml:space="preserve"> </v>
      </c>
    </row>
    <row r="442" spans="1:45">
      <c r="A442" t="s">
        <v>104</v>
      </c>
      <c r="B442">
        <v>726</v>
      </c>
      <c r="C442">
        <v>35</v>
      </c>
      <c r="D442">
        <v>148</v>
      </c>
      <c r="E442">
        <v>12</v>
      </c>
      <c r="F442">
        <v>2</v>
      </c>
      <c r="G442">
        <v>7</v>
      </c>
      <c r="H442">
        <v>0</v>
      </c>
      <c r="I442">
        <v>421</v>
      </c>
      <c r="J442">
        <v>61</v>
      </c>
      <c r="K442">
        <v>3</v>
      </c>
      <c r="L442">
        <v>0</v>
      </c>
      <c r="M442" t="s">
        <v>89</v>
      </c>
      <c r="N442">
        <v>664</v>
      </c>
      <c r="O442">
        <v>63</v>
      </c>
      <c r="P442">
        <v>301</v>
      </c>
      <c r="Q442">
        <v>25</v>
      </c>
      <c r="R442">
        <v>4</v>
      </c>
      <c r="S442">
        <v>22</v>
      </c>
      <c r="T442">
        <v>0</v>
      </c>
      <c r="U442">
        <v>283</v>
      </c>
      <c r="V442">
        <v>50</v>
      </c>
      <c r="W442">
        <v>4</v>
      </c>
      <c r="X442">
        <v>1</v>
      </c>
      <c r="Y442" t="s">
        <v>19</v>
      </c>
      <c r="Z442">
        <v>6</v>
      </c>
      <c r="AA442" t="str">
        <f>IF(AND(Table1[[#This Row],[Throw Out Pass Eff]]="N", Table1[[#This Row],[Against FCS Team]]="N"), ROUND(((5.45 * D442) + (150 * F442) + (100 * G442) - (300 * H442)) / E442, 2), " ")</f>
        <v xml:space="preserve"> </v>
      </c>
      <c r="AB442">
        <f>IF(AND(Table1[[#This Row],[Throw Out Pass Def Eff]]="N", Table1[[#This Row],[Against FCS Team]]="N"),200 - ROUND(((5.45 * P442) + (150 * R442) + (100 * S442) - (300 * T442)) / Q442, 2), " ")</f>
        <v>22.379999999999995</v>
      </c>
      <c r="AC442">
        <f>IF(AND(Table1[[#This Row],[Throw Out Rush Eff]]="N", Table1[[#This Row],[Against FCS Team]]="N"), ROUND(((23.2 * I442) + (150 * K442) - (300 * L442)) / J442, 2), " ")</f>
        <v>167.5</v>
      </c>
      <c r="AD442" s="3">
        <f>IF(AND(Table1[[#This Row],[Throw Out Rush Def Eff]]="N", Table1[[#This Row],[Against FCS Team]]="N"), 200 - ROUND(((23.2 * U442) + (150 * W442) - (300 * X442)) / V442, 2), " ")</f>
        <v>62.69</v>
      </c>
      <c r="AE442" s="3">
        <f>ROUND(Table1[[#This Row],[Opp Passing Attempts]]/(Table1[[#This Row],[Opp Passing Attempts]]+Table1[[#This Row],[Opp Rushing Attempts]]), 2)</f>
        <v>0.33</v>
      </c>
      <c r="AF442" s="3">
        <f>1-Table1[[#This Row],[Passing Weight]]</f>
        <v>0.66999999999999993</v>
      </c>
      <c r="AG442" s="3" t="str">
        <f>IF(COUNTIF(A:A,Table1[[#This Row],[Opp Team Name]]) &gt; 0, "N", "Y")</f>
        <v>N</v>
      </c>
      <c r="AH442" s="3" t="str">
        <f>IF(Table1[[#This Row],[Passing Attempts]] &lt;15, "Y", "N")</f>
        <v>Y</v>
      </c>
      <c r="AI442" s="3" t="str">
        <f>IF(Table1[[#This Row],[Rushing Attempts]] &lt; 15, "Y", "N")</f>
        <v>N</v>
      </c>
      <c r="AJ442" s="3" t="str">
        <f>IF(Table1[[#This Row],[Opp Passing Attempts]]&lt;15, "Y", "N")</f>
        <v>N</v>
      </c>
      <c r="AK442" s="3" t="str">
        <f>IF(Table1[[#This Row],[Opp Rushing Attempts]]&lt;15, "Y", "N")</f>
        <v>N</v>
      </c>
      <c r="AL44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24.73</v>
      </c>
      <c r="AN4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197.7</v>
      </c>
      <c r="AO4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62.98</v>
      </c>
      <c r="AP442" s="3">
        <f>ABS(Table1[[#This Row],[Team Score]]-Table1[[#This Row],[Opp Team Score]])</f>
        <v>28</v>
      </c>
      <c r="AQ442" s="3">
        <f>SUM(Table1[[#This Row],[Team Score]], Table1[[#This Row],[Opp Team Score]])</f>
        <v>98</v>
      </c>
      <c r="AR44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42" s="3" t="str">
        <f>IF(Table1[[#This Row],[Efficiency Difference]] = " ", " ", ROUND((Table1[[#This Row],[Winning Margin]]*100)/Table1[[#This Row],[Efficiency Difference]], 2))</f>
        <v xml:space="preserve"> </v>
      </c>
    </row>
    <row r="443" spans="1:45">
      <c r="A443" t="s">
        <v>104</v>
      </c>
      <c r="B443">
        <v>726</v>
      </c>
      <c r="C443">
        <v>20</v>
      </c>
      <c r="D443">
        <v>143</v>
      </c>
      <c r="E443">
        <v>13</v>
      </c>
      <c r="F443">
        <v>0</v>
      </c>
      <c r="G443">
        <v>6</v>
      </c>
      <c r="H443">
        <v>2</v>
      </c>
      <c r="I443">
        <v>162</v>
      </c>
      <c r="J443">
        <v>46</v>
      </c>
      <c r="K443">
        <v>1</v>
      </c>
      <c r="L443">
        <v>0</v>
      </c>
      <c r="M443" t="s">
        <v>124</v>
      </c>
      <c r="N443">
        <v>587</v>
      </c>
      <c r="O443">
        <v>21</v>
      </c>
      <c r="P443">
        <v>271</v>
      </c>
      <c r="Q443">
        <v>31</v>
      </c>
      <c r="R443">
        <v>2</v>
      </c>
      <c r="S443">
        <v>23</v>
      </c>
      <c r="T443">
        <v>2</v>
      </c>
      <c r="U443">
        <v>152</v>
      </c>
      <c r="V443">
        <v>36</v>
      </c>
      <c r="W443">
        <v>1</v>
      </c>
      <c r="X443">
        <v>1</v>
      </c>
      <c r="Y443" t="s">
        <v>19</v>
      </c>
      <c r="Z443">
        <v>7</v>
      </c>
      <c r="AA443" t="str">
        <f>IF(AND(Table1[[#This Row],[Throw Out Pass Eff]]="N", Table1[[#This Row],[Against FCS Team]]="N"), ROUND(((5.45 * D443) + (150 * F443) + (100 * G443) - (300 * H443)) / E443, 2), " ")</f>
        <v xml:space="preserve"> </v>
      </c>
      <c r="AB443">
        <f>IF(AND(Table1[[#This Row],[Throw Out Pass Def Eff]]="N", Table1[[#This Row],[Against FCS Team]]="N"),200 - ROUND(((5.45 * P443) + (150 * R443) + (100 * S443) - (300 * T443)) / Q443, 2), " ")</f>
        <v>87.84</v>
      </c>
      <c r="AC443">
        <f>IF(AND(Table1[[#This Row],[Throw Out Rush Eff]]="N", Table1[[#This Row],[Against FCS Team]]="N"), ROUND(((23.2 * I443) + (150 * K443) - (300 * L443)) / J443, 2), " ")</f>
        <v>84.97</v>
      </c>
      <c r="AD443" s="3">
        <f>IF(AND(Table1[[#This Row],[Throw Out Rush Def Eff]]="N", Table1[[#This Row],[Against FCS Team]]="N"), 200 - ROUND(((23.2 * U443) + (150 * W443) - (300 * X443)) / V443, 2), " ")</f>
        <v>106.21</v>
      </c>
      <c r="AE443" s="3">
        <f>ROUND(Table1[[#This Row],[Opp Passing Attempts]]/(Table1[[#This Row],[Opp Passing Attempts]]+Table1[[#This Row],[Opp Rushing Attempts]]), 2)</f>
        <v>0.46</v>
      </c>
      <c r="AF443" s="3">
        <f>1-Table1[[#This Row],[Passing Weight]]</f>
        <v>0.54</v>
      </c>
      <c r="AG443" s="3" t="str">
        <f>IF(COUNTIF(A:A,Table1[[#This Row],[Opp Team Name]]) &gt; 0, "N", "Y")</f>
        <v>N</v>
      </c>
      <c r="AH443" s="3" t="str">
        <f>IF(Table1[[#This Row],[Passing Attempts]] &lt;15, "Y", "N")</f>
        <v>Y</v>
      </c>
      <c r="AI443" s="3" t="str">
        <f>IF(Table1[[#This Row],[Rushing Attempts]] &lt; 15, "Y", "N")</f>
        <v>N</v>
      </c>
      <c r="AJ443" s="3" t="str">
        <f>IF(Table1[[#This Row],[Opp Passing Attempts]]&lt;15, "Y", "N")</f>
        <v>N</v>
      </c>
      <c r="AK443" s="3" t="str">
        <f>IF(Table1[[#This Row],[Opp Rushing Attempts]]&lt;15, "Y", "N")</f>
        <v>N</v>
      </c>
      <c r="AL44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80.03</v>
      </c>
      <c r="AN4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94.69</v>
      </c>
      <c r="AO4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49.88</v>
      </c>
      <c r="AP443" s="3">
        <f>ABS(Table1[[#This Row],[Team Score]]-Table1[[#This Row],[Opp Team Score]])</f>
        <v>1</v>
      </c>
      <c r="AQ443" s="3">
        <f>SUM(Table1[[#This Row],[Team Score]], Table1[[#This Row],[Opp Team Score]])</f>
        <v>41</v>
      </c>
      <c r="AR44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43" s="3" t="str">
        <f>IF(Table1[[#This Row],[Efficiency Difference]] = " ", " ", ROUND((Table1[[#This Row],[Winning Margin]]*100)/Table1[[#This Row],[Efficiency Difference]], 2))</f>
        <v xml:space="preserve"> </v>
      </c>
    </row>
    <row r="444" spans="1:45">
      <c r="A444" t="s">
        <v>104</v>
      </c>
      <c r="B444">
        <v>726</v>
      </c>
      <c r="C444">
        <v>35</v>
      </c>
      <c r="D444">
        <v>136</v>
      </c>
      <c r="E444">
        <v>16</v>
      </c>
      <c r="F444">
        <v>2</v>
      </c>
      <c r="G444">
        <v>7</v>
      </c>
      <c r="H444">
        <v>0</v>
      </c>
      <c r="I444">
        <v>284</v>
      </c>
      <c r="J444">
        <v>51</v>
      </c>
      <c r="K444">
        <v>2</v>
      </c>
      <c r="L444">
        <v>1</v>
      </c>
      <c r="M444" t="s">
        <v>64</v>
      </c>
      <c r="N444">
        <v>196</v>
      </c>
      <c r="O444">
        <v>38</v>
      </c>
      <c r="P444">
        <v>372</v>
      </c>
      <c r="Q444">
        <v>45</v>
      </c>
      <c r="R444">
        <v>2</v>
      </c>
      <c r="S444">
        <v>40</v>
      </c>
      <c r="T444">
        <v>0</v>
      </c>
      <c r="U444">
        <v>132</v>
      </c>
      <c r="V444">
        <v>44</v>
      </c>
      <c r="W444">
        <v>3</v>
      </c>
      <c r="X444">
        <v>0</v>
      </c>
      <c r="Y444" t="s">
        <v>19</v>
      </c>
      <c r="Z444">
        <v>8</v>
      </c>
      <c r="AA444" s="3">
        <f>IF(AND(Table1[[#This Row],[Throw Out Pass Eff]]="N", Table1[[#This Row],[Against FCS Team]]="N"), ROUND(((5.45 * D444) + (150 * F444) + (100 * G444) - (300 * H444)) / E444, 2), " ")</f>
        <v>108.83</v>
      </c>
      <c r="AB444" s="3">
        <f>IF(AND(Table1[[#This Row],[Throw Out Pass Def Eff]]="N", Table1[[#This Row],[Against FCS Team]]="N"),200 - ROUND(((5.45 * P444) + (150 * R444) + (100 * S444) - (300 * T444)) / Q444, 2), " ")</f>
        <v>59.389999999999986</v>
      </c>
      <c r="AC444" s="3">
        <f>IF(AND(Table1[[#This Row],[Throw Out Rush Eff]]="N", Table1[[#This Row],[Against FCS Team]]="N"), ROUND(((23.2 * I444) + (150 * K444) - (300 * L444)) / J444, 2), " ")</f>
        <v>129.19</v>
      </c>
      <c r="AD444" s="3">
        <f>IF(AND(Table1[[#This Row],[Throw Out Rush Def Eff]]="N", Table1[[#This Row],[Against FCS Team]]="N"), 200 - ROUND(((23.2 * U444) + (150 * W444) - (300 * X444)) / V444, 2), " ")</f>
        <v>120.17</v>
      </c>
      <c r="AE444" s="3">
        <f>ROUND(Table1[[#This Row],[Opp Passing Attempts]]/(Table1[[#This Row],[Opp Passing Attempts]]+Table1[[#This Row],[Opp Rushing Attempts]]), 2)</f>
        <v>0.51</v>
      </c>
      <c r="AF444" s="3">
        <f>1-Table1[[#This Row],[Passing Weight]]</f>
        <v>0.49</v>
      </c>
      <c r="AG444" s="3" t="str">
        <f>IF(COUNTIF(A:A,Table1[[#This Row],[Opp Team Name]]) &gt; 0, "N", "Y")</f>
        <v>N</v>
      </c>
      <c r="AH444" s="3" t="str">
        <f>IF(Table1[[#This Row],[Passing Attempts]] &lt;15, "Y", "N")</f>
        <v>N</v>
      </c>
      <c r="AI444" s="3" t="str">
        <f>IF(Table1[[#This Row],[Rushing Attempts]] &lt; 15, "Y", "N")</f>
        <v>N</v>
      </c>
      <c r="AJ444" s="3" t="str">
        <f>IF(Table1[[#This Row],[Opp Passing Attempts]]&lt;15, "Y", "N")</f>
        <v>N</v>
      </c>
      <c r="AK444" s="3" t="str">
        <f>IF(Table1[[#This Row],[Opp Rushing Attempts]]&lt;15, "Y", "N")</f>
        <v>N</v>
      </c>
      <c r="AL4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112.96</v>
      </c>
      <c r="AM4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61.82</v>
      </c>
      <c r="AN4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117.15</v>
      </c>
      <c r="AO4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61.79</v>
      </c>
      <c r="AP444" s="3">
        <f>ABS(Table1[[#This Row],[Team Score]]-Table1[[#This Row],[Opp Team Score]])</f>
        <v>3</v>
      </c>
      <c r="AQ444" s="3">
        <f>SUM(Table1[[#This Row],[Team Score]], Table1[[#This Row],[Opp Team Score]])</f>
        <v>73</v>
      </c>
      <c r="AR4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17.579999999999984</v>
      </c>
      <c r="AS444" s="3">
        <f>IF(Table1[[#This Row],[Efficiency Difference]] = " ", " ", ROUND((Table1[[#This Row],[Winning Margin]]*100)/Table1[[#This Row],[Efficiency Difference]], 2))</f>
        <v>17.059999999999999</v>
      </c>
    </row>
    <row r="445" spans="1:45">
      <c r="A445" t="s">
        <v>106</v>
      </c>
      <c r="B445">
        <v>463</v>
      </c>
      <c r="C445">
        <v>40</v>
      </c>
      <c r="D445">
        <v>135</v>
      </c>
      <c r="E445">
        <v>25</v>
      </c>
      <c r="F445">
        <v>0</v>
      </c>
      <c r="G445">
        <v>12</v>
      </c>
      <c r="H445">
        <v>0</v>
      </c>
      <c r="I445">
        <v>229</v>
      </c>
      <c r="J445">
        <v>43</v>
      </c>
      <c r="K445">
        <v>4</v>
      </c>
      <c r="L445">
        <v>2</v>
      </c>
      <c r="M445" t="s">
        <v>107</v>
      </c>
      <c r="N445">
        <v>693</v>
      </c>
      <c r="O445">
        <v>7</v>
      </c>
      <c r="P445">
        <v>170</v>
      </c>
      <c r="Q445">
        <v>36</v>
      </c>
      <c r="R445">
        <v>1</v>
      </c>
      <c r="S445">
        <v>22</v>
      </c>
      <c r="T445">
        <v>1</v>
      </c>
      <c r="U445">
        <v>60</v>
      </c>
      <c r="V445">
        <v>31</v>
      </c>
      <c r="W445">
        <v>0</v>
      </c>
      <c r="X445">
        <v>0</v>
      </c>
      <c r="Y445" t="s">
        <v>16</v>
      </c>
      <c r="Z445">
        <v>1</v>
      </c>
      <c r="AA445" t="str">
        <f>IF(AND(Table1[[#This Row],[Throw Out Pass Eff]]="N", Table1[[#This Row],[Against FCS Team]]="N"), ROUND(((5.45 * D445) + (150 * F445) + (100 * G445) - (300 * H445)) / E445, 2), " ")</f>
        <v xml:space="preserve"> </v>
      </c>
      <c r="AB445" t="str">
        <f>IF(AND(Table1[[#This Row],[Throw Out Pass Def Eff]]="N", Table1[[#This Row],[Against FCS Team]]="N"),200 - ROUND(((5.45 * P445) + (150 * R445) + (100 * S445) - (300 * T445)) / Q445, 2), " ")</f>
        <v xml:space="preserve"> </v>
      </c>
      <c r="AC445" t="str">
        <f>IF(AND(Table1[[#This Row],[Throw Out Rush Eff]]="N", Table1[[#This Row],[Against FCS Team]]="N"), ROUND(((23.2 * I445) + (150 * K445) - (300 * L445)) / J445, 2), " ")</f>
        <v xml:space="preserve"> </v>
      </c>
      <c r="AD445" s="3" t="str">
        <f>IF(AND(Table1[[#This Row],[Throw Out Rush Def Eff]]="N", Table1[[#This Row],[Against FCS Team]]="N"), 200 - ROUND(((23.2 * U445) + (150 * W445) - (300 * X445)) / V445, 2), " ")</f>
        <v xml:space="preserve"> </v>
      </c>
      <c r="AE445" s="3">
        <f>ROUND(Table1[[#This Row],[Opp Passing Attempts]]/(Table1[[#This Row],[Opp Passing Attempts]]+Table1[[#This Row],[Opp Rushing Attempts]]), 2)</f>
        <v>0.54</v>
      </c>
      <c r="AF445" s="3">
        <f>1-Table1[[#This Row],[Passing Weight]]</f>
        <v>0.45999999999999996</v>
      </c>
      <c r="AG445" s="3" t="str">
        <f>IF(COUNTIF(A:A,Table1[[#This Row],[Opp Team Name]]) &gt; 0, "N", "Y")</f>
        <v>Y</v>
      </c>
      <c r="AH445" s="3" t="str">
        <f>IF(Table1[[#This Row],[Passing Attempts]] &lt;15, "Y", "N")</f>
        <v>N</v>
      </c>
      <c r="AI445" s="3" t="str">
        <f>IF(Table1[[#This Row],[Rushing Attempts]] &lt; 15, "Y", "N")</f>
        <v>N</v>
      </c>
      <c r="AJ445" s="3" t="str">
        <f>IF(Table1[[#This Row],[Opp Passing Attempts]]&lt;15, "Y", "N")</f>
        <v>N</v>
      </c>
      <c r="AK445" s="3" t="str">
        <f>IF(Table1[[#This Row],[Opp Rushing Attempts]]&lt;15, "Y", "N")</f>
        <v>N</v>
      </c>
      <c r="AL44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4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4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4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45" s="3">
        <f>ABS(Table1[[#This Row],[Team Score]]-Table1[[#This Row],[Opp Team Score]])</f>
        <v>33</v>
      </c>
      <c r="AQ445" s="3">
        <f>SUM(Table1[[#This Row],[Team Score]], Table1[[#This Row],[Opp Team Score]])</f>
        <v>47</v>
      </c>
      <c r="AR44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45" s="3" t="str">
        <f>IF(Table1[[#This Row],[Efficiency Difference]] = " ", " ", ROUND((Table1[[#This Row],[Winning Margin]]*100)/Table1[[#This Row],[Efficiency Difference]], 2))</f>
        <v xml:space="preserve"> </v>
      </c>
    </row>
    <row r="446" spans="1:45">
      <c r="A446" t="s">
        <v>106</v>
      </c>
      <c r="B446">
        <v>463</v>
      </c>
      <c r="C446">
        <v>42</v>
      </c>
      <c r="D446">
        <v>219</v>
      </c>
      <c r="E446">
        <v>21</v>
      </c>
      <c r="F446">
        <v>1</v>
      </c>
      <c r="G446">
        <v>10</v>
      </c>
      <c r="H446">
        <v>2</v>
      </c>
      <c r="I446">
        <v>219</v>
      </c>
      <c r="J446">
        <v>35</v>
      </c>
      <c r="K446">
        <v>4</v>
      </c>
      <c r="L446">
        <v>0</v>
      </c>
      <c r="M446" t="s">
        <v>49</v>
      </c>
      <c r="N446">
        <v>96</v>
      </c>
      <c r="O446">
        <v>29</v>
      </c>
      <c r="P446">
        <v>254</v>
      </c>
      <c r="Q446">
        <v>41</v>
      </c>
      <c r="R446">
        <v>1</v>
      </c>
      <c r="S446">
        <v>20</v>
      </c>
      <c r="T446">
        <v>0</v>
      </c>
      <c r="U446">
        <v>190</v>
      </c>
      <c r="V446">
        <v>40</v>
      </c>
      <c r="W446">
        <v>1</v>
      </c>
      <c r="X446">
        <v>1</v>
      </c>
      <c r="Y446" t="s">
        <v>16</v>
      </c>
      <c r="Z446">
        <v>2</v>
      </c>
      <c r="AA446">
        <f>IF(AND(Table1[[#This Row],[Throw Out Pass Eff]]="N", Table1[[#This Row],[Against FCS Team]]="N"), ROUND(((5.45 * D446) + (150 * F446) + (100 * G446) - (300 * H446)) / E446, 2), " ")</f>
        <v>83.03</v>
      </c>
      <c r="AB446">
        <f>IF(AND(Table1[[#This Row],[Throw Out Pass Def Eff]]="N", Table1[[#This Row],[Against FCS Team]]="N"),200 - ROUND(((5.45 * P446) + (150 * R446) + (100 * S446) - (300 * T446)) / Q446, 2), " ")</f>
        <v>113.8</v>
      </c>
      <c r="AC446">
        <f>IF(AND(Table1[[#This Row],[Throw Out Rush Eff]]="N", Table1[[#This Row],[Against FCS Team]]="N"), ROUND(((23.2 * I446) + (150 * K446) - (300 * L446)) / J446, 2), " ")</f>
        <v>162.31</v>
      </c>
      <c r="AD446" s="3">
        <f>IF(AND(Table1[[#This Row],[Throw Out Rush Def Eff]]="N", Table1[[#This Row],[Against FCS Team]]="N"), 200 - ROUND(((23.2 * U446) + (150 * W446) - (300 * X446)) / V446, 2), " ")</f>
        <v>93.55</v>
      </c>
      <c r="AE446" s="3">
        <f>ROUND(Table1[[#This Row],[Opp Passing Attempts]]/(Table1[[#This Row],[Opp Passing Attempts]]+Table1[[#This Row],[Opp Rushing Attempts]]), 2)</f>
        <v>0.51</v>
      </c>
      <c r="AF446" s="3">
        <f>1-Table1[[#This Row],[Passing Weight]]</f>
        <v>0.49</v>
      </c>
      <c r="AG446" s="3" t="str">
        <f>IF(COUNTIF(A:A,Table1[[#This Row],[Opp Team Name]]) &gt; 0, "N", "Y")</f>
        <v>N</v>
      </c>
      <c r="AH446" s="3" t="str">
        <f>IF(Table1[[#This Row],[Passing Attempts]] &lt;15, "Y", "N")</f>
        <v>N</v>
      </c>
      <c r="AI446" s="3" t="str">
        <f>IF(Table1[[#This Row],[Rushing Attempts]] &lt; 15, "Y", "N")</f>
        <v>N</v>
      </c>
      <c r="AJ446" s="3" t="str">
        <f>IF(Table1[[#This Row],[Opp Passing Attempts]]&lt;15, "Y", "N")</f>
        <v>N</v>
      </c>
      <c r="AK446" s="3" t="str">
        <f>IF(Table1[[#This Row],[Opp Rushing Attempts]]&lt;15, "Y", "N")</f>
        <v>N</v>
      </c>
      <c r="AL4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79.37</v>
      </c>
      <c r="AM4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108.49</v>
      </c>
      <c r="AN4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131.03</v>
      </c>
      <c r="AO44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93.96</v>
      </c>
      <c r="AP446" s="3">
        <f>ABS(Table1[[#This Row],[Team Score]]-Table1[[#This Row],[Opp Team Score]])</f>
        <v>13</v>
      </c>
      <c r="AQ446" s="3">
        <f>SUM(Table1[[#This Row],[Team Score]], Table1[[#This Row],[Opp Team Score]])</f>
        <v>71</v>
      </c>
      <c r="AR44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52.69</v>
      </c>
      <c r="AS446" s="3">
        <f>IF(Table1[[#This Row],[Efficiency Difference]] = " ", " ", ROUND((Table1[[#This Row],[Winning Margin]]*100)/Table1[[#This Row],[Efficiency Difference]], 2))</f>
        <v>24.67</v>
      </c>
    </row>
    <row r="447" spans="1:45">
      <c r="A447" t="s">
        <v>106</v>
      </c>
      <c r="B447">
        <v>463</v>
      </c>
      <c r="C447">
        <v>51</v>
      </c>
      <c r="D447">
        <v>155</v>
      </c>
      <c r="E447">
        <v>21</v>
      </c>
      <c r="F447">
        <v>2</v>
      </c>
      <c r="G447">
        <v>10</v>
      </c>
      <c r="H447">
        <v>0</v>
      </c>
      <c r="I447">
        <v>309</v>
      </c>
      <c r="J447">
        <v>55</v>
      </c>
      <c r="K447">
        <v>4</v>
      </c>
      <c r="L447">
        <v>1</v>
      </c>
      <c r="M447" t="s">
        <v>158</v>
      </c>
      <c r="N447">
        <v>756</v>
      </c>
      <c r="O447">
        <v>38</v>
      </c>
      <c r="P447">
        <v>274</v>
      </c>
      <c r="Q447">
        <v>37</v>
      </c>
      <c r="R447">
        <v>4</v>
      </c>
      <c r="S447">
        <v>21</v>
      </c>
      <c r="T447">
        <v>2</v>
      </c>
      <c r="U447">
        <v>146</v>
      </c>
      <c r="V447">
        <v>31</v>
      </c>
      <c r="W447">
        <v>1</v>
      </c>
      <c r="X447">
        <v>1</v>
      </c>
      <c r="Y447" t="s">
        <v>16</v>
      </c>
      <c r="Z447">
        <v>3</v>
      </c>
      <c r="AA447">
        <f>IF(AND(Table1[[#This Row],[Throw Out Pass Eff]]="N", Table1[[#This Row],[Against FCS Team]]="N"), ROUND(((5.45 * D447) + (150 * F447) + (100 * G447) - (300 * H447)) / E447, 2), " ")</f>
        <v>102.13</v>
      </c>
      <c r="AB447">
        <f>IF(AND(Table1[[#This Row],[Throw Out Pass Def Eff]]="N", Table1[[#This Row],[Against FCS Team]]="N"),200 - ROUND(((5.45 * P447) + (150 * R447) + (100 * S447) - (300 * T447)) / Q447, 2), " ")</f>
        <v>102.88</v>
      </c>
      <c r="AC447">
        <f>IF(AND(Table1[[#This Row],[Throw Out Rush Eff]]="N", Table1[[#This Row],[Against FCS Team]]="N"), ROUND(((23.2 * I447) + (150 * K447) - (300 * L447)) / J447, 2), " ")</f>
        <v>135.80000000000001</v>
      </c>
      <c r="AD447" s="3">
        <f>IF(AND(Table1[[#This Row],[Throw Out Rush Def Eff]]="N", Table1[[#This Row],[Against FCS Team]]="N"), 200 - ROUND(((23.2 * U447) + (150 * W447) - (300 * X447)) / V447, 2), " ")</f>
        <v>95.57</v>
      </c>
      <c r="AE447" s="3">
        <f>ROUND(Table1[[#This Row],[Opp Passing Attempts]]/(Table1[[#This Row],[Opp Passing Attempts]]+Table1[[#This Row],[Opp Rushing Attempts]]), 2)</f>
        <v>0.54</v>
      </c>
      <c r="AF447" s="3">
        <f>1-Table1[[#This Row],[Passing Weight]]</f>
        <v>0.45999999999999996</v>
      </c>
      <c r="AG447" s="3" t="str">
        <f>IF(COUNTIF(A:A,Table1[[#This Row],[Opp Team Name]]) &gt; 0, "N", "Y")</f>
        <v>N</v>
      </c>
      <c r="AH447" s="3" t="str">
        <f>IF(Table1[[#This Row],[Passing Attempts]] &lt;15, "Y", "N")</f>
        <v>N</v>
      </c>
      <c r="AI447" s="3" t="str">
        <f>IF(Table1[[#This Row],[Rushing Attempts]] &lt; 15, "Y", "N")</f>
        <v>N</v>
      </c>
      <c r="AJ447" s="3" t="str">
        <f>IF(Table1[[#This Row],[Opp Passing Attempts]]&lt;15, "Y", "N")</f>
        <v>N</v>
      </c>
      <c r="AK447" s="3" t="str">
        <f>IF(Table1[[#This Row],[Opp Rushing Attempts]]&lt;15, "Y", "N")</f>
        <v>N</v>
      </c>
      <c r="AL4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95.84</v>
      </c>
      <c r="AM4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129.36000000000001</v>
      </c>
      <c r="AN44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141.30000000000001</v>
      </c>
      <c r="AO4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112.93</v>
      </c>
      <c r="AP447" s="3">
        <f>ABS(Table1[[#This Row],[Team Score]]-Table1[[#This Row],[Opp Team Score]])</f>
        <v>13</v>
      </c>
      <c r="AQ447" s="3">
        <f>SUM(Table1[[#This Row],[Team Score]], Table1[[#This Row],[Opp Team Score]])</f>
        <v>89</v>
      </c>
      <c r="AR44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36.379999999999995</v>
      </c>
      <c r="AS447" s="3">
        <f>IF(Table1[[#This Row],[Efficiency Difference]] = " ", " ", ROUND((Table1[[#This Row],[Winning Margin]]*100)/Table1[[#This Row],[Efficiency Difference]], 2))</f>
        <v>35.729999999999997</v>
      </c>
    </row>
    <row r="448" spans="1:45">
      <c r="A448" t="s">
        <v>106</v>
      </c>
      <c r="B448">
        <v>463</v>
      </c>
      <c r="C448">
        <v>38</v>
      </c>
      <c r="D448">
        <v>157</v>
      </c>
      <c r="E448">
        <v>21</v>
      </c>
      <c r="F448">
        <v>1</v>
      </c>
      <c r="G448">
        <v>12</v>
      </c>
      <c r="H448">
        <v>0</v>
      </c>
      <c r="I448">
        <v>333</v>
      </c>
      <c r="J448">
        <v>49</v>
      </c>
      <c r="K448">
        <v>4</v>
      </c>
      <c r="L448">
        <v>1</v>
      </c>
      <c r="M448" t="s">
        <v>162</v>
      </c>
      <c r="N448">
        <v>811</v>
      </c>
      <c r="O448">
        <v>14</v>
      </c>
      <c r="P448">
        <v>168</v>
      </c>
      <c r="Q448">
        <v>34</v>
      </c>
      <c r="R448">
        <v>2</v>
      </c>
      <c r="S448">
        <v>18</v>
      </c>
      <c r="T448">
        <v>1</v>
      </c>
      <c r="U448">
        <v>137</v>
      </c>
      <c r="V448">
        <v>31</v>
      </c>
      <c r="W448">
        <v>0</v>
      </c>
      <c r="X448">
        <v>0</v>
      </c>
      <c r="Y448" t="s">
        <v>16</v>
      </c>
      <c r="Z448">
        <v>4</v>
      </c>
      <c r="AA448">
        <f>IF(AND(Table1[[#This Row],[Throw Out Pass Eff]]="N", Table1[[#This Row],[Against FCS Team]]="N"), ROUND(((5.45 * D448) + (150 * F448) + (100 * G448) - (300 * H448)) / E448, 2), " ")</f>
        <v>105.03</v>
      </c>
      <c r="AB448">
        <f>IF(AND(Table1[[#This Row],[Throw Out Pass Def Eff]]="N", Table1[[#This Row],[Against FCS Team]]="N"),200 - ROUND(((5.45 * P448) + (150 * R448) + (100 * S448) - (300 * T448)) / Q448, 2), " ")</f>
        <v>120.13</v>
      </c>
      <c r="AC448">
        <f>IF(AND(Table1[[#This Row],[Throw Out Rush Eff]]="N", Table1[[#This Row],[Against FCS Team]]="N"), ROUND(((23.2 * I448) + (150 * K448) - (300 * L448)) / J448, 2), " ")</f>
        <v>163.79</v>
      </c>
      <c r="AD448" s="3">
        <f>IF(AND(Table1[[#This Row],[Throw Out Rush Def Eff]]="N", Table1[[#This Row],[Against FCS Team]]="N"), 200 - ROUND(((23.2 * U448) + (150 * W448) - (300 * X448)) / V448, 2), " ")</f>
        <v>97.47</v>
      </c>
      <c r="AE448" s="3">
        <f>ROUND(Table1[[#This Row],[Opp Passing Attempts]]/(Table1[[#This Row],[Opp Passing Attempts]]+Table1[[#This Row],[Opp Rushing Attempts]]), 2)</f>
        <v>0.52</v>
      </c>
      <c r="AF448" s="3">
        <f>1-Table1[[#This Row],[Passing Weight]]</f>
        <v>0.48</v>
      </c>
      <c r="AG448" s="3" t="str">
        <f>IF(COUNTIF(A:A,Table1[[#This Row],[Opp Team Name]]) &gt; 0, "N", "Y")</f>
        <v>N</v>
      </c>
      <c r="AH448" s="3" t="str">
        <f>IF(Table1[[#This Row],[Passing Attempts]] &lt;15, "Y", "N")</f>
        <v>N</v>
      </c>
      <c r="AI448" s="3" t="str">
        <f>IF(Table1[[#This Row],[Rushing Attempts]] &lt; 15, "Y", "N")</f>
        <v>N</v>
      </c>
      <c r="AJ448" s="3" t="str">
        <f>IF(Table1[[#This Row],[Opp Passing Attempts]]&lt;15, "Y", "N")</f>
        <v>N</v>
      </c>
      <c r="AK448" s="3" t="str">
        <f>IF(Table1[[#This Row],[Opp Rushing Attempts]]&lt;15, "Y", "N")</f>
        <v>N</v>
      </c>
      <c r="AL4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109.18</v>
      </c>
      <c r="AM4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110.7</v>
      </c>
      <c r="AN4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181.94</v>
      </c>
      <c r="AO4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114.63</v>
      </c>
      <c r="AP448" s="3">
        <f>ABS(Table1[[#This Row],[Team Score]]-Table1[[#This Row],[Opp Team Score]])</f>
        <v>24</v>
      </c>
      <c r="AQ448" s="3">
        <f>SUM(Table1[[#This Row],[Team Score]], Table1[[#This Row],[Opp Team Score]])</f>
        <v>52</v>
      </c>
      <c r="AR4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86.419999999999987</v>
      </c>
      <c r="AS448" s="3">
        <f>IF(Table1[[#This Row],[Efficiency Difference]] = " ", " ", ROUND((Table1[[#This Row],[Winning Margin]]*100)/Table1[[#This Row],[Efficiency Difference]], 2))</f>
        <v>27.77</v>
      </c>
    </row>
    <row r="449" spans="1:45">
      <c r="A449" t="s">
        <v>106</v>
      </c>
      <c r="B449">
        <v>463</v>
      </c>
      <c r="C449">
        <v>17</v>
      </c>
      <c r="D449">
        <v>176</v>
      </c>
      <c r="E449">
        <v>22</v>
      </c>
      <c r="F449">
        <v>0</v>
      </c>
      <c r="G449">
        <v>11</v>
      </c>
      <c r="H449">
        <v>3</v>
      </c>
      <c r="I449">
        <v>159</v>
      </c>
      <c r="J449">
        <v>43</v>
      </c>
      <c r="K449">
        <v>2</v>
      </c>
      <c r="L449">
        <v>0</v>
      </c>
      <c r="M449" t="s">
        <v>145</v>
      </c>
      <c r="N449">
        <v>796</v>
      </c>
      <c r="O449">
        <v>48</v>
      </c>
      <c r="P449">
        <v>255</v>
      </c>
      <c r="Q449">
        <v>20</v>
      </c>
      <c r="R449">
        <v>2</v>
      </c>
      <c r="S449">
        <v>14</v>
      </c>
      <c r="T449">
        <v>0</v>
      </c>
      <c r="U449">
        <v>231</v>
      </c>
      <c r="V449">
        <v>50</v>
      </c>
      <c r="W449">
        <v>5</v>
      </c>
      <c r="X449">
        <v>1</v>
      </c>
      <c r="Y449" t="s">
        <v>19</v>
      </c>
      <c r="Z449">
        <v>5</v>
      </c>
      <c r="AA449">
        <f>IF(AND(Table1[[#This Row],[Throw Out Pass Eff]]="N", Table1[[#This Row],[Against FCS Team]]="N"), ROUND(((5.45 * D449) + (150 * F449) + (100 * G449) - (300 * H449)) / E449, 2), " ")</f>
        <v>52.69</v>
      </c>
      <c r="AB449">
        <f>IF(AND(Table1[[#This Row],[Throw Out Pass Def Eff]]="N", Table1[[#This Row],[Against FCS Team]]="N"),200 - ROUND(((5.45 * P449) + (150 * R449) + (100 * S449) - (300 * T449)) / Q449, 2), " ")</f>
        <v>45.509999999999991</v>
      </c>
      <c r="AC449">
        <f>IF(AND(Table1[[#This Row],[Throw Out Rush Eff]]="N", Table1[[#This Row],[Against FCS Team]]="N"), ROUND(((23.2 * I449) + (150 * K449) - (300 * L449)) / J449, 2), " ")</f>
        <v>92.76</v>
      </c>
      <c r="AD449" s="3">
        <f>IF(AND(Table1[[#This Row],[Throw Out Rush Def Eff]]="N", Table1[[#This Row],[Against FCS Team]]="N"), 200 - ROUND(((23.2 * U449) + (150 * W449) - (300 * X449)) / V449, 2), " ")</f>
        <v>83.82</v>
      </c>
      <c r="AE449" s="3">
        <f>ROUND(Table1[[#This Row],[Opp Passing Attempts]]/(Table1[[#This Row],[Opp Passing Attempts]]+Table1[[#This Row],[Opp Rushing Attempts]]), 2)</f>
        <v>0.28999999999999998</v>
      </c>
      <c r="AF449" s="3">
        <f>1-Table1[[#This Row],[Passing Weight]]</f>
        <v>0.71</v>
      </c>
      <c r="AG449" s="3" t="str">
        <f>IF(COUNTIF(A:A,Table1[[#This Row],[Opp Team Name]]) &gt; 0, "N", "Y")</f>
        <v>N</v>
      </c>
      <c r="AH449" s="3" t="str">
        <f>IF(Table1[[#This Row],[Passing Attempts]] &lt;15, "Y", "N")</f>
        <v>N</v>
      </c>
      <c r="AI449" s="3" t="str">
        <f>IF(Table1[[#This Row],[Rushing Attempts]] &lt; 15, "Y", "N")</f>
        <v>N</v>
      </c>
      <c r="AJ449" s="3" t="str">
        <f>IF(Table1[[#This Row],[Opp Passing Attempts]]&lt;15, "Y", "N")</f>
        <v>N</v>
      </c>
      <c r="AK449" s="3" t="str">
        <f>IF(Table1[[#This Row],[Opp Rushing Attempts]]&lt;15, "Y", "N")</f>
        <v>N</v>
      </c>
      <c r="AL4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59.52</v>
      </c>
      <c r="AM4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64.3</v>
      </c>
      <c r="AN4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117.03</v>
      </c>
      <c r="AO4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122.35</v>
      </c>
      <c r="AP449" s="3">
        <f>ABS(Table1[[#This Row],[Team Score]]-Table1[[#This Row],[Opp Team Score]])</f>
        <v>31</v>
      </c>
      <c r="AQ449" s="3">
        <f>SUM(Table1[[#This Row],[Team Score]], Table1[[#This Row],[Opp Team Score]])</f>
        <v>65</v>
      </c>
      <c r="AR4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125.22000000000003</v>
      </c>
      <c r="AS449" s="3">
        <f>IF(Table1[[#This Row],[Efficiency Difference]] = " ", " ", ROUND((Table1[[#This Row],[Winning Margin]]*100)/Table1[[#This Row],[Efficiency Difference]], 2))</f>
        <v>24.76</v>
      </c>
    </row>
    <row r="450" spans="1:45">
      <c r="A450" t="s">
        <v>106</v>
      </c>
      <c r="B450">
        <v>463</v>
      </c>
      <c r="C450">
        <v>34</v>
      </c>
      <c r="D450">
        <v>191</v>
      </c>
      <c r="E450">
        <v>22</v>
      </c>
      <c r="F450">
        <v>2</v>
      </c>
      <c r="G450">
        <v>16</v>
      </c>
      <c r="H450">
        <v>1</v>
      </c>
      <c r="I450">
        <v>232</v>
      </c>
      <c r="J450">
        <v>51</v>
      </c>
      <c r="K450">
        <v>2</v>
      </c>
      <c r="L450">
        <v>0</v>
      </c>
      <c r="M450" t="s">
        <v>18</v>
      </c>
      <c r="N450">
        <v>518</v>
      </c>
      <c r="O450">
        <v>27</v>
      </c>
      <c r="P450">
        <v>108</v>
      </c>
      <c r="Q450">
        <v>18</v>
      </c>
      <c r="R450">
        <v>1</v>
      </c>
      <c r="S450">
        <v>6</v>
      </c>
      <c r="T450">
        <v>1</v>
      </c>
      <c r="U450">
        <v>243</v>
      </c>
      <c r="V450">
        <v>41</v>
      </c>
      <c r="W450">
        <v>2</v>
      </c>
      <c r="X450">
        <v>1</v>
      </c>
      <c r="Y450" t="s">
        <v>16</v>
      </c>
      <c r="Z450">
        <v>6</v>
      </c>
      <c r="AA450">
        <f>IF(AND(Table1[[#This Row],[Throw Out Pass Eff]]="N", Table1[[#This Row],[Against FCS Team]]="N"), ROUND(((5.45 * D450) + (150 * F450) + (100 * G450) - (300 * H450)) / E450, 2), " ")</f>
        <v>120.04</v>
      </c>
      <c r="AB450">
        <f>IF(AND(Table1[[#This Row],[Throw Out Pass Def Eff]]="N", Table1[[#This Row],[Against FCS Team]]="N"),200 - ROUND(((5.45 * P450) + (150 * R450) + (100 * S450) - (300 * T450)) / Q450, 2), " ")</f>
        <v>142.30000000000001</v>
      </c>
      <c r="AC450">
        <f>IF(AND(Table1[[#This Row],[Throw Out Rush Eff]]="N", Table1[[#This Row],[Against FCS Team]]="N"), ROUND(((23.2 * I450) + (150 * K450) - (300 * L450)) / J450, 2), " ")</f>
        <v>111.42</v>
      </c>
      <c r="AD450" s="3">
        <f>IF(AND(Table1[[#This Row],[Throw Out Rush Def Eff]]="N", Table1[[#This Row],[Against FCS Team]]="N"), 200 - ROUND(((23.2 * U450) + (150 * W450) - (300 * X450)) / V450, 2), " ")</f>
        <v>62.5</v>
      </c>
      <c r="AE450" s="3">
        <f>ROUND(Table1[[#This Row],[Opp Passing Attempts]]/(Table1[[#This Row],[Opp Passing Attempts]]+Table1[[#This Row],[Opp Rushing Attempts]]), 2)</f>
        <v>0.31</v>
      </c>
      <c r="AF450" s="3">
        <f>1-Table1[[#This Row],[Passing Weight]]</f>
        <v>0.69</v>
      </c>
      <c r="AG450" s="3" t="str">
        <f>IF(COUNTIF(A:A,Table1[[#This Row],[Opp Team Name]]) &gt; 0, "N", "Y")</f>
        <v>N</v>
      </c>
      <c r="AH450" s="3" t="str">
        <f>IF(Table1[[#This Row],[Passing Attempts]] &lt;15, "Y", "N")</f>
        <v>N</v>
      </c>
      <c r="AI450" s="3" t="str">
        <f>IF(Table1[[#This Row],[Rushing Attempts]] &lt; 15, "Y", "N")</f>
        <v>N</v>
      </c>
      <c r="AJ450" s="3" t="str">
        <f>IF(Table1[[#This Row],[Opp Passing Attempts]]&lt;15, "Y", "N")</f>
        <v>N</v>
      </c>
      <c r="AK450" s="3" t="str">
        <f>IF(Table1[[#This Row],[Opp Rushing Attempts]]&lt;15, "Y", "N")</f>
        <v>N</v>
      </c>
      <c r="AL4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138.65</v>
      </c>
      <c r="AM4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117.68</v>
      </c>
      <c r="AN4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142.83000000000001</v>
      </c>
      <c r="AO4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58.44</v>
      </c>
      <c r="AP450" s="3">
        <f>ABS(Table1[[#This Row],[Team Score]]-Table1[[#This Row],[Opp Team Score]])</f>
        <v>7</v>
      </c>
      <c r="AQ450" s="3">
        <f>SUM(Table1[[#This Row],[Team Score]], Table1[[#This Row],[Opp Team Score]])</f>
        <v>61</v>
      </c>
      <c r="AR4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36.260000000000019</v>
      </c>
      <c r="AS450" s="3">
        <f>IF(Table1[[#This Row],[Efficiency Difference]] = " ", " ", ROUND((Table1[[#This Row],[Winning Margin]]*100)/Table1[[#This Row],[Efficiency Difference]], 2))</f>
        <v>19.309999999999999</v>
      </c>
    </row>
    <row r="451" spans="1:45">
      <c r="A451" t="s">
        <v>106</v>
      </c>
      <c r="B451">
        <v>463</v>
      </c>
      <c r="C451">
        <v>41</v>
      </c>
      <c r="D451">
        <v>169</v>
      </c>
      <c r="E451">
        <v>23</v>
      </c>
      <c r="F451">
        <v>1</v>
      </c>
      <c r="G451">
        <v>14</v>
      </c>
      <c r="H451">
        <v>0</v>
      </c>
      <c r="I451">
        <v>346</v>
      </c>
      <c r="J451">
        <v>56</v>
      </c>
      <c r="K451">
        <v>3</v>
      </c>
      <c r="L451">
        <v>0</v>
      </c>
      <c r="M451" t="s">
        <v>102</v>
      </c>
      <c r="N451">
        <v>428</v>
      </c>
      <c r="O451">
        <v>14</v>
      </c>
      <c r="P451">
        <v>122</v>
      </c>
      <c r="Q451">
        <v>18</v>
      </c>
      <c r="R451">
        <v>0</v>
      </c>
      <c r="S451">
        <v>9</v>
      </c>
      <c r="T451">
        <v>0</v>
      </c>
      <c r="U451">
        <v>132</v>
      </c>
      <c r="V451">
        <v>39</v>
      </c>
      <c r="W451">
        <v>2</v>
      </c>
      <c r="X451">
        <v>1</v>
      </c>
      <c r="Y451" t="s">
        <v>16</v>
      </c>
      <c r="Z451">
        <v>8</v>
      </c>
      <c r="AA451" s="3">
        <f>IF(AND(Table1[[#This Row],[Throw Out Pass Eff]]="N", Table1[[#This Row],[Against FCS Team]]="N"), ROUND(((5.45 * D451) + (150 * F451) + (100 * G451) - (300 * H451)) / E451, 2), " ")</f>
        <v>107.44</v>
      </c>
      <c r="AB451" s="3">
        <f>IF(AND(Table1[[#This Row],[Throw Out Pass Def Eff]]="N", Table1[[#This Row],[Against FCS Team]]="N"),200 - ROUND(((5.45 * P451) + (150 * R451) + (100 * S451) - (300 * T451)) / Q451, 2), " ")</f>
        <v>113.06</v>
      </c>
      <c r="AC451" s="3">
        <f>IF(AND(Table1[[#This Row],[Throw Out Rush Eff]]="N", Table1[[#This Row],[Against FCS Team]]="N"), ROUND(((23.2 * I451) + (150 * K451) - (300 * L451)) / J451, 2), " ")</f>
        <v>151.38</v>
      </c>
      <c r="AD451" s="3">
        <f>IF(AND(Table1[[#This Row],[Throw Out Rush Def Eff]]="N", Table1[[#This Row],[Against FCS Team]]="N"), 200 - ROUND(((23.2 * U451) + (150 * W451) - (300 * X451)) / V451, 2), " ")</f>
        <v>121.48</v>
      </c>
      <c r="AE451" s="3">
        <f>ROUND(Table1[[#This Row],[Opp Passing Attempts]]/(Table1[[#This Row],[Opp Passing Attempts]]+Table1[[#This Row],[Opp Rushing Attempts]]), 2)</f>
        <v>0.32</v>
      </c>
      <c r="AF451" s="3">
        <f>1-Table1[[#This Row],[Passing Weight]]</f>
        <v>0.67999999999999994</v>
      </c>
      <c r="AG451" s="3" t="str">
        <f>IF(COUNTIF(A:A,Table1[[#This Row],[Opp Team Name]]) &gt; 0, "N", "Y")</f>
        <v>N</v>
      </c>
      <c r="AH451" s="3" t="str">
        <f>IF(Table1[[#This Row],[Passing Attempts]] &lt;15, "Y", "N")</f>
        <v>N</v>
      </c>
      <c r="AI451" s="3" t="str">
        <f>IF(Table1[[#This Row],[Rushing Attempts]] &lt; 15, "Y", "N")</f>
        <v>N</v>
      </c>
      <c r="AJ451" s="3" t="str">
        <f>IF(Table1[[#This Row],[Opp Passing Attempts]]&lt;15, "Y", "N")</f>
        <v>N</v>
      </c>
      <c r="AK451" s="3" t="str">
        <f>IF(Table1[[#This Row],[Opp Rushing Attempts]]&lt;15, "Y", "N")</f>
        <v>N</v>
      </c>
      <c r="AL4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93.18</v>
      </c>
      <c r="AM4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90.45</v>
      </c>
      <c r="AN4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131.03</v>
      </c>
      <c r="AO4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101.71</v>
      </c>
      <c r="AP451" s="3">
        <f>ABS(Table1[[#This Row],[Team Score]]-Table1[[#This Row],[Opp Team Score]])</f>
        <v>27</v>
      </c>
      <c r="AQ451" s="3">
        <f>SUM(Table1[[#This Row],[Team Score]], Table1[[#This Row],[Opp Team Score]])</f>
        <v>55</v>
      </c>
      <c r="AR4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93.360000000000014</v>
      </c>
      <c r="AS451" s="3">
        <f>IF(Table1[[#This Row],[Efficiency Difference]] = " ", " ", ROUND((Table1[[#This Row],[Winning Margin]]*100)/Table1[[#This Row],[Efficiency Difference]], 2))</f>
        <v>28.92</v>
      </c>
    </row>
    <row r="452" spans="1:45">
      <c r="A452" t="s">
        <v>181</v>
      </c>
      <c r="B452">
        <v>466</v>
      </c>
      <c r="C452">
        <v>20</v>
      </c>
      <c r="D452">
        <v>233</v>
      </c>
      <c r="E452">
        <v>39</v>
      </c>
      <c r="F452">
        <v>1</v>
      </c>
      <c r="G452">
        <v>23</v>
      </c>
      <c r="H452">
        <v>3</v>
      </c>
      <c r="I452">
        <v>283</v>
      </c>
      <c r="J452">
        <v>51</v>
      </c>
      <c r="K452">
        <v>2</v>
      </c>
      <c r="L452">
        <v>0</v>
      </c>
      <c r="M452" t="s">
        <v>93</v>
      </c>
      <c r="N452">
        <v>529</v>
      </c>
      <c r="O452">
        <v>69</v>
      </c>
      <c r="P452">
        <v>331</v>
      </c>
      <c r="Q452">
        <v>26</v>
      </c>
      <c r="R452">
        <v>6</v>
      </c>
      <c r="S452">
        <v>15</v>
      </c>
      <c r="T452">
        <v>0</v>
      </c>
      <c r="U452">
        <v>272</v>
      </c>
      <c r="V452">
        <v>43</v>
      </c>
      <c r="W452">
        <v>2</v>
      </c>
      <c r="X452">
        <v>0</v>
      </c>
      <c r="Y452" t="s">
        <v>19</v>
      </c>
      <c r="Z452">
        <v>2</v>
      </c>
      <c r="AA452">
        <f>IF(AND(Table1[[#This Row],[Throw Out Pass Eff]]="N", Table1[[#This Row],[Against FCS Team]]="N"), ROUND(((5.45 * D452) + (150 * F452) + (100 * G452) - (300 * H452)) / E452, 2), " ")</f>
        <v>72.3</v>
      </c>
      <c r="AB452">
        <f>IF(AND(Table1[[#This Row],[Throw Out Pass Def Eff]]="N", Table1[[#This Row],[Against FCS Team]]="N"),200 - ROUND(((5.45 * P452) + (150 * R452) + (100 * S452) - (300 * T452)) / Q452, 2), " ")</f>
        <v>38.31</v>
      </c>
      <c r="AC452">
        <f>IF(AND(Table1[[#This Row],[Throw Out Rush Eff]]="N", Table1[[#This Row],[Against FCS Team]]="N"), ROUND(((23.2 * I452) + (150 * K452) - (300 * L452)) / J452, 2), " ")</f>
        <v>134.62</v>
      </c>
      <c r="AD452" s="3">
        <f>IF(AND(Table1[[#This Row],[Throw Out Rush Def Eff]]="N", Table1[[#This Row],[Against FCS Team]]="N"), 200 - ROUND(((23.2 * U452) + (150 * W452) - (300 * X452)) / V452, 2), " ")</f>
        <v>46.27000000000001</v>
      </c>
      <c r="AE452" s="3">
        <f>ROUND(Table1[[#This Row],[Opp Passing Attempts]]/(Table1[[#This Row],[Opp Passing Attempts]]+Table1[[#This Row],[Opp Rushing Attempts]]), 2)</f>
        <v>0.38</v>
      </c>
      <c r="AF452" s="3">
        <f>1-Table1[[#This Row],[Passing Weight]]</f>
        <v>0.62</v>
      </c>
      <c r="AG452" s="3" t="str">
        <f>IF(COUNTIF(A:A,Table1[[#This Row],[Opp Team Name]]) &gt; 0, "N", "Y")</f>
        <v>N</v>
      </c>
      <c r="AH452" s="3" t="str">
        <f>IF(Table1[[#This Row],[Passing Attempts]] &lt;15, "Y", "N")</f>
        <v>N</v>
      </c>
      <c r="AI452" s="3" t="str">
        <f>IF(Table1[[#This Row],[Rushing Attempts]] &lt; 15, "Y", "N")</f>
        <v>N</v>
      </c>
      <c r="AJ452" s="3" t="str">
        <f>IF(Table1[[#This Row],[Opp Passing Attempts]]&lt;15, "Y", "N")</f>
        <v>N</v>
      </c>
      <c r="AK452" s="3" t="str">
        <f>IF(Table1[[#This Row],[Opp Rushing Attempts]]&lt;15, "Y", "N")</f>
        <v>N</v>
      </c>
      <c r="AL4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86.51</v>
      </c>
      <c r="AM45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42.55</v>
      </c>
      <c r="AN4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139.26</v>
      </c>
      <c r="AO4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73.760000000000005</v>
      </c>
      <c r="AP452" s="3">
        <f>ABS(Table1[[#This Row],[Team Score]]-Table1[[#This Row],[Opp Team Score]])</f>
        <v>49</v>
      </c>
      <c r="AQ452" s="3">
        <f>SUM(Table1[[#This Row],[Team Score]], Table1[[#This Row],[Opp Team Score]])</f>
        <v>89</v>
      </c>
      <c r="AR45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108.49999999999994</v>
      </c>
      <c r="AS452" s="3">
        <f>IF(Table1[[#This Row],[Efficiency Difference]] = " ", " ", ROUND((Table1[[#This Row],[Winning Margin]]*100)/Table1[[#This Row],[Efficiency Difference]], 2))</f>
        <v>45.16</v>
      </c>
    </row>
    <row r="453" spans="1:45">
      <c r="A453" t="s">
        <v>181</v>
      </c>
      <c r="B453">
        <v>466</v>
      </c>
      <c r="C453">
        <v>17</v>
      </c>
      <c r="D453">
        <v>112</v>
      </c>
      <c r="E453">
        <v>21</v>
      </c>
      <c r="F453">
        <v>0</v>
      </c>
      <c r="G453">
        <v>11</v>
      </c>
      <c r="H453">
        <v>2</v>
      </c>
      <c r="I453">
        <v>261</v>
      </c>
      <c r="J453">
        <v>60</v>
      </c>
      <c r="K453">
        <v>2</v>
      </c>
      <c r="L453">
        <v>2</v>
      </c>
      <c r="M453" t="s">
        <v>128</v>
      </c>
      <c r="N453">
        <v>630</v>
      </c>
      <c r="O453">
        <v>14</v>
      </c>
      <c r="P453">
        <v>152</v>
      </c>
      <c r="Q453">
        <v>33</v>
      </c>
      <c r="R453">
        <v>0</v>
      </c>
      <c r="S453">
        <v>13</v>
      </c>
      <c r="T453">
        <v>1</v>
      </c>
      <c r="U453">
        <v>138</v>
      </c>
      <c r="V453">
        <v>30</v>
      </c>
      <c r="W453">
        <v>2</v>
      </c>
      <c r="X453">
        <v>3</v>
      </c>
      <c r="Y453" t="s">
        <v>16</v>
      </c>
      <c r="Z453">
        <v>3</v>
      </c>
      <c r="AA453">
        <f>IF(AND(Table1[[#This Row],[Throw Out Pass Eff]]="N", Table1[[#This Row],[Against FCS Team]]="N"), ROUND(((5.45 * D453) + (150 * F453) + (100 * G453) - (300 * H453)) / E453, 2), " ")</f>
        <v>52.88</v>
      </c>
      <c r="AB453">
        <f>IF(AND(Table1[[#This Row],[Throw Out Pass Def Eff]]="N", Table1[[#This Row],[Against FCS Team]]="N"),200 - ROUND(((5.45 * P453) + (150 * R453) + (100 * S453) - (300 * T453)) / Q453, 2), " ")</f>
        <v>144.59</v>
      </c>
      <c r="AC453">
        <f>IF(AND(Table1[[#This Row],[Throw Out Rush Eff]]="N", Table1[[#This Row],[Against FCS Team]]="N"), ROUND(((23.2 * I453) + (150 * K453) - (300 * L453)) / J453, 2), " ")</f>
        <v>95.92</v>
      </c>
      <c r="AD453" s="3">
        <f>IF(AND(Table1[[#This Row],[Throw Out Rush Def Eff]]="N", Table1[[#This Row],[Against FCS Team]]="N"), 200 - ROUND(((23.2 * U453) + (150 * W453) - (300 * X453)) / V453, 2), " ")</f>
        <v>113.28</v>
      </c>
      <c r="AE453" s="3">
        <f>ROUND(Table1[[#This Row],[Opp Passing Attempts]]/(Table1[[#This Row],[Opp Passing Attempts]]+Table1[[#This Row],[Opp Rushing Attempts]]), 2)</f>
        <v>0.52</v>
      </c>
      <c r="AF453" s="3">
        <f>1-Table1[[#This Row],[Passing Weight]]</f>
        <v>0.48</v>
      </c>
      <c r="AG453" s="3" t="str">
        <f>IF(COUNTIF(A:A,Table1[[#This Row],[Opp Team Name]]) &gt; 0, "N", "Y")</f>
        <v>N</v>
      </c>
      <c r="AH453" s="3" t="str">
        <f>IF(Table1[[#This Row],[Passing Attempts]] &lt;15, "Y", "N")</f>
        <v>N</v>
      </c>
      <c r="AI453" s="3" t="str">
        <f>IF(Table1[[#This Row],[Rushing Attempts]] &lt; 15, "Y", "N")</f>
        <v>N</v>
      </c>
      <c r="AJ453" s="3" t="str">
        <f>IF(Table1[[#This Row],[Opp Passing Attempts]]&lt;15, "Y", "N")</f>
        <v>N</v>
      </c>
      <c r="AK453" s="3" t="str">
        <f>IF(Table1[[#This Row],[Opp Rushing Attempts]]&lt;15, "Y", "N")</f>
        <v>N</v>
      </c>
      <c r="AL4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55.82</v>
      </c>
      <c r="AM4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122.95</v>
      </c>
      <c r="AN4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81.3</v>
      </c>
      <c r="AO4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92.24</v>
      </c>
      <c r="AP453" s="3">
        <f>ABS(Table1[[#This Row],[Team Score]]-Table1[[#This Row],[Opp Team Score]])</f>
        <v>3</v>
      </c>
      <c r="AQ453" s="3">
        <f>SUM(Table1[[#This Row],[Team Score]], Table1[[#This Row],[Opp Team Score]])</f>
        <v>31</v>
      </c>
      <c r="AR4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6.6700000000000159</v>
      </c>
      <c r="AS453" s="3">
        <f>IF(Table1[[#This Row],[Efficiency Difference]] = " ", " ", ROUND((Table1[[#This Row],[Winning Margin]]*100)/Table1[[#This Row],[Efficiency Difference]], 2))</f>
        <v>44.98</v>
      </c>
    </row>
    <row r="454" spans="1:45">
      <c r="A454" t="s">
        <v>181</v>
      </c>
      <c r="B454">
        <v>466</v>
      </c>
      <c r="C454">
        <v>34</v>
      </c>
      <c r="D454">
        <v>250</v>
      </c>
      <c r="E454">
        <v>24</v>
      </c>
      <c r="F454">
        <v>2</v>
      </c>
      <c r="G454">
        <v>15</v>
      </c>
      <c r="H454">
        <v>0</v>
      </c>
      <c r="I454">
        <v>312</v>
      </c>
      <c r="J454">
        <v>46</v>
      </c>
      <c r="K454">
        <v>2</v>
      </c>
      <c r="L454">
        <v>0</v>
      </c>
      <c r="M454" t="s">
        <v>137</v>
      </c>
      <c r="N454">
        <v>700</v>
      </c>
      <c r="O454">
        <v>35</v>
      </c>
      <c r="P454">
        <v>222</v>
      </c>
      <c r="Q454">
        <v>38</v>
      </c>
      <c r="R454">
        <v>3</v>
      </c>
      <c r="S454">
        <v>26</v>
      </c>
      <c r="T454">
        <v>0</v>
      </c>
      <c r="U454">
        <v>219</v>
      </c>
      <c r="V454">
        <v>38</v>
      </c>
      <c r="W454">
        <v>2</v>
      </c>
      <c r="X454">
        <v>0</v>
      </c>
      <c r="Y454" t="s">
        <v>19</v>
      </c>
      <c r="Z454">
        <v>4</v>
      </c>
      <c r="AA454">
        <f>IF(AND(Table1[[#This Row],[Throw Out Pass Eff]]="N", Table1[[#This Row],[Against FCS Team]]="N"), ROUND(((5.45 * D454) + (150 * F454) + (100 * G454) - (300 * H454)) / E454, 2), " ")</f>
        <v>131.77000000000001</v>
      </c>
      <c r="AB454">
        <f>IF(AND(Table1[[#This Row],[Throw Out Pass Def Eff]]="N", Table1[[#This Row],[Against FCS Team]]="N"),200 - ROUND(((5.45 * P454) + (150 * R454) + (100 * S454) - (300 * T454)) / Q454, 2), " ")</f>
        <v>87.9</v>
      </c>
      <c r="AC454">
        <f>IF(AND(Table1[[#This Row],[Throw Out Rush Eff]]="N", Table1[[#This Row],[Against FCS Team]]="N"), ROUND(((23.2 * I454) + (150 * K454) - (300 * L454)) / J454, 2), " ")</f>
        <v>163.88</v>
      </c>
      <c r="AD454" s="3">
        <f>IF(AND(Table1[[#This Row],[Throw Out Rush Def Eff]]="N", Table1[[#This Row],[Against FCS Team]]="N"), 200 - ROUND(((23.2 * U454) + (150 * W454) - (300 * X454)) / V454, 2), " ")</f>
        <v>58.400000000000006</v>
      </c>
      <c r="AE454" s="3">
        <f>ROUND(Table1[[#This Row],[Opp Passing Attempts]]/(Table1[[#This Row],[Opp Passing Attempts]]+Table1[[#This Row],[Opp Rushing Attempts]]), 2)</f>
        <v>0.5</v>
      </c>
      <c r="AF454" s="3">
        <f>1-Table1[[#This Row],[Passing Weight]]</f>
        <v>0.5</v>
      </c>
      <c r="AG454" s="3" t="str">
        <f>IF(COUNTIF(A:A,Table1[[#This Row],[Opp Team Name]]) &gt; 0, "N", "Y")</f>
        <v>N</v>
      </c>
      <c r="AH454" s="3" t="str">
        <f>IF(Table1[[#This Row],[Passing Attempts]] &lt;15, "Y", "N")</f>
        <v>N</v>
      </c>
      <c r="AI454" s="3" t="str">
        <f>IF(Table1[[#This Row],[Rushing Attempts]] &lt; 15, "Y", "N")</f>
        <v>N</v>
      </c>
      <c r="AJ454" s="3" t="str">
        <f>IF(Table1[[#This Row],[Opp Passing Attempts]]&lt;15, "Y", "N")</f>
        <v>N</v>
      </c>
      <c r="AK454" s="3" t="str">
        <f>IF(Table1[[#This Row],[Opp Rushing Attempts]]&lt;15, "Y", "N")</f>
        <v>N</v>
      </c>
      <c r="AL45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130.49</v>
      </c>
      <c r="AM4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105.15</v>
      </c>
      <c r="AN4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151.96</v>
      </c>
      <c r="AO4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60.04</v>
      </c>
      <c r="AP454" s="3">
        <f>ABS(Table1[[#This Row],[Team Score]]-Table1[[#This Row],[Opp Team Score]])</f>
        <v>1</v>
      </c>
      <c r="AQ454" s="3">
        <f>SUM(Table1[[#This Row],[Team Score]], Table1[[#This Row],[Opp Team Score]])</f>
        <v>69</v>
      </c>
      <c r="AR45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41.949999999999989</v>
      </c>
      <c r="AS454" s="3">
        <f>IF(Table1[[#This Row],[Efficiency Difference]] = " ", " ", ROUND((Table1[[#This Row],[Winning Margin]]*100)/Table1[[#This Row],[Efficiency Difference]], 2))</f>
        <v>2.38</v>
      </c>
    </row>
    <row r="455" spans="1:45">
      <c r="A455" t="s">
        <v>181</v>
      </c>
      <c r="B455">
        <v>466</v>
      </c>
      <c r="C455">
        <v>10</v>
      </c>
      <c r="D455">
        <v>123</v>
      </c>
      <c r="E455">
        <v>20</v>
      </c>
      <c r="F455">
        <v>1</v>
      </c>
      <c r="G455">
        <v>9</v>
      </c>
      <c r="H455">
        <v>1</v>
      </c>
      <c r="I455">
        <v>59</v>
      </c>
      <c r="J455">
        <v>35</v>
      </c>
      <c r="K455">
        <v>0</v>
      </c>
      <c r="L455">
        <v>1</v>
      </c>
      <c r="M455" t="s">
        <v>38</v>
      </c>
      <c r="N455">
        <v>66</v>
      </c>
      <c r="O455">
        <v>30</v>
      </c>
      <c r="P455">
        <v>160</v>
      </c>
      <c r="Q455">
        <v>35</v>
      </c>
      <c r="R455">
        <v>2</v>
      </c>
      <c r="S455">
        <v>21</v>
      </c>
      <c r="T455">
        <v>2</v>
      </c>
      <c r="U455">
        <v>169</v>
      </c>
      <c r="V455">
        <v>36</v>
      </c>
      <c r="W455">
        <v>2</v>
      </c>
      <c r="X455">
        <v>0</v>
      </c>
      <c r="Y455" t="s">
        <v>19</v>
      </c>
      <c r="Z455">
        <v>5</v>
      </c>
      <c r="AA455">
        <f>IF(AND(Table1[[#This Row],[Throw Out Pass Eff]]="N", Table1[[#This Row],[Against FCS Team]]="N"), ROUND(((5.45 * D455) + (150 * F455) + (100 * G455) - (300 * H455)) / E455, 2), " ")</f>
        <v>71.02</v>
      </c>
      <c r="AB455">
        <f>IF(AND(Table1[[#This Row],[Throw Out Pass Def Eff]]="N", Table1[[#This Row],[Against FCS Team]]="N"),200 - ROUND(((5.45 * P455) + (150 * R455) + (100 * S455) - (300 * T455)) / Q455, 2), " ")</f>
        <v>123.66</v>
      </c>
      <c r="AC455">
        <f>IF(AND(Table1[[#This Row],[Throw Out Rush Eff]]="N", Table1[[#This Row],[Against FCS Team]]="N"), ROUND(((23.2 * I455) + (150 * K455) - (300 * L455)) / J455, 2), " ")</f>
        <v>30.54</v>
      </c>
      <c r="AD455" s="3">
        <f>IF(AND(Table1[[#This Row],[Throw Out Rush Def Eff]]="N", Table1[[#This Row],[Against FCS Team]]="N"), 200 - ROUND(((23.2 * U455) + (150 * W455) - (300 * X455)) / V455, 2), " ")</f>
        <v>82.76</v>
      </c>
      <c r="AE455" s="3">
        <f>ROUND(Table1[[#This Row],[Opp Passing Attempts]]/(Table1[[#This Row],[Opp Passing Attempts]]+Table1[[#This Row],[Opp Rushing Attempts]]), 2)</f>
        <v>0.49</v>
      </c>
      <c r="AF455" s="3">
        <f>1-Table1[[#This Row],[Passing Weight]]</f>
        <v>0.51</v>
      </c>
      <c r="AG455" s="3" t="str">
        <f>IF(COUNTIF(A:A,Table1[[#This Row],[Opp Team Name]]) &gt; 0, "N", "Y")</f>
        <v>N</v>
      </c>
      <c r="AH455" s="3" t="str">
        <f>IF(Table1[[#This Row],[Passing Attempts]] &lt;15, "Y", "N")</f>
        <v>N</v>
      </c>
      <c r="AI455" s="3" t="str">
        <f>IF(Table1[[#This Row],[Rushing Attempts]] &lt; 15, "Y", "N")</f>
        <v>N</v>
      </c>
      <c r="AJ455" s="3" t="str">
        <f>IF(Table1[[#This Row],[Opp Passing Attempts]]&lt;15, "Y", "N")</f>
        <v>N</v>
      </c>
      <c r="AK455" s="3" t="str">
        <f>IF(Table1[[#This Row],[Opp Rushing Attempts]]&lt;15, "Y", "N")</f>
        <v>N</v>
      </c>
      <c r="AL45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90.02</v>
      </c>
      <c r="AM4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162.32</v>
      </c>
      <c r="AN4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35.049999999999997</v>
      </c>
      <c r="AO4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94.93</v>
      </c>
      <c r="AP455" s="3">
        <f>ABS(Table1[[#This Row],[Team Score]]-Table1[[#This Row],[Opp Team Score]])</f>
        <v>20</v>
      </c>
      <c r="AQ455" s="3">
        <f>SUM(Table1[[#This Row],[Team Score]], Table1[[#This Row],[Opp Team Score]])</f>
        <v>40</v>
      </c>
      <c r="AR45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92.019999999999982</v>
      </c>
      <c r="AS455" s="3">
        <f>IF(Table1[[#This Row],[Efficiency Difference]] = " ", " ", ROUND((Table1[[#This Row],[Winning Margin]]*100)/Table1[[#This Row],[Efficiency Difference]], 2))</f>
        <v>21.73</v>
      </c>
    </row>
    <row r="456" spans="1:45">
      <c r="A456" t="s">
        <v>181</v>
      </c>
      <c r="B456">
        <v>466</v>
      </c>
      <c r="C456">
        <v>37</v>
      </c>
      <c r="D456">
        <v>459</v>
      </c>
      <c r="E456">
        <v>44</v>
      </c>
      <c r="F456">
        <v>3</v>
      </c>
      <c r="G456">
        <v>29</v>
      </c>
      <c r="H456">
        <v>3</v>
      </c>
      <c r="I456">
        <v>240</v>
      </c>
      <c r="J456">
        <v>48</v>
      </c>
      <c r="K456">
        <v>1</v>
      </c>
      <c r="L456">
        <v>2</v>
      </c>
      <c r="M456" t="s">
        <v>144</v>
      </c>
      <c r="N456">
        <v>465</v>
      </c>
      <c r="O456">
        <v>0</v>
      </c>
      <c r="P456">
        <v>8</v>
      </c>
      <c r="Q456">
        <v>14</v>
      </c>
      <c r="R456">
        <v>0</v>
      </c>
      <c r="S456">
        <v>1</v>
      </c>
      <c r="T456">
        <v>1</v>
      </c>
      <c r="U456">
        <v>102</v>
      </c>
      <c r="V456">
        <v>39</v>
      </c>
      <c r="W456">
        <v>0</v>
      </c>
      <c r="X456">
        <v>1</v>
      </c>
      <c r="Y456" t="s">
        <v>16</v>
      </c>
      <c r="Z456">
        <v>6</v>
      </c>
      <c r="AA456">
        <f>IF(AND(Table1[[#This Row],[Throw Out Pass Eff]]="N", Table1[[#This Row],[Against FCS Team]]="N"), ROUND(((5.45 * D456) + (150 * F456) + (100 * G456) - (300 * H456)) / E456, 2), " ")</f>
        <v>112.54</v>
      </c>
      <c r="AB456" t="str">
        <f>IF(AND(Table1[[#This Row],[Throw Out Pass Def Eff]]="N", Table1[[#This Row],[Against FCS Team]]="N"),200 - ROUND(((5.45 * P456) + (150 * R456) + (100 * S456) - (300 * T456)) / Q456, 2), " ")</f>
        <v xml:space="preserve"> </v>
      </c>
      <c r="AC456">
        <f>IF(AND(Table1[[#This Row],[Throw Out Rush Eff]]="N", Table1[[#This Row],[Against FCS Team]]="N"), ROUND(((23.2 * I456) + (150 * K456) - (300 * L456)) / J456, 2), " ")</f>
        <v>106.63</v>
      </c>
      <c r="AD456" s="3">
        <f>IF(AND(Table1[[#This Row],[Throw Out Rush Def Eff]]="N", Table1[[#This Row],[Against FCS Team]]="N"), 200 - ROUND(((23.2 * U456) + (150 * W456) - (300 * X456)) / V456, 2), " ")</f>
        <v>147.02000000000001</v>
      </c>
      <c r="AE456" s="3">
        <f>ROUND(Table1[[#This Row],[Opp Passing Attempts]]/(Table1[[#This Row],[Opp Passing Attempts]]+Table1[[#This Row],[Opp Rushing Attempts]]), 2)</f>
        <v>0.26</v>
      </c>
      <c r="AF456" s="3">
        <f>1-Table1[[#This Row],[Passing Weight]]</f>
        <v>0.74</v>
      </c>
      <c r="AG456" s="3" t="str">
        <f>IF(COUNTIF(A:A,Table1[[#This Row],[Opp Team Name]]) &gt; 0, "N", "Y")</f>
        <v>N</v>
      </c>
      <c r="AH456" s="3" t="str">
        <f>IF(Table1[[#This Row],[Passing Attempts]] &lt;15, "Y", "N")</f>
        <v>N</v>
      </c>
      <c r="AI456" s="3" t="str">
        <f>IF(Table1[[#This Row],[Rushing Attempts]] &lt; 15, "Y", "N")</f>
        <v>N</v>
      </c>
      <c r="AJ456" s="3" t="str">
        <f>IF(Table1[[#This Row],[Opp Passing Attempts]]&lt;15, "Y", "N")</f>
        <v>Y</v>
      </c>
      <c r="AK456" s="3" t="str">
        <f>IF(Table1[[#This Row],[Opp Rushing Attempts]]&lt;15, "Y", "N")</f>
        <v>N</v>
      </c>
      <c r="AL4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85.08</v>
      </c>
      <c r="AM45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125.77</v>
      </c>
      <c r="AO4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107.26</v>
      </c>
      <c r="AP456" s="3">
        <f>ABS(Table1[[#This Row],[Team Score]]-Table1[[#This Row],[Opp Team Score]])</f>
        <v>37</v>
      </c>
      <c r="AQ456" s="3">
        <f>SUM(Table1[[#This Row],[Team Score]], Table1[[#This Row],[Opp Team Score]])</f>
        <v>37</v>
      </c>
      <c r="AR45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56" s="3" t="str">
        <f>IF(Table1[[#This Row],[Efficiency Difference]] = " ", " ", ROUND((Table1[[#This Row],[Winning Margin]]*100)/Table1[[#This Row],[Efficiency Difference]], 2))</f>
        <v xml:space="preserve"> </v>
      </c>
    </row>
    <row r="457" spans="1:45">
      <c r="A457" t="s">
        <v>181</v>
      </c>
      <c r="B457">
        <v>466</v>
      </c>
      <c r="C457">
        <v>49</v>
      </c>
      <c r="D457">
        <v>260</v>
      </c>
      <c r="E457">
        <v>31</v>
      </c>
      <c r="F457">
        <v>0</v>
      </c>
      <c r="G457">
        <v>24</v>
      </c>
      <c r="H457">
        <v>1</v>
      </c>
      <c r="I457">
        <v>338</v>
      </c>
      <c r="J457">
        <v>52</v>
      </c>
      <c r="K457">
        <v>6</v>
      </c>
      <c r="L457">
        <v>2</v>
      </c>
      <c r="M457" t="s">
        <v>59</v>
      </c>
      <c r="N457">
        <v>473</v>
      </c>
      <c r="O457">
        <v>7</v>
      </c>
      <c r="P457">
        <v>89</v>
      </c>
      <c r="Q457">
        <v>29</v>
      </c>
      <c r="R457">
        <v>0</v>
      </c>
      <c r="S457">
        <v>11</v>
      </c>
      <c r="T457">
        <v>1</v>
      </c>
      <c r="U457">
        <v>168</v>
      </c>
      <c r="V457">
        <v>35</v>
      </c>
      <c r="W457">
        <v>1</v>
      </c>
      <c r="X457">
        <v>1</v>
      </c>
      <c r="Y457" t="s">
        <v>16</v>
      </c>
      <c r="Z457">
        <v>7</v>
      </c>
      <c r="AA457">
        <f>IF(AND(Table1[[#This Row],[Throw Out Pass Eff]]="N", Table1[[#This Row],[Against FCS Team]]="N"), ROUND(((5.45 * D457) + (150 * F457) + (100 * G457) - (300 * H457)) / E457, 2), " ")</f>
        <v>113.45</v>
      </c>
      <c r="AB457">
        <f>IF(AND(Table1[[#This Row],[Throw Out Pass Def Eff]]="N", Table1[[#This Row],[Against FCS Team]]="N"),200 - ROUND(((5.45 * P457) + (150 * R457) + (100 * S457) - (300 * T457)) / Q457, 2), " ")</f>
        <v>155.69</v>
      </c>
      <c r="AC457">
        <f>IF(AND(Table1[[#This Row],[Throw Out Rush Eff]]="N", Table1[[#This Row],[Against FCS Team]]="N"), ROUND(((23.2 * I457) + (150 * K457) - (300 * L457)) / J457, 2), " ")</f>
        <v>156.57</v>
      </c>
      <c r="AD457" s="3">
        <f>IF(AND(Table1[[#This Row],[Throw Out Rush Def Eff]]="N", Table1[[#This Row],[Against FCS Team]]="N"), 200 - ROUND(((23.2 * U457) + (150 * W457) - (300 * X457)) / V457, 2), " ")</f>
        <v>92.93</v>
      </c>
      <c r="AE457" s="3">
        <f>ROUND(Table1[[#This Row],[Opp Passing Attempts]]/(Table1[[#This Row],[Opp Passing Attempts]]+Table1[[#This Row],[Opp Rushing Attempts]]), 2)</f>
        <v>0.45</v>
      </c>
      <c r="AF457" s="3">
        <f>1-Table1[[#This Row],[Passing Weight]]</f>
        <v>0.55000000000000004</v>
      </c>
      <c r="AG457" s="3" t="str">
        <f>IF(COUNTIF(A:A,Table1[[#This Row],[Opp Team Name]]) &gt; 0, "N", "Y")</f>
        <v>N</v>
      </c>
      <c r="AH457" s="3" t="str">
        <f>IF(Table1[[#This Row],[Passing Attempts]] &lt;15, "Y", "N")</f>
        <v>N</v>
      </c>
      <c r="AI457" s="3" t="str">
        <f>IF(Table1[[#This Row],[Rushing Attempts]] &lt; 15, "Y", "N")</f>
        <v>N</v>
      </c>
      <c r="AJ457" s="3" t="str">
        <f>IF(Table1[[#This Row],[Opp Passing Attempts]]&lt;15, "Y", "N")</f>
        <v>N</v>
      </c>
      <c r="AK457" s="3" t="str">
        <f>IF(Table1[[#This Row],[Opp Rushing Attempts]]&lt;15, "Y", "N")</f>
        <v>N</v>
      </c>
      <c r="AL45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75.599999999999994</v>
      </c>
      <c r="AM45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132.94999999999999</v>
      </c>
      <c r="AN45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105.71</v>
      </c>
      <c r="AO45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67.78</v>
      </c>
      <c r="AP457" s="3">
        <f>ABS(Table1[[#This Row],[Team Score]]-Table1[[#This Row],[Opp Team Score]])</f>
        <v>42</v>
      </c>
      <c r="AQ457" s="3">
        <f>SUM(Table1[[#This Row],[Team Score]], Table1[[#This Row],[Opp Team Score]])</f>
        <v>56</v>
      </c>
      <c r="AR45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118.63999999999999</v>
      </c>
      <c r="AS457" s="3">
        <f>IF(Table1[[#This Row],[Efficiency Difference]] = " ", " ", ROUND((Table1[[#This Row],[Winning Margin]]*100)/Table1[[#This Row],[Efficiency Difference]], 2))</f>
        <v>35.4</v>
      </c>
    </row>
    <row r="458" spans="1:45">
      <c r="A458" t="s">
        <v>181</v>
      </c>
      <c r="B458">
        <v>466</v>
      </c>
      <c r="C458">
        <v>45</v>
      </c>
      <c r="D458">
        <v>313</v>
      </c>
      <c r="E458">
        <v>27</v>
      </c>
      <c r="F458">
        <v>1</v>
      </c>
      <c r="G458">
        <v>19</v>
      </c>
      <c r="H458">
        <v>0</v>
      </c>
      <c r="I458">
        <v>268</v>
      </c>
      <c r="J458">
        <v>48</v>
      </c>
      <c r="K458">
        <v>2</v>
      </c>
      <c r="L458">
        <v>0</v>
      </c>
      <c r="M458" t="s">
        <v>49</v>
      </c>
      <c r="N458">
        <v>96</v>
      </c>
      <c r="O458">
        <v>38</v>
      </c>
      <c r="P458">
        <v>315</v>
      </c>
      <c r="Q458">
        <v>37</v>
      </c>
      <c r="R458">
        <v>3</v>
      </c>
      <c r="S458">
        <v>20</v>
      </c>
      <c r="T458">
        <v>0</v>
      </c>
      <c r="U458">
        <v>207</v>
      </c>
      <c r="V458">
        <v>33</v>
      </c>
      <c r="W458">
        <v>2</v>
      </c>
      <c r="X458">
        <v>2</v>
      </c>
      <c r="Y458" t="s">
        <v>16</v>
      </c>
      <c r="Z458">
        <v>8</v>
      </c>
      <c r="AA458" s="3">
        <f>IF(AND(Table1[[#This Row],[Throw Out Pass Eff]]="N", Table1[[#This Row],[Against FCS Team]]="N"), ROUND(((5.45 * D458) + (150 * F458) + (100 * G458) - (300 * H458)) / E458, 2), " ")</f>
        <v>139.11000000000001</v>
      </c>
      <c r="AB458" s="3">
        <f>IF(AND(Table1[[#This Row],[Throw Out Pass Def Eff]]="N", Table1[[#This Row],[Against FCS Team]]="N"),200 - ROUND(((5.45 * P458) + (150 * R458) + (100 * S458) - (300 * T458)) / Q458, 2), " ")</f>
        <v>87.39</v>
      </c>
      <c r="AC458" s="3">
        <f>IF(AND(Table1[[#This Row],[Throw Out Rush Eff]]="N", Table1[[#This Row],[Against FCS Team]]="N"), ROUND(((23.2 * I458) + (150 * K458) - (300 * L458)) / J458, 2), " ")</f>
        <v>135.78</v>
      </c>
      <c r="AD458" s="3">
        <f>IF(AND(Table1[[#This Row],[Throw Out Rush Def Eff]]="N", Table1[[#This Row],[Against FCS Team]]="N"), 200 - ROUND(((23.2 * U458) + (150 * W458) - (300 * X458)) / V458, 2), " ")</f>
        <v>63.56</v>
      </c>
      <c r="AE458" s="3">
        <f>ROUND(Table1[[#This Row],[Opp Passing Attempts]]/(Table1[[#This Row],[Opp Passing Attempts]]+Table1[[#This Row],[Opp Rushing Attempts]]), 2)</f>
        <v>0.53</v>
      </c>
      <c r="AF458" s="3">
        <f>1-Table1[[#This Row],[Passing Weight]]</f>
        <v>0.47</v>
      </c>
      <c r="AG458" s="3" t="str">
        <f>IF(COUNTIF(A:A,Table1[[#This Row],[Opp Team Name]]) &gt; 0, "N", "Y")</f>
        <v>N</v>
      </c>
      <c r="AH458" s="3" t="str">
        <f>IF(Table1[[#This Row],[Passing Attempts]] &lt;15, "Y", "N")</f>
        <v>N</v>
      </c>
      <c r="AI458" s="3" t="str">
        <f>IF(Table1[[#This Row],[Rushing Attempts]] &lt; 15, "Y", "N")</f>
        <v>N</v>
      </c>
      <c r="AJ458" s="3" t="str">
        <f>IF(Table1[[#This Row],[Opp Passing Attempts]]&lt;15, "Y", "N")</f>
        <v>N</v>
      </c>
      <c r="AK458" s="3" t="str">
        <f>IF(Table1[[#This Row],[Opp Rushing Attempts]]&lt;15, "Y", "N")</f>
        <v>N</v>
      </c>
      <c r="AL45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132.97999999999999</v>
      </c>
      <c r="AM4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83.31</v>
      </c>
      <c r="AN4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109.61</v>
      </c>
      <c r="AO4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63.84</v>
      </c>
      <c r="AP458" s="3">
        <f>ABS(Table1[[#This Row],[Team Score]]-Table1[[#This Row],[Opp Team Score]])</f>
        <v>7</v>
      </c>
      <c r="AQ458" s="3">
        <f>SUM(Table1[[#This Row],[Team Score]], Table1[[#This Row],[Opp Team Score]])</f>
        <v>83</v>
      </c>
      <c r="AR45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25.839999999999975</v>
      </c>
      <c r="AS458" s="3">
        <f>IF(Table1[[#This Row],[Efficiency Difference]] = " ", " ", ROUND((Table1[[#This Row],[Winning Margin]]*100)/Table1[[#This Row],[Efficiency Difference]], 2))</f>
        <v>27.09</v>
      </c>
    </row>
    <row r="459" spans="1:45">
      <c r="A459" t="s">
        <v>59</v>
      </c>
      <c r="B459">
        <v>473</v>
      </c>
      <c r="C459">
        <v>10</v>
      </c>
      <c r="D459">
        <v>179</v>
      </c>
      <c r="E459">
        <v>31</v>
      </c>
      <c r="F459">
        <v>1</v>
      </c>
      <c r="G459">
        <v>20</v>
      </c>
      <c r="H459">
        <v>0</v>
      </c>
      <c r="I459">
        <v>150</v>
      </c>
      <c r="J459">
        <v>48</v>
      </c>
      <c r="K459">
        <v>0</v>
      </c>
      <c r="L459">
        <v>3</v>
      </c>
      <c r="M459" t="s">
        <v>58</v>
      </c>
      <c r="N459">
        <v>156</v>
      </c>
      <c r="O459">
        <v>14</v>
      </c>
      <c r="P459">
        <v>178</v>
      </c>
      <c r="Q459">
        <v>26</v>
      </c>
      <c r="R459">
        <v>1</v>
      </c>
      <c r="S459">
        <v>22</v>
      </c>
      <c r="T459">
        <v>0</v>
      </c>
      <c r="U459">
        <v>92</v>
      </c>
      <c r="V459">
        <v>28</v>
      </c>
      <c r="W459">
        <v>1</v>
      </c>
      <c r="X459">
        <v>1</v>
      </c>
      <c r="Y459" t="s">
        <v>19</v>
      </c>
      <c r="Z459">
        <v>1</v>
      </c>
      <c r="AA459">
        <f>IF(AND(Table1[[#This Row],[Throw Out Pass Eff]]="N", Table1[[#This Row],[Against FCS Team]]="N"), ROUND(((5.45 * D459) + (150 * F459) + (100 * G459) - (300 * H459)) / E459, 2), " ")</f>
        <v>100.82</v>
      </c>
      <c r="AB459">
        <f>IF(AND(Table1[[#This Row],[Throw Out Pass Def Eff]]="N", Table1[[#This Row],[Against FCS Team]]="N"),200 - ROUND(((5.45 * P459) + (150 * R459) + (100 * S459) - (300 * T459)) / Q459, 2), " ")</f>
        <v>72.3</v>
      </c>
      <c r="AC459">
        <f>IF(AND(Table1[[#This Row],[Throw Out Rush Eff]]="N", Table1[[#This Row],[Against FCS Team]]="N"), ROUND(((23.2 * I459) + (150 * K459) - (300 * L459)) / J459, 2), " ")</f>
        <v>53.75</v>
      </c>
      <c r="AD459" s="3">
        <f>IF(AND(Table1[[#This Row],[Throw Out Rush Def Eff]]="N", Table1[[#This Row],[Against FCS Team]]="N"), 200 - ROUND(((23.2 * U459) + (150 * W459) - (300 * X459)) / V459, 2), " ")</f>
        <v>129.13</v>
      </c>
      <c r="AE459" s="3">
        <f>ROUND(Table1[[#This Row],[Opp Passing Attempts]]/(Table1[[#This Row],[Opp Passing Attempts]]+Table1[[#This Row],[Opp Rushing Attempts]]), 2)</f>
        <v>0.48</v>
      </c>
      <c r="AF459" s="3">
        <f>1-Table1[[#This Row],[Passing Weight]]</f>
        <v>0.52</v>
      </c>
      <c r="AG459" s="3" t="str">
        <f>IF(COUNTIF(A:A,Table1[[#This Row],[Opp Team Name]]) &gt; 0, "N", "Y")</f>
        <v>N</v>
      </c>
      <c r="AH459" s="3" t="str">
        <f>IF(Table1[[#This Row],[Passing Attempts]] &lt;15, "Y", "N")</f>
        <v>N</v>
      </c>
      <c r="AI459" s="3" t="str">
        <f>IF(Table1[[#This Row],[Rushing Attempts]] &lt; 15, "Y", "N")</f>
        <v>N</v>
      </c>
      <c r="AJ459" s="3" t="str">
        <f>IF(Table1[[#This Row],[Opp Passing Attempts]]&lt;15, "Y", "N")</f>
        <v>N</v>
      </c>
      <c r="AK459" s="3" t="str">
        <f>IF(Table1[[#This Row],[Opp Rushing Attempts]]&lt;15, "Y", "N")</f>
        <v>N</v>
      </c>
      <c r="AL4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92.43</v>
      </c>
      <c r="AM4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69.62</v>
      </c>
      <c r="AN4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39.24</v>
      </c>
      <c r="AO4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76.099999999999994</v>
      </c>
      <c r="AP459" s="3">
        <f>ABS(Table1[[#This Row],[Team Score]]-Table1[[#This Row],[Opp Team Score]])</f>
        <v>4</v>
      </c>
      <c r="AQ459" s="3">
        <f>SUM(Table1[[#This Row],[Team Score]], Table1[[#This Row],[Opp Team Score]])</f>
        <v>24</v>
      </c>
      <c r="AR4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</v>
      </c>
      <c r="AS459" s="3">
        <f>IF(Table1[[#This Row],[Efficiency Difference]] = " ", " ", ROUND((Table1[[#This Row],[Winning Margin]]*100)/Table1[[#This Row],[Efficiency Difference]], 2))</f>
        <v>9.09</v>
      </c>
    </row>
    <row r="460" spans="1:45">
      <c r="A460" t="s">
        <v>59</v>
      </c>
      <c r="B460">
        <v>473</v>
      </c>
      <c r="C460">
        <v>3</v>
      </c>
      <c r="D460">
        <v>202</v>
      </c>
      <c r="E460">
        <v>38</v>
      </c>
      <c r="F460">
        <v>0</v>
      </c>
      <c r="G460">
        <v>22</v>
      </c>
      <c r="H460">
        <v>0</v>
      </c>
      <c r="I460">
        <v>95</v>
      </c>
      <c r="J460">
        <v>28</v>
      </c>
      <c r="K460">
        <v>0</v>
      </c>
      <c r="L460">
        <v>0</v>
      </c>
      <c r="M460" t="s">
        <v>26</v>
      </c>
      <c r="N460">
        <v>31</v>
      </c>
      <c r="O460">
        <v>52</v>
      </c>
      <c r="P460">
        <v>373</v>
      </c>
      <c r="Q460">
        <v>39</v>
      </c>
      <c r="R460">
        <v>2</v>
      </c>
      <c r="S460">
        <v>26</v>
      </c>
      <c r="T460">
        <v>1</v>
      </c>
      <c r="U460">
        <v>259</v>
      </c>
      <c r="V460">
        <v>42</v>
      </c>
      <c r="W460">
        <v>4</v>
      </c>
      <c r="X460">
        <v>1</v>
      </c>
      <c r="Y460" t="s">
        <v>19</v>
      </c>
      <c r="Z460">
        <v>2</v>
      </c>
      <c r="AA460">
        <f>IF(AND(Table1[[#This Row],[Throw Out Pass Eff]]="N", Table1[[#This Row],[Against FCS Team]]="N"), ROUND(((5.45 * D460) + (150 * F460) + (100 * G460) - (300 * H460)) / E460, 2), " ")</f>
        <v>86.87</v>
      </c>
      <c r="AB460">
        <f>IF(AND(Table1[[#This Row],[Throw Out Pass Def Eff]]="N", Table1[[#This Row],[Against FCS Team]]="N"),200 - ROUND(((5.45 * P460) + (150 * R460) + (100 * S460) - (300 * T460)) / Q460, 2), " ")</f>
        <v>81.209999999999994</v>
      </c>
      <c r="AC460">
        <f>IF(AND(Table1[[#This Row],[Throw Out Rush Eff]]="N", Table1[[#This Row],[Against FCS Team]]="N"), ROUND(((23.2 * I460) + (150 * K460) - (300 * L460)) / J460, 2), " ")</f>
        <v>78.709999999999994</v>
      </c>
      <c r="AD460" s="3">
        <f>IF(AND(Table1[[#This Row],[Throw Out Rush Def Eff]]="N", Table1[[#This Row],[Against FCS Team]]="N"), 200 - ROUND(((23.2 * U460) + (150 * W460) - (300 * X460)) / V460, 2), " ")</f>
        <v>49.789999999999992</v>
      </c>
      <c r="AE460" s="3">
        <f>ROUND(Table1[[#This Row],[Opp Passing Attempts]]/(Table1[[#This Row],[Opp Passing Attempts]]+Table1[[#This Row],[Opp Rushing Attempts]]), 2)</f>
        <v>0.48</v>
      </c>
      <c r="AF460" s="3">
        <f>1-Table1[[#This Row],[Passing Weight]]</f>
        <v>0.52</v>
      </c>
      <c r="AG460" s="3" t="str">
        <f>IF(COUNTIF(A:A,Table1[[#This Row],[Opp Team Name]]) &gt; 0, "N", "Y")</f>
        <v>N</v>
      </c>
      <c r="AH460" s="3" t="str">
        <f>IF(Table1[[#This Row],[Passing Attempts]] &lt;15, "Y", "N")</f>
        <v>N</v>
      </c>
      <c r="AI460" s="3" t="str">
        <f>IF(Table1[[#This Row],[Rushing Attempts]] &lt; 15, "Y", "N")</f>
        <v>N</v>
      </c>
      <c r="AJ460" s="3" t="str">
        <f>IF(Table1[[#This Row],[Opp Passing Attempts]]&lt;15, "Y", "N")</f>
        <v>N</v>
      </c>
      <c r="AK460" s="3" t="str">
        <f>IF(Table1[[#This Row],[Opp Rushing Attempts]]&lt;15, "Y", "N")</f>
        <v>N</v>
      </c>
      <c r="AL4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94.55</v>
      </c>
      <c r="AM4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86.34</v>
      </c>
      <c r="AN4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67.66</v>
      </c>
      <c r="AO4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51.97</v>
      </c>
      <c r="AP460" s="3">
        <f>ABS(Table1[[#This Row],[Team Score]]-Table1[[#This Row],[Opp Team Score]])</f>
        <v>49</v>
      </c>
      <c r="AQ460" s="3">
        <f>SUM(Table1[[#This Row],[Team Score]], Table1[[#This Row],[Opp Team Score]])</f>
        <v>55</v>
      </c>
      <c r="AR4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103.42000000000002</v>
      </c>
      <c r="AS460" s="3">
        <f>IF(Table1[[#This Row],[Efficiency Difference]] = " ", " ", ROUND((Table1[[#This Row],[Winning Margin]]*100)/Table1[[#This Row],[Efficiency Difference]], 2))</f>
        <v>47.38</v>
      </c>
    </row>
    <row r="461" spans="1:45">
      <c r="A461" t="s">
        <v>59</v>
      </c>
      <c r="B461">
        <v>473</v>
      </c>
      <c r="C461">
        <v>13</v>
      </c>
      <c r="D461">
        <v>228</v>
      </c>
      <c r="E461">
        <v>29</v>
      </c>
      <c r="F461">
        <v>0</v>
      </c>
      <c r="G461">
        <v>10</v>
      </c>
      <c r="H461">
        <v>1</v>
      </c>
      <c r="I461">
        <v>109</v>
      </c>
      <c r="J461">
        <v>37</v>
      </c>
      <c r="K461">
        <v>1</v>
      </c>
      <c r="L461">
        <v>2</v>
      </c>
      <c r="M461" t="s">
        <v>137</v>
      </c>
      <c r="N461">
        <v>700</v>
      </c>
      <c r="O461">
        <v>59</v>
      </c>
      <c r="P461">
        <v>446</v>
      </c>
      <c r="Q461">
        <v>50</v>
      </c>
      <c r="R461">
        <v>6</v>
      </c>
      <c r="S461">
        <v>45</v>
      </c>
      <c r="T461">
        <v>0</v>
      </c>
      <c r="U461">
        <v>178</v>
      </c>
      <c r="V461">
        <v>35</v>
      </c>
      <c r="W461">
        <v>2</v>
      </c>
      <c r="X461">
        <v>1</v>
      </c>
      <c r="Y461" t="s">
        <v>19</v>
      </c>
      <c r="Z461">
        <v>3</v>
      </c>
      <c r="AA461">
        <f>IF(AND(Table1[[#This Row],[Throw Out Pass Eff]]="N", Table1[[#This Row],[Against FCS Team]]="N"), ROUND(((5.45 * D461) + (150 * F461) + (100 * G461) - (300 * H461)) / E461, 2), " ")</f>
        <v>66.989999999999995</v>
      </c>
      <c r="AB461">
        <f>IF(AND(Table1[[#This Row],[Throw Out Pass Def Eff]]="N", Table1[[#This Row],[Against FCS Team]]="N"),200 - ROUND(((5.45 * P461) + (150 * R461) + (100 * S461) - (300 * T461)) / Q461, 2), " ")</f>
        <v>43.389999999999986</v>
      </c>
      <c r="AC461">
        <f>IF(AND(Table1[[#This Row],[Throw Out Rush Eff]]="N", Table1[[#This Row],[Against FCS Team]]="N"), ROUND(((23.2 * I461) + (150 * K461) - (300 * L461)) / J461, 2), " ")</f>
        <v>56.18</v>
      </c>
      <c r="AD461" s="3">
        <f>IF(AND(Table1[[#This Row],[Throw Out Rush Def Eff]]="N", Table1[[#This Row],[Against FCS Team]]="N"), 200 - ROUND(((23.2 * U461) + (150 * W461) - (300 * X461)) / V461, 2), " ")</f>
        <v>82.01</v>
      </c>
      <c r="AE461" s="3">
        <f>ROUND(Table1[[#This Row],[Opp Passing Attempts]]/(Table1[[#This Row],[Opp Passing Attempts]]+Table1[[#This Row],[Opp Rushing Attempts]]), 2)</f>
        <v>0.59</v>
      </c>
      <c r="AF461" s="3">
        <f>1-Table1[[#This Row],[Passing Weight]]</f>
        <v>0.41000000000000003</v>
      </c>
      <c r="AG461" s="3" t="str">
        <f>IF(COUNTIF(A:A,Table1[[#This Row],[Opp Team Name]]) &gt; 0, "N", "Y")</f>
        <v>N</v>
      </c>
      <c r="AH461" s="3" t="str">
        <f>IF(Table1[[#This Row],[Passing Attempts]] &lt;15, "Y", "N")</f>
        <v>N</v>
      </c>
      <c r="AI461" s="3" t="str">
        <f>IF(Table1[[#This Row],[Rushing Attempts]] &lt; 15, "Y", "N")</f>
        <v>N</v>
      </c>
      <c r="AJ461" s="3" t="str">
        <f>IF(Table1[[#This Row],[Opp Passing Attempts]]&lt;15, "Y", "N")</f>
        <v>N</v>
      </c>
      <c r="AK461" s="3" t="str">
        <f>IF(Table1[[#This Row],[Opp Rushing Attempts]]&lt;15, "Y", "N")</f>
        <v>N</v>
      </c>
      <c r="AL4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66.34</v>
      </c>
      <c r="AM4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51.9</v>
      </c>
      <c r="AN4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52.09</v>
      </c>
      <c r="AO4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84.32</v>
      </c>
      <c r="AP461" s="3">
        <f>ABS(Table1[[#This Row],[Team Score]]-Table1[[#This Row],[Opp Team Score]])</f>
        <v>46</v>
      </c>
      <c r="AQ461" s="3">
        <f>SUM(Table1[[#This Row],[Team Score]], Table1[[#This Row],[Opp Team Score]])</f>
        <v>72</v>
      </c>
      <c r="AR4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151.43000000000004</v>
      </c>
      <c r="AS461" s="3">
        <f>IF(Table1[[#This Row],[Efficiency Difference]] = " ", " ", ROUND((Table1[[#This Row],[Winning Margin]]*100)/Table1[[#This Row],[Efficiency Difference]], 2))</f>
        <v>30.38</v>
      </c>
    </row>
    <row r="462" spans="1:45">
      <c r="A462" t="s">
        <v>59</v>
      </c>
      <c r="B462">
        <v>473</v>
      </c>
      <c r="C462">
        <v>45</v>
      </c>
      <c r="D462">
        <v>434</v>
      </c>
      <c r="E462">
        <v>53</v>
      </c>
      <c r="F462">
        <v>4</v>
      </c>
      <c r="G462">
        <v>32</v>
      </c>
      <c r="H462">
        <v>0</v>
      </c>
      <c r="I462">
        <v>94</v>
      </c>
      <c r="J462">
        <v>26</v>
      </c>
      <c r="K462">
        <v>1</v>
      </c>
      <c r="L462">
        <v>1</v>
      </c>
      <c r="M462" t="s">
        <v>207</v>
      </c>
      <c r="N462">
        <v>624</v>
      </c>
      <c r="O462">
        <v>48</v>
      </c>
      <c r="P462">
        <v>174</v>
      </c>
      <c r="Q462">
        <v>18</v>
      </c>
      <c r="R462">
        <v>2</v>
      </c>
      <c r="S462">
        <v>10</v>
      </c>
      <c r="T462">
        <v>0</v>
      </c>
      <c r="U462">
        <v>373</v>
      </c>
      <c r="V462">
        <v>60</v>
      </c>
      <c r="W462">
        <v>5</v>
      </c>
      <c r="X462">
        <v>1</v>
      </c>
      <c r="Y462" t="s">
        <v>19</v>
      </c>
      <c r="Z462">
        <v>4</v>
      </c>
      <c r="AA462">
        <f>IF(AND(Table1[[#This Row],[Throw Out Pass Eff]]="N", Table1[[#This Row],[Against FCS Team]]="N"), ROUND(((5.45 * D462) + (150 * F462) + (100 * G462) - (300 * H462)) / E462, 2), " ")</f>
        <v>116.33</v>
      </c>
      <c r="AB462">
        <f>IF(AND(Table1[[#This Row],[Throw Out Pass Def Eff]]="N", Table1[[#This Row],[Against FCS Team]]="N"),200 - ROUND(((5.45 * P462) + (150 * R462) + (100 * S462) - (300 * T462)) / Q462, 2), " ")</f>
        <v>75.09</v>
      </c>
      <c r="AC462">
        <f>IF(AND(Table1[[#This Row],[Throw Out Rush Eff]]="N", Table1[[#This Row],[Against FCS Team]]="N"), ROUND(((23.2 * I462) + (150 * K462) - (300 * L462)) / J462, 2), " ")</f>
        <v>78.11</v>
      </c>
      <c r="AD462" s="3">
        <f>IF(AND(Table1[[#This Row],[Throw Out Rush Def Eff]]="N", Table1[[#This Row],[Against FCS Team]]="N"), 200 - ROUND(((23.2 * U462) + (150 * W462) - (300 * X462)) / V462, 2), " ")</f>
        <v>48.27000000000001</v>
      </c>
      <c r="AE462" s="3">
        <f>ROUND(Table1[[#This Row],[Opp Passing Attempts]]/(Table1[[#This Row],[Opp Passing Attempts]]+Table1[[#This Row],[Opp Rushing Attempts]]), 2)</f>
        <v>0.23</v>
      </c>
      <c r="AF462" s="3">
        <f>1-Table1[[#This Row],[Passing Weight]]</f>
        <v>0.77</v>
      </c>
      <c r="AG462" s="3" t="str">
        <f>IF(COUNTIF(A:A,Table1[[#This Row],[Opp Team Name]]) &gt; 0, "N", "Y")</f>
        <v>N</v>
      </c>
      <c r="AH462" s="3" t="str">
        <f>IF(Table1[[#This Row],[Passing Attempts]] &lt;15, "Y", "N")</f>
        <v>N</v>
      </c>
      <c r="AI462" s="3" t="str">
        <f>IF(Table1[[#This Row],[Rushing Attempts]] &lt; 15, "Y", "N")</f>
        <v>N</v>
      </c>
      <c r="AJ462" s="3" t="str">
        <f>IF(Table1[[#This Row],[Opp Passing Attempts]]&lt;15, "Y", "N")</f>
        <v>N</v>
      </c>
      <c r="AK462" s="3" t="str">
        <f>IF(Table1[[#This Row],[Opp Rushing Attempts]]&lt;15, "Y", "N")</f>
        <v>N</v>
      </c>
      <c r="AL4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168.17</v>
      </c>
      <c r="AM4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47.79</v>
      </c>
      <c r="AN46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147.06</v>
      </c>
      <c r="AO4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57.82</v>
      </c>
      <c r="AP462" s="3">
        <f>ABS(Table1[[#This Row],[Team Score]]-Table1[[#This Row],[Opp Team Score]])</f>
        <v>3</v>
      </c>
      <c r="AQ462" s="3">
        <f>SUM(Table1[[#This Row],[Team Score]], Table1[[#This Row],[Opp Team Score]])</f>
        <v>93</v>
      </c>
      <c r="AR46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82.199999999999989</v>
      </c>
      <c r="AS462" s="3">
        <f>IF(Table1[[#This Row],[Efficiency Difference]] = " ", " ", ROUND((Table1[[#This Row],[Winning Margin]]*100)/Table1[[#This Row],[Efficiency Difference]], 2))</f>
        <v>3.65</v>
      </c>
    </row>
    <row r="463" spans="1:45">
      <c r="A463" t="s">
        <v>59</v>
      </c>
      <c r="B463">
        <v>473</v>
      </c>
      <c r="C463">
        <v>28</v>
      </c>
      <c r="D463">
        <v>265</v>
      </c>
      <c r="E463">
        <v>36</v>
      </c>
      <c r="F463">
        <v>1</v>
      </c>
      <c r="G463">
        <v>22</v>
      </c>
      <c r="H463">
        <v>1</v>
      </c>
      <c r="I463">
        <v>163</v>
      </c>
      <c r="J463">
        <v>35</v>
      </c>
      <c r="K463">
        <v>3</v>
      </c>
      <c r="L463">
        <v>0</v>
      </c>
      <c r="M463" t="s">
        <v>108</v>
      </c>
      <c r="N463">
        <v>472</v>
      </c>
      <c r="O463">
        <v>42</v>
      </c>
      <c r="P463">
        <v>296</v>
      </c>
      <c r="Q463">
        <v>27</v>
      </c>
      <c r="R463">
        <v>4</v>
      </c>
      <c r="S463">
        <v>16</v>
      </c>
      <c r="T463">
        <v>0</v>
      </c>
      <c r="U463">
        <v>242</v>
      </c>
      <c r="V463">
        <v>48</v>
      </c>
      <c r="W463">
        <v>2</v>
      </c>
      <c r="X463">
        <v>1</v>
      </c>
      <c r="Y463" t="s">
        <v>19</v>
      </c>
      <c r="Z463">
        <v>5</v>
      </c>
      <c r="AA463">
        <f>IF(AND(Table1[[#This Row],[Throw Out Pass Eff]]="N", Table1[[#This Row],[Against FCS Team]]="N"), ROUND(((5.45 * D463) + (150 * F463) + (100 * G463) - (300 * H463)) / E463, 2), " ")</f>
        <v>97.06</v>
      </c>
      <c r="AB463">
        <f>IF(AND(Table1[[#This Row],[Throw Out Pass Def Eff]]="N", Table1[[#This Row],[Against FCS Team]]="N"),200 - ROUND(((5.45 * P463) + (150 * R463) + (100 * S463) - (300 * T463)) / Q463, 2), " ")</f>
        <v>58.77000000000001</v>
      </c>
      <c r="AC463">
        <f>IF(AND(Table1[[#This Row],[Throw Out Rush Eff]]="N", Table1[[#This Row],[Against FCS Team]]="N"), ROUND(((23.2 * I463) + (150 * K463) - (300 * L463)) / J463, 2), " ")</f>
        <v>120.9</v>
      </c>
      <c r="AD463" s="3">
        <f>IF(AND(Table1[[#This Row],[Throw Out Rush Def Eff]]="N", Table1[[#This Row],[Against FCS Team]]="N"), 200 - ROUND(((23.2 * U463) + (150 * W463) - (300 * X463)) / V463, 2), " ")</f>
        <v>83.03</v>
      </c>
      <c r="AE463" s="3">
        <f>ROUND(Table1[[#This Row],[Opp Passing Attempts]]/(Table1[[#This Row],[Opp Passing Attempts]]+Table1[[#This Row],[Opp Rushing Attempts]]), 2)</f>
        <v>0.36</v>
      </c>
      <c r="AF463" s="3">
        <f>1-Table1[[#This Row],[Passing Weight]]</f>
        <v>0.64</v>
      </c>
      <c r="AG463" s="3" t="str">
        <f>IF(COUNTIF(A:A,Table1[[#This Row],[Opp Team Name]]) &gt; 0, "N", "Y")</f>
        <v>N</v>
      </c>
      <c r="AH463" s="3" t="str">
        <f>IF(Table1[[#This Row],[Passing Attempts]] &lt;15, "Y", "N")</f>
        <v>N</v>
      </c>
      <c r="AI463" s="3" t="str">
        <f>IF(Table1[[#This Row],[Rushing Attempts]] &lt; 15, "Y", "N")</f>
        <v>N</v>
      </c>
      <c r="AJ463" s="3" t="str">
        <f>IF(Table1[[#This Row],[Opp Passing Attempts]]&lt;15, "Y", "N")</f>
        <v>N</v>
      </c>
      <c r="AK463" s="3" t="str">
        <f>IF(Table1[[#This Row],[Opp Rushing Attempts]]&lt;15, "Y", "N")</f>
        <v>N</v>
      </c>
      <c r="AL4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110.9</v>
      </c>
      <c r="AM46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65.16</v>
      </c>
      <c r="AN4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100.43</v>
      </c>
      <c r="AO46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66.23</v>
      </c>
      <c r="AP463" s="3">
        <f>ABS(Table1[[#This Row],[Team Score]]-Table1[[#This Row],[Opp Team Score]])</f>
        <v>14</v>
      </c>
      <c r="AQ463" s="3">
        <f>SUM(Table1[[#This Row],[Team Score]], Table1[[#This Row],[Opp Team Score]])</f>
        <v>70</v>
      </c>
      <c r="AR46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40.239999999999981</v>
      </c>
      <c r="AS463" s="3">
        <f>IF(Table1[[#This Row],[Efficiency Difference]] = " ", " ", ROUND((Table1[[#This Row],[Winning Margin]]*100)/Table1[[#This Row],[Efficiency Difference]], 2))</f>
        <v>34.79</v>
      </c>
    </row>
    <row r="464" spans="1:45">
      <c r="A464" t="s">
        <v>59</v>
      </c>
      <c r="B464">
        <v>473</v>
      </c>
      <c r="C464">
        <v>7</v>
      </c>
      <c r="D464">
        <v>89</v>
      </c>
      <c r="E464">
        <v>29</v>
      </c>
      <c r="F464">
        <v>0</v>
      </c>
      <c r="G464">
        <v>11</v>
      </c>
      <c r="H464">
        <v>1</v>
      </c>
      <c r="I464">
        <v>168</v>
      </c>
      <c r="J464">
        <v>35</v>
      </c>
      <c r="K464">
        <v>1</v>
      </c>
      <c r="L464">
        <v>1</v>
      </c>
      <c r="M464" t="s">
        <v>181</v>
      </c>
      <c r="N464">
        <v>466</v>
      </c>
      <c r="O464">
        <v>49</v>
      </c>
      <c r="P464">
        <v>260</v>
      </c>
      <c r="Q464">
        <v>31</v>
      </c>
      <c r="R464">
        <v>0</v>
      </c>
      <c r="S464">
        <v>24</v>
      </c>
      <c r="T464">
        <v>1</v>
      </c>
      <c r="U464">
        <v>338</v>
      </c>
      <c r="V464">
        <v>52</v>
      </c>
      <c r="W464">
        <v>6</v>
      </c>
      <c r="X464">
        <v>2</v>
      </c>
      <c r="Y464" t="s">
        <v>19</v>
      </c>
      <c r="Z464">
        <v>7</v>
      </c>
      <c r="AA464">
        <f>IF(AND(Table1[[#This Row],[Throw Out Pass Eff]]="N", Table1[[#This Row],[Against FCS Team]]="N"), ROUND(((5.45 * D464) + (150 * F464) + (100 * G464) - (300 * H464)) / E464, 2), " ")</f>
        <v>44.31</v>
      </c>
      <c r="AB464">
        <f>IF(AND(Table1[[#This Row],[Throw Out Pass Def Eff]]="N", Table1[[#This Row],[Against FCS Team]]="N"),200 - ROUND(((5.45 * P464) + (150 * R464) + (100 * S464) - (300 * T464)) / Q464, 2), " ")</f>
        <v>86.55</v>
      </c>
      <c r="AC464">
        <f>IF(AND(Table1[[#This Row],[Throw Out Rush Eff]]="N", Table1[[#This Row],[Against FCS Team]]="N"), ROUND(((23.2 * I464) + (150 * K464) - (300 * L464)) / J464, 2), " ")</f>
        <v>107.07</v>
      </c>
      <c r="AD464" s="3">
        <f>IF(AND(Table1[[#This Row],[Throw Out Rush Def Eff]]="N", Table1[[#This Row],[Against FCS Team]]="N"), 200 - ROUND(((23.2 * U464) + (150 * W464) - (300 * X464)) / V464, 2), " ")</f>
        <v>43.430000000000007</v>
      </c>
      <c r="AE464" s="3">
        <f>ROUND(Table1[[#This Row],[Opp Passing Attempts]]/(Table1[[#This Row],[Opp Passing Attempts]]+Table1[[#This Row],[Opp Rushing Attempts]]), 2)</f>
        <v>0.37</v>
      </c>
      <c r="AF464" s="3">
        <f>1-Table1[[#This Row],[Passing Weight]]</f>
        <v>0.63</v>
      </c>
      <c r="AG464" s="3" t="str">
        <f>IF(COUNTIF(A:A,Table1[[#This Row],[Opp Team Name]]) &gt; 0, "N", "Y")</f>
        <v>N</v>
      </c>
      <c r="AH464" s="3" t="str">
        <f>IF(Table1[[#This Row],[Passing Attempts]] &lt;15, "Y", "N")</f>
        <v>N</v>
      </c>
      <c r="AI464" s="3" t="str">
        <f>IF(Table1[[#This Row],[Rushing Attempts]] &lt; 15, "Y", "N")</f>
        <v>N</v>
      </c>
      <c r="AJ464" s="3" t="str">
        <f>IF(Table1[[#This Row],[Opp Passing Attempts]]&lt;15, "Y", "N")</f>
        <v>N</v>
      </c>
      <c r="AK464" s="3" t="str">
        <f>IF(Table1[[#This Row],[Opp Rushing Attempts]]&lt;15, "Y", "N")</f>
        <v>N</v>
      </c>
      <c r="AL4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47.08</v>
      </c>
      <c r="AM4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85.69</v>
      </c>
      <c r="AN46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92.42</v>
      </c>
      <c r="AO4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51.12</v>
      </c>
      <c r="AP464" s="3">
        <f>ABS(Table1[[#This Row],[Team Score]]-Table1[[#This Row],[Opp Team Score]])</f>
        <v>42</v>
      </c>
      <c r="AQ464" s="3">
        <f>SUM(Table1[[#This Row],[Team Score]], Table1[[#This Row],[Opp Team Score]])</f>
        <v>56</v>
      </c>
      <c r="AR46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118.63999999999999</v>
      </c>
      <c r="AS464" s="3">
        <f>IF(Table1[[#This Row],[Efficiency Difference]] = " ", " ", ROUND((Table1[[#This Row],[Winning Margin]]*100)/Table1[[#This Row],[Efficiency Difference]], 2))</f>
        <v>35.4</v>
      </c>
    </row>
    <row r="465" spans="1:45">
      <c r="A465" t="s">
        <v>59</v>
      </c>
      <c r="B465">
        <v>473</v>
      </c>
      <c r="C465">
        <v>0</v>
      </c>
      <c r="D465">
        <v>21</v>
      </c>
      <c r="E465">
        <v>11</v>
      </c>
      <c r="F465">
        <v>0</v>
      </c>
      <c r="G465">
        <v>8</v>
      </c>
      <c r="H465">
        <v>0</v>
      </c>
      <c r="I465">
        <v>64</v>
      </c>
      <c r="J465">
        <v>37</v>
      </c>
      <c r="K465">
        <v>0</v>
      </c>
      <c r="L465">
        <v>3</v>
      </c>
      <c r="M465" t="s">
        <v>37</v>
      </c>
      <c r="N465">
        <v>698</v>
      </c>
      <c r="O465">
        <v>69</v>
      </c>
      <c r="P465">
        <v>251</v>
      </c>
      <c r="Q465">
        <v>21</v>
      </c>
      <c r="R465">
        <v>2</v>
      </c>
      <c r="S465">
        <v>15</v>
      </c>
      <c r="T465">
        <v>0</v>
      </c>
      <c r="U465">
        <v>264</v>
      </c>
      <c r="V465">
        <v>44</v>
      </c>
      <c r="W465">
        <v>7</v>
      </c>
      <c r="X465">
        <v>0</v>
      </c>
      <c r="Y465" t="s">
        <v>19</v>
      </c>
      <c r="Z465">
        <v>8</v>
      </c>
      <c r="AA465" s="3" t="str">
        <f>IF(AND(Table1[[#This Row],[Throw Out Pass Eff]]="N", Table1[[#This Row],[Against FCS Team]]="N"), ROUND(((5.45 * D465) + (150 * F465) + (100 * G465) - (300 * H465)) / E465, 2), " ")</f>
        <v xml:space="preserve"> </v>
      </c>
      <c r="AB465" s="3">
        <f>IF(AND(Table1[[#This Row],[Throw Out Pass Def Eff]]="N", Table1[[#This Row],[Against FCS Team]]="N"),200 - ROUND(((5.45 * P465) + (150 * R465) + (100 * S465) - (300 * T465)) / Q465, 2), " ")</f>
        <v>49.150000000000006</v>
      </c>
      <c r="AC465" s="3">
        <f>IF(AND(Table1[[#This Row],[Throw Out Rush Eff]]="N", Table1[[#This Row],[Against FCS Team]]="N"), ROUND(((23.2 * I465) + (150 * K465) - (300 * L465)) / J465, 2), " ")</f>
        <v>15.81</v>
      </c>
      <c r="AD465" s="3">
        <f>IF(AND(Table1[[#This Row],[Throw Out Rush Def Eff]]="N", Table1[[#This Row],[Against FCS Team]]="N"), 200 - ROUND(((23.2 * U465) + (150 * W465) - (300 * X465)) / V465, 2), " ")</f>
        <v>36.94</v>
      </c>
      <c r="AE465" s="3">
        <f>ROUND(Table1[[#This Row],[Opp Passing Attempts]]/(Table1[[#This Row],[Opp Passing Attempts]]+Table1[[#This Row],[Opp Rushing Attempts]]), 2)</f>
        <v>0.32</v>
      </c>
      <c r="AF465" s="3">
        <f>1-Table1[[#This Row],[Passing Weight]]</f>
        <v>0.67999999999999994</v>
      </c>
      <c r="AG465" s="3" t="str">
        <f>IF(COUNTIF(A:A,Table1[[#This Row],[Opp Team Name]]) &gt; 0, "N", "Y")</f>
        <v>N</v>
      </c>
      <c r="AH465" s="3" t="str">
        <f>IF(Table1[[#This Row],[Passing Attempts]] &lt;15, "Y", "N")</f>
        <v>Y</v>
      </c>
      <c r="AI465" s="3" t="str">
        <f>IF(Table1[[#This Row],[Rushing Attempts]] &lt; 15, "Y", "N")</f>
        <v>N</v>
      </c>
      <c r="AJ465" s="3" t="str">
        <f>IF(Table1[[#This Row],[Opp Passing Attempts]]&lt;15, "Y", "N")</f>
        <v>N</v>
      </c>
      <c r="AK465" s="3" t="str">
        <f>IF(Table1[[#This Row],[Opp Rushing Attempts]]&lt;15, "Y", "N")</f>
        <v>N</v>
      </c>
      <c r="AL46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60.07</v>
      </c>
      <c r="AN4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19.45</v>
      </c>
      <c r="AO4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44.31</v>
      </c>
      <c r="AP465" s="3">
        <f>ABS(Table1[[#This Row],[Team Score]]-Table1[[#This Row],[Opp Team Score]])</f>
        <v>69</v>
      </c>
      <c r="AQ465" s="3">
        <f>SUM(Table1[[#This Row],[Team Score]], Table1[[#This Row],[Opp Team Score]])</f>
        <v>69</v>
      </c>
      <c r="AR46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65" s="3" t="str">
        <f>IF(Table1[[#This Row],[Efficiency Difference]] = " ", " ", ROUND((Table1[[#This Row],[Winning Margin]]*100)/Table1[[#This Row],[Efficiency Difference]], 2))</f>
        <v xml:space="preserve"> </v>
      </c>
    </row>
    <row r="466" spans="1:45">
      <c r="A466" t="s">
        <v>108</v>
      </c>
      <c r="B466">
        <v>472</v>
      </c>
      <c r="C466">
        <v>24</v>
      </c>
      <c r="D466">
        <v>362</v>
      </c>
      <c r="E466">
        <v>41</v>
      </c>
      <c r="F466">
        <v>2</v>
      </c>
      <c r="G466">
        <v>22</v>
      </c>
      <c r="H466">
        <v>1</v>
      </c>
      <c r="I466">
        <v>6</v>
      </c>
      <c r="J466">
        <v>23</v>
      </c>
      <c r="K466">
        <v>0</v>
      </c>
      <c r="L466">
        <v>0</v>
      </c>
      <c r="M466" t="s">
        <v>109</v>
      </c>
      <c r="N466">
        <v>519</v>
      </c>
      <c r="O466">
        <v>44</v>
      </c>
      <c r="P466">
        <v>211</v>
      </c>
      <c r="Q466">
        <v>30</v>
      </c>
      <c r="R466">
        <v>2</v>
      </c>
      <c r="S466">
        <v>17</v>
      </c>
      <c r="T466">
        <v>1</v>
      </c>
      <c r="U466">
        <v>241</v>
      </c>
      <c r="V466">
        <v>47</v>
      </c>
      <c r="W466">
        <v>3</v>
      </c>
      <c r="X466">
        <v>1</v>
      </c>
      <c r="Y466" t="s">
        <v>19</v>
      </c>
      <c r="Z466">
        <v>1</v>
      </c>
      <c r="AA466">
        <f>IF(AND(Table1[[#This Row],[Throw Out Pass Eff]]="N", Table1[[#This Row],[Against FCS Team]]="N"), ROUND(((5.45 * D466) + (150 * F466) + (100 * G466) - (300 * H466)) / E466, 2), " ")</f>
        <v>101.78</v>
      </c>
      <c r="AB466">
        <f>IF(AND(Table1[[#This Row],[Throw Out Pass Def Eff]]="N", Table1[[#This Row],[Against FCS Team]]="N"),200 - ROUND(((5.45 * P466) + (150 * R466) + (100 * S466) - (300 * T466)) / Q466, 2), " ")</f>
        <v>105</v>
      </c>
      <c r="AC466">
        <f>IF(AND(Table1[[#This Row],[Throw Out Rush Eff]]="N", Table1[[#This Row],[Against FCS Team]]="N"), ROUND(((23.2 * I466) + (150 * K466) - (300 * L466)) / J466, 2), " ")</f>
        <v>6.05</v>
      </c>
      <c r="AD466" s="3">
        <f>IF(AND(Table1[[#This Row],[Throw Out Rush Def Eff]]="N", Table1[[#This Row],[Against FCS Team]]="N"), 200 - ROUND(((23.2 * U466) + (150 * W466) - (300 * X466)) / V466, 2), " ")</f>
        <v>77.849999999999994</v>
      </c>
      <c r="AE466" s="3">
        <f>ROUND(Table1[[#This Row],[Opp Passing Attempts]]/(Table1[[#This Row],[Opp Passing Attempts]]+Table1[[#This Row],[Opp Rushing Attempts]]), 2)</f>
        <v>0.39</v>
      </c>
      <c r="AF466" s="3">
        <f>1-Table1[[#This Row],[Passing Weight]]</f>
        <v>0.61</v>
      </c>
      <c r="AG466" s="3" t="str">
        <f>IF(COUNTIF(A:A,Table1[[#This Row],[Opp Team Name]]) &gt; 0, "N", "Y")</f>
        <v>N</v>
      </c>
      <c r="AH466" s="3" t="str">
        <f>IF(Table1[[#This Row],[Passing Attempts]] &lt;15, "Y", "N")</f>
        <v>N</v>
      </c>
      <c r="AI466" s="3" t="str">
        <f>IF(Table1[[#This Row],[Rushing Attempts]] &lt; 15, "Y", "N")</f>
        <v>N</v>
      </c>
      <c r="AJ466" s="3" t="str">
        <f>IF(Table1[[#This Row],[Opp Passing Attempts]]&lt;15, "Y", "N")</f>
        <v>N</v>
      </c>
      <c r="AK466" s="3" t="str">
        <f>IF(Table1[[#This Row],[Opp Rushing Attempts]]&lt;15, "Y", "N")</f>
        <v>N</v>
      </c>
      <c r="AL4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121.55</v>
      </c>
      <c r="AM4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119.78</v>
      </c>
      <c r="AN4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7.82</v>
      </c>
      <c r="AO4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77.459999999999994</v>
      </c>
      <c r="AP466" s="3">
        <f>ABS(Table1[[#This Row],[Team Score]]-Table1[[#This Row],[Opp Team Score]])</f>
        <v>20</v>
      </c>
      <c r="AQ466" s="3">
        <f>SUM(Table1[[#This Row],[Team Score]], Table1[[#This Row],[Opp Team Score]])</f>
        <v>68</v>
      </c>
      <c r="AR4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109.32000000000001</v>
      </c>
      <c r="AS466" s="3">
        <f>IF(Table1[[#This Row],[Efficiency Difference]] = " ", " ", ROUND((Table1[[#This Row],[Winning Margin]]*100)/Table1[[#This Row],[Efficiency Difference]], 2))</f>
        <v>18.29</v>
      </c>
    </row>
    <row r="467" spans="1:45">
      <c r="A467" t="s">
        <v>108</v>
      </c>
      <c r="B467">
        <v>472</v>
      </c>
      <c r="C467">
        <v>28</v>
      </c>
      <c r="D467">
        <v>288</v>
      </c>
      <c r="E467">
        <v>31</v>
      </c>
      <c r="F467">
        <v>3</v>
      </c>
      <c r="G467">
        <v>20</v>
      </c>
      <c r="H467">
        <v>2</v>
      </c>
      <c r="I467">
        <v>133</v>
      </c>
      <c r="J467">
        <v>37</v>
      </c>
      <c r="K467">
        <v>1</v>
      </c>
      <c r="L467">
        <v>0</v>
      </c>
      <c r="M467" t="s">
        <v>102</v>
      </c>
      <c r="N467">
        <v>428</v>
      </c>
      <c r="O467">
        <v>21</v>
      </c>
      <c r="P467">
        <v>238</v>
      </c>
      <c r="Q467">
        <v>40</v>
      </c>
      <c r="R467">
        <v>2</v>
      </c>
      <c r="S467">
        <v>18</v>
      </c>
      <c r="T467">
        <v>2</v>
      </c>
      <c r="U467">
        <v>181</v>
      </c>
      <c r="V467">
        <v>35</v>
      </c>
      <c r="W467">
        <v>1</v>
      </c>
      <c r="X467">
        <v>0</v>
      </c>
      <c r="Y467" t="s">
        <v>16</v>
      </c>
      <c r="Z467">
        <v>2</v>
      </c>
      <c r="AA467">
        <f>IF(AND(Table1[[#This Row],[Throw Out Pass Eff]]="N", Table1[[#This Row],[Against FCS Team]]="N"), ROUND(((5.45 * D467) + (150 * F467) + (100 * G467) - (300 * H467)) / E467, 2), " ")</f>
        <v>110.31</v>
      </c>
      <c r="AB467">
        <f>IF(AND(Table1[[#This Row],[Throw Out Pass Def Eff]]="N", Table1[[#This Row],[Against FCS Team]]="N"),200 - ROUND(((5.45 * P467) + (150 * R467) + (100 * S467) - (300 * T467)) / Q467, 2), " ")</f>
        <v>130.07</v>
      </c>
      <c r="AC467">
        <f>IF(AND(Table1[[#This Row],[Throw Out Rush Eff]]="N", Table1[[#This Row],[Against FCS Team]]="N"), ROUND(((23.2 * I467) + (150 * K467) - (300 * L467)) / J467, 2), " ")</f>
        <v>87.45</v>
      </c>
      <c r="AD467" s="3">
        <f>IF(AND(Table1[[#This Row],[Throw Out Rush Def Eff]]="N", Table1[[#This Row],[Against FCS Team]]="N"), 200 - ROUND(((23.2 * U467) + (150 * W467) - (300 * X467)) / V467, 2), " ")</f>
        <v>75.739999999999995</v>
      </c>
      <c r="AE467" s="3">
        <f>ROUND(Table1[[#This Row],[Opp Passing Attempts]]/(Table1[[#This Row],[Opp Passing Attempts]]+Table1[[#This Row],[Opp Rushing Attempts]]), 2)</f>
        <v>0.53</v>
      </c>
      <c r="AF467" s="3">
        <f>1-Table1[[#This Row],[Passing Weight]]</f>
        <v>0.47</v>
      </c>
      <c r="AG467" s="3" t="str">
        <f>IF(COUNTIF(A:A,Table1[[#This Row],[Opp Team Name]]) &gt; 0, "N", "Y")</f>
        <v>N</v>
      </c>
      <c r="AH467" s="3" t="str">
        <f>IF(Table1[[#This Row],[Passing Attempts]] &lt;15, "Y", "N")</f>
        <v>N</v>
      </c>
      <c r="AI467" s="3" t="str">
        <f>IF(Table1[[#This Row],[Rushing Attempts]] &lt; 15, "Y", "N")</f>
        <v>N</v>
      </c>
      <c r="AJ467" s="3" t="str">
        <f>IF(Table1[[#This Row],[Opp Passing Attempts]]&lt;15, "Y", "N")</f>
        <v>N</v>
      </c>
      <c r="AK467" s="3" t="str">
        <f>IF(Table1[[#This Row],[Opp Rushing Attempts]]&lt;15, "Y", "N")</f>
        <v>N</v>
      </c>
      <c r="AL4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95.67</v>
      </c>
      <c r="AM4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104.05</v>
      </c>
      <c r="AN4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75.69</v>
      </c>
      <c r="AO4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63.41</v>
      </c>
      <c r="AP467" s="3">
        <f>ABS(Table1[[#This Row],[Team Score]]-Table1[[#This Row],[Opp Team Score]])</f>
        <v>7</v>
      </c>
      <c r="AQ467" s="3">
        <f>SUM(Table1[[#This Row],[Team Score]], Table1[[#This Row],[Opp Team Score]])</f>
        <v>49</v>
      </c>
      <c r="AR4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3.5699999999999932</v>
      </c>
      <c r="AS467" s="3">
        <f>IF(Table1[[#This Row],[Efficiency Difference]] = " ", " ", ROUND((Table1[[#This Row],[Winning Margin]]*100)/Table1[[#This Row],[Efficiency Difference]], 2))</f>
        <v>196.08</v>
      </c>
    </row>
    <row r="468" spans="1:45">
      <c r="A468" t="s">
        <v>108</v>
      </c>
      <c r="B468">
        <v>472</v>
      </c>
      <c r="C468">
        <v>10</v>
      </c>
      <c r="D468">
        <v>242</v>
      </c>
      <c r="E468">
        <v>37</v>
      </c>
      <c r="F468">
        <v>1</v>
      </c>
      <c r="G468">
        <v>20</v>
      </c>
      <c r="H468">
        <v>0</v>
      </c>
      <c r="I468">
        <v>16</v>
      </c>
      <c r="J468">
        <v>29</v>
      </c>
      <c r="K468">
        <v>0</v>
      </c>
      <c r="L468">
        <v>2</v>
      </c>
      <c r="M468" t="s">
        <v>148</v>
      </c>
      <c r="N468">
        <v>704</v>
      </c>
      <c r="O468">
        <v>16</v>
      </c>
      <c r="P468">
        <v>124</v>
      </c>
      <c r="Q468">
        <v>28</v>
      </c>
      <c r="R468">
        <v>0</v>
      </c>
      <c r="S468">
        <v>9</v>
      </c>
      <c r="T468">
        <v>1</v>
      </c>
      <c r="U468">
        <v>185</v>
      </c>
      <c r="V468">
        <v>42</v>
      </c>
      <c r="W468">
        <v>1</v>
      </c>
      <c r="X468">
        <v>1</v>
      </c>
      <c r="Y468" t="s">
        <v>19</v>
      </c>
      <c r="Z468">
        <v>3</v>
      </c>
      <c r="AA468">
        <f>IF(AND(Table1[[#This Row],[Throw Out Pass Eff]]="N", Table1[[#This Row],[Against FCS Team]]="N"), ROUND(((5.45 * D468) + (150 * F468) + (100 * G468) - (300 * H468)) / E468, 2), " ")</f>
        <v>93.75</v>
      </c>
      <c r="AB468">
        <f>IF(AND(Table1[[#This Row],[Throw Out Pass Def Eff]]="N", Table1[[#This Row],[Against FCS Team]]="N"),200 - ROUND(((5.45 * P468) + (150 * R468) + (100 * S468) - (300 * T468)) / Q468, 2), " ")</f>
        <v>154.44</v>
      </c>
      <c r="AC468">
        <f>IF(AND(Table1[[#This Row],[Throw Out Rush Eff]]="N", Table1[[#This Row],[Against FCS Team]]="N"), ROUND(((23.2 * I468) + (150 * K468) - (300 * L468)) / J468, 2), " ")</f>
        <v>-7.89</v>
      </c>
      <c r="AD468" s="3">
        <f>IF(AND(Table1[[#This Row],[Throw Out Rush Def Eff]]="N", Table1[[#This Row],[Against FCS Team]]="N"), 200 - ROUND(((23.2 * U468) + (150 * W468) - (300 * X468)) / V468, 2), " ")</f>
        <v>101.38</v>
      </c>
      <c r="AE468" s="3">
        <f>ROUND(Table1[[#This Row],[Opp Passing Attempts]]/(Table1[[#This Row],[Opp Passing Attempts]]+Table1[[#This Row],[Opp Rushing Attempts]]), 2)</f>
        <v>0.4</v>
      </c>
      <c r="AF468" s="3">
        <f>1-Table1[[#This Row],[Passing Weight]]</f>
        <v>0.6</v>
      </c>
      <c r="AG468" s="3" t="str">
        <f>IF(COUNTIF(A:A,Table1[[#This Row],[Opp Team Name]]) &gt; 0, "N", "Y")</f>
        <v>N</v>
      </c>
      <c r="AH468" s="3" t="str">
        <f>IF(Table1[[#This Row],[Passing Attempts]] &lt;15, "Y", "N")</f>
        <v>N</v>
      </c>
      <c r="AI468" s="3" t="str">
        <f>IF(Table1[[#This Row],[Rushing Attempts]] &lt; 15, "Y", "N")</f>
        <v>N</v>
      </c>
      <c r="AJ468" s="3" t="str">
        <f>IF(Table1[[#This Row],[Opp Passing Attempts]]&lt;15, "Y", "N")</f>
        <v>N</v>
      </c>
      <c r="AK468" s="3" t="str">
        <f>IF(Table1[[#This Row],[Opp Rushing Attempts]]&lt;15, "Y", "N")</f>
        <v>N</v>
      </c>
      <c r="AL46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100.88</v>
      </c>
      <c r="AM46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119.62</v>
      </c>
      <c r="AN46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-6.74</v>
      </c>
      <c r="AO46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122.71</v>
      </c>
      <c r="AP468" s="3">
        <f>ABS(Table1[[#This Row],[Team Score]]-Table1[[#This Row],[Opp Team Score]])</f>
        <v>6</v>
      </c>
      <c r="AQ468" s="3">
        <f>SUM(Table1[[#This Row],[Team Score]], Table1[[#This Row],[Opp Team Score]])</f>
        <v>26</v>
      </c>
      <c r="AR46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58.320000000000007</v>
      </c>
      <c r="AS468" s="3">
        <f>IF(Table1[[#This Row],[Efficiency Difference]] = " ", " ", ROUND((Table1[[#This Row],[Winning Margin]]*100)/Table1[[#This Row],[Efficiency Difference]], 2))</f>
        <v>10.29</v>
      </c>
    </row>
    <row r="469" spans="1:45">
      <c r="A469" t="s">
        <v>108</v>
      </c>
      <c r="B469">
        <v>472</v>
      </c>
      <c r="C469">
        <v>24</v>
      </c>
      <c r="D469">
        <v>238</v>
      </c>
      <c r="E469">
        <v>30</v>
      </c>
      <c r="F469">
        <v>1</v>
      </c>
      <c r="G469">
        <v>17</v>
      </c>
      <c r="H469">
        <v>1</v>
      </c>
      <c r="I469">
        <v>185</v>
      </c>
      <c r="J469">
        <v>32</v>
      </c>
      <c r="K469">
        <v>2</v>
      </c>
      <c r="L469">
        <v>0</v>
      </c>
      <c r="M469" t="s">
        <v>128</v>
      </c>
      <c r="N469">
        <v>630</v>
      </c>
      <c r="O469">
        <v>34</v>
      </c>
      <c r="P469">
        <v>236</v>
      </c>
      <c r="Q469">
        <v>38</v>
      </c>
      <c r="R469">
        <v>2</v>
      </c>
      <c r="S469">
        <v>24</v>
      </c>
      <c r="T469">
        <v>0</v>
      </c>
      <c r="U469">
        <v>230</v>
      </c>
      <c r="V469">
        <v>39</v>
      </c>
      <c r="W469">
        <v>2</v>
      </c>
      <c r="X469">
        <v>1</v>
      </c>
      <c r="Y469" t="s">
        <v>19</v>
      </c>
      <c r="Z469">
        <v>4</v>
      </c>
      <c r="AA469">
        <f>IF(AND(Table1[[#This Row],[Throw Out Pass Eff]]="N", Table1[[#This Row],[Against FCS Team]]="N"), ROUND(((5.45 * D469) + (150 * F469) + (100 * G469) - (300 * H469)) / E469, 2), " ")</f>
        <v>94.9</v>
      </c>
      <c r="AB469">
        <f>IF(AND(Table1[[#This Row],[Throw Out Pass Def Eff]]="N", Table1[[#This Row],[Against FCS Team]]="N"),200 - ROUND(((5.45 * P469) + (150 * R469) + (100 * S469) - (300 * T469)) / Q469, 2), " ")</f>
        <v>95.1</v>
      </c>
      <c r="AC469">
        <f>IF(AND(Table1[[#This Row],[Throw Out Rush Eff]]="N", Table1[[#This Row],[Against FCS Team]]="N"), ROUND(((23.2 * I469) + (150 * K469) - (300 * L469)) / J469, 2), " ")</f>
        <v>143.5</v>
      </c>
      <c r="AD469" s="3">
        <f>IF(AND(Table1[[#This Row],[Throw Out Rush Def Eff]]="N", Table1[[#This Row],[Against FCS Team]]="N"), 200 - ROUND(((23.2 * U469) + (150 * W469) - (300 * X469)) / V469, 2), " ")</f>
        <v>63.180000000000007</v>
      </c>
      <c r="AE469" s="3">
        <f>ROUND(Table1[[#This Row],[Opp Passing Attempts]]/(Table1[[#This Row],[Opp Passing Attempts]]+Table1[[#This Row],[Opp Rushing Attempts]]), 2)</f>
        <v>0.49</v>
      </c>
      <c r="AF469" s="3">
        <f>1-Table1[[#This Row],[Passing Weight]]</f>
        <v>0.51</v>
      </c>
      <c r="AG469" s="3" t="str">
        <f>IF(COUNTIF(A:A,Table1[[#This Row],[Opp Team Name]]) &gt; 0, "N", "Y")</f>
        <v>N</v>
      </c>
      <c r="AH469" s="3" t="str">
        <f>IF(Table1[[#This Row],[Passing Attempts]] &lt;15, "Y", "N")</f>
        <v>N</v>
      </c>
      <c r="AI469" s="3" t="str">
        <f>IF(Table1[[#This Row],[Rushing Attempts]] &lt; 15, "Y", "N")</f>
        <v>N</v>
      </c>
      <c r="AJ469" s="3" t="str">
        <f>IF(Table1[[#This Row],[Opp Passing Attempts]]&lt;15, "Y", "N")</f>
        <v>N</v>
      </c>
      <c r="AK469" s="3" t="str">
        <f>IF(Table1[[#This Row],[Opp Rushing Attempts]]&lt;15, "Y", "N")</f>
        <v>N</v>
      </c>
      <c r="AL4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100.17</v>
      </c>
      <c r="AM4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80.87</v>
      </c>
      <c r="AN4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121.63</v>
      </c>
      <c r="AO4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51.44</v>
      </c>
      <c r="AP469" s="3">
        <f>ABS(Table1[[#This Row],[Team Score]]-Table1[[#This Row],[Opp Team Score]])</f>
        <v>10</v>
      </c>
      <c r="AQ469" s="3">
        <f>SUM(Table1[[#This Row],[Team Score]], Table1[[#This Row],[Opp Team Score]])</f>
        <v>58</v>
      </c>
      <c r="AR4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3.3199999999999932</v>
      </c>
      <c r="AS469" s="3">
        <f>IF(Table1[[#This Row],[Efficiency Difference]] = " ", " ", ROUND((Table1[[#This Row],[Winning Margin]]*100)/Table1[[#This Row],[Efficiency Difference]], 2))</f>
        <v>301.2</v>
      </c>
    </row>
    <row r="470" spans="1:45">
      <c r="A470" t="s">
        <v>108</v>
      </c>
      <c r="B470">
        <v>472</v>
      </c>
      <c r="C470">
        <v>42</v>
      </c>
      <c r="D470">
        <v>296</v>
      </c>
      <c r="E470">
        <v>27</v>
      </c>
      <c r="F470">
        <v>4</v>
      </c>
      <c r="G470">
        <v>16</v>
      </c>
      <c r="H470">
        <v>0</v>
      </c>
      <c r="I470">
        <v>242</v>
      </c>
      <c r="J470">
        <v>48</v>
      </c>
      <c r="K470">
        <v>2</v>
      </c>
      <c r="L470">
        <v>1</v>
      </c>
      <c r="M470" t="s">
        <v>59</v>
      </c>
      <c r="N470">
        <v>473</v>
      </c>
      <c r="O470">
        <v>28</v>
      </c>
      <c r="P470">
        <v>265</v>
      </c>
      <c r="Q470">
        <v>36</v>
      </c>
      <c r="R470">
        <v>1</v>
      </c>
      <c r="S470">
        <v>22</v>
      </c>
      <c r="T470">
        <v>1</v>
      </c>
      <c r="U470">
        <v>163</v>
      </c>
      <c r="V470">
        <v>35</v>
      </c>
      <c r="W470">
        <v>3</v>
      </c>
      <c r="X470">
        <v>0</v>
      </c>
      <c r="Y470" t="s">
        <v>16</v>
      </c>
      <c r="Z470">
        <v>5</v>
      </c>
      <c r="AA470">
        <f>IF(AND(Table1[[#This Row],[Throw Out Pass Eff]]="N", Table1[[#This Row],[Against FCS Team]]="N"), ROUND(((5.45 * D470) + (150 * F470) + (100 * G470) - (300 * H470)) / E470, 2), " ")</f>
        <v>141.22999999999999</v>
      </c>
      <c r="AB470">
        <f>IF(AND(Table1[[#This Row],[Throw Out Pass Def Eff]]="N", Table1[[#This Row],[Against FCS Team]]="N"),200 - ROUND(((5.45 * P470) + (150 * R470) + (100 * S470) - (300 * T470)) / Q470, 2), " ")</f>
        <v>102.94</v>
      </c>
      <c r="AC470">
        <f>IF(AND(Table1[[#This Row],[Throw Out Rush Eff]]="N", Table1[[#This Row],[Against FCS Team]]="N"), ROUND(((23.2 * I470) + (150 * K470) - (300 * L470)) / J470, 2), " ")</f>
        <v>116.97</v>
      </c>
      <c r="AD470" s="3">
        <f>IF(AND(Table1[[#This Row],[Throw Out Rush Def Eff]]="N", Table1[[#This Row],[Against FCS Team]]="N"), 200 - ROUND(((23.2 * U470) + (150 * W470) - (300 * X470)) / V470, 2), " ")</f>
        <v>79.099999999999994</v>
      </c>
      <c r="AE470" s="3">
        <f>ROUND(Table1[[#This Row],[Opp Passing Attempts]]/(Table1[[#This Row],[Opp Passing Attempts]]+Table1[[#This Row],[Opp Rushing Attempts]]), 2)</f>
        <v>0.51</v>
      </c>
      <c r="AF470" s="3">
        <f>1-Table1[[#This Row],[Passing Weight]]</f>
        <v>0.49</v>
      </c>
      <c r="AG470" s="3" t="str">
        <f>IF(COUNTIF(A:A,Table1[[#This Row],[Opp Team Name]]) &gt; 0, "N", "Y")</f>
        <v>N</v>
      </c>
      <c r="AH470" s="3" t="str">
        <f>IF(Table1[[#This Row],[Passing Attempts]] &lt;15, "Y", "N")</f>
        <v>N</v>
      </c>
      <c r="AI470" s="3" t="str">
        <f>IF(Table1[[#This Row],[Rushing Attempts]] &lt; 15, "Y", "N")</f>
        <v>N</v>
      </c>
      <c r="AJ470" s="3" t="str">
        <f>IF(Table1[[#This Row],[Opp Passing Attempts]]&lt;15, "Y", "N")</f>
        <v>N</v>
      </c>
      <c r="AK470" s="3" t="str">
        <f>IF(Table1[[#This Row],[Opp Rushing Attempts]]&lt;15, "Y", "N")</f>
        <v>N</v>
      </c>
      <c r="AL4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94.11</v>
      </c>
      <c r="AM47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87.91</v>
      </c>
      <c r="AN4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78.97</v>
      </c>
      <c r="AO4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57.69</v>
      </c>
      <c r="AP470" s="3">
        <f>ABS(Table1[[#This Row],[Team Score]]-Table1[[#This Row],[Opp Team Score]])</f>
        <v>14</v>
      </c>
      <c r="AQ470" s="3">
        <f>SUM(Table1[[#This Row],[Team Score]], Table1[[#This Row],[Opp Team Score]])</f>
        <v>70</v>
      </c>
      <c r="AR47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40.239999999999981</v>
      </c>
      <c r="AS470" s="3">
        <f>IF(Table1[[#This Row],[Efficiency Difference]] = " ", " ", ROUND((Table1[[#This Row],[Winning Margin]]*100)/Table1[[#This Row],[Efficiency Difference]], 2))</f>
        <v>34.79</v>
      </c>
    </row>
    <row r="471" spans="1:45">
      <c r="A471" t="s">
        <v>108</v>
      </c>
      <c r="B471">
        <v>472</v>
      </c>
      <c r="C471">
        <v>31</v>
      </c>
      <c r="D471">
        <v>202</v>
      </c>
      <c r="E471">
        <v>23</v>
      </c>
      <c r="F471">
        <v>2</v>
      </c>
      <c r="G471">
        <v>15</v>
      </c>
      <c r="H471">
        <v>0</v>
      </c>
      <c r="I471">
        <v>192</v>
      </c>
      <c r="J471">
        <v>41</v>
      </c>
      <c r="K471">
        <v>1</v>
      </c>
      <c r="L471">
        <v>1</v>
      </c>
      <c r="M471" t="s">
        <v>43</v>
      </c>
      <c r="N471">
        <v>295</v>
      </c>
      <c r="O471">
        <v>24</v>
      </c>
      <c r="P471">
        <v>167</v>
      </c>
      <c r="Q471">
        <v>35</v>
      </c>
      <c r="R471">
        <v>0</v>
      </c>
      <c r="S471">
        <v>22</v>
      </c>
      <c r="T471">
        <v>1</v>
      </c>
      <c r="U471">
        <v>114</v>
      </c>
      <c r="V471">
        <v>29</v>
      </c>
      <c r="W471">
        <v>1</v>
      </c>
      <c r="X471">
        <v>3</v>
      </c>
      <c r="Y471" t="s">
        <v>16</v>
      </c>
      <c r="Z471">
        <v>7</v>
      </c>
      <c r="AA471">
        <f>IF(AND(Table1[[#This Row],[Throw Out Pass Eff]]="N", Table1[[#This Row],[Against FCS Team]]="N"), ROUND(((5.45 * D471) + (150 * F471) + (100 * G471) - (300 * H471)) / E471, 2), " ")</f>
        <v>126.13</v>
      </c>
      <c r="AB471">
        <f>IF(AND(Table1[[#This Row],[Throw Out Pass Def Eff]]="N", Table1[[#This Row],[Against FCS Team]]="N"),200 - ROUND(((5.45 * P471) + (150 * R471) + (100 * S471) - (300 * T471)) / Q471, 2), " ")</f>
        <v>119.71</v>
      </c>
      <c r="AC471">
        <f>IF(AND(Table1[[#This Row],[Throw Out Rush Eff]]="N", Table1[[#This Row],[Against FCS Team]]="N"), ROUND(((23.2 * I471) + (150 * K471) - (300 * L471)) / J471, 2), " ")</f>
        <v>104.99</v>
      </c>
      <c r="AD471" s="3">
        <f>IF(AND(Table1[[#This Row],[Throw Out Rush Def Eff]]="N", Table1[[#This Row],[Against FCS Team]]="N"), 200 - ROUND(((23.2 * U471) + (150 * W471) - (300 * X471)) / V471, 2), " ")</f>
        <v>134.66</v>
      </c>
      <c r="AE471" s="3">
        <f>ROUND(Table1[[#This Row],[Opp Passing Attempts]]/(Table1[[#This Row],[Opp Passing Attempts]]+Table1[[#This Row],[Opp Rushing Attempts]]), 2)</f>
        <v>0.55000000000000004</v>
      </c>
      <c r="AF471" s="3">
        <f>1-Table1[[#This Row],[Passing Weight]]</f>
        <v>0.44999999999999996</v>
      </c>
      <c r="AG471" s="3" t="str">
        <f>IF(COUNTIF(A:A,Table1[[#This Row],[Opp Team Name]]) &gt; 0, "N", "Y")</f>
        <v>N</v>
      </c>
      <c r="AH471" s="3" t="str">
        <f>IF(Table1[[#This Row],[Passing Attempts]] &lt;15, "Y", "N")</f>
        <v>N</v>
      </c>
      <c r="AI471" s="3" t="str">
        <f>IF(Table1[[#This Row],[Rushing Attempts]] &lt; 15, "Y", "N")</f>
        <v>N</v>
      </c>
      <c r="AJ471" s="3" t="str">
        <f>IF(Table1[[#This Row],[Opp Passing Attempts]]&lt;15, "Y", "N")</f>
        <v>N</v>
      </c>
      <c r="AK471" s="3" t="str">
        <f>IF(Table1[[#This Row],[Opp Rushing Attempts]]&lt;15, "Y", "N")</f>
        <v>N</v>
      </c>
      <c r="AL4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110.02</v>
      </c>
      <c r="AM47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86.53</v>
      </c>
      <c r="AN4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112.15</v>
      </c>
      <c r="AO4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65.87</v>
      </c>
      <c r="AP471" s="3">
        <f>ABS(Table1[[#This Row],[Team Score]]-Table1[[#This Row],[Opp Team Score]])</f>
        <v>7</v>
      </c>
      <c r="AQ471" s="3">
        <f>SUM(Table1[[#This Row],[Team Score]], Table1[[#This Row],[Opp Team Score]])</f>
        <v>55</v>
      </c>
      <c r="AR47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85.490000000000009</v>
      </c>
      <c r="AS471" s="3">
        <f>IF(Table1[[#This Row],[Efficiency Difference]] = " ", " ", ROUND((Table1[[#This Row],[Winning Margin]]*100)/Table1[[#This Row],[Efficiency Difference]], 2))</f>
        <v>8.19</v>
      </c>
    </row>
    <row r="472" spans="1:45">
      <c r="A472" t="s">
        <v>108</v>
      </c>
      <c r="B472">
        <v>472</v>
      </c>
      <c r="C472">
        <v>34</v>
      </c>
      <c r="D472">
        <v>284</v>
      </c>
      <c r="E472">
        <v>37</v>
      </c>
      <c r="F472">
        <v>3</v>
      </c>
      <c r="G472">
        <v>20</v>
      </c>
      <c r="H472">
        <v>0</v>
      </c>
      <c r="I472">
        <v>148</v>
      </c>
      <c r="J472">
        <v>32</v>
      </c>
      <c r="K472">
        <v>2</v>
      </c>
      <c r="L472">
        <v>1</v>
      </c>
      <c r="M472" t="s">
        <v>57</v>
      </c>
      <c r="N472">
        <v>277</v>
      </c>
      <c r="O472">
        <v>45</v>
      </c>
      <c r="P472">
        <v>276</v>
      </c>
      <c r="Q472">
        <v>41</v>
      </c>
      <c r="R472">
        <v>2</v>
      </c>
      <c r="S472">
        <v>26</v>
      </c>
      <c r="T472">
        <v>0</v>
      </c>
      <c r="U472">
        <v>227</v>
      </c>
      <c r="V472">
        <v>37</v>
      </c>
      <c r="W472">
        <v>4</v>
      </c>
      <c r="X472">
        <v>1</v>
      </c>
      <c r="Y472" t="s">
        <v>19</v>
      </c>
      <c r="Z472">
        <v>8</v>
      </c>
      <c r="AA472" s="3">
        <f>IF(AND(Table1[[#This Row],[Throw Out Pass Eff]]="N", Table1[[#This Row],[Against FCS Team]]="N"), ROUND(((5.45 * D472) + (150 * F472) + (100 * G472) - (300 * H472)) / E472, 2), " ")</f>
        <v>108.05</v>
      </c>
      <c r="AB472" s="3">
        <f>IF(AND(Table1[[#This Row],[Throw Out Pass Def Eff]]="N", Table1[[#This Row],[Against FCS Team]]="N"),200 - ROUND(((5.45 * P472) + (150 * R472) + (100 * S472) - (300 * T472)) / Q472, 2), " ")</f>
        <v>92.58</v>
      </c>
      <c r="AC472" s="3">
        <f>IF(AND(Table1[[#This Row],[Throw Out Rush Eff]]="N", Table1[[#This Row],[Against FCS Team]]="N"), ROUND(((23.2 * I472) + (150 * K472) - (300 * L472)) / J472, 2), " ")</f>
        <v>107.3</v>
      </c>
      <c r="AD472" s="3">
        <f>IF(AND(Table1[[#This Row],[Throw Out Rush Def Eff]]="N", Table1[[#This Row],[Against FCS Team]]="N"), 200 - ROUND(((23.2 * U472) + (150 * W472) - (300 * X472)) / V472, 2), " ")</f>
        <v>49.56</v>
      </c>
      <c r="AE472" s="3">
        <f>ROUND(Table1[[#This Row],[Opp Passing Attempts]]/(Table1[[#This Row],[Opp Passing Attempts]]+Table1[[#This Row],[Opp Rushing Attempts]]), 2)</f>
        <v>0.53</v>
      </c>
      <c r="AF472" s="3">
        <f>1-Table1[[#This Row],[Passing Weight]]</f>
        <v>0.47</v>
      </c>
      <c r="AG472" s="3" t="str">
        <f>IF(COUNTIF(A:A,Table1[[#This Row],[Opp Team Name]]) &gt; 0, "N", "Y")</f>
        <v>N</v>
      </c>
      <c r="AH472" s="3" t="str">
        <f>IF(Table1[[#This Row],[Passing Attempts]] &lt;15, "Y", "N")</f>
        <v>N</v>
      </c>
      <c r="AI472" s="3" t="str">
        <f>IF(Table1[[#This Row],[Rushing Attempts]] &lt; 15, "Y", "N")</f>
        <v>N</v>
      </c>
      <c r="AJ472" s="3" t="str">
        <f>IF(Table1[[#This Row],[Opp Passing Attempts]]&lt;15, "Y", "N")</f>
        <v>N</v>
      </c>
      <c r="AK472" s="3" t="str">
        <f>IF(Table1[[#This Row],[Opp Rushing Attempts]]&lt;15, "Y", "N")</f>
        <v>N</v>
      </c>
      <c r="AL4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109.21</v>
      </c>
      <c r="AM4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98.46</v>
      </c>
      <c r="AN4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143.72999999999999</v>
      </c>
      <c r="AO4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44.86</v>
      </c>
      <c r="AP472" s="3">
        <f>ABS(Table1[[#This Row],[Team Score]]-Table1[[#This Row],[Opp Team Score]])</f>
        <v>11</v>
      </c>
      <c r="AQ472" s="3">
        <f>SUM(Table1[[#This Row],[Team Score]], Table1[[#This Row],[Opp Team Score]])</f>
        <v>79</v>
      </c>
      <c r="AR4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42.510000000000019</v>
      </c>
      <c r="AS472" s="3">
        <f>IF(Table1[[#This Row],[Efficiency Difference]] = " ", " ", ROUND((Table1[[#This Row],[Winning Margin]]*100)/Table1[[#This Row],[Efficiency Difference]], 2))</f>
        <v>25.88</v>
      </c>
    </row>
    <row r="473" spans="1:45">
      <c r="A473" t="s">
        <v>110</v>
      </c>
      <c r="B473">
        <v>457</v>
      </c>
      <c r="C473">
        <v>42</v>
      </c>
      <c r="D473">
        <v>277</v>
      </c>
      <c r="E473">
        <v>23</v>
      </c>
      <c r="F473">
        <v>2</v>
      </c>
      <c r="G473">
        <v>22</v>
      </c>
      <c r="H473">
        <v>1</v>
      </c>
      <c r="I473">
        <v>184</v>
      </c>
      <c r="J473">
        <v>35</v>
      </c>
      <c r="K473">
        <v>4</v>
      </c>
      <c r="L473">
        <v>0</v>
      </c>
      <c r="M473" t="s">
        <v>111</v>
      </c>
      <c r="N473">
        <v>317</v>
      </c>
      <c r="O473">
        <v>10</v>
      </c>
      <c r="P473">
        <v>152</v>
      </c>
      <c r="Q473">
        <v>16</v>
      </c>
      <c r="R473">
        <v>1</v>
      </c>
      <c r="S473">
        <v>11</v>
      </c>
      <c r="T473">
        <v>0</v>
      </c>
      <c r="U473">
        <v>59</v>
      </c>
      <c r="V473">
        <v>39</v>
      </c>
      <c r="W473">
        <v>0</v>
      </c>
      <c r="X473">
        <v>0</v>
      </c>
      <c r="Y473" t="s">
        <v>16</v>
      </c>
      <c r="Z473">
        <v>1</v>
      </c>
      <c r="AA473" t="str">
        <f>IF(AND(Table1[[#This Row],[Throw Out Pass Eff]]="N", Table1[[#This Row],[Against FCS Team]]="N"), ROUND(((5.45 * D473) + (150 * F473) + (100 * G473) - (300 * H473)) / E473, 2), " ")</f>
        <v xml:space="preserve"> </v>
      </c>
      <c r="AB473" t="str">
        <f>IF(AND(Table1[[#This Row],[Throw Out Pass Def Eff]]="N", Table1[[#This Row],[Against FCS Team]]="N"),200 - ROUND(((5.45 * P473) + (150 * R473) + (100 * S473) - (300 * T473)) / Q473, 2), " ")</f>
        <v xml:space="preserve"> </v>
      </c>
      <c r="AC473" t="str">
        <f>IF(AND(Table1[[#This Row],[Throw Out Rush Eff]]="N", Table1[[#This Row],[Against FCS Team]]="N"), ROUND(((23.2 * I473) + (150 * K473) - (300 * L473)) / J473, 2), " ")</f>
        <v xml:space="preserve"> </v>
      </c>
      <c r="AD473" s="3" t="str">
        <f>IF(AND(Table1[[#This Row],[Throw Out Rush Def Eff]]="N", Table1[[#This Row],[Against FCS Team]]="N"), 200 - ROUND(((23.2 * U473) + (150 * W473) - (300 * X473)) / V473, 2), " ")</f>
        <v xml:space="preserve"> </v>
      </c>
      <c r="AE473" s="3">
        <f>ROUND(Table1[[#This Row],[Opp Passing Attempts]]/(Table1[[#This Row],[Opp Passing Attempts]]+Table1[[#This Row],[Opp Rushing Attempts]]), 2)</f>
        <v>0.28999999999999998</v>
      </c>
      <c r="AF473" s="3">
        <f>1-Table1[[#This Row],[Passing Weight]]</f>
        <v>0.71</v>
      </c>
      <c r="AG473" s="3" t="str">
        <f>IF(COUNTIF(A:A,Table1[[#This Row],[Opp Team Name]]) &gt; 0, "N", "Y")</f>
        <v>Y</v>
      </c>
      <c r="AH473" s="3" t="str">
        <f>IF(Table1[[#This Row],[Passing Attempts]] &lt;15, "Y", "N")</f>
        <v>N</v>
      </c>
      <c r="AI473" s="3" t="str">
        <f>IF(Table1[[#This Row],[Rushing Attempts]] &lt; 15, "Y", "N")</f>
        <v>N</v>
      </c>
      <c r="AJ473" s="3" t="str">
        <f>IF(Table1[[#This Row],[Opp Passing Attempts]]&lt;15, "Y", "N")</f>
        <v>N</v>
      </c>
      <c r="AK473" s="3" t="str">
        <f>IF(Table1[[#This Row],[Opp Rushing Attempts]]&lt;15, "Y", "N")</f>
        <v>N</v>
      </c>
      <c r="AL47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73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73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73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73" s="3">
        <f>ABS(Table1[[#This Row],[Team Score]]-Table1[[#This Row],[Opp Team Score]])</f>
        <v>32</v>
      </c>
      <c r="AQ473" s="3">
        <f>SUM(Table1[[#This Row],[Team Score]], Table1[[#This Row],[Opp Team Score]])</f>
        <v>52</v>
      </c>
      <c r="AR47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73" s="3" t="str">
        <f>IF(Table1[[#This Row],[Efficiency Difference]] = " ", " ", ROUND((Table1[[#This Row],[Winning Margin]]*100)/Table1[[#This Row],[Efficiency Difference]], 2))</f>
        <v xml:space="preserve"> </v>
      </c>
    </row>
    <row r="474" spans="1:45">
      <c r="A474" t="s">
        <v>110</v>
      </c>
      <c r="B474">
        <v>457</v>
      </c>
      <c r="C474">
        <v>24</v>
      </c>
      <c r="D474">
        <v>273</v>
      </c>
      <c r="E474">
        <v>26</v>
      </c>
      <c r="F474">
        <v>1</v>
      </c>
      <c r="G474">
        <v>20</v>
      </c>
      <c r="H474">
        <v>3</v>
      </c>
      <c r="I474">
        <v>132</v>
      </c>
      <c r="J474">
        <v>29</v>
      </c>
      <c r="K474">
        <v>2</v>
      </c>
      <c r="L474">
        <v>2</v>
      </c>
      <c r="M474" t="s">
        <v>124</v>
      </c>
      <c r="N474">
        <v>587</v>
      </c>
      <c r="O474">
        <v>22</v>
      </c>
      <c r="P474">
        <v>243</v>
      </c>
      <c r="Q474">
        <v>47</v>
      </c>
      <c r="R474">
        <v>2</v>
      </c>
      <c r="S474">
        <v>25</v>
      </c>
      <c r="T474">
        <v>0</v>
      </c>
      <c r="U474">
        <v>1</v>
      </c>
      <c r="V474">
        <v>25</v>
      </c>
      <c r="W474">
        <v>0</v>
      </c>
      <c r="X474">
        <v>0</v>
      </c>
      <c r="Y474" t="s">
        <v>16</v>
      </c>
      <c r="Z474">
        <v>2</v>
      </c>
      <c r="AA474">
        <f>IF(AND(Table1[[#This Row],[Throw Out Pass Eff]]="N", Table1[[#This Row],[Against FCS Team]]="N"), ROUND(((5.45 * D474) + (150 * F474) + (100 * G474) - (300 * H474)) / E474, 2), " ")</f>
        <v>105.3</v>
      </c>
      <c r="AB474">
        <f>IF(AND(Table1[[#This Row],[Throw Out Pass Def Eff]]="N", Table1[[#This Row],[Against FCS Team]]="N"),200 - ROUND(((5.45 * P474) + (150 * R474) + (100 * S474) - (300 * T474)) / Q474, 2), " ")</f>
        <v>112.25</v>
      </c>
      <c r="AC474">
        <f>IF(AND(Table1[[#This Row],[Throw Out Rush Eff]]="N", Table1[[#This Row],[Against FCS Team]]="N"), ROUND(((23.2 * I474) + (150 * K474) - (300 * L474)) / J474, 2), " ")</f>
        <v>95.26</v>
      </c>
      <c r="AD474" s="3">
        <f>IF(AND(Table1[[#This Row],[Throw Out Rush Def Eff]]="N", Table1[[#This Row],[Against FCS Team]]="N"), 200 - ROUND(((23.2 * U474) + (150 * W474) - (300 * X474)) / V474, 2), " ")</f>
        <v>199.07</v>
      </c>
      <c r="AE474" s="3">
        <f>ROUND(Table1[[#This Row],[Opp Passing Attempts]]/(Table1[[#This Row],[Opp Passing Attempts]]+Table1[[#This Row],[Opp Rushing Attempts]]), 2)</f>
        <v>0.65</v>
      </c>
      <c r="AF474" s="3">
        <f>1-Table1[[#This Row],[Passing Weight]]</f>
        <v>0.35</v>
      </c>
      <c r="AG474" s="3" t="str">
        <f>IF(COUNTIF(A:A,Table1[[#This Row],[Opp Team Name]]) &gt; 0, "N", "Y")</f>
        <v>N</v>
      </c>
      <c r="AH474" s="3" t="str">
        <f>IF(Table1[[#This Row],[Passing Attempts]] &lt;15, "Y", "N")</f>
        <v>N</v>
      </c>
      <c r="AI474" s="3" t="str">
        <f>IF(Table1[[#This Row],[Rushing Attempts]] &lt; 15, "Y", "N")</f>
        <v>N</v>
      </c>
      <c r="AJ474" s="3" t="str">
        <f>IF(Table1[[#This Row],[Opp Passing Attempts]]&lt;15, "Y", "N")</f>
        <v>N</v>
      </c>
      <c r="AK474" s="3" t="str">
        <f>IF(Table1[[#This Row],[Opp Rushing Attempts]]&lt;15, "Y", "N")</f>
        <v>N</v>
      </c>
      <c r="AL4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126.48</v>
      </c>
      <c r="AM4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102.27</v>
      </c>
      <c r="AN4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106.16</v>
      </c>
      <c r="AO4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93.49</v>
      </c>
      <c r="AP474" s="3">
        <f>ABS(Table1[[#This Row],[Team Score]]-Table1[[#This Row],[Opp Team Score]])</f>
        <v>2</v>
      </c>
      <c r="AQ474" s="3">
        <f>SUM(Table1[[#This Row],[Team Score]], Table1[[#This Row],[Opp Team Score]])</f>
        <v>46</v>
      </c>
      <c r="AR4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111.88</v>
      </c>
      <c r="AS474" s="3">
        <f>IF(Table1[[#This Row],[Efficiency Difference]] = " ", " ", ROUND((Table1[[#This Row],[Winning Margin]]*100)/Table1[[#This Row],[Efficiency Difference]], 2))</f>
        <v>1.79</v>
      </c>
    </row>
    <row r="475" spans="1:45">
      <c r="A475" t="s">
        <v>110</v>
      </c>
      <c r="B475">
        <v>457</v>
      </c>
      <c r="C475">
        <v>28</v>
      </c>
      <c r="D475">
        <v>179</v>
      </c>
      <c r="E475">
        <v>23</v>
      </c>
      <c r="F475">
        <v>2</v>
      </c>
      <c r="G475">
        <v>16</v>
      </c>
      <c r="H475">
        <v>0</v>
      </c>
      <c r="I475">
        <v>222</v>
      </c>
      <c r="J475">
        <v>41</v>
      </c>
      <c r="K475">
        <v>2</v>
      </c>
      <c r="L475">
        <v>1</v>
      </c>
      <c r="M475" t="s">
        <v>154</v>
      </c>
      <c r="N475">
        <v>746</v>
      </c>
      <c r="O475">
        <v>17</v>
      </c>
      <c r="P475">
        <v>298</v>
      </c>
      <c r="Q475">
        <v>41</v>
      </c>
      <c r="R475">
        <v>1</v>
      </c>
      <c r="S475">
        <v>23</v>
      </c>
      <c r="T475">
        <v>2</v>
      </c>
      <c r="U475">
        <v>170</v>
      </c>
      <c r="V475">
        <v>34</v>
      </c>
      <c r="W475">
        <v>1</v>
      </c>
      <c r="X475">
        <v>1</v>
      </c>
      <c r="Y475" t="s">
        <v>16</v>
      </c>
      <c r="Z475">
        <v>3</v>
      </c>
      <c r="AA475">
        <f>IF(AND(Table1[[#This Row],[Throw Out Pass Eff]]="N", Table1[[#This Row],[Against FCS Team]]="N"), ROUND(((5.45 * D475) + (150 * F475) + (100 * G475) - (300 * H475)) / E475, 2), " ")</f>
        <v>125.02</v>
      </c>
      <c r="AB475">
        <f>IF(AND(Table1[[#This Row],[Throw Out Pass Def Eff]]="N", Table1[[#This Row],[Against FCS Team]]="N"),200 - ROUND(((5.45 * P475) + (150 * R475) + (100 * S475) - (300 * T475)) / Q475, 2), " ")</f>
        <v>115.27</v>
      </c>
      <c r="AC475">
        <f>IF(AND(Table1[[#This Row],[Throw Out Rush Eff]]="N", Table1[[#This Row],[Against FCS Team]]="N"), ROUND(((23.2 * I475) + (150 * K475) - (300 * L475)) / J475, 2), " ")</f>
        <v>125.62</v>
      </c>
      <c r="AD475" s="3">
        <f>IF(AND(Table1[[#This Row],[Throw Out Rush Def Eff]]="N", Table1[[#This Row],[Against FCS Team]]="N"), 200 - ROUND(((23.2 * U475) + (150 * W475) - (300 * X475)) / V475, 2), " ")</f>
        <v>88.41</v>
      </c>
      <c r="AE475" s="3">
        <f>ROUND(Table1[[#This Row],[Opp Passing Attempts]]/(Table1[[#This Row],[Opp Passing Attempts]]+Table1[[#This Row],[Opp Rushing Attempts]]), 2)</f>
        <v>0.55000000000000004</v>
      </c>
      <c r="AF475" s="3">
        <f>1-Table1[[#This Row],[Passing Weight]]</f>
        <v>0.44999999999999996</v>
      </c>
      <c r="AG475" s="3" t="str">
        <f>IF(COUNTIF(A:A,Table1[[#This Row],[Opp Team Name]]) &gt; 0, "N", "Y")</f>
        <v>N</v>
      </c>
      <c r="AH475" s="3" t="str">
        <f>IF(Table1[[#This Row],[Passing Attempts]] &lt;15, "Y", "N")</f>
        <v>N</v>
      </c>
      <c r="AI475" s="3" t="str">
        <f>IF(Table1[[#This Row],[Rushing Attempts]] &lt; 15, "Y", "N")</f>
        <v>N</v>
      </c>
      <c r="AJ475" s="3" t="str">
        <f>IF(Table1[[#This Row],[Opp Passing Attempts]]&lt;15, "Y", "N")</f>
        <v>N</v>
      </c>
      <c r="AK475" s="3" t="str">
        <f>IF(Table1[[#This Row],[Opp Rushing Attempts]]&lt;15, "Y", "N")</f>
        <v>N</v>
      </c>
      <c r="AL4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135.03</v>
      </c>
      <c r="AM4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82.98</v>
      </c>
      <c r="AN4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145.44</v>
      </c>
      <c r="AO4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88.1</v>
      </c>
      <c r="AP475" s="3">
        <f>ABS(Table1[[#This Row],[Team Score]]-Table1[[#This Row],[Opp Team Score]])</f>
        <v>11</v>
      </c>
      <c r="AQ475" s="3">
        <f>SUM(Table1[[#This Row],[Team Score]], Table1[[#This Row],[Opp Team Score]])</f>
        <v>45</v>
      </c>
      <c r="AR47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54.319999999999993</v>
      </c>
      <c r="AS475" s="3">
        <f>IF(Table1[[#This Row],[Efficiency Difference]] = " ", " ", ROUND((Table1[[#This Row],[Winning Margin]]*100)/Table1[[#This Row],[Efficiency Difference]], 2))</f>
        <v>20.25</v>
      </c>
    </row>
    <row r="476" spans="1:45">
      <c r="A476" t="s">
        <v>110</v>
      </c>
      <c r="B476">
        <v>457</v>
      </c>
      <c r="C476">
        <v>28</v>
      </c>
      <c r="D476">
        <v>204</v>
      </c>
      <c r="E476">
        <v>25</v>
      </c>
      <c r="F476">
        <v>2</v>
      </c>
      <c r="G476">
        <v>17</v>
      </c>
      <c r="H476">
        <v>2</v>
      </c>
      <c r="I476">
        <v>128</v>
      </c>
      <c r="J476">
        <v>27</v>
      </c>
      <c r="K476">
        <v>2</v>
      </c>
      <c r="L476">
        <v>0</v>
      </c>
      <c r="M476" t="s">
        <v>72</v>
      </c>
      <c r="N476">
        <v>255</v>
      </c>
      <c r="O476">
        <v>35</v>
      </c>
      <c r="P476">
        <v>184</v>
      </c>
      <c r="Q476">
        <v>14</v>
      </c>
      <c r="R476">
        <v>1</v>
      </c>
      <c r="S476">
        <v>10</v>
      </c>
      <c r="T476">
        <v>1</v>
      </c>
      <c r="U476">
        <v>312</v>
      </c>
      <c r="V476">
        <v>58</v>
      </c>
      <c r="W476">
        <v>3</v>
      </c>
      <c r="X476">
        <v>1</v>
      </c>
      <c r="Y476" t="s">
        <v>19</v>
      </c>
      <c r="Z476">
        <v>4</v>
      </c>
      <c r="AA476">
        <f>IF(AND(Table1[[#This Row],[Throw Out Pass Eff]]="N", Table1[[#This Row],[Against FCS Team]]="N"), ROUND(((5.45 * D476) + (150 * F476) + (100 * G476) - (300 * H476)) / E476, 2), " ")</f>
        <v>100.47</v>
      </c>
      <c r="AB476" t="str">
        <f>IF(AND(Table1[[#This Row],[Throw Out Pass Def Eff]]="N", Table1[[#This Row],[Against FCS Team]]="N"),200 - ROUND(((5.45 * P476) + (150 * R476) + (100 * S476) - (300 * T476)) / Q476, 2), " ")</f>
        <v xml:space="preserve"> </v>
      </c>
      <c r="AC476">
        <f>IF(AND(Table1[[#This Row],[Throw Out Rush Eff]]="N", Table1[[#This Row],[Against FCS Team]]="N"), ROUND(((23.2 * I476) + (150 * K476) - (300 * L476)) / J476, 2), " ")</f>
        <v>121.1</v>
      </c>
      <c r="AD476" s="3">
        <f>IF(AND(Table1[[#This Row],[Throw Out Rush Def Eff]]="N", Table1[[#This Row],[Against FCS Team]]="N"), 200 - ROUND(((23.2 * U476) + (150 * W476) - (300 * X476)) / V476, 2), " ")</f>
        <v>72.61</v>
      </c>
      <c r="AE476" s="3">
        <f>ROUND(Table1[[#This Row],[Opp Passing Attempts]]/(Table1[[#This Row],[Opp Passing Attempts]]+Table1[[#This Row],[Opp Rushing Attempts]]), 2)</f>
        <v>0.19</v>
      </c>
      <c r="AF476" s="3">
        <f>1-Table1[[#This Row],[Passing Weight]]</f>
        <v>0.81</v>
      </c>
      <c r="AG476" s="3" t="str">
        <f>IF(COUNTIF(A:A,Table1[[#This Row],[Opp Team Name]]) &gt; 0, "N", "Y")</f>
        <v>N</v>
      </c>
      <c r="AH476" s="3" t="str">
        <f>IF(Table1[[#This Row],[Passing Attempts]] &lt;15, "Y", "N")</f>
        <v>N</v>
      </c>
      <c r="AI476" s="3" t="str">
        <f>IF(Table1[[#This Row],[Rushing Attempts]] &lt; 15, "Y", "N")</f>
        <v>N</v>
      </c>
      <c r="AJ476" s="3" t="str">
        <f>IF(Table1[[#This Row],[Opp Passing Attempts]]&lt;15, "Y", "N")</f>
        <v>Y</v>
      </c>
      <c r="AK476" s="3" t="str">
        <f>IF(Table1[[#This Row],[Opp Rushing Attempts]]&lt;15, "Y", "N")</f>
        <v>N</v>
      </c>
      <c r="AL47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121.82</v>
      </c>
      <c r="AM47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7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102.46</v>
      </c>
      <c r="AO47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103.69</v>
      </c>
      <c r="AP476" s="3">
        <f>ABS(Table1[[#This Row],[Team Score]]-Table1[[#This Row],[Opp Team Score]])</f>
        <v>7</v>
      </c>
      <c r="AQ476" s="3">
        <f>SUM(Table1[[#This Row],[Team Score]], Table1[[#This Row],[Opp Team Score]])</f>
        <v>63</v>
      </c>
      <c r="AR47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76" s="3" t="str">
        <f>IF(Table1[[#This Row],[Efficiency Difference]] = " ", " ", ROUND((Table1[[#This Row],[Winning Margin]]*100)/Table1[[#This Row],[Efficiency Difference]], 2))</f>
        <v xml:space="preserve"> </v>
      </c>
    </row>
    <row r="477" spans="1:45">
      <c r="A477" t="s">
        <v>110</v>
      </c>
      <c r="B477">
        <v>457</v>
      </c>
      <c r="C477">
        <v>35</v>
      </c>
      <c r="D477">
        <v>230</v>
      </c>
      <c r="E477">
        <v>20</v>
      </c>
      <c r="F477">
        <v>4</v>
      </c>
      <c r="G477">
        <v>13</v>
      </c>
      <c r="H477">
        <v>0</v>
      </c>
      <c r="I477">
        <v>226</v>
      </c>
      <c r="J477">
        <v>40</v>
      </c>
      <c r="K477">
        <v>1</v>
      </c>
      <c r="L477">
        <v>0</v>
      </c>
      <c r="M477" t="s">
        <v>64</v>
      </c>
      <c r="N477">
        <v>196</v>
      </c>
      <c r="O477">
        <v>20</v>
      </c>
      <c r="P477">
        <v>417</v>
      </c>
      <c r="Q477">
        <v>58</v>
      </c>
      <c r="R477">
        <v>2</v>
      </c>
      <c r="S477">
        <v>41</v>
      </c>
      <c r="T477">
        <v>2</v>
      </c>
      <c r="U477">
        <v>73</v>
      </c>
      <c r="V477">
        <v>21</v>
      </c>
      <c r="W477">
        <v>0</v>
      </c>
      <c r="X477">
        <v>2</v>
      </c>
      <c r="Y477" t="s">
        <v>16</v>
      </c>
      <c r="Z477">
        <v>5</v>
      </c>
      <c r="AA477">
        <f>IF(AND(Table1[[#This Row],[Throw Out Pass Eff]]="N", Table1[[#This Row],[Against FCS Team]]="N"), ROUND(((5.45 * D477) + (150 * F477) + (100 * G477) - (300 * H477)) / E477, 2), " ")</f>
        <v>157.68</v>
      </c>
      <c r="AB477">
        <f>IF(AND(Table1[[#This Row],[Throw Out Pass Def Eff]]="N", Table1[[#This Row],[Against FCS Team]]="N"),200 - ROUND(((5.45 * P477) + (150 * R477) + (100 * S477) - (300 * T477)) / Q477, 2), " ")</f>
        <v>95.3</v>
      </c>
      <c r="AC477">
        <f>IF(AND(Table1[[#This Row],[Throw Out Rush Eff]]="N", Table1[[#This Row],[Against FCS Team]]="N"), ROUND(((23.2 * I477) + (150 * K477) - (300 * L477)) / J477, 2), " ")</f>
        <v>134.83000000000001</v>
      </c>
      <c r="AD477" s="3">
        <f>IF(AND(Table1[[#This Row],[Throw Out Rush Def Eff]]="N", Table1[[#This Row],[Against FCS Team]]="N"), 200 - ROUND(((23.2 * U477) + (150 * W477) - (300 * X477)) / V477, 2), " ")</f>
        <v>147.92000000000002</v>
      </c>
      <c r="AE477" s="3">
        <f>ROUND(Table1[[#This Row],[Opp Passing Attempts]]/(Table1[[#This Row],[Opp Passing Attempts]]+Table1[[#This Row],[Opp Rushing Attempts]]), 2)</f>
        <v>0.73</v>
      </c>
      <c r="AF477" s="3">
        <f>1-Table1[[#This Row],[Passing Weight]]</f>
        <v>0.27</v>
      </c>
      <c r="AG477" s="3" t="str">
        <f>IF(COUNTIF(A:A,Table1[[#This Row],[Opp Team Name]]) &gt; 0, "N", "Y")</f>
        <v>N</v>
      </c>
      <c r="AH477" s="3" t="str">
        <f>IF(Table1[[#This Row],[Passing Attempts]] &lt;15, "Y", "N")</f>
        <v>N</v>
      </c>
      <c r="AI477" s="3" t="str">
        <f>IF(Table1[[#This Row],[Rushing Attempts]] &lt; 15, "Y", "N")</f>
        <v>N</v>
      </c>
      <c r="AJ477" s="3" t="str">
        <f>IF(Table1[[#This Row],[Opp Passing Attempts]]&lt;15, "Y", "N")</f>
        <v>N</v>
      </c>
      <c r="AK477" s="3" t="str">
        <f>IF(Table1[[#This Row],[Opp Rushing Attempts]]&lt;15, "Y", "N")</f>
        <v>N</v>
      </c>
      <c r="AL47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163.66999999999999</v>
      </c>
      <c r="AM47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99.19</v>
      </c>
      <c r="AN47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122.27</v>
      </c>
      <c r="AO47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76.06</v>
      </c>
      <c r="AP477" s="3">
        <f>ABS(Table1[[#This Row],[Team Score]]-Table1[[#This Row],[Opp Team Score]])</f>
        <v>15</v>
      </c>
      <c r="AQ477" s="3">
        <f>SUM(Table1[[#This Row],[Team Score]], Table1[[#This Row],[Opp Team Score]])</f>
        <v>55</v>
      </c>
      <c r="AR47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135.73000000000002</v>
      </c>
      <c r="AS477" s="3">
        <f>IF(Table1[[#This Row],[Efficiency Difference]] = " ", " ", ROUND((Table1[[#This Row],[Winning Margin]]*100)/Table1[[#This Row],[Efficiency Difference]], 2))</f>
        <v>11.05</v>
      </c>
    </row>
    <row r="478" spans="1:45">
      <c r="A478" t="s">
        <v>110</v>
      </c>
      <c r="B478">
        <v>457</v>
      </c>
      <c r="C478">
        <v>14</v>
      </c>
      <c r="D478">
        <v>178</v>
      </c>
      <c r="E478">
        <v>19</v>
      </c>
      <c r="F478">
        <v>1</v>
      </c>
      <c r="G478">
        <v>12</v>
      </c>
      <c r="H478">
        <v>0</v>
      </c>
      <c r="I478">
        <v>86</v>
      </c>
      <c r="J478">
        <v>32</v>
      </c>
      <c r="K478">
        <v>1</v>
      </c>
      <c r="L478">
        <v>1</v>
      </c>
      <c r="M478" t="s">
        <v>90</v>
      </c>
      <c r="N478">
        <v>367</v>
      </c>
      <c r="O478">
        <v>7</v>
      </c>
      <c r="P478">
        <v>173</v>
      </c>
      <c r="Q478">
        <v>31</v>
      </c>
      <c r="R478">
        <v>1</v>
      </c>
      <c r="S478">
        <v>19</v>
      </c>
      <c r="T478">
        <v>1</v>
      </c>
      <c r="U478">
        <v>100</v>
      </c>
      <c r="V478">
        <v>38</v>
      </c>
      <c r="W478">
        <v>0</v>
      </c>
      <c r="X478">
        <v>0</v>
      </c>
      <c r="Y478" t="s">
        <v>16</v>
      </c>
      <c r="Z478">
        <v>6</v>
      </c>
      <c r="AA478">
        <f>IF(AND(Table1[[#This Row],[Throw Out Pass Eff]]="N", Table1[[#This Row],[Against FCS Team]]="N"), ROUND(((5.45 * D478) + (150 * F478) + (100 * G478) - (300 * H478)) / E478, 2), " ")</f>
        <v>122.11</v>
      </c>
      <c r="AB478">
        <f>IF(AND(Table1[[#This Row],[Throw Out Pass Def Eff]]="N", Table1[[#This Row],[Against FCS Team]]="N"),200 - ROUND(((5.45 * P478) + (150 * R478) + (100 * S478) - (300 * T478)) / Q478, 2), " ")</f>
        <v>113.13</v>
      </c>
      <c r="AC478">
        <f>IF(AND(Table1[[#This Row],[Throw Out Rush Eff]]="N", Table1[[#This Row],[Against FCS Team]]="N"), ROUND(((23.2 * I478) + (150 * K478) - (300 * L478)) / J478, 2), " ")</f>
        <v>57.66</v>
      </c>
      <c r="AD478" s="3">
        <f>IF(AND(Table1[[#This Row],[Throw Out Rush Def Eff]]="N", Table1[[#This Row],[Against FCS Team]]="N"), 200 - ROUND(((23.2 * U478) + (150 * W478) - (300 * X478)) / V478, 2), " ")</f>
        <v>138.94999999999999</v>
      </c>
      <c r="AE478" s="3">
        <f>ROUND(Table1[[#This Row],[Opp Passing Attempts]]/(Table1[[#This Row],[Opp Passing Attempts]]+Table1[[#This Row],[Opp Rushing Attempts]]), 2)</f>
        <v>0.45</v>
      </c>
      <c r="AF478" s="3">
        <f>1-Table1[[#This Row],[Passing Weight]]</f>
        <v>0.55000000000000004</v>
      </c>
      <c r="AG478" s="3" t="str">
        <f>IF(COUNTIF(A:A,Table1[[#This Row],[Opp Team Name]]) &gt; 0, "N", "Y")</f>
        <v>N</v>
      </c>
      <c r="AH478" s="3" t="str">
        <f>IF(Table1[[#This Row],[Passing Attempts]] &lt;15, "Y", "N")</f>
        <v>N</v>
      </c>
      <c r="AI478" s="3" t="str">
        <f>IF(Table1[[#This Row],[Rushing Attempts]] &lt; 15, "Y", "N")</f>
        <v>N</v>
      </c>
      <c r="AJ478" s="3" t="str">
        <f>IF(Table1[[#This Row],[Opp Passing Attempts]]&lt;15, "Y", "N")</f>
        <v>N</v>
      </c>
      <c r="AK478" s="3" t="str">
        <f>IF(Table1[[#This Row],[Opp Rushing Attempts]]&lt;15, "Y", "N")</f>
        <v>N</v>
      </c>
      <c r="AL4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112.72</v>
      </c>
      <c r="AM4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108.7</v>
      </c>
      <c r="AN4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79.52</v>
      </c>
      <c r="AO4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101.91</v>
      </c>
      <c r="AP478" s="3">
        <f>ABS(Table1[[#This Row],[Team Score]]-Table1[[#This Row],[Opp Team Score]])</f>
        <v>7</v>
      </c>
      <c r="AQ478" s="3">
        <f>SUM(Table1[[#This Row],[Team Score]], Table1[[#This Row],[Opp Team Score]])</f>
        <v>21</v>
      </c>
      <c r="AR4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31.849999999999966</v>
      </c>
      <c r="AS478" s="3">
        <f>IF(Table1[[#This Row],[Efficiency Difference]] = " ", " ", ROUND((Table1[[#This Row],[Winning Margin]]*100)/Table1[[#This Row],[Efficiency Difference]], 2))</f>
        <v>21.98</v>
      </c>
    </row>
    <row r="479" spans="1:45">
      <c r="A479" t="s">
        <v>110</v>
      </c>
      <c r="B479">
        <v>457</v>
      </c>
      <c r="C479">
        <v>24</v>
      </c>
      <c r="D479">
        <v>288</v>
      </c>
      <c r="E479">
        <v>38</v>
      </c>
      <c r="F479">
        <v>2</v>
      </c>
      <c r="G479">
        <v>29</v>
      </c>
      <c r="H479">
        <v>0</v>
      </c>
      <c r="I479">
        <v>141</v>
      </c>
      <c r="J479">
        <v>42</v>
      </c>
      <c r="K479">
        <v>1</v>
      </c>
      <c r="L479">
        <v>2</v>
      </c>
      <c r="M479" t="s">
        <v>179</v>
      </c>
      <c r="N479">
        <v>415</v>
      </c>
      <c r="O479">
        <v>30</v>
      </c>
      <c r="P479">
        <v>267</v>
      </c>
      <c r="Q479">
        <v>30</v>
      </c>
      <c r="R479">
        <v>3</v>
      </c>
      <c r="S479">
        <v>20</v>
      </c>
      <c r="T479">
        <v>0</v>
      </c>
      <c r="U479">
        <v>44</v>
      </c>
      <c r="V479">
        <v>27</v>
      </c>
      <c r="W479">
        <v>0</v>
      </c>
      <c r="X479">
        <v>1</v>
      </c>
      <c r="Y479" t="s">
        <v>19</v>
      </c>
      <c r="Z479">
        <v>7</v>
      </c>
      <c r="AA479">
        <f>IF(AND(Table1[[#This Row],[Throw Out Pass Eff]]="N", Table1[[#This Row],[Against FCS Team]]="N"), ROUND(((5.45 * D479) + (150 * F479) + (100 * G479) - (300 * H479)) / E479, 2), " ")</f>
        <v>125.52</v>
      </c>
      <c r="AB479">
        <f>IF(AND(Table1[[#This Row],[Throw Out Pass Def Eff]]="N", Table1[[#This Row],[Against FCS Team]]="N"),200 - ROUND(((5.45 * P479) + (150 * R479) + (100 * S479) - (300 * T479)) / Q479, 2), " ")</f>
        <v>69.830000000000013</v>
      </c>
      <c r="AC479">
        <f>IF(AND(Table1[[#This Row],[Throw Out Rush Eff]]="N", Table1[[#This Row],[Against FCS Team]]="N"), ROUND(((23.2 * I479) + (150 * K479) - (300 * L479)) / J479, 2), " ")</f>
        <v>67.17</v>
      </c>
      <c r="AD479" s="3">
        <f>IF(AND(Table1[[#This Row],[Throw Out Rush Def Eff]]="N", Table1[[#This Row],[Against FCS Team]]="N"), 200 - ROUND(((23.2 * U479) + (150 * W479) - (300 * X479)) / V479, 2), " ")</f>
        <v>173.3</v>
      </c>
      <c r="AE479" s="3">
        <f>ROUND(Table1[[#This Row],[Opp Passing Attempts]]/(Table1[[#This Row],[Opp Passing Attempts]]+Table1[[#This Row],[Opp Rushing Attempts]]), 2)</f>
        <v>0.53</v>
      </c>
      <c r="AF479" s="3">
        <f>1-Table1[[#This Row],[Passing Weight]]</f>
        <v>0.47</v>
      </c>
      <c r="AG479" s="3" t="str">
        <f>IF(COUNTIF(A:A,Table1[[#This Row],[Opp Team Name]]) &gt; 0, "N", "Y")</f>
        <v>N</v>
      </c>
      <c r="AH479" s="3" t="str">
        <f>IF(Table1[[#This Row],[Passing Attempts]] &lt;15, "Y", "N")</f>
        <v>N</v>
      </c>
      <c r="AI479" s="3" t="str">
        <f>IF(Table1[[#This Row],[Rushing Attempts]] &lt; 15, "Y", "N")</f>
        <v>N</v>
      </c>
      <c r="AJ479" s="3" t="str">
        <f>IF(Table1[[#This Row],[Opp Passing Attempts]]&lt;15, "Y", "N")</f>
        <v>N</v>
      </c>
      <c r="AK479" s="3" t="str">
        <f>IF(Table1[[#This Row],[Opp Rushing Attempts]]&lt;15, "Y", "N")</f>
        <v>N</v>
      </c>
      <c r="AL4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112.21</v>
      </c>
      <c r="AM4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73.52</v>
      </c>
      <c r="AN4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69.62</v>
      </c>
      <c r="AO4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175.67</v>
      </c>
      <c r="AP479" s="3">
        <f>ABS(Table1[[#This Row],[Team Score]]-Table1[[#This Row],[Opp Team Score]])</f>
        <v>6</v>
      </c>
      <c r="AQ479" s="3">
        <f>SUM(Table1[[#This Row],[Team Score]], Table1[[#This Row],[Opp Team Score]])</f>
        <v>54</v>
      </c>
      <c r="AR4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35.820000000000022</v>
      </c>
      <c r="AS479" s="3">
        <f>IF(Table1[[#This Row],[Efficiency Difference]] = " ", " ", ROUND((Table1[[#This Row],[Winning Margin]]*100)/Table1[[#This Row],[Efficiency Difference]], 2))</f>
        <v>16.75</v>
      </c>
    </row>
    <row r="480" spans="1:45">
      <c r="A480" t="s">
        <v>110</v>
      </c>
      <c r="B480">
        <v>457</v>
      </c>
      <c r="C480">
        <v>38</v>
      </c>
      <c r="D480">
        <v>316</v>
      </c>
      <c r="E480">
        <v>35</v>
      </c>
      <c r="F480">
        <v>2</v>
      </c>
      <c r="G480">
        <v>20</v>
      </c>
      <c r="H480">
        <v>3</v>
      </c>
      <c r="I480">
        <v>102</v>
      </c>
      <c r="J480">
        <v>28</v>
      </c>
      <c r="K480">
        <v>2</v>
      </c>
      <c r="L480">
        <v>3</v>
      </c>
      <c r="M480" t="s">
        <v>54</v>
      </c>
      <c r="N480">
        <v>147</v>
      </c>
      <c r="O480">
        <v>59</v>
      </c>
      <c r="P480">
        <v>373</v>
      </c>
      <c r="Q480">
        <v>48</v>
      </c>
      <c r="R480">
        <v>5</v>
      </c>
      <c r="S480">
        <v>28</v>
      </c>
      <c r="T480">
        <v>0</v>
      </c>
      <c r="U480">
        <v>77</v>
      </c>
      <c r="V480">
        <v>36</v>
      </c>
      <c r="W480">
        <v>1</v>
      </c>
      <c r="X480">
        <v>1</v>
      </c>
      <c r="Y480" t="s">
        <v>19</v>
      </c>
      <c r="Z480">
        <v>8</v>
      </c>
      <c r="AA480" s="3">
        <f>IF(AND(Table1[[#This Row],[Throw Out Pass Eff]]="N", Table1[[#This Row],[Against FCS Team]]="N"), ROUND(((5.45 * D480) + (150 * F480) + (100 * G480) - (300 * H480)) / E480, 2), " ")</f>
        <v>89.21</v>
      </c>
      <c r="AB480" s="3">
        <f>IF(AND(Table1[[#This Row],[Throw Out Pass Def Eff]]="N", Table1[[#This Row],[Against FCS Team]]="N"),200 - ROUND(((5.45 * P480) + (150 * R480) + (100 * S480) - (300 * T480)) / Q480, 2), " ")</f>
        <v>83.69</v>
      </c>
      <c r="AC480" s="3">
        <f>IF(AND(Table1[[#This Row],[Throw Out Rush Eff]]="N", Table1[[#This Row],[Against FCS Team]]="N"), ROUND(((23.2 * I480) + (150 * K480) - (300 * L480)) / J480, 2), " ")</f>
        <v>63.09</v>
      </c>
      <c r="AD480" s="3">
        <f>IF(AND(Table1[[#This Row],[Throw Out Rush Def Eff]]="N", Table1[[#This Row],[Against FCS Team]]="N"), 200 - ROUND(((23.2 * U480) + (150 * W480) - (300 * X480)) / V480, 2), " ")</f>
        <v>154.54</v>
      </c>
      <c r="AE480" s="3">
        <f>ROUND(Table1[[#This Row],[Opp Passing Attempts]]/(Table1[[#This Row],[Opp Passing Attempts]]+Table1[[#This Row],[Opp Rushing Attempts]]), 2)</f>
        <v>0.56999999999999995</v>
      </c>
      <c r="AF480" s="3">
        <f>1-Table1[[#This Row],[Passing Weight]]</f>
        <v>0.43000000000000005</v>
      </c>
      <c r="AG480" s="3" t="str">
        <f>IF(COUNTIF(A:A,Table1[[#This Row],[Opp Team Name]]) &gt; 0, "N", "Y")</f>
        <v>N</v>
      </c>
      <c r="AH480" s="3" t="str">
        <f>IF(Table1[[#This Row],[Passing Attempts]] &lt;15, "Y", "N")</f>
        <v>N</v>
      </c>
      <c r="AI480" s="3" t="str">
        <f>IF(Table1[[#This Row],[Rushing Attempts]] &lt; 15, "Y", "N")</f>
        <v>N</v>
      </c>
      <c r="AJ480" s="3" t="str">
        <f>IF(Table1[[#This Row],[Opp Passing Attempts]]&lt;15, "Y", "N")</f>
        <v>N</v>
      </c>
      <c r="AK480" s="3" t="str">
        <f>IF(Table1[[#This Row],[Opp Rushing Attempts]]&lt;15, "Y", "N")</f>
        <v>N</v>
      </c>
      <c r="AL4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99.87</v>
      </c>
      <c r="AM4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95.4</v>
      </c>
      <c r="AN4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67.58</v>
      </c>
      <c r="AO4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152.91999999999999</v>
      </c>
      <c r="AP480" s="3">
        <f>ABS(Table1[[#This Row],[Team Score]]-Table1[[#This Row],[Opp Team Score]])</f>
        <v>21</v>
      </c>
      <c r="AQ480" s="3">
        <f>SUM(Table1[[#This Row],[Team Score]], Table1[[#This Row],[Opp Team Score]])</f>
        <v>97</v>
      </c>
      <c r="AR4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9.4699999999999989</v>
      </c>
      <c r="AS480" s="3">
        <f>IF(Table1[[#This Row],[Efficiency Difference]] = " ", " ", ROUND((Table1[[#This Row],[Winning Margin]]*100)/Table1[[#This Row],[Efficiency Difference]], 2))</f>
        <v>221.75</v>
      </c>
    </row>
    <row r="481" spans="1:45">
      <c r="A481" t="s">
        <v>112</v>
      </c>
      <c r="B481">
        <v>490</v>
      </c>
      <c r="C481">
        <v>43</v>
      </c>
      <c r="D481">
        <v>156</v>
      </c>
      <c r="E481">
        <v>31</v>
      </c>
      <c r="F481">
        <v>1</v>
      </c>
      <c r="G481">
        <v>18</v>
      </c>
      <c r="H481">
        <v>0</v>
      </c>
      <c r="I481">
        <v>162</v>
      </c>
      <c r="J481">
        <v>35</v>
      </c>
      <c r="K481">
        <v>3</v>
      </c>
      <c r="L481">
        <v>2</v>
      </c>
      <c r="M481" t="s">
        <v>113</v>
      </c>
      <c r="N481">
        <v>355</v>
      </c>
      <c r="O481">
        <v>21</v>
      </c>
      <c r="P481">
        <v>295</v>
      </c>
      <c r="Q481">
        <v>42</v>
      </c>
      <c r="R481">
        <v>1</v>
      </c>
      <c r="S481">
        <v>24</v>
      </c>
      <c r="T481">
        <v>4</v>
      </c>
      <c r="U481">
        <v>111</v>
      </c>
      <c r="V481">
        <v>32</v>
      </c>
      <c r="W481">
        <v>0</v>
      </c>
      <c r="X481">
        <v>3</v>
      </c>
      <c r="Y481" t="s">
        <v>16</v>
      </c>
      <c r="Z481">
        <v>1</v>
      </c>
      <c r="AA481" t="str">
        <f>IF(AND(Table1[[#This Row],[Throw Out Pass Eff]]="N", Table1[[#This Row],[Against FCS Team]]="N"), ROUND(((5.45 * D481) + (150 * F481) + (100 * G481) - (300 * H481)) / E481, 2), " ")</f>
        <v xml:space="preserve"> </v>
      </c>
      <c r="AB481" t="str">
        <f>IF(AND(Table1[[#This Row],[Throw Out Pass Def Eff]]="N", Table1[[#This Row],[Against FCS Team]]="N"),200 - ROUND(((5.45 * P481) + (150 * R481) + (100 * S481) - (300 * T481)) / Q481, 2), " ")</f>
        <v xml:space="preserve"> </v>
      </c>
      <c r="AC481" t="str">
        <f>IF(AND(Table1[[#This Row],[Throw Out Rush Eff]]="N", Table1[[#This Row],[Against FCS Team]]="N"), ROUND(((23.2 * I481) + (150 * K481) - (300 * L481)) / J481, 2), " ")</f>
        <v xml:space="preserve"> </v>
      </c>
      <c r="AD481" s="3" t="str">
        <f>IF(AND(Table1[[#This Row],[Throw Out Rush Def Eff]]="N", Table1[[#This Row],[Against FCS Team]]="N"), 200 - ROUND(((23.2 * U481) + (150 * W481) - (300 * X481)) / V481, 2), " ")</f>
        <v xml:space="preserve"> </v>
      </c>
      <c r="AE481" s="3">
        <f>ROUND(Table1[[#This Row],[Opp Passing Attempts]]/(Table1[[#This Row],[Opp Passing Attempts]]+Table1[[#This Row],[Opp Rushing Attempts]]), 2)</f>
        <v>0.56999999999999995</v>
      </c>
      <c r="AF481" s="3">
        <f>1-Table1[[#This Row],[Passing Weight]]</f>
        <v>0.43000000000000005</v>
      </c>
      <c r="AG481" s="3" t="str">
        <f>IF(COUNTIF(A:A,Table1[[#This Row],[Opp Team Name]]) &gt; 0, "N", "Y")</f>
        <v>Y</v>
      </c>
      <c r="AH481" s="3" t="str">
        <f>IF(Table1[[#This Row],[Passing Attempts]] &lt;15, "Y", "N")</f>
        <v>N</v>
      </c>
      <c r="AI481" s="3" t="str">
        <f>IF(Table1[[#This Row],[Rushing Attempts]] &lt; 15, "Y", "N")</f>
        <v>N</v>
      </c>
      <c r="AJ481" s="3" t="str">
        <f>IF(Table1[[#This Row],[Opp Passing Attempts]]&lt;15, "Y", "N")</f>
        <v>N</v>
      </c>
      <c r="AK481" s="3" t="str">
        <f>IF(Table1[[#This Row],[Opp Rushing Attempts]]&lt;15, "Y", "N")</f>
        <v>N</v>
      </c>
      <c r="AL48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8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8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8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81" s="3">
        <f>ABS(Table1[[#This Row],[Team Score]]-Table1[[#This Row],[Opp Team Score]])</f>
        <v>22</v>
      </c>
      <c r="AQ481" s="3">
        <f>SUM(Table1[[#This Row],[Team Score]], Table1[[#This Row],[Opp Team Score]])</f>
        <v>64</v>
      </c>
      <c r="AR48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81" s="3" t="str">
        <f>IF(Table1[[#This Row],[Efficiency Difference]] = " ", " ", ROUND((Table1[[#This Row],[Winning Margin]]*100)/Table1[[#This Row],[Efficiency Difference]], 2))</f>
        <v xml:space="preserve"> </v>
      </c>
    </row>
    <row r="482" spans="1:45">
      <c r="A482" t="s">
        <v>112</v>
      </c>
      <c r="B482">
        <v>490</v>
      </c>
      <c r="C482">
        <v>35</v>
      </c>
      <c r="D482">
        <v>297</v>
      </c>
      <c r="E482">
        <v>22</v>
      </c>
      <c r="F482">
        <v>4</v>
      </c>
      <c r="G482">
        <v>19</v>
      </c>
      <c r="H482">
        <v>0</v>
      </c>
      <c r="I482">
        <v>95</v>
      </c>
      <c r="J482">
        <v>37</v>
      </c>
      <c r="K482">
        <v>1</v>
      </c>
      <c r="L482">
        <v>3</v>
      </c>
      <c r="M482" t="s">
        <v>197</v>
      </c>
      <c r="N482">
        <v>646</v>
      </c>
      <c r="O482">
        <v>13</v>
      </c>
      <c r="P482">
        <v>182</v>
      </c>
      <c r="Q482">
        <v>32</v>
      </c>
      <c r="R482">
        <v>0</v>
      </c>
      <c r="S482">
        <v>17</v>
      </c>
      <c r="T482">
        <v>2</v>
      </c>
      <c r="U482">
        <v>104</v>
      </c>
      <c r="V482">
        <v>33</v>
      </c>
      <c r="W482">
        <v>1</v>
      </c>
      <c r="X482">
        <v>1</v>
      </c>
      <c r="Y482" t="s">
        <v>16</v>
      </c>
      <c r="Z482">
        <v>3</v>
      </c>
      <c r="AA482" t="str">
        <f>IF(AND(Table1[[#This Row],[Throw Out Pass Eff]]="N", Table1[[#This Row],[Against FCS Team]]="N"), ROUND(((5.45 * D482) + (150 * F482) + (100 * G482) - (300 * H482)) / E482, 2), " ")</f>
        <v xml:space="preserve"> </v>
      </c>
      <c r="AB482" t="str">
        <f>IF(AND(Table1[[#This Row],[Throw Out Pass Def Eff]]="N", Table1[[#This Row],[Against FCS Team]]="N"),200 - ROUND(((5.45 * P482) + (150 * R482) + (100 * S482) - (300 * T482)) / Q482, 2), " ")</f>
        <v xml:space="preserve"> </v>
      </c>
      <c r="AC482" t="str">
        <f>IF(AND(Table1[[#This Row],[Throw Out Rush Eff]]="N", Table1[[#This Row],[Against FCS Team]]="N"), ROUND(((23.2 * I482) + (150 * K482) - (300 * L482)) / J482, 2), " ")</f>
        <v xml:space="preserve"> </v>
      </c>
      <c r="AD482" s="3" t="str">
        <f>IF(AND(Table1[[#This Row],[Throw Out Rush Def Eff]]="N", Table1[[#This Row],[Against FCS Team]]="N"), 200 - ROUND(((23.2 * U482) + (150 * W482) - (300 * X482)) / V482, 2), " ")</f>
        <v xml:space="preserve"> </v>
      </c>
      <c r="AE482" s="3">
        <f>ROUND(Table1[[#This Row],[Opp Passing Attempts]]/(Table1[[#This Row],[Opp Passing Attempts]]+Table1[[#This Row],[Opp Rushing Attempts]]), 2)</f>
        <v>0.49</v>
      </c>
      <c r="AF482" s="3">
        <f>1-Table1[[#This Row],[Passing Weight]]</f>
        <v>0.51</v>
      </c>
      <c r="AG482" s="3" t="str">
        <f>IF(COUNTIF(A:A,Table1[[#This Row],[Opp Team Name]]) &gt; 0, "N", "Y")</f>
        <v>Y</v>
      </c>
      <c r="AH482" s="3" t="str">
        <f>IF(Table1[[#This Row],[Passing Attempts]] &lt;15, "Y", "N")</f>
        <v>N</v>
      </c>
      <c r="AI482" s="3" t="str">
        <f>IF(Table1[[#This Row],[Rushing Attempts]] &lt; 15, "Y", "N")</f>
        <v>N</v>
      </c>
      <c r="AJ482" s="3" t="str">
        <f>IF(Table1[[#This Row],[Opp Passing Attempts]]&lt;15, "Y", "N")</f>
        <v>N</v>
      </c>
      <c r="AK482" s="3" t="str">
        <f>IF(Table1[[#This Row],[Opp Rushing Attempts]]&lt;15, "Y", "N")</f>
        <v>N</v>
      </c>
      <c r="AL48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8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8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82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82" s="3">
        <f>ABS(Table1[[#This Row],[Team Score]]-Table1[[#This Row],[Opp Team Score]])</f>
        <v>22</v>
      </c>
      <c r="AQ482" s="3">
        <f>SUM(Table1[[#This Row],[Team Score]], Table1[[#This Row],[Opp Team Score]])</f>
        <v>48</v>
      </c>
      <c r="AR48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82" s="3" t="str">
        <f>IF(Table1[[#This Row],[Efficiency Difference]] = " ", " ", ROUND((Table1[[#This Row],[Winning Margin]]*100)/Table1[[#This Row],[Efficiency Difference]], 2))</f>
        <v xml:space="preserve"> </v>
      </c>
    </row>
    <row r="483" spans="1:45">
      <c r="A483" t="s">
        <v>112</v>
      </c>
      <c r="B483">
        <v>490</v>
      </c>
      <c r="C483">
        <v>27</v>
      </c>
      <c r="D483">
        <v>315</v>
      </c>
      <c r="E483">
        <v>41</v>
      </c>
      <c r="F483">
        <v>3</v>
      </c>
      <c r="G483">
        <v>24</v>
      </c>
      <c r="H483">
        <v>1</v>
      </c>
      <c r="I483">
        <v>109</v>
      </c>
      <c r="J483">
        <v>26</v>
      </c>
      <c r="K483">
        <v>0</v>
      </c>
      <c r="L483">
        <v>0</v>
      </c>
      <c r="M483" t="s">
        <v>131</v>
      </c>
      <c r="N483">
        <v>749</v>
      </c>
      <c r="O483">
        <v>34</v>
      </c>
      <c r="P483">
        <v>337</v>
      </c>
      <c r="Q483">
        <v>36</v>
      </c>
      <c r="R483">
        <v>2</v>
      </c>
      <c r="S483">
        <v>23</v>
      </c>
      <c r="T483">
        <v>1</v>
      </c>
      <c r="U483">
        <v>101</v>
      </c>
      <c r="V483">
        <v>34</v>
      </c>
      <c r="W483">
        <v>2</v>
      </c>
      <c r="X483">
        <v>0</v>
      </c>
      <c r="Y483" t="s">
        <v>19</v>
      </c>
      <c r="Z483">
        <v>2</v>
      </c>
      <c r="AA483">
        <f>IF(AND(Table1[[#This Row],[Throw Out Pass Eff]]="N", Table1[[#This Row],[Against FCS Team]]="N"), ROUND(((5.45 * D483) + (150 * F483) + (100 * G483) - (300 * H483)) / E483, 2), " ")</f>
        <v>104.07</v>
      </c>
      <c r="AB483">
        <f>IF(AND(Table1[[#This Row],[Throw Out Pass Def Eff]]="N", Table1[[#This Row],[Against FCS Team]]="N"),200 - ROUND(((5.45 * P483) + (150 * R483) + (100 * S483) - (300 * T483)) / Q483, 2), " ")</f>
        <v>85.09</v>
      </c>
      <c r="AC483">
        <f>IF(AND(Table1[[#This Row],[Throw Out Rush Eff]]="N", Table1[[#This Row],[Against FCS Team]]="N"), ROUND(((23.2 * I483) + (150 * K483) - (300 * L483)) / J483, 2), " ")</f>
        <v>97.26</v>
      </c>
      <c r="AD483" s="3">
        <f>IF(AND(Table1[[#This Row],[Throw Out Rush Def Eff]]="N", Table1[[#This Row],[Against FCS Team]]="N"), 200 - ROUND(((23.2 * U483) + (150 * W483) - (300 * X483)) / V483, 2), " ")</f>
        <v>122.26</v>
      </c>
      <c r="AE483" s="3">
        <f>ROUND(Table1[[#This Row],[Opp Passing Attempts]]/(Table1[[#This Row],[Opp Passing Attempts]]+Table1[[#This Row],[Opp Rushing Attempts]]), 2)</f>
        <v>0.51</v>
      </c>
      <c r="AF483" s="3">
        <f>1-Table1[[#This Row],[Passing Weight]]</f>
        <v>0.49</v>
      </c>
      <c r="AG483" s="3" t="str">
        <f>IF(COUNTIF(A:A,Table1[[#This Row],[Opp Team Name]]) &gt; 0, "N", "Y")</f>
        <v>N</v>
      </c>
      <c r="AH483" s="3" t="str">
        <f>IF(Table1[[#This Row],[Passing Attempts]] &lt;15, "Y", "N")</f>
        <v>N</v>
      </c>
      <c r="AI483" s="3" t="str">
        <f>IF(Table1[[#This Row],[Rushing Attempts]] &lt; 15, "Y", "N")</f>
        <v>N</v>
      </c>
      <c r="AJ483" s="3" t="str">
        <f>IF(Table1[[#This Row],[Opp Passing Attempts]]&lt;15, "Y", "N")</f>
        <v>N</v>
      </c>
      <c r="AK483" s="3" t="str">
        <f>IF(Table1[[#This Row],[Opp Rushing Attempts]]&lt;15, "Y", "N")</f>
        <v>N</v>
      </c>
      <c r="AL48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111.71</v>
      </c>
      <c r="AM48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94.44</v>
      </c>
      <c r="AN48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99.6</v>
      </c>
      <c r="AO48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83.85</v>
      </c>
      <c r="AP483" s="3">
        <f>ABS(Table1[[#This Row],[Team Score]]-Table1[[#This Row],[Opp Team Score]])</f>
        <v>7</v>
      </c>
      <c r="AQ483" s="3">
        <f>SUM(Table1[[#This Row],[Team Score]], Table1[[#This Row],[Opp Team Score]])</f>
        <v>61</v>
      </c>
      <c r="AR48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8.6800000000000068</v>
      </c>
      <c r="AS483" s="3">
        <f>IF(Table1[[#This Row],[Efficiency Difference]] = " ", " ", ROUND((Table1[[#This Row],[Winning Margin]]*100)/Table1[[#This Row],[Efficiency Difference]], 2))</f>
        <v>80.650000000000006</v>
      </c>
    </row>
    <row r="484" spans="1:45">
      <c r="A484" t="s">
        <v>112</v>
      </c>
      <c r="B484">
        <v>490</v>
      </c>
      <c r="C484">
        <v>14</v>
      </c>
      <c r="D484">
        <v>348</v>
      </c>
      <c r="E484">
        <v>40</v>
      </c>
      <c r="F484">
        <v>2</v>
      </c>
      <c r="G484">
        <v>28</v>
      </c>
      <c r="H484">
        <v>2</v>
      </c>
      <c r="I484">
        <v>-26</v>
      </c>
      <c r="J484">
        <v>22</v>
      </c>
      <c r="K484">
        <v>0</v>
      </c>
      <c r="L484">
        <v>1</v>
      </c>
      <c r="M484" t="s">
        <v>52</v>
      </c>
      <c r="N484">
        <v>140</v>
      </c>
      <c r="O484">
        <v>44</v>
      </c>
      <c r="P484">
        <v>263</v>
      </c>
      <c r="Q484">
        <v>34</v>
      </c>
      <c r="R484">
        <v>2</v>
      </c>
      <c r="S484">
        <v>25</v>
      </c>
      <c r="T484">
        <v>1</v>
      </c>
      <c r="U484">
        <v>240</v>
      </c>
      <c r="V484">
        <v>46</v>
      </c>
      <c r="W484">
        <v>3</v>
      </c>
      <c r="X484">
        <v>0</v>
      </c>
      <c r="Y484" t="s">
        <v>19</v>
      </c>
      <c r="Z484">
        <v>4</v>
      </c>
      <c r="AA484">
        <f>IF(AND(Table1[[#This Row],[Throw Out Pass Eff]]="N", Table1[[#This Row],[Against FCS Team]]="N"), ROUND(((5.45 * D484) + (150 * F484) + (100 * G484) - (300 * H484)) / E484, 2), " ")</f>
        <v>109.92</v>
      </c>
      <c r="AB484">
        <f>IF(AND(Table1[[#This Row],[Throw Out Pass Def Eff]]="N", Table1[[#This Row],[Against FCS Team]]="N"),200 - ROUND(((5.45 * P484) + (150 * R484) + (100 * S484) - (300 * T484)) / Q484, 2), " ")</f>
        <v>84.31</v>
      </c>
      <c r="AC484">
        <f>IF(AND(Table1[[#This Row],[Throw Out Rush Eff]]="N", Table1[[#This Row],[Against FCS Team]]="N"), ROUND(((23.2 * I484) + (150 * K484) - (300 * L484)) / J484, 2), " ")</f>
        <v>-41.05</v>
      </c>
      <c r="AD484" s="3">
        <f>IF(AND(Table1[[#This Row],[Throw Out Rush Def Eff]]="N", Table1[[#This Row],[Against FCS Team]]="N"), 200 - ROUND(((23.2 * U484) + (150 * W484) - (300 * X484)) / V484, 2), " ")</f>
        <v>69.169999999999987</v>
      </c>
      <c r="AE484" s="3">
        <f>ROUND(Table1[[#This Row],[Opp Passing Attempts]]/(Table1[[#This Row],[Opp Passing Attempts]]+Table1[[#This Row],[Opp Rushing Attempts]]), 2)</f>
        <v>0.43</v>
      </c>
      <c r="AF484" s="3">
        <f>1-Table1[[#This Row],[Passing Weight]]</f>
        <v>0.57000000000000006</v>
      </c>
      <c r="AG484" s="3" t="str">
        <f>IF(COUNTIF(A:A,Table1[[#This Row],[Opp Team Name]]) &gt; 0, "N", "Y")</f>
        <v>N</v>
      </c>
      <c r="AH484" s="3" t="str">
        <f>IF(Table1[[#This Row],[Passing Attempts]] &lt;15, "Y", "N")</f>
        <v>N</v>
      </c>
      <c r="AI484" s="3" t="str">
        <f>IF(Table1[[#This Row],[Rushing Attempts]] &lt; 15, "Y", "N")</f>
        <v>N</v>
      </c>
      <c r="AJ484" s="3" t="str">
        <f>IF(Table1[[#This Row],[Opp Passing Attempts]]&lt;15, "Y", "N")</f>
        <v>N</v>
      </c>
      <c r="AK484" s="3" t="str">
        <f>IF(Table1[[#This Row],[Opp Rushing Attempts]]&lt;15, "Y", "N")</f>
        <v>N</v>
      </c>
      <c r="AL48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108.41</v>
      </c>
      <c r="AM48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88.4</v>
      </c>
      <c r="AN48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-69.900000000000006</v>
      </c>
      <c r="AO48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75.77</v>
      </c>
      <c r="AP484" s="3">
        <f>ABS(Table1[[#This Row],[Team Score]]-Table1[[#This Row],[Opp Team Score]])</f>
        <v>30</v>
      </c>
      <c r="AQ484" s="3">
        <f>SUM(Table1[[#This Row],[Team Score]], Table1[[#This Row],[Opp Team Score]])</f>
        <v>58</v>
      </c>
      <c r="AR48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177.65</v>
      </c>
      <c r="AS484" s="3">
        <f>IF(Table1[[#This Row],[Efficiency Difference]] = " ", " ", ROUND((Table1[[#This Row],[Winning Margin]]*100)/Table1[[#This Row],[Efficiency Difference]], 2))</f>
        <v>16.89</v>
      </c>
    </row>
    <row r="485" spans="1:45">
      <c r="A485" t="s">
        <v>112</v>
      </c>
      <c r="B485">
        <v>490</v>
      </c>
      <c r="C485">
        <v>35</v>
      </c>
      <c r="D485">
        <v>192</v>
      </c>
      <c r="E485">
        <v>36</v>
      </c>
      <c r="F485">
        <v>3</v>
      </c>
      <c r="G485">
        <v>23</v>
      </c>
      <c r="H485">
        <v>1</v>
      </c>
      <c r="I485">
        <v>195</v>
      </c>
      <c r="J485">
        <v>38</v>
      </c>
      <c r="K485">
        <v>1</v>
      </c>
      <c r="L485">
        <v>0</v>
      </c>
      <c r="M485" t="s">
        <v>72</v>
      </c>
      <c r="N485">
        <v>255</v>
      </c>
      <c r="O485">
        <v>45</v>
      </c>
      <c r="P485">
        <v>117</v>
      </c>
      <c r="Q485">
        <v>12</v>
      </c>
      <c r="R485">
        <v>2</v>
      </c>
      <c r="S485">
        <v>4</v>
      </c>
      <c r="T485">
        <v>0</v>
      </c>
      <c r="U485">
        <v>296</v>
      </c>
      <c r="V485">
        <v>52</v>
      </c>
      <c r="W485">
        <v>3</v>
      </c>
      <c r="X485">
        <v>1</v>
      </c>
      <c r="Y485" t="s">
        <v>19</v>
      </c>
      <c r="Z485">
        <v>5</v>
      </c>
      <c r="AA485">
        <f>IF(AND(Table1[[#This Row],[Throw Out Pass Eff]]="N", Table1[[#This Row],[Against FCS Team]]="N"), ROUND(((5.45 * D485) + (150 * F485) + (100 * G485) - (300 * H485)) / E485, 2), " ")</f>
        <v>97.12</v>
      </c>
      <c r="AB485" t="str">
        <f>IF(AND(Table1[[#This Row],[Throw Out Pass Def Eff]]="N", Table1[[#This Row],[Against FCS Team]]="N"),200 - ROUND(((5.45 * P485) + (150 * R485) + (100 * S485) - (300 * T485)) / Q485, 2), " ")</f>
        <v xml:space="preserve"> </v>
      </c>
      <c r="AC485">
        <f>IF(AND(Table1[[#This Row],[Throw Out Rush Eff]]="N", Table1[[#This Row],[Against FCS Team]]="N"), ROUND(((23.2 * I485) + (150 * K485) - (300 * L485)) / J485, 2), " ")</f>
        <v>123</v>
      </c>
      <c r="AD485" s="3">
        <f>IF(AND(Table1[[#This Row],[Throw Out Rush Def Eff]]="N", Table1[[#This Row],[Against FCS Team]]="N"), 200 - ROUND(((23.2 * U485) + (150 * W485) - (300 * X485)) / V485, 2), " ")</f>
        <v>65.050000000000011</v>
      </c>
      <c r="AE485" s="3">
        <f>ROUND(Table1[[#This Row],[Opp Passing Attempts]]/(Table1[[#This Row],[Opp Passing Attempts]]+Table1[[#This Row],[Opp Rushing Attempts]]), 2)</f>
        <v>0.19</v>
      </c>
      <c r="AF485" s="3">
        <f>1-Table1[[#This Row],[Passing Weight]]</f>
        <v>0.81</v>
      </c>
      <c r="AG485" s="3" t="str">
        <f>IF(COUNTIF(A:A,Table1[[#This Row],[Opp Team Name]]) &gt; 0, "N", "Y")</f>
        <v>N</v>
      </c>
      <c r="AH485" s="3" t="str">
        <f>IF(Table1[[#This Row],[Passing Attempts]] &lt;15, "Y", "N")</f>
        <v>N</v>
      </c>
      <c r="AI485" s="3" t="str">
        <f>IF(Table1[[#This Row],[Rushing Attempts]] &lt; 15, "Y", "N")</f>
        <v>N</v>
      </c>
      <c r="AJ485" s="3" t="str">
        <f>IF(Table1[[#This Row],[Opp Passing Attempts]]&lt;15, "Y", "N")</f>
        <v>Y</v>
      </c>
      <c r="AK485" s="3" t="str">
        <f>IF(Table1[[#This Row],[Opp Rushing Attempts]]&lt;15, "Y", "N")</f>
        <v>N</v>
      </c>
      <c r="AL48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117.76</v>
      </c>
      <c r="AM48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8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104.07</v>
      </c>
      <c r="AO48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92.9</v>
      </c>
      <c r="AP485" s="3">
        <f>ABS(Table1[[#This Row],[Team Score]]-Table1[[#This Row],[Opp Team Score]])</f>
        <v>10</v>
      </c>
      <c r="AQ485" s="3">
        <f>SUM(Table1[[#This Row],[Team Score]], Table1[[#This Row],[Opp Team Score]])</f>
        <v>80</v>
      </c>
      <c r="AR48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85" s="3" t="str">
        <f>IF(Table1[[#This Row],[Efficiency Difference]] = " ", " ", ROUND((Table1[[#This Row],[Winning Margin]]*100)/Table1[[#This Row],[Efficiency Difference]], 2))</f>
        <v xml:space="preserve"> </v>
      </c>
    </row>
    <row r="486" spans="1:45">
      <c r="A486" t="s">
        <v>112</v>
      </c>
      <c r="B486">
        <v>490</v>
      </c>
      <c r="C486">
        <v>38</v>
      </c>
      <c r="D486">
        <v>244</v>
      </c>
      <c r="E486">
        <v>36</v>
      </c>
      <c r="F486">
        <v>4</v>
      </c>
      <c r="G486">
        <v>20</v>
      </c>
      <c r="H486">
        <v>0</v>
      </c>
      <c r="I486">
        <v>162</v>
      </c>
      <c r="J486">
        <v>45</v>
      </c>
      <c r="K486">
        <v>1</v>
      </c>
      <c r="L486">
        <v>1</v>
      </c>
      <c r="M486" t="s">
        <v>50</v>
      </c>
      <c r="N486">
        <v>129</v>
      </c>
      <c r="O486">
        <v>24</v>
      </c>
      <c r="P486">
        <v>245</v>
      </c>
      <c r="Q486">
        <v>32</v>
      </c>
      <c r="R486">
        <v>2</v>
      </c>
      <c r="S486">
        <v>19</v>
      </c>
      <c r="T486">
        <v>4</v>
      </c>
      <c r="U486">
        <v>182</v>
      </c>
      <c r="V486">
        <v>25</v>
      </c>
      <c r="W486">
        <v>1</v>
      </c>
      <c r="X486">
        <v>1</v>
      </c>
      <c r="Y486" t="s">
        <v>16</v>
      </c>
      <c r="Z486">
        <v>6</v>
      </c>
      <c r="AA486">
        <f>IF(AND(Table1[[#This Row],[Throw Out Pass Eff]]="N", Table1[[#This Row],[Against FCS Team]]="N"), ROUND(((5.45 * D486) + (150 * F486) + (100 * G486) - (300 * H486)) / E486, 2), " ")</f>
        <v>109.16</v>
      </c>
      <c r="AB486">
        <f>IF(AND(Table1[[#This Row],[Throw Out Pass Def Eff]]="N", Table1[[#This Row],[Against FCS Team]]="N"),200 - ROUND(((5.45 * P486) + (150 * R486) + (100 * S486) - (300 * T486)) / Q486, 2), " ")</f>
        <v>127.02</v>
      </c>
      <c r="AC486">
        <f>IF(AND(Table1[[#This Row],[Throw Out Rush Eff]]="N", Table1[[#This Row],[Against FCS Team]]="N"), ROUND(((23.2 * I486) + (150 * K486) - (300 * L486)) / J486, 2), " ")</f>
        <v>80.19</v>
      </c>
      <c r="AD486" s="3">
        <f>IF(AND(Table1[[#This Row],[Throw Out Rush Def Eff]]="N", Table1[[#This Row],[Against FCS Team]]="N"), 200 - ROUND(((23.2 * U486) + (150 * W486) - (300 * X486)) / V486, 2), " ")</f>
        <v>37.099999999999994</v>
      </c>
      <c r="AE486" s="3">
        <f>ROUND(Table1[[#This Row],[Opp Passing Attempts]]/(Table1[[#This Row],[Opp Passing Attempts]]+Table1[[#This Row],[Opp Rushing Attempts]]), 2)</f>
        <v>0.56000000000000005</v>
      </c>
      <c r="AF486" s="3">
        <f>1-Table1[[#This Row],[Passing Weight]]</f>
        <v>0.43999999999999995</v>
      </c>
      <c r="AG486" s="3" t="str">
        <f>IF(COUNTIF(A:A,Table1[[#This Row],[Opp Team Name]]) &gt; 0, "N", "Y")</f>
        <v>N</v>
      </c>
      <c r="AH486" s="3" t="str">
        <f>IF(Table1[[#This Row],[Passing Attempts]] &lt;15, "Y", "N")</f>
        <v>N</v>
      </c>
      <c r="AI486" s="3" t="str">
        <f>IF(Table1[[#This Row],[Rushing Attempts]] &lt; 15, "Y", "N")</f>
        <v>N</v>
      </c>
      <c r="AJ486" s="3" t="str">
        <f>IF(Table1[[#This Row],[Opp Passing Attempts]]&lt;15, "Y", "N")</f>
        <v>N</v>
      </c>
      <c r="AK486" s="3" t="str">
        <f>IF(Table1[[#This Row],[Opp Rushing Attempts]]&lt;15, "Y", "N")</f>
        <v>N</v>
      </c>
      <c r="AL48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101.82</v>
      </c>
      <c r="AM48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117.45</v>
      </c>
      <c r="AN48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69.52</v>
      </c>
      <c r="AO48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34.43</v>
      </c>
      <c r="AP486" s="3">
        <f>ABS(Table1[[#This Row],[Team Score]]-Table1[[#This Row],[Opp Team Score]])</f>
        <v>14</v>
      </c>
      <c r="AQ486" s="3">
        <f>SUM(Table1[[#This Row],[Team Score]], Table1[[#This Row],[Opp Team Score]])</f>
        <v>62</v>
      </c>
      <c r="AR48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46.53</v>
      </c>
      <c r="AS486" s="3">
        <f>IF(Table1[[#This Row],[Efficiency Difference]] = " ", " ", ROUND((Table1[[#This Row],[Winning Margin]]*100)/Table1[[#This Row],[Efficiency Difference]], 2))</f>
        <v>30.09</v>
      </c>
    </row>
    <row r="487" spans="1:45">
      <c r="A487" t="s">
        <v>112</v>
      </c>
      <c r="B487">
        <v>490</v>
      </c>
      <c r="C487">
        <v>28</v>
      </c>
      <c r="D487">
        <v>231</v>
      </c>
      <c r="E487">
        <v>36</v>
      </c>
      <c r="F487">
        <v>3</v>
      </c>
      <c r="G487">
        <v>20</v>
      </c>
      <c r="H487">
        <v>2</v>
      </c>
      <c r="I487">
        <v>114</v>
      </c>
      <c r="J487">
        <v>38</v>
      </c>
      <c r="K487">
        <v>0</v>
      </c>
      <c r="L487">
        <v>0</v>
      </c>
      <c r="M487" t="s">
        <v>154</v>
      </c>
      <c r="N487">
        <v>746</v>
      </c>
      <c r="O487">
        <v>14</v>
      </c>
      <c r="P487">
        <v>125</v>
      </c>
      <c r="Q487">
        <v>35</v>
      </c>
      <c r="R487">
        <v>2</v>
      </c>
      <c r="S487">
        <v>11</v>
      </c>
      <c r="T487">
        <v>3</v>
      </c>
      <c r="U487">
        <v>124</v>
      </c>
      <c r="V487">
        <v>33</v>
      </c>
      <c r="W487">
        <v>0</v>
      </c>
      <c r="X487">
        <v>1</v>
      </c>
      <c r="Y487" t="s">
        <v>16</v>
      </c>
      <c r="Z487">
        <v>8</v>
      </c>
      <c r="AA487" s="3">
        <f>IF(AND(Table1[[#This Row],[Throw Out Pass Eff]]="N", Table1[[#This Row],[Against FCS Team]]="N"), ROUND(((5.45 * D487) + (150 * F487) + (100 * G487) - (300 * H487)) / E487, 2), " ")</f>
        <v>86.36</v>
      </c>
      <c r="AB487" s="3">
        <f>IF(AND(Table1[[#This Row],[Throw Out Pass Def Eff]]="N", Table1[[#This Row],[Against FCS Team]]="N"),200 - ROUND(((5.45 * P487) + (150 * R487) + (100 * S487) - (300 * T487)) / Q487, 2), " ")</f>
        <v>166.25</v>
      </c>
      <c r="AC487" s="3">
        <f>IF(AND(Table1[[#This Row],[Throw Out Rush Eff]]="N", Table1[[#This Row],[Against FCS Team]]="N"), ROUND(((23.2 * I487) + (150 * K487) - (300 * L487)) / J487, 2), " ")</f>
        <v>69.599999999999994</v>
      </c>
      <c r="AD487" s="3">
        <f>IF(AND(Table1[[#This Row],[Throw Out Rush Def Eff]]="N", Table1[[#This Row],[Against FCS Team]]="N"), 200 - ROUND(((23.2 * U487) + (150 * W487) - (300 * X487)) / V487, 2), " ")</f>
        <v>121.92</v>
      </c>
      <c r="AE487" s="3">
        <f>ROUND(Table1[[#This Row],[Opp Passing Attempts]]/(Table1[[#This Row],[Opp Passing Attempts]]+Table1[[#This Row],[Opp Rushing Attempts]]), 2)</f>
        <v>0.51</v>
      </c>
      <c r="AF487" s="3">
        <f>1-Table1[[#This Row],[Passing Weight]]</f>
        <v>0.49</v>
      </c>
      <c r="AG487" s="3" t="str">
        <f>IF(COUNTIF(A:A,Table1[[#This Row],[Opp Team Name]]) &gt; 0, "N", "Y")</f>
        <v>N</v>
      </c>
      <c r="AH487" s="3" t="str">
        <f>IF(Table1[[#This Row],[Passing Attempts]] &lt;15, "Y", "N")</f>
        <v>N</v>
      </c>
      <c r="AI487" s="3" t="str">
        <f>IF(Table1[[#This Row],[Rushing Attempts]] &lt; 15, "Y", "N")</f>
        <v>N</v>
      </c>
      <c r="AJ487" s="3" t="str">
        <f>IF(Table1[[#This Row],[Opp Passing Attempts]]&lt;15, "Y", "N")</f>
        <v>N</v>
      </c>
      <c r="AK487" s="3" t="str">
        <f>IF(Table1[[#This Row],[Opp Rushing Attempts]]&lt;15, "Y", "N")</f>
        <v>N</v>
      </c>
      <c r="AL48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93.27</v>
      </c>
      <c r="AM4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119.68</v>
      </c>
      <c r="AN4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80.58</v>
      </c>
      <c r="AO4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121.49</v>
      </c>
      <c r="AP487" s="3">
        <f>ABS(Table1[[#This Row],[Team Score]]-Table1[[#This Row],[Opp Team Score]])</f>
        <v>14</v>
      </c>
      <c r="AQ487" s="3">
        <f>SUM(Table1[[#This Row],[Team Score]], Table1[[#This Row],[Opp Team Score]])</f>
        <v>42</v>
      </c>
      <c r="AR48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44.129999999999995</v>
      </c>
      <c r="AS487" s="3">
        <f>IF(Table1[[#This Row],[Efficiency Difference]] = " ", " ", ROUND((Table1[[#This Row],[Winning Margin]]*100)/Table1[[#This Row],[Efficiency Difference]], 2))</f>
        <v>31.72</v>
      </c>
    </row>
    <row r="488" spans="1:45">
      <c r="A488" t="s">
        <v>67</v>
      </c>
      <c r="B488">
        <v>497</v>
      </c>
      <c r="C488">
        <v>16</v>
      </c>
      <c r="D488">
        <v>204</v>
      </c>
      <c r="E488">
        <v>35</v>
      </c>
      <c r="F488">
        <v>0</v>
      </c>
      <c r="G488">
        <v>19</v>
      </c>
      <c r="H488">
        <v>0</v>
      </c>
      <c r="I488">
        <v>97</v>
      </c>
      <c r="J488">
        <v>38</v>
      </c>
      <c r="K488">
        <v>0</v>
      </c>
      <c r="L488">
        <v>1</v>
      </c>
      <c r="M488" t="s">
        <v>66</v>
      </c>
      <c r="N488">
        <v>231</v>
      </c>
      <c r="O488">
        <v>41</v>
      </c>
      <c r="P488">
        <v>193</v>
      </c>
      <c r="Q488">
        <v>23</v>
      </c>
      <c r="R488">
        <v>1</v>
      </c>
      <c r="S488">
        <v>16</v>
      </c>
      <c r="T488">
        <v>0</v>
      </c>
      <c r="U488">
        <v>208</v>
      </c>
      <c r="V488">
        <v>40</v>
      </c>
      <c r="W488">
        <v>4</v>
      </c>
      <c r="X488">
        <v>2</v>
      </c>
      <c r="Y488" t="s">
        <v>19</v>
      </c>
      <c r="Z488">
        <v>1</v>
      </c>
      <c r="AA488">
        <f>IF(AND(Table1[[#This Row],[Throw Out Pass Eff]]="N", Table1[[#This Row],[Against FCS Team]]="N"), ROUND(((5.45 * D488) + (150 * F488) + (100 * G488) - (300 * H488)) / E488, 2), " ")</f>
        <v>86.05</v>
      </c>
      <c r="AB488">
        <f>IF(AND(Table1[[#This Row],[Throw Out Pass Def Eff]]="N", Table1[[#This Row],[Against FCS Team]]="N"),200 - ROUND(((5.45 * P488) + (150 * R488) + (100 * S488) - (300 * T488)) / Q488, 2), " ")</f>
        <v>78.180000000000007</v>
      </c>
      <c r="AC488">
        <f>IF(AND(Table1[[#This Row],[Throw Out Rush Eff]]="N", Table1[[#This Row],[Against FCS Team]]="N"), ROUND(((23.2 * I488) + (150 * K488) - (300 * L488)) / J488, 2), " ")</f>
        <v>51.33</v>
      </c>
      <c r="AD488" s="3">
        <f>IF(AND(Table1[[#This Row],[Throw Out Rush Def Eff]]="N", Table1[[#This Row],[Against FCS Team]]="N"), 200 - ROUND(((23.2 * U488) + (150 * W488) - (300 * X488)) / V488, 2), " ")</f>
        <v>79.36</v>
      </c>
      <c r="AE488" s="3">
        <f>ROUND(Table1[[#This Row],[Opp Passing Attempts]]/(Table1[[#This Row],[Opp Passing Attempts]]+Table1[[#This Row],[Opp Rushing Attempts]]), 2)</f>
        <v>0.37</v>
      </c>
      <c r="AF488" s="3">
        <f>1-Table1[[#This Row],[Passing Weight]]</f>
        <v>0.63</v>
      </c>
      <c r="AG488" s="3" t="str">
        <f>IF(COUNTIF(A:A,Table1[[#This Row],[Opp Team Name]]) &gt; 0, "N", "Y")</f>
        <v>N</v>
      </c>
      <c r="AH488" s="3" t="str">
        <f>IF(Table1[[#This Row],[Passing Attempts]] &lt;15, "Y", "N")</f>
        <v>N</v>
      </c>
      <c r="AI488" s="3" t="str">
        <f>IF(Table1[[#This Row],[Rushing Attempts]] &lt; 15, "Y", "N")</f>
        <v>N</v>
      </c>
      <c r="AJ488" s="3" t="str">
        <f>IF(Table1[[#This Row],[Opp Passing Attempts]]&lt;15, "Y", "N")</f>
        <v>N</v>
      </c>
      <c r="AK488" s="3" t="str">
        <f>IF(Table1[[#This Row],[Opp Rushing Attempts]]&lt;15, "Y", "N")</f>
        <v>N</v>
      </c>
      <c r="AL48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88.54</v>
      </c>
      <c r="AM48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84.39</v>
      </c>
      <c r="AN48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61.5</v>
      </c>
      <c r="AO48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68.86</v>
      </c>
      <c r="AP488" s="3">
        <f>ABS(Table1[[#This Row],[Team Score]]-Table1[[#This Row],[Opp Team Score]])</f>
        <v>25</v>
      </c>
      <c r="AQ488" s="3">
        <f>SUM(Table1[[#This Row],[Team Score]], Table1[[#This Row],[Opp Team Score]])</f>
        <v>57</v>
      </c>
      <c r="AR48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105.07999999999998</v>
      </c>
      <c r="AS488" s="3">
        <f>IF(Table1[[#This Row],[Efficiency Difference]] = " ", " ", ROUND((Table1[[#This Row],[Winning Margin]]*100)/Table1[[#This Row],[Efficiency Difference]], 2))</f>
        <v>23.79</v>
      </c>
    </row>
    <row r="489" spans="1:45">
      <c r="A489" t="s">
        <v>67</v>
      </c>
      <c r="B489">
        <v>497</v>
      </c>
      <c r="C489">
        <v>23</v>
      </c>
      <c r="D489">
        <v>172</v>
      </c>
      <c r="E489">
        <v>34</v>
      </c>
      <c r="F489">
        <v>1</v>
      </c>
      <c r="G489">
        <v>21</v>
      </c>
      <c r="H489">
        <v>1</v>
      </c>
      <c r="I489">
        <v>118</v>
      </c>
      <c r="J489">
        <v>34</v>
      </c>
      <c r="K489">
        <v>2</v>
      </c>
      <c r="L489">
        <v>2</v>
      </c>
      <c r="M489" t="s">
        <v>74</v>
      </c>
      <c r="N489">
        <v>288</v>
      </c>
      <c r="O489">
        <v>48</v>
      </c>
      <c r="P489">
        <v>563</v>
      </c>
      <c r="Q489">
        <v>59</v>
      </c>
      <c r="R489">
        <v>5</v>
      </c>
      <c r="S489">
        <v>39</v>
      </c>
      <c r="T489">
        <v>1</v>
      </c>
      <c r="U489">
        <v>127</v>
      </c>
      <c r="V489">
        <v>31</v>
      </c>
      <c r="W489">
        <v>1</v>
      </c>
      <c r="X489">
        <v>1</v>
      </c>
      <c r="Y489" t="s">
        <v>19</v>
      </c>
      <c r="Z489">
        <v>2</v>
      </c>
      <c r="AA489">
        <f>IF(AND(Table1[[#This Row],[Throw Out Pass Eff]]="N", Table1[[#This Row],[Against FCS Team]]="N"), ROUND(((5.45 * D489) + (150 * F489) + (100 * G489) - (300 * H489)) / E489, 2), " ")</f>
        <v>84.92</v>
      </c>
      <c r="AB489">
        <f>IF(AND(Table1[[#This Row],[Throw Out Pass Def Eff]]="N", Table1[[#This Row],[Against FCS Team]]="N"),200 - ROUND(((5.45 * P489) + (150 * R489) + (100 * S489) - (300 * T489)) / Q489, 2), " ")</f>
        <v>74.27</v>
      </c>
      <c r="AC489">
        <f>IF(AND(Table1[[#This Row],[Throw Out Rush Eff]]="N", Table1[[#This Row],[Against FCS Team]]="N"), ROUND(((23.2 * I489) + (150 * K489) - (300 * L489)) / J489, 2), " ")</f>
        <v>71.69</v>
      </c>
      <c r="AD489" s="3">
        <f>IF(AND(Table1[[#This Row],[Throw Out Rush Def Eff]]="N", Table1[[#This Row],[Against FCS Team]]="N"), 200 - ROUND(((23.2 * U489) + (150 * W489) - (300 * X489)) / V489, 2), " ")</f>
        <v>109.79</v>
      </c>
      <c r="AE489" s="3">
        <f>ROUND(Table1[[#This Row],[Opp Passing Attempts]]/(Table1[[#This Row],[Opp Passing Attempts]]+Table1[[#This Row],[Opp Rushing Attempts]]), 2)</f>
        <v>0.66</v>
      </c>
      <c r="AF489" s="3">
        <f>1-Table1[[#This Row],[Passing Weight]]</f>
        <v>0.33999999999999997</v>
      </c>
      <c r="AG489" s="3" t="str">
        <f>IF(COUNTIF(A:A,Table1[[#This Row],[Opp Team Name]]) &gt; 0, "N", "Y")</f>
        <v>N</v>
      </c>
      <c r="AH489" s="3" t="str">
        <f>IF(Table1[[#This Row],[Passing Attempts]] &lt;15, "Y", "N")</f>
        <v>N</v>
      </c>
      <c r="AI489" s="3" t="str">
        <f>IF(Table1[[#This Row],[Rushing Attempts]] &lt; 15, "Y", "N")</f>
        <v>N</v>
      </c>
      <c r="AJ489" s="3" t="str">
        <f>IF(Table1[[#This Row],[Opp Passing Attempts]]&lt;15, "Y", "N")</f>
        <v>N</v>
      </c>
      <c r="AK489" s="3" t="str">
        <f>IF(Table1[[#This Row],[Opp Rushing Attempts]]&lt;15, "Y", "N")</f>
        <v>N</v>
      </c>
      <c r="AL48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83.34</v>
      </c>
      <c r="AM4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97.39</v>
      </c>
      <c r="AN4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76.319999999999993</v>
      </c>
      <c r="AO4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146.33000000000001</v>
      </c>
      <c r="AP489" s="3">
        <f>ABS(Table1[[#This Row],[Team Score]]-Table1[[#This Row],[Opp Team Score]])</f>
        <v>25</v>
      </c>
      <c r="AQ489" s="3">
        <f>SUM(Table1[[#This Row],[Team Score]], Table1[[#This Row],[Opp Team Score]])</f>
        <v>71</v>
      </c>
      <c r="AR48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59.329999999999984</v>
      </c>
      <c r="AS489" s="3">
        <f>IF(Table1[[#This Row],[Efficiency Difference]] = " ", " ", ROUND((Table1[[#This Row],[Winning Margin]]*100)/Table1[[#This Row],[Efficiency Difference]], 2))</f>
        <v>42.14</v>
      </c>
    </row>
    <row r="490" spans="1:45">
      <c r="A490" t="s">
        <v>67</v>
      </c>
      <c r="B490">
        <v>497</v>
      </c>
      <c r="C490">
        <v>0</v>
      </c>
      <c r="D490">
        <v>101</v>
      </c>
      <c r="E490">
        <v>31</v>
      </c>
      <c r="F490">
        <v>0</v>
      </c>
      <c r="G490">
        <v>13</v>
      </c>
      <c r="H490">
        <v>0</v>
      </c>
      <c r="I490">
        <v>68</v>
      </c>
      <c r="J490">
        <v>32</v>
      </c>
      <c r="K490">
        <v>0</v>
      </c>
      <c r="L490">
        <v>0</v>
      </c>
      <c r="M490" t="s">
        <v>20</v>
      </c>
      <c r="N490">
        <v>8</v>
      </c>
      <c r="O490">
        <v>41</v>
      </c>
      <c r="P490">
        <v>239</v>
      </c>
      <c r="Q490">
        <v>29</v>
      </c>
      <c r="R490">
        <v>0</v>
      </c>
      <c r="S490">
        <v>21</v>
      </c>
      <c r="T490">
        <v>0</v>
      </c>
      <c r="U490">
        <v>347</v>
      </c>
      <c r="V490">
        <v>33</v>
      </c>
      <c r="W490">
        <v>5</v>
      </c>
      <c r="X490">
        <v>2</v>
      </c>
      <c r="Y490" t="s">
        <v>19</v>
      </c>
      <c r="Z490">
        <v>3</v>
      </c>
      <c r="AA490">
        <f>IF(AND(Table1[[#This Row],[Throw Out Pass Eff]]="N", Table1[[#This Row],[Against FCS Team]]="N"), ROUND(((5.45 * D490) + (150 * F490) + (100 * G490) - (300 * H490)) / E490, 2), " ")</f>
        <v>59.69</v>
      </c>
      <c r="AB490">
        <f>IF(AND(Table1[[#This Row],[Throw Out Pass Def Eff]]="N", Table1[[#This Row],[Against FCS Team]]="N"),200 - ROUND(((5.45 * P490) + (150 * R490) + (100 * S490) - (300 * T490)) / Q490, 2), " ")</f>
        <v>82.67</v>
      </c>
      <c r="AC490">
        <f>IF(AND(Table1[[#This Row],[Throw Out Rush Eff]]="N", Table1[[#This Row],[Against FCS Team]]="N"), ROUND(((23.2 * I490) + (150 * K490) - (300 * L490)) / J490, 2), " ")</f>
        <v>49.3</v>
      </c>
      <c r="AD490" s="3">
        <f>IF(AND(Table1[[#This Row],[Throw Out Rush Def Eff]]="N", Table1[[#This Row],[Against FCS Team]]="N"), 200 - ROUND(((23.2 * U490) + (150 * W490) - (300 * X490)) / V490, 2), " ")</f>
        <v>-48.5</v>
      </c>
      <c r="AE490" s="3">
        <f>ROUND(Table1[[#This Row],[Opp Passing Attempts]]/(Table1[[#This Row],[Opp Passing Attempts]]+Table1[[#This Row],[Opp Rushing Attempts]]), 2)</f>
        <v>0.47</v>
      </c>
      <c r="AF490" s="3">
        <f>1-Table1[[#This Row],[Passing Weight]]</f>
        <v>0.53</v>
      </c>
      <c r="AG490" s="3" t="str">
        <f>IF(COUNTIF(A:A,Table1[[#This Row],[Opp Team Name]]) &gt; 0, "N", "Y")</f>
        <v>N</v>
      </c>
      <c r="AH490" s="3" t="str">
        <f>IF(Table1[[#This Row],[Passing Attempts]] &lt;15, "Y", "N")</f>
        <v>N</v>
      </c>
      <c r="AI490" s="3" t="str">
        <f>IF(Table1[[#This Row],[Rushing Attempts]] &lt; 15, "Y", "N")</f>
        <v>N</v>
      </c>
      <c r="AJ490" s="3" t="str">
        <f>IF(Table1[[#This Row],[Opp Passing Attempts]]&lt;15, "Y", "N")</f>
        <v>N</v>
      </c>
      <c r="AK490" s="3" t="str">
        <f>IF(Table1[[#This Row],[Opp Rushing Attempts]]&lt;15, "Y", "N")</f>
        <v>N</v>
      </c>
      <c r="AL4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80.239999999999995</v>
      </c>
      <c r="AM49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92.99</v>
      </c>
      <c r="AN49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82.95</v>
      </c>
      <c r="AO4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-71.5</v>
      </c>
      <c r="AP490" s="3">
        <f>ABS(Table1[[#This Row],[Team Score]]-Table1[[#This Row],[Opp Team Score]])</f>
        <v>41</v>
      </c>
      <c r="AQ490" s="3">
        <f>SUM(Table1[[#This Row],[Team Score]], Table1[[#This Row],[Opp Team Score]])</f>
        <v>41</v>
      </c>
      <c r="AR49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256.83999999999997</v>
      </c>
      <c r="AS490" s="3">
        <f>IF(Table1[[#This Row],[Efficiency Difference]] = " ", " ", ROUND((Table1[[#This Row],[Winning Margin]]*100)/Table1[[#This Row],[Efficiency Difference]], 2))</f>
        <v>15.96</v>
      </c>
    </row>
    <row r="491" spans="1:45">
      <c r="A491" t="s">
        <v>67</v>
      </c>
      <c r="B491">
        <v>497</v>
      </c>
      <c r="C491">
        <v>24</v>
      </c>
      <c r="D491">
        <v>201</v>
      </c>
      <c r="E491">
        <v>20</v>
      </c>
      <c r="F491">
        <v>3</v>
      </c>
      <c r="G491">
        <v>10</v>
      </c>
      <c r="H491">
        <v>1</v>
      </c>
      <c r="I491">
        <v>226</v>
      </c>
      <c r="J491">
        <v>48</v>
      </c>
      <c r="K491">
        <v>0</v>
      </c>
      <c r="L491">
        <v>2</v>
      </c>
      <c r="M491" t="s">
        <v>35</v>
      </c>
      <c r="N491">
        <v>306</v>
      </c>
      <c r="O491">
        <v>21</v>
      </c>
      <c r="P491">
        <v>354</v>
      </c>
      <c r="Q491">
        <v>52</v>
      </c>
      <c r="R491">
        <v>2</v>
      </c>
      <c r="S491">
        <v>30</v>
      </c>
      <c r="T491">
        <v>1</v>
      </c>
      <c r="U491">
        <v>50</v>
      </c>
      <c r="V491">
        <v>27</v>
      </c>
      <c r="W491">
        <v>0</v>
      </c>
      <c r="X491">
        <v>1</v>
      </c>
      <c r="Y491" t="s">
        <v>16</v>
      </c>
      <c r="Z491">
        <v>4</v>
      </c>
      <c r="AA491">
        <f>IF(AND(Table1[[#This Row],[Throw Out Pass Eff]]="N", Table1[[#This Row],[Against FCS Team]]="N"), ROUND(((5.45 * D491) + (150 * F491) + (100 * G491) - (300 * H491)) / E491, 2), " ")</f>
        <v>112.27</v>
      </c>
      <c r="AB491">
        <f>IF(AND(Table1[[#This Row],[Throw Out Pass Def Eff]]="N", Table1[[#This Row],[Against FCS Team]]="N"),200 - ROUND(((5.45 * P491) + (150 * R491) + (100 * S491) - (300 * T491)) / Q491, 2), " ")</f>
        <v>105.21</v>
      </c>
      <c r="AC491">
        <f>IF(AND(Table1[[#This Row],[Throw Out Rush Eff]]="N", Table1[[#This Row],[Against FCS Team]]="N"), ROUND(((23.2 * I491) + (150 * K491) - (300 * L491)) / J491, 2), " ")</f>
        <v>96.73</v>
      </c>
      <c r="AD491" s="3">
        <f>IF(AND(Table1[[#This Row],[Throw Out Rush Def Eff]]="N", Table1[[#This Row],[Against FCS Team]]="N"), 200 - ROUND(((23.2 * U491) + (150 * W491) - (300 * X491)) / V491, 2), " ")</f>
        <v>168.15</v>
      </c>
      <c r="AE491" s="3">
        <f>ROUND(Table1[[#This Row],[Opp Passing Attempts]]/(Table1[[#This Row],[Opp Passing Attempts]]+Table1[[#This Row],[Opp Rushing Attempts]]), 2)</f>
        <v>0.66</v>
      </c>
      <c r="AF491" s="3">
        <f>1-Table1[[#This Row],[Passing Weight]]</f>
        <v>0.33999999999999997</v>
      </c>
      <c r="AG491" s="3" t="str">
        <f>IF(COUNTIF(A:A,Table1[[#This Row],[Opp Team Name]]) &gt; 0, "N", "Y")</f>
        <v>N</v>
      </c>
      <c r="AH491" s="3" t="str">
        <f>IF(Table1[[#This Row],[Passing Attempts]] &lt;15, "Y", "N")</f>
        <v>N</v>
      </c>
      <c r="AI491" s="3" t="str">
        <f>IF(Table1[[#This Row],[Rushing Attempts]] &lt; 15, "Y", "N")</f>
        <v>N</v>
      </c>
      <c r="AJ491" s="3" t="str">
        <f>IF(Table1[[#This Row],[Opp Passing Attempts]]&lt;15, "Y", "N")</f>
        <v>N</v>
      </c>
      <c r="AK491" s="3" t="str">
        <f>IF(Table1[[#This Row],[Opp Rushing Attempts]]&lt;15, "Y", "N")</f>
        <v>N</v>
      </c>
      <c r="AL49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91.4</v>
      </c>
      <c r="AM49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85.69</v>
      </c>
      <c r="AN49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80.83</v>
      </c>
      <c r="AO49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119.93</v>
      </c>
      <c r="AP491" s="3">
        <f>ABS(Table1[[#This Row],[Team Score]]-Table1[[#This Row],[Opp Team Score]])</f>
        <v>3</v>
      </c>
      <c r="AQ491" s="3">
        <f>SUM(Table1[[#This Row],[Team Score]], Table1[[#This Row],[Opp Team Score]])</f>
        <v>45</v>
      </c>
      <c r="AR49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82.360000000000014</v>
      </c>
      <c r="AS491" s="3">
        <f>IF(Table1[[#This Row],[Efficiency Difference]] = " ", " ", ROUND((Table1[[#This Row],[Winning Margin]]*100)/Table1[[#This Row],[Efficiency Difference]], 2))</f>
        <v>3.64</v>
      </c>
    </row>
    <row r="492" spans="1:45">
      <c r="A492" t="s">
        <v>67</v>
      </c>
      <c r="B492">
        <v>497</v>
      </c>
      <c r="C492">
        <v>24</v>
      </c>
      <c r="D492">
        <v>261</v>
      </c>
      <c r="E492">
        <v>26</v>
      </c>
      <c r="F492">
        <v>2</v>
      </c>
      <c r="G492">
        <v>18</v>
      </c>
      <c r="H492">
        <v>2</v>
      </c>
      <c r="I492">
        <v>130</v>
      </c>
      <c r="J492">
        <v>56</v>
      </c>
      <c r="K492">
        <v>1</v>
      </c>
      <c r="L492">
        <v>0</v>
      </c>
      <c r="M492" t="s">
        <v>117</v>
      </c>
      <c r="N492">
        <v>719</v>
      </c>
      <c r="O492">
        <v>41</v>
      </c>
      <c r="P492">
        <v>314</v>
      </c>
      <c r="Q492">
        <v>32</v>
      </c>
      <c r="R492">
        <v>3</v>
      </c>
      <c r="S492">
        <v>20</v>
      </c>
      <c r="T492">
        <v>1</v>
      </c>
      <c r="U492">
        <v>98</v>
      </c>
      <c r="V492">
        <v>24</v>
      </c>
      <c r="W492">
        <v>1</v>
      </c>
      <c r="X492">
        <v>1</v>
      </c>
      <c r="Y492" t="s">
        <v>19</v>
      </c>
      <c r="Z492">
        <v>5</v>
      </c>
      <c r="AA492">
        <f>IF(AND(Table1[[#This Row],[Throw Out Pass Eff]]="N", Table1[[#This Row],[Against FCS Team]]="N"), ROUND(((5.45 * D492) + (150 * F492) + (100 * G492) - (300 * H492)) / E492, 2), " ")</f>
        <v>112.4</v>
      </c>
      <c r="AB492">
        <f>IF(AND(Table1[[#This Row],[Throw Out Pass Def Eff]]="N", Table1[[#This Row],[Against FCS Team]]="N"),200 - ROUND(((5.45 * P492) + (150 * R492) + (100 * S492) - (300 * T492)) / Q492, 2), " ")</f>
        <v>79.33</v>
      </c>
      <c r="AC492">
        <f>IF(AND(Table1[[#This Row],[Throw Out Rush Eff]]="N", Table1[[#This Row],[Against FCS Team]]="N"), ROUND(((23.2 * I492) + (150 * K492) - (300 * L492)) / J492, 2), " ")</f>
        <v>56.54</v>
      </c>
      <c r="AD492" s="3">
        <f>IF(AND(Table1[[#This Row],[Throw Out Rush Def Eff]]="N", Table1[[#This Row],[Against FCS Team]]="N"), 200 - ROUND(((23.2 * U492) + (150 * W492) - (300 * X492)) / V492, 2), " ")</f>
        <v>111.52</v>
      </c>
      <c r="AE492" s="3">
        <f>ROUND(Table1[[#This Row],[Opp Passing Attempts]]/(Table1[[#This Row],[Opp Passing Attempts]]+Table1[[#This Row],[Opp Rushing Attempts]]), 2)</f>
        <v>0.56999999999999995</v>
      </c>
      <c r="AF492" s="3">
        <f>1-Table1[[#This Row],[Passing Weight]]</f>
        <v>0.43000000000000005</v>
      </c>
      <c r="AG492" s="3" t="str">
        <f>IF(COUNTIF(A:A,Table1[[#This Row],[Opp Team Name]]) &gt; 0, "N", "Y")</f>
        <v>N</v>
      </c>
      <c r="AH492" s="3" t="str">
        <f>IF(Table1[[#This Row],[Passing Attempts]] &lt;15, "Y", "N")</f>
        <v>N</v>
      </c>
      <c r="AI492" s="3" t="str">
        <f>IF(Table1[[#This Row],[Rushing Attempts]] &lt; 15, "Y", "N")</f>
        <v>N</v>
      </c>
      <c r="AJ492" s="3" t="str">
        <f>IF(Table1[[#This Row],[Opp Passing Attempts]]&lt;15, "Y", "N")</f>
        <v>N</v>
      </c>
      <c r="AK492" s="3" t="str">
        <f>IF(Table1[[#This Row],[Opp Rushing Attempts]]&lt;15, "Y", "N")</f>
        <v>N</v>
      </c>
      <c r="AL49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111.52</v>
      </c>
      <c r="AM4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73.930000000000007</v>
      </c>
      <c r="AN4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72.84</v>
      </c>
      <c r="AO4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113.52</v>
      </c>
      <c r="AP492" s="3">
        <f>ABS(Table1[[#This Row],[Team Score]]-Table1[[#This Row],[Opp Team Score]])</f>
        <v>17</v>
      </c>
      <c r="AQ492" s="3">
        <f>SUM(Table1[[#This Row],[Team Score]], Table1[[#This Row],[Opp Team Score]])</f>
        <v>65</v>
      </c>
      <c r="AR49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40.210000000000008</v>
      </c>
      <c r="AS492" s="3">
        <f>IF(Table1[[#This Row],[Efficiency Difference]] = " ", " ", ROUND((Table1[[#This Row],[Winning Margin]]*100)/Table1[[#This Row],[Efficiency Difference]], 2))</f>
        <v>42.28</v>
      </c>
    </row>
    <row r="493" spans="1:45">
      <c r="A493" t="s">
        <v>67</v>
      </c>
      <c r="B493">
        <v>497</v>
      </c>
      <c r="C493">
        <v>31</v>
      </c>
      <c r="D493">
        <v>108</v>
      </c>
      <c r="E493">
        <v>27</v>
      </c>
      <c r="F493">
        <v>0</v>
      </c>
      <c r="G493">
        <v>13</v>
      </c>
      <c r="H493">
        <v>0</v>
      </c>
      <c r="I493">
        <v>129</v>
      </c>
      <c r="J493">
        <v>43</v>
      </c>
      <c r="K493">
        <v>2</v>
      </c>
      <c r="L493">
        <v>1</v>
      </c>
      <c r="M493" t="s">
        <v>68</v>
      </c>
      <c r="N493">
        <v>229</v>
      </c>
      <c r="O493">
        <v>17</v>
      </c>
      <c r="P493">
        <v>165</v>
      </c>
      <c r="Q493">
        <v>39</v>
      </c>
      <c r="R493">
        <v>1</v>
      </c>
      <c r="S493">
        <v>16</v>
      </c>
      <c r="T493">
        <v>3</v>
      </c>
      <c r="U493">
        <v>169</v>
      </c>
      <c r="V493">
        <v>35</v>
      </c>
      <c r="W493">
        <v>1</v>
      </c>
      <c r="X493">
        <v>1</v>
      </c>
      <c r="Y493" t="s">
        <v>16</v>
      </c>
      <c r="Z493">
        <v>6</v>
      </c>
      <c r="AA493">
        <f>IF(AND(Table1[[#This Row],[Throw Out Pass Eff]]="N", Table1[[#This Row],[Against FCS Team]]="N"), ROUND(((5.45 * D493) + (150 * F493) + (100 * G493) - (300 * H493)) / E493, 2), " ")</f>
        <v>69.95</v>
      </c>
      <c r="AB493">
        <f>IF(AND(Table1[[#This Row],[Throw Out Pass Def Eff]]="N", Table1[[#This Row],[Against FCS Team]]="N"),200 - ROUND(((5.45 * P493) + (150 * R493) + (100 * S493) - (300 * T493)) / Q493, 2), " ")</f>
        <v>155.15</v>
      </c>
      <c r="AC493">
        <f>IF(AND(Table1[[#This Row],[Throw Out Rush Eff]]="N", Table1[[#This Row],[Against FCS Team]]="N"), ROUND(((23.2 * I493) + (150 * K493) - (300 * L493)) / J493, 2), " ")</f>
        <v>69.599999999999994</v>
      </c>
      <c r="AD493" s="3">
        <f>IF(AND(Table1[[#This Row],[Throw Out Rush Def Eff]]="N", Table1[[#This Row],[Against FCS Team]]="N"), 200 - ROUND(((23.2 * U493) + (150 * W493) - (300 * X493)) / V493, 2), " ")</f>
        <v>92.26</v>
      </c>
      <c r="AE493" s="3">
        <f>ROUND(Table1[[#This Row],[Opp Passing Attempts]]/(Table1[[#This Row],[Opp Passing Attempts]]+Table1[[#This Row],[Opp Rushing Attempts]]), 2)</f>
        <v>0.53</v>
      </c>
      <c r="AF493" s="3">
        <f>1-Table1[[#This Row],[Passing Weight]]</f>
        <v>0.47</v>
      </c>
      <c r="AG493" s="3" t="str">
        <f>IF(COUNTIF(A:A,Table1[[#This Row],[Opp Team Name]]) &gt; 0, "N", "Y")</f>
        <v>N</v>
      </c>
      <c r="AH493" s="3" t="str">
        <f>IF(Table1[[#This Row],[Passing Attempts]] &lt;15, "Y", "N")</f>
        <v>N</v>
      </c>
      <c r="AI493" s="3" t="str">
        <f>IF(Table1[[#This Row],[Rushing Attempts]] &lt; 15, "Y", "N")</f>
        <v>N</v>
      </c>
      <c r="AJ493" s="3" t="str">
        <f>IF(Table1[[#This Row],[Opp Passing Attempts]]&lt;15, "Y", "N")</f>
        <v>N</v>
      </c>
      <c r="AK493" s="3" t="str">
        <f>IF(Table1[[#This Row],[Opp Rushing Attempts]]&lt;15, "Y", "N")</f>
        <v>N</v>
      </c>
      <c r="AL4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70.09</v>
      </c>
      <c r="AM4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109.29</v>
      </c>
      <c r="AN4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72.92</v>
      </c>
      <c r="AO4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51.27</v>
      </c>
      <c r="AP493" s="3">
        <f>ABS(Table1[[#This Row],[Team Score]]-Table1[[#This Row],[Opp Team Score]])</f>
        <v>14</v>
      </c>
      <c r="AQ493" s="3">
        <f>SUM(Table1[[#This Row],[Team Score]], Table1[[#This Row],[Opp Team Score]])</f>
        <v>48</v>
      </c>
      <c r="AR4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13.039999999999964</v>
      </c>
      <c r="AS493" s="3">
        <f>IF(Table1[[#This Row],[Efficiency Difference]] = " ", " ", ROUND((Table1[[#This Row],[Winning Margin]]*100)/Table1[[#This Row],[Efficiency Difference]], 2))</f>
        <v>107.36</v>
      </c>
    </row>
    <row r="494" spans="1:45">
      <c r="A494" t="s">
        <v>67</v>
      </c>
      <c r="B494">
        <v>497</v>
      </c>
      <c r="C494">
        <v>10</v>
      </c>
      <c r="D494">
        <v>144</v>
      </c>
      <c r="E494">
        <v>26</v>
      </c>
      <c r="F494">
        <v>0</v>
      </c>
      <c r="G494">
        <v>14</v>
      </c>
      <c r="H494">
        <v>1</v>
      </c>
      <c r="I494">
        <v>88</v>
      </c>
      <c r="J494">
        <v>38</v>
      </c>
      <c r="K494">
        <v>1</v>
      </c>
      <c r="L494">
        <v>1</v>
      </c>
      <c r="M494" t="s">
        <v>86</v>
      </c>
      <c r="N494">
        <v>671</v>
      </c>
      <c r="O494">
        <v>30</v>
      </c>
      <c r="P494">
        <v>250</v>
      </c>
      <c r="Q494">
        <v>22</v>
      </c>
      <c r="R494">
        <v>4</v>
      </c>
      <c r="S494">
        <v>15</v>
      </c>
      <c r="T494">
        <v>0</v>
      </c>
      <c r="U494">
        <v>95</v>
      </c>
      <c r="V494">
        <v>36</v>
      </c>
      <c r="W494">
        <v>0</v>
      </c>
      <c r="X494">
        <v>2</v>
      </c>
      <c r="Y494" t="s">
        <v>19</v>
      </c>
      <c r="Z494">
        <v>7</v>
      </c>
      <c r="AA494">
        <f>IF(AND(Table1[[#This Row],[Throw Out Pass Eff]]="N", Table1[[#This Row],[Against FCS Team]]="N"), ROUND(((5.45 * D494) + (150 * F494) + (100 * G494) - (300 * H494)) / E494, 2), " ")</f>
        <v>72.489999999999995</v>
      </c>
      <c r="AB494">
        <f>IF(AND(Table1[[#This Row],[Throw Out Pass Def Eff]]="N", Table1[[#This Row],[Against FCS Team]]="N"),200 - ROUND(((5.45 * P494) + (150 * R494) + (100 * S494) - (300 * T494)) / Q494, 2), " ")</f>
        <v>42.610000000000014</v>
      </c>
      <c r="AC494">
        <f>IF(AND(Table1[[#This Row],[Throw Out Rush Eff]]="N", Table1[[#This Row],[Against FCS Team]]="N"), ROUND(((23.2 * I494) + (150 * K494) - (300 * L494)) / J494, 2), " ")</f>
        <v>49.78</v>
      </c>
      <c r="AD494" s="3">
        <f>IF(AND(Table1[[#This Row],[Throw Out Rush Def Eff]]="N", Table1[[#This Row],[Against FCS Team]]="N"), 200 - ROUND(((23.2 * U494) + (150 * W494) - (300 * X494)) / V494, 2), " ")</f>
        <v>155.44</v>
      </c>
      <c r="AE494" s="3">
        <f>ROUND(Table1[[#This Row],[Opp Passing Attempts]]/(Table1[[#This Row],[Opp Passing Attempts]]+Table1[[#This Row],[Opp Rushing Attempts]]), 2)</f>
        <v>0.38</v>
      </c>
      <c r="AF494" s="3">
        <f>1-Table1[[#This Row],[Passing Weight]]</f>
        <v>0.62</v>
      </c>
      <c r="AG494" s="3" t="str">
        <f>IF(COUNTIF(A:A,Table1[[#This Row],[Opp Team Name]]) &gt; 0, "N", "Y")</f>
        <v>N</v>
      </c>
      <c r="AH494" s="3" t="str">
        <f>IF(Table1[[#This Row],[Passing Attempts]] &lt;15, "Y", "N")</f>
        <v>N</v>
      </c>
      <c r="AI494" s="3" t="str">
        <f>IF(Table1[[#This Row],[Rushing Attempts]] &lt; 15, "Y", "N")</f>
        <v>N</v>
      </c>
      <c r="AJ494" s="3" t="str">
        <f>IF(Table1[[#This Row],[Opp Passing Attempts]]&lt;15, "Y", "N")</f>
        <v>N</v>
      </c>
      <c r="AK494" s="3" t="str">
        <f>IF(Table1[[#This Row],[Opp Rushing Attempts]]&lt;15, "Y", "N")</f>
        <v>N</v>
      </c>
      <c r="AL4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74.06</v>
      </c>
      <c r="AM4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45.95</v>
      </c>
      <c r="AN4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57.07</v>
      </c>
      <c r="AO4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120.95</v>
      </c>
      <c r="AP494" s="3">
        <f>ABS(Table1[[#This Row],[Team Score]]-Table1[[#This Row],[Opp Team Score]])</f>
        <v>20</v>
      </c>
      <c r="AQ494" s="3">
        <f>SUM(Table1[[#This Row],[Team Score]], Table1[[#This Row],[Opp Team Score]])</f>
        <v>40</v>
      </c>
      <c r="AR4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79.679999999999993</v>
      </c>
      <c r="AS494" s="3">
        <f>IF(Table1[[#This Row],[Efficiency Difference]] = " ", " ", ROUND((Table1[[#This Row],[Winning Margin]]*100)/Table1[[#This Row],[Efficiency Difference]], 2))</f>
        <v>25.1</v>
      </c>
    </row>
    <row r="495" spans="1:45">
      <c r="A495" t="s">
        <v>67</v>
      </c>
      <c r="B495">
        <v>497</v>
      </c>
      <c r="C495">
        <v>38</v>
      </c>
      <c r="D495">
        <v>332</v>
      </c>
      <c r="E495">
        <v>39</v>
      </c>
      <c r="F495">
        <v>3</v>
      </c>
      <c r="G495">
        <v>23</v>
      </c>
      <c r="H495">
        <v>0</v>
      </c>
      <c r="I495">
        <v>127</v>
      </c>
      <c r="J495">
        <v>33</v>
      </c>
      <c r="K495">
        <v>1</v>
      </c>
      <c r="L495">
        <v>0</v>
      </c>
      <c r="M495" t="s">
        <v>71</v>
      </c>
      <c r="N495">
        <v>498</v>
      </c>
      <c r="O495">
        <v>21</v>
      </c>
      <c r="P495">
        <v>201</v>
      </c>
      <c r="Q495">
        <v>35</v>
      </c>
      <c r="R495">
        <v>0</v>
      </c>
      <c r="S495">
        <v>16</v>
      </c>
      <c r="T495">
        <v>1</v>
      </c>
      <c r="U495">
        <v>142</v>
      </c>
      <c r="V495">
        <v>35</v>
      </c>
      <c r="W495">
        <v>2</v>
      </c>
      <c r="X495">
        <v>1</v>
      </c>
      <c r="Y495" t="s">
        <v>16</v>
      </c>
      <c r="Z495">
        <v>8</v>
      </c>
      <c r="AA495" s="3">
        <f>IF(AND(Table1[[#This Row],[Throw Out Pass Eff]]="N", Table1[[#This Row],[Against FCS Team]]="N"), ROUND(((5.45 * D495) + (150 * F495) + (100 * G495) - (300 * H495)) / E495, 2), " ")</f>
        <v>116.91</v>
      </c>
      <c r="AB495" s="3">
        <f>IF(AND(Table1[[#This Row],[Throw Out Pass Def Eff]]="N", Table1[[#This Row],[Against FCS Team]]="N"),200 - ROUND(((5.45 * P495) + (150 * R495) + (100 * S495) - (300 * T495)) / Q495, 2), " ")</f>
        <v>131.56</v>
      </c>
      <c r="AC495" s="3">
        <f>IF(AND(Table1[[#This Row],[Throw Out Rush Eff]]="N", Table1[[#This Row],[Against FCS Team]]="N"), ROUND(((23.2 * I495) + (150 * K495) - (300 * L495)) / J495, 2), " ")</f>
        <v>93.83</v>
      </c>
      <c r="AD495" s="3">
        <f>IF(AND(Table1[[#This Row],[Throw Out Rush Def Eff]]="N", Table1[[#This Row],[Against FCS Team]]="N"), 200 - ROUND(((23.2 * U495) + (150 * W495) - (300 * X495)) / V495, 2), " ")</f>
        <v>105.87</v>
      </c>
      <c r="AE495" s="3">
        <f>ROUND(Table1[[#This Row],[Opp Passing Attempts]]/(Table1[[#This Row],[Opp Passing Attempts]]+Table1[[#This Row],[Opp Rushing Attempts]]), 2)</f>
        <v>0.5</v>
      </c>
      <c r="AF495" s="3">
        <f>1-Table1[[#This Row],[Passing Weight]]</f>
        <v>0.5</v>
      </c>
      <c r="AG495" s="3" t="str">
        <f>IF(COUNTIF(A:A,Table1[[#This Row],[Opp Team Name]]) &gt; 0, "N", "Y")</f>
        <v>N</v>
      </c>
      <c r="AH495" s="3" t="str">
        <f>IF(Table1[[#This Row],[Passing Attempts]] &lt;15, "Y", "N")</f>
        <v>N</v>
      </c>
      <c r="AI495" s="3" t="str">
        <f>IF(Table1[[#This Row],[Rushing Attempts]] &lt; 15, "Y", "N")</f>
        <v>N</v>
      </c>
      <c r="AJ495" s="3" t="str">
        <f>IF(Table1[[#This Row],[Opp Passing Attempts]]&lt;15, "Y", "N")</f>
        <v>N</v>
      </c>
      <c r="AK495" s="3" t="str">
        <f>IF(Table1[[#This Row],[Opp Rushing Attempts]]&lt;15, "Y", "N")</f>
        <v>N</v>
      </c>
      <c r="AL49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114.09</v>
      </c>
      <c r="AM49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117.37</v>
      </c>
      <c r="AN49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116.44</v>
      </c>
      <c r="AO49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75.77</v>
      </c>
      <c r="AP495" s="3">
        <f>ABS(Table1[[#This Row],[Team Score]]-Table1[[#This Row],[Opp Team Score]])</f>
        <v>17</v>
      </c>
      <c r="AQ495" s="3">
        <f>SUM(Table1[[#This Row],[Team Score]], Table1[[#This Row],[Opp Team Score]])</f>
        <v>59</v>
      </c>
      <c r="AR49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48.170000000000016</v>
      </c>
      <c r="AS495" s="3">
        <f>IF(Table1[[#This Row],[Efficiency Difference]] = " ", " ", ROUND((Table1[[#This Row],[Winning Margin]]*100)/Table1[[#This Row],[Efficiency Difference]], 2))</f>
        <v>35.29</v>
      </c>
    </row>
    <row r="496" spans="1:45">
      <c r="A496" t="s">
        <v>31</v>
      </c>
      <c r="B496">
        <v>503</v>
      </c>
      <c r="C496">
        <v>47</v>
      </c>
      <c r="D496">
        <v>187</v>
      </c>
      <c r="E496">
        <v>21</v>
      </c>
      <c r="F496">
        <v>2</v>
      </c>
      <c r="G496">
        <v>18</v>
      </c>
      <c r="H496">
        <v>0</v>
      </c>
      <c r="I496">
        <v>356</v>
      </c>
      <c r="J496">
        <v>52</v>
      </c>
      <c r="K496">
        <v>4</v>
      </c>
      <c r="L496">
        <v>2</v>
      </c>
      <c r="M496" t="s">
        <v>127</v>
      </c>
      <c r="N496">
        <v>90</v>
      </c>
      <c r="O496">
        <v>30</v>
      </c>
      <c r="P496">
        <v>75</v>
      </c>
      <c r="Q496">
        <v>11</v>
      </c>
      <c r="R496">
        <v>1</v>
      </c>
      <c r="S496">
        <v>6</v>
      </c>
      <c r="T496">
        <v>0</v>
      </c>
      <c r="U496">
        <v>297</v>
      </c>
      <c r="V496">
        <v>60</v>
      </c>
      <c r="W496">
        <v>3</v>
      </c>
      <c r="X496">
        <v>0</v>
      </c>
      <c r="Y496" t="s">
        <v>16</v>
      </c>
      <c r="Z496">
        <v>4</v>
      </c>
      <c r="AA496" t="str">
        <f>IF(AND(Table1[[#This Row],[Throw Out Pass Eff]]="N", Table1[[#This Row],[Against FCS Team]]="N"), ROUND(((5.45 * D496) + (150 * F496) + (100 * G496) - (300 * H496)) / E496, 2), " ")</f>
        <v xml:space="preserve"> </v>
      </c>
      <c r="AB496" t="str">
        <f>IF(AND(Table1[[#This Row],[Throw Out Pass Def Eff]]="N", Table1[[#This Row],[Against FCS Team]]="N"),200 - ROUND(((5.45 * P496) + (150 * R496) + (100 * S496) - (300 * T496)) / Q496, 2), " ")</f>
        <v xml:space="preserve"> </v>
      </c>
      <c r="AC496" t="str">
        <f>IF(AND(Table1[[#This Row],[Throw Out Rush Eff]]="N", Table1[[#This Row],[Against FCS Team]]="N"), ROUND(((23.2 * I496) + (150 * K496) - (300 * L496)) / J496, 2), " ")</f>
        <v xml:space="preserve"> </v>
      </c>
      <c r="AD496" s="3" t="str">
        <f>IF(AND(Table1[[#This Row],[Throw Out Rush Def Eff]]="N", Table1[[#This Row],[Against FCS Team]]="N"), 200 - ROUND(((23.2 * U496) + (150 * W496) - (300 * X496)) / V496, 2), " ")</f>
        <v xml:space="preserve"> </v>
      </c>
      <c r="AE496" s="3">
        <f>ROUND(Table1[[#This Row],[Opp Passing Attempts]]/(Table1[[#This Row],[Opp Passing Attempts]]+Table1[[#This Row],[Opp Rushing Attempts]]), 2)</f>
        <v>0.15</v>
      </c>
      <c r="AF496" s="3">
        <f>1-Table1[[#This Row],[Passing Weight]]</f>
        <v>0.85</v>
      </c>
      <c r="AG496" s="3" t="str">
        <f>IF(COUNTIF(A:A,Table1[[#This Row],[Opp Team Name]]) &gt; 0, "N", "Y")</f>
        <v>Y</v>
      </c>
      <c r="AH496" s="3" t="str">
        <f>IF(Table1[[#This Row],[Passing Attempts]] &lt;15, "Y", "N")</f>
        <v>N</v>
      </c>
      <c r="AI496" s="3" t="str">
        <f>IF(Table1[[#This Row],[Rushing Attempts]] &lt; 15, "Y", "N")</f>
        <v>N</v>
      </c>
      <c r="AJ496" s="3" t="str">
        <f>IF(Table1[[#This Row],[Opp Passing Attempts]]&lt;15, "Y", "N")</f>
        <v>Y</v>
      </c>
      <c r="AK496" s="3" t="str">
        <f>IF(Table1[[#This Row],[Opp Rushing Attempts]]&lt;15, "Y", "N")</f>
        <v>N</v>
      </c>
      <c r="AL496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49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496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49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496" s="3">
        <f>ABS(Table1[[#This Row],[Team Score]]-Table1[[#This Row],[Opp Team Score]])</f>
        <v>17</v>
      </c>
      <c r="AQ496" s="3">
        <f>SUM(Table1[[#This Row],[Team Score]], Table1[[#This Row],[Opp Team Score]])</f>
        <v>77</v>
      </c>
      <c r="AR49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496" s="3" t="str">
        <f>IF(Table1[[#This Row],[Efficiency Difference]] = " ", " ", ROUND((Table1[[#This Row],[Winning Margin]]*100)/Table1[[#This Row],[Efficiency Difference]], 2))</f>
        <v xml:space="preserve"> </v>
      </c>
    </row>
    <row r="497" spans="1:45">
      <c r="A497" t="s">
        <v>31</v>
      </c>
      <c r="B497">
        <v>503</v>
      </c>
      <c r="C497">
        <v>49</v>
      </c>
      <c r="D497">
        <v>220</v>
      </c>
      <c r="E497">
        <v>24</v>
      </c>
      <c r="F497">
        <v>5</v>
      </c>
      <c r="G497">
        <v>15</v>
      </c>
      <c r="H497">
        <v>1</v>
      </c>
      <c r="I497">
        <v>289</v>
      </c>
      <c r="J497">
        <v>47</v>
      </c>
      <c r="K497">
        <v>1</v>
      </c>
      <c r="L497">
        <v>1</v>
      </c>
      <c r="M497" t="s">
        <v>30</v>
      </c>
      <c r="N497">
        <v>725</v>
      </c>
      <c r="O497">
        <v>26</v>
      </c>
      <c r="P497">
        <v>106</v>
      </c>
      <c r="Q497">
        <v>16</v>
      </c>
      <c r="R497">
        <v>1</v>
      </c>
      <c r="S497">
        <v>7</v>
      </c>
      <c r="T497">
        <v>1</v>
      </c>
      <c r="U497">
        <v>303</v>
      </c>
      <c r="V497">
        <v>63</v>
      </c>
      <c r="W497">
        <v>3</v>
      </c>
      <c r="X497">
        <v>2</v>
      </c>
      <c r="Y497" t="s">
        <v>16</v>
      </c>
      <c r="Z497">
        <v>1</v>
      </c>
      <c r="AA497">
        <f>IF(AND(Table1[[#This Row],[Throw Out Pass Eff]]="N", Table1[[#This Row],[Against FCS Team]]="N"), ROUND(((5.45 * D497) + (150 * F497) + (100 * G497) - (300 * H497)) / E497, 2), " ")</f>
        <v>131.21</v>
      </c>
      <c r="AB497">
        <f>IF(AND(Table1[[#This Row],[Throw Out Pass Def Eff]]="N", Table1[[#This Row],[Against FCS Team]]="N"),200 - ROUND(((5.45 * P497) + (150 * R497) + (100 * S497) - (300 * T497)) / Q497, 2), " ")</f>
        <v>129.51999999999998</v>
      </c>
      <c r="AC497">
        <f>IF(AND(Table1[[#This Row],[Throw Out Rush Eff]]="N", Table1[[#This Row],[Against FCS Team]]="N"), ROUND(((23.2 * I497) + (150 * K497) - (300 * L497)) / J497, 2), " ")</f>
        <v>139.46</v>
      </c>
      <c r="AD497" s="3">
        <f>IF(AND(Table1[[#This Row],[Throw Out Rush Def Eff]]="N", Table1[[#This Row],[Against FCS Team]]="N"), 200 - ROUND(((23.2 * U497) + (150 * W497) - (300 * X497)) / V497, 2), " ")</f>
        <v>90.8</v>
      </c>
      <c r="AE497" s="3">
        <f>ROUND(Table1[[#This Row],[Opp Passing Attempts]]/(Table1[[#This Row],[Opp Passing Attempts]]+Table1[[#This Row],[Opp Rushing Attempts]]), 2)</f>
        <v>0.2</v>
      </c>
      <c r="AF497" s="3">
        <f>1-Table1[[#This Row],[Passing Weight]]</f>
        <v>0.8</v>
      </c>
      <c r="AG497" s="3" t="str">
        <f>IF(COUNTIF(A:A,Table1[[#This Row],[Opp Team Name]]) &gt; 0, "N", "Y")</f>
        <v>N</v>
      </c>
      <c r="AH497" s="3" t="str">
        <f>IF(Table1[[#This Row],[Passing Attempts]] &lt;15, "Y", "N")</f>
        <v>N</v>
      </c>
      <c r="AI497" s="3" t="str">
        <f>IF(Table1[[#This Row],[Rushing Attempts]] &lt; 15, "Y", "N")</f>
        <v>N</v>
      </c>
      <c r="AJ497" s="3" t="str">
        <f>IF(Table1[[#This Row],[Opp Passing Attempts]]&lt;15, "Y", "N")</f>
        <v>N</v>
      </c>
      <c r="AK497" s="3" t="str">
        <f>IF(Table1[[#This Row],[Opp Rushing Attempts]]&lt;15, "Y", "N")</f>
        <v>N</v>
      </c>
      <c r="AL49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128.34</v>
      </c>
      <c r="AM49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91.29</v>
      </c>
      <c r="AN49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110.81</v>
      </c>
      <c r="AO49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112.85</v>
      </c>
      <c r="AP497" s="3">
        <f>ABS(Table1[[#This Row],[Team Score]]-Table1[[#This Row],[Opp Team Score]])</f>
        <v>23</v>
      </c>
      <c r="AQ497" s="3">
        <f>SUM(Table1[[#This Row],[Team Score]], Table1[[#This Row],[Opp Team Score]])</f>
        <v>75</v>
      </c>
      <c r="AR49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90.990000000000009</v>
      </c>
      <c r="AS497" s="3">
        <f>IF(Table1[[#This Row],[Efficiency Difference]] = " ", " ", ROUND((Table1[[#This Row],[Winning Margin]]*100)/Table1[[#This Row],[Efficiency Difference]], 2))</f>
        <v>25.28</v>
      </c>
    </row>
    <row r="498" spans="1:45">
      <c r="A498" t="s">
        <v>31</v>
      </c>
      <c r="B498">
        <v>503</v>
      </c>
      <c r="C498">
        <v>42</v>
      </c>
      <c r="D498">
        <v>315</v>
      </c>
      <c r="E498">
        <v>33</v>
      </c>
      <c r="F498">
        <v>2</v>
      </c>
      <c r="G498">
        <v>27</v>
      </c>
      <c r="H498">
        <v>0</v>
      </c>
      <c r="I498">
        <v>147</v>
      </c>
      <c r="J498">
        <v>29</v>
      </c>
      <c r="K498">
        <v>4</v>
      </c>
      <c r="L498">
        <v>0</v>
      </c>
      <c r="M498" t="s">
        <v>80</v>
      </c>
      <c r="N498">
        <v>328</v>
      </c>
      <c r="O498">
        <v>45</v>
      </c>
      <c r="P498">
        <v>281</v>
      </c>
      <c r="Q498">
        <v>30</v>
      </c>
      <c r="R498">
        <v>3</v>
      </c>
      <c r="S498">
        <v>21</v>
      </c>
      <c r="T498">
        <v>0</v>
      </c>
      <c r="U498">
        <v>253</v>
      </c>
      <c r="V498">
        <v>60</v>
      </c>
      <c r="W498">
        <v>3</v>
      </c>
      <c r="X498">
        <v>1</v>
      </c>
      <c r="Y498" t="s">
        <v>19</v>
      </c>
      <c r="Z498">
        <v>2</v>
      </c>
      <c r="AA498">
        <f>IF(AND(Table1[[#This Row],[Throw Out Pass Eff]]="N", Table1[[#This Row],[Against FCS Team]]="N"), ROUND(((5.45 * D498) + (150 * F498) + (100 * G498) - (300 * H498)) / E498, 2), " ")</f>
        <v>142.93</v>
      </c>
      <c r="AB498">
        <f>IF(AND(Table1[[#This Row],[Throw Out Pass Def Eff]]="N", Table1[[#This Row],[Against FCS Team]]="N"),200 - ROUND(((5.45 * P498) + (150 * R498) + (100 * S498) - (300 * T498)) / Q498, 2), " ")</f>
        <v>63.949999999999989</v>
      </c>
      <c r="AC498">
        <f>IF(AND(Table1[[#This Row],[Throw Out Rush Eff]]="N", Table1[[#This Row],[Against FCS Team]]="N"), ROUND(((23.2 * I498) + (150 * K498) - (300 * L498)) / J498, 2), " ")</f>
        <v>138.29</v>
      </c>
      <c r="AD498" s="3">
        <f>IF(AND(Table1[[#This Row],[Throw Out Rush Def Eff]]="N", Table1[[#This Row],[Against FCS Team]]="N"), 200 - ROUND(((23.2 * U498) + (150 * W498) - (300 * X498)) / V498, 2), " ")</f>
        <v>99.67</v>
      </c>
      <c r="AE498" s="3">
        <f>ROUND(Table1[[#This Row],[Opp Passing Attempts]]/(Table1[[#This Row],[Opp Passing Attempts]]+Table1[[#This Row],[Opp Rushing Attempts]]), 2)</f>
        <v>0.33</v>
      </c>
      <c r="AF498" s="3">
        <f>1-Table1[[#This Row],[Passing Weight]]</f>
        <v>0.66999999999999993</v>
      </c>
      <c r="AG498" s="3" t="str">
        <f>IF(COUNTIF(A:A,Table1[[#This Row],[Opp Team Name]]) &gt; 0, "N", "Y")</f>
        <v>N</v>
      </c>
      <c r="AH498" s="3" t="str">
        <f>IF(Table1[[#This Row],[Passing Attempts]] &lt;15, "Y", "N")</f>
        <v>N</v>
      </c>
      <c r="AI498" s="3" t="str">
        <f>IF(Table1[[#This Row],[Rushing Attempts]] &lt; 15, "Y", "N")</f>
        <v>N</v>
      </c>
      <c r="AJ498" s="3" t="str">
        <f>IF(Table1[[#This Row],[Opp Passing Attempts]]&lt;15, "Y", "N")</f>
        <v>N</v>
      </c>
      <c r="AK498" s="3" t="str">
        <f>IF(Table1[[#This Row],[Opp Rushing Attempts]]&lt;15, "Y", "N")</f>
        <v>N</v>
      </c>
      <c r="AL49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103.76</v>
      </c>
      <c r="AM49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69.680000000000007</v>
      </c>
      <c r="AN49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75.97</v>
      </c>
      <c r="AO49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91.11</v>
      </c>
      <c r="AP498" s="3">
        <f>ABS(Table1[[#This Row],[Team Score]]-Table1[[#This Row],[Opp Team Score]])</f>
        <v>3</v>
      </c>
      <c r="AQ498" s="3">
        <f>SUM(Table1[[#This Row],[Team Score]], Table1[[#This Row],[Opp Team Score]])</f>
        <v>87</v>
      </c>
      <c r="AR49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44.840000000000032</v>
      </c>
      <c r="AS498" s="3">
        <f>IF(Table1[[#This Row],[Efficiency Difference]] = " ", " ", ROUND((Table1[[#This Row],[Winning Margin]]*100)/Table1[[#This Row],[Efficiency Difference]], 2))</f>
        <v>6.69</v>
      </c>
    </row>
    <row r="499" spans="1:45">
      <c r="A499" t="s">
        <v>31</v>
      </c>
      <c r="B499">
        <v>503</v>
      </c>
      <c r="C499">
        <v>7</v>
      </c>
      <c r="D499">
        <v>173</v>
      </c>
      <c r="E499">
        <v>27</v>
      </c>
      <c r="F499">
        <v>0</v>
      </c>
      <c r="G499">
        <v>17</v>
      </c>
      <c r="H499">
        <v>0</v>
      </c>
      <c r="I499">
        <v>64</v>
      </c>
      <c r="J499">
        <v>25</v>
      </c>
      <c r="K499">
        <v>1</v>
      </c>
      <c r="L499">
        <v>0</v>
      </c>
      <c r="M499" t="s">
        <v>145</v>
      </c>
      <c r="N499">
        <v>796</v>
      </c>
      <c r="O499">
        <v>49</v>
      </c>
      <c r="P499">
        <v>355</v>
      </c>
      <c r="Q499">
        <v>34</v>
      </c>
      <c r="R499">
        <v>3</v>
      </c>
      <c r="S499">
        <v>24</v>
      </c>
      <c r="T499">
        <v>1</v>
      </c>
      <c r="U499">
        <v>266</v>
      </c>
      <c r="V499">
        <v>47</v>
      </c>
      <c r="W499">
        <v>4</v>
      </c>
      <c r="X499">
        <v>0</v>
      </c>
      <c r="Y499" t="s">
        <v>19</v>
      </c>
      <c r="Z499">
        <v>3</v>
      </c>
      <c r="AA499">
        <f>IF(AND(Table1[[#This Row],[Throw Out Pass Eff]]="N", Table1[[#This Row],[Against FCS Team]]="N"), ROUND(((5.45 * D499) + (150 * F499) + (100 * G499) - (300 * H499)) / E499, 2), " ")</f>
        <v>97.88</v>
      </c>
      <c r="AB499">
        <f>IF(AND(Table1[[#This Row],[Throw Out Pass Def Eff]]="N", Table1[[#This Row],[Against FCS Team]]="N"),200 - ROUND(((5.45 * P499) + (150 * R499) + (100 * S499) - (300 * T499)) / Q499, 2), " ")</f>
        <v>68.099999999999994</v>
      </c>
      <c r="AC499">
        <f>IF(AND(Table1[[#This Row],[Throw Out Rush Eff]]="N", Table1[[#This Row],[Against FCS Team]]="N"), ROUND(((23.2 * I499) + (150 * K499) - (300 * L499)) / J499, 2), " ")</f>
        <v>65.39</v>
      </c>
      <c r="AD499" s="3">
        <f>IF(AND(Table1[[#This Row],[Throw Out Rush Def Eff]]="N", Table1[[#This Row],[Against FCS Team]]="N"), 200 - ROUND(((23.2 * U499) + (150 * W499) - (300 * X499)) / V499, 2), " ")</f>
        <v>55.930000000000007</v>
      </c>
      <c r="AE499" s="3">
        <f>ROUND(Table1[[#This Row],[Opp Passing Attempts]]/(Table1[[#This Row],[Opp Passing Attempts]]+Table1[[#This Row],[Opp Rushing Attempts]]), 2)</f>
        <v>0.42</v>
      </c>
      <c r="AF499" s="3">
        <f>1-Table1[[#This Row],[Passing Weight]]</f>
        <v>0.58000000000000007</v>
      </c>
      <c r="AG499" s="3" t="str">
        <f>IF(COUNTIF(A:A,Table1[[#This Row],[Opp Team Name]]) &gt; 0, "N", "Y")</f>
        <v>N</v>
      </c>
      <c r="AH499" s="3" t="str">
        <f>IF(Table1[[#This Row],[Passing Attempts]] &lt;15, "Y", "N")</f>
        <v>N</v>
      </c>
      <c r="AI499" s="3" t="str">
        <f>IF(Table1[[#This Row],[Rushing Attempts]] &lt; 15, "Y", "N")</f>
        <v>N</v>
      </c>
      <c r="AJ499" s="3" t="str">
        <f>IF(Table1[[#This Row],[Opp Passing Attempts]]&lt;15, "Y", "N")</f>
        <v>N</v>
      </c>
      <c r="AK499" s="3" t="str">
        <f>IF(Table1[[#This Row],[Opp Rushing Attempts]]&lt;15, "Y", "N")</f>
        <v>N</v>
      </c>
      <c r="AL49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110.56</v>
      </c>
      <c r="AM49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96.21</v>
      </c>
      <c r="AN49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82.5</v>
      </c>
      <c r="AO49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81.64</v>
      </c>
      <c r="AP499" s="3">
        <f>ABS(Table1[[#This Row],[Team Score]]-Table1[[#This Row],[Opp Team Score]])</f>
        <v>42</v>
      </c>
      <c r="AQ499" s="3">
        <f>SUM(Table1[[#This Row],[Team Score]], Table1[[#This Row],[Opp Team Score]])</f>
        <v>56</v>
      </c>
      <c r="AR49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112.70000000000005</v>
      </c>
      <c r="AS499" s="3">
        <f>IF(Table1[[#This Row],[Efficiency Difference]] = " ", " ", ROUND((Table1[[#This Row],[Winning Margin]]*100)/Table1[[#This Row],[Efficiency Difference]], 2))</f>
        <v>37.270000000000003</v>
      </c>
    </row>
    <row r="500" spans="1:45">
      <c r="A500" t="s">
        <v>31</v>
      </c>
      <c r="B500">
        <v>503</v>
      </c>
      <c r="C500">
        <v>41</v>
      </c>
      <c r="D500">
        <v>370</v>
      </c>
      <c r="E500">
        <v>51</v>
      </c>
      <c r="F500">
        <v>2</v>
      </c>
      <c r="G500">
        <v>27</v>
      </c>
      <c r="H500">
        <v>2</v>
      </c>
      <c r="I500">
        <v>217</v>
      </c>
      <c r="J500">
        <v>44</v>
      </c>
      <c r="K500">
        <v>2</v>
      </c>
      <c r="L500">
        <v>0</v>
      </c>
      <c r="M500" t="s">
        <v>50</v>
      </c>
      <c r="N500">
        <v>129</v>
      </c>
      <c r="O500">
        <v>48</v>
      </c>
      <c r="P500">
        <v>387</v>
      </c>
      <c r="Q500">
        <v>28</v>
      </c>
      <c r="R500">
        <v>4</v>
      </c>
      <c r="S500">
        <v>17</v>
      </c>
      <c r="T500">
        <v>0</v>
      </c>
      <c r="U500">
        <v>176</v>
      </c>
      <c r="V500">
        <v>32</v>
      </c>
      <c r="W500">
        <v>2</v>
      </c>
      <c r="X500">
        <v>0</v>
      </c>
      <c r="Y500" t="s">
        <v>19</v>
      </c>
      <c r="Z500">
        <v>5</v>
      </c>
      <c r="AA500">
        <f>IF(AND(Table1[[#This Row],[Throw Out Pass Eff]]="N", Table1[[#This Row],[Against FCS Team]]="N"), ROUND(((5.45 * D500) + (150 * F500) + (100 * G500) - (300 * H500)) / E500, 2), " ")</f>
        <v>86.6</v>
      </c>
      <c r="AB500">
        <f>IF(AND(Table1[[#This Row],[Throw Out Pass Def Eff]]="N", Table1[[#This Row],[Against FCS Team]]="N"),200 - ROUND(((5.45 * P500) + (150 * R500) + (100 * S500) - (300 * T500)) / Q500, 2), " ")</f>
        <v>42.53</v>
      </c>
      <c r="AC500">
        <f>IF(AND(Table1[[#This Row],[Throw Out Rush Eff]]="N", Table1[[#This Row],[Against FCS Team]]="N"), ROUND(((23.2 * I500) + (150 * K500) - (300 * L500)) / J500, 2), " ")</f>
        <v>121.24</v>
      </c>
      <c r="AD500" s="3">
        <f>IF(AND(Table1[[#This Row],[Throw Out Rush Def Eff]]="N", Table1[[#This Row],[Against FCS Team]]="N"), 200 - ROUND(((23.2 * U500) + (150 * W500) - (300 * X500)) / V500, 2), " ")</f>
        <v>63.02000000000001</v>
      </c>
      <c r="AE500" s="3">
        <f>ROUND(Table1[[#This Row],[Opp Passing Attempts]]/(Table1[[#This Row],[Opp Passing Attempts]]+Table1[[#This Row],[Opp Rushing Attempts]]), 2)</f>
        <v>0.47</v>
      </c>
      <c r="AF500" s="3">
        <f>1-Table1[[#This Row],[Passing Weight]]</f>
        <v>0.53</v>
      </c>
      <c r="AG500" s="3" t="str">
        <f>IF(COUNTIF(A:A,Table1[[#This Row],[Opp Team Name]]) &gt; 0, "N", "Y")</f>
        <v>N</v>
      </c>
      <c r="AH500" s="3" t="str">
        <f>IF(Table1[[#This Row],[Passing Attempts]] &lt;15, "Y", "N")</f>
        <v>N</v>
      </c>
      <c r="AI500" s="3" t="str">
        <f>IF(Table1[[#This Row],[Rushing Attempts]] &lt; 15, "Y", "N")</f>
        <v>N</v>
      </c>
      <c r="AJ500" s="3" t="str">
        <f>IF(Table1[[#This Row],[Opp Passing Attempts]]&lt;15, "Y", "N")</f>
        <v>N</v>
      </c>
      <c r="AK500" s="3" t="str">
        <f>IF(Table1[[#This Row],[Opp Rushing Attempts]]&lt;15, "Y", "N")</f>
        <v>N</v>
      </c>
      <c r="AL50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80.77</v>
      </c>
      <c r="AM50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39.32</v>
      </c>
      <c r="AN50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105.1</v>
      </c>
      <c r="AO50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58.48</v>
      </c>
      <c r="AP500" s="3">
        <f>ABS(Table1[[#This Row],[Team Score]]-Table1[[#This Row],[Opp Team Score]])</f>
        <v>7</v>
      </c>
      <c r="AQ500" s="3">
        <f>SUM(Table1[[#This Row],[Team Score]], Table1[[#This Row],[Opp Team Score]])</f>
        <v>89</v>
      </c>
      <c r="AR50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86.610000000000014</v>
      </c>
      <c r="AS500" s="3">
        <f>IF(Table1[[#This Row],[Efficiency Difference]] = " ", " ", ROUND((Table1[[#This Row],[Winning Margin]]*100)/Table1[[#This Row],[Efficiency Difference]], 2))</f>
        <v>8.08</v>
      </c>
    </row>
    <row r="501" spans="1:45">
      <c r="A501" t="s">
        <v>31</v>
      </c>
      <c r="B501">
        <v>503</v>
      </c>
      <c r="C501">
        <v>40</v>
      </c>
      <c r="D501">
        <v>135</v>
      </c>
      <c r="E501">
        <v>19</v>
      </c>
      <c r="F501">
        <v>1</v>
      </c>
      <c r="G501">
        <v>15</v>
      </c>
      <c r="H501">
        <v>0</v>
      </c>
      <c r="I501">
        <v>209</v>
      </c>
      <c r="J501">
        <v>43</v>
      </c>
      <c r="K501">
        <v>2</v>
      </c>
      <c r="L501">
        <v>3</v>
      </c>
      <c r="M501" t="s">
        <v>21</v>
      </c>
      <c r="N501">
        <v>331</v>
      </c>
      <c r="O501">
        <v>10</v>
      </c>
      <c r="P501">
        <v>63</v>
      </c>
      <c r="Q501">
        <v>24</v>
      </c>
      <c r="R501">
        <v>0</v>
      </c>
      <c r="S501">
        <v>6</v>
      </c>
      <c r="T501">
        <v>1</v>
      </c>
      <c r="U501">
        <v>1</v>
      </c>
      <c r="V501">
        <v>38</v>
      </c>
      <c r="W501">
        <v>0</v>
      </c>
      <c r="X501">
        <v>2</v>
      </c>
      <c r="Y501" t="s">
        <v>16</v>
      </c>
      <c r="Z501">
        <v>6</v>
      </c>
      <c r="AA501">
        <f>IF(AND(Table1[[#This Row],[Throw Out Pass Eff]]="N", Table1[[#This Row],[Against FCS Team]]="N"), ROUND(((5.45 * D501) + (150 * F501) + (100 * G501) - (300 * H501)) / E501, 2), " ")</f>
        <v>125.57</v>
      </c>
      <c r="AB501">
        <f>IF(AND(Table1[[#This Row],[Throw Out Pass Def Eff]]="N", Table1[[#This Row],[Against FCS Team]]="N"),200 - ROUND(((5.45 * P501) + (150 * R501) + (100 * S501) - (300 * T501)) / Q501, 2), " ")</f>
        <v>173.19</v>
      </c>
      <c r="AC501">
        <f>IF(AND(Table1[[#This Row],[Throw Out Rush Eff]]="N", Table1[[#This Row],[Against FCS Team]]="N"), ROUND(((23.2 * I501) + (150 * K501) - (300 * L501)) / J501, 2), " ")</f>
        <v>98.81</v>
      </c>
      <c r="AD501" s="3">
        <f>IF(AND(Table1[[#This Row],[Throw Out Rush Def Eff]]="N", Table1[[#This Row],[Against FCS Team]]="N"), 200 - ROUND(((23.2 * U501) + (150 * W501) - (300 * X501)) / V501, 2), " ")</f>
        <v>215.18</v>
      </c>
      <c r="AE501" s="3">
        <f>ROUND(Table1[[#This Row],[Opp Passing Attempts]]/(Table1[[#This Row],[Opp Passing Attempts]]+Table1[[#This Row],[Opp Rushing Attempts]]), 2)</f>
        <v>0.39</v>
      </c>
      <c r="AF501" s="3">
        <f>1-Table1[[#This Row],[Passing Weight]]</f>
        <v>0.61</v>
      </c>
      <c r="AG501" s="3" t="str">
        <f>IF(COUNTIF(A:A,Table1[[#This Row],[Opp Team Name]]) &gt; 0, "N", "Y")</f>
        <v>N</v>
      </c>
      <c r="AH501" s="3" t="str">
        <f>IF(Table1[[#This Row],[Passing Attempts]] &lt;15, "Y", "N")</f>
        <v>N</v>
      </c>
      <c r="AI501" s="3" t="str">
        <f>IF(Table1[[#This Row],[Rushing Attempts]] &lt; 15, "Y", "N")</f>
        <v>N</v>
      </c>
      <c r="AJ501" s="3" t="str">
        <f>IF(Table1[[#This Row],[Opp Passing Attempts]]&lt;15, "Y", "N")</f>
        <v>N</v>
      </c>
      <c r="AK501" s="3" t="str">
        <f>IF(Table1[[#This Row],[Opp Rushing Attempts]]&lt;15, "Y", "N")</f>
        <v>N</v>
      </c>
      <c r="AL50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143.01</v>
      </c>
      <c r="AM50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82.08</v>
      </c>
      <c r="AN50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119.44</v>
      </c>
      <c r="AO50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63.93</v>
      </c>
      <c r="AP501" s="3">
        <f>ABS(Table1[[#This Row],[Team Score]]-Table1[[#This Row],[Opp Team Score]])</f>
        <v>30</v>
      </c>
      <c r="AQ501" s="3">
        <f>SUM(Table1[[#This Row],[Team Score]], Table1[[#This Row],[Opp Team Score]])</f>
        <v>50</v>
      </c>
      <c r="AR50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212.75</v>
      </c>
      <c r="AS501" s="3">
        <f>IF(Table1[[#This Row],[Efficiency Difference]] = " ", " ", ROUND((Table1[[#This Row],[Winning Margin]]*100)/Table1[[#This Row],[Efficiency Difference]], 2))</f>
        <v>14.1</v>
      </c>
    </row>
    <row r="502" spans="1:45">
      <c r="A502" t="s">
        <v>31</v>
      </c>
      <c r="B502">
        <v>503</v>
      </c>
      <c r="C502">
        <v>51</v>
      </c>
      <c r="D502">
        <v>203</v>
      </c>
      <c r="E502">
        <v>28</v>
      </c>
      <c r="F502">
        <v>0</v>
      </c>
      <c r="G502">
        <v>14</v>
      </c>
      <c r="H502">
        <v>1</v>
      </c>
      <c r="I502">
        <v>494</v>
      </c>
      <c r="J502">
        <v>54</v>
      </c>
      <c r="K502">
        <v>6</v>
      </c>
      <c r="L502">
        <v>1</v>
      </c>
      <c r="M502" t="s">
        <v>191</v>
      </c>
      <c r="N502">
        <v>774</v>
      </c>
      <c r="O502">
        <v>22</v>
      </c>
      <c r="P502">
        <v>233</v>
      </c>
      <c r="Q502">
        <v>48</v>
      </c>
      <c r="R502">
        <v>2</v>
      </c>
      <c r="S502">
        <v>29</v>
      </c>
      <c r="T502">
        <v>2</v>
      </c>
      <c r="U502">
        <v>91</v>
      </c>
      <c r="V502">
        <v>31</v>
      </c>
      <c r="W502">
        <v>0</v>
      </c>
      <c r="X502">
        <v>0</v>
      </c>
      <c r="Y502" t="s">
        <v>16</v>
      </c>
      <c r="Z502">
        <v>7</v>
      </c>
      <c r="AA502">
        <f>IF(AND(Table1[[#This Row],[Throw Out Pass Eff]]="N", Table1[[#This Row],[Against FCS Team]]="N"), ROUND(((5.45 * D502) + (150 * F502) + (100 * G502) - (300 * H502)) / E502, 2), " ")</f>
        <v>78.8</v>
      </c>
      <c r="AB502">
        <f>IF(AND(Table1[[#This Row],[Throw Out Pass Def Eff]]="N", Table1[[#This Row],[Against FCS Team]]="N"),200 - ROUND(((5.45 * P502) + (150 * R502) + (100 * S502) - (300 * T502)) / Q502, 2), " ")</f>
        <v>119.38</v>
      </c>
      <c r="AC502">
        <f>IF(AND(Table1[[#This Row],[Throw Out Rush Eff]]="N", Table1[[#This Row],[Against FCS Team]]="N"), ROUND(((23.2 * I502) + (150 * K502) - (300 * L502)) / J502, 2), " ")</f>
        <v>223.35</v>
      </c>
      <c r="AD502" s="3">
        <f>IF(AND(Table1[[#This Row],[Throw Out Rush Def Eff]]="N", Table1[[#This Row],[Against FCS Team]]="N"), 200 - ROUND(((23.2 * U502) + (150 * W502) - (300 * X502)) / V502, 2), " ")</f>
        <v>131.9</v>
      </c>
      <c r="AE502" s="3">
        <f>ROUND(Table1[[#This Row],[Opp Passing Attempts]]/(Table1[[#This Row],[Opp Passing Attempts]]+Table1[[#This Row],[Opp Rushing Attempts]]), 2)</f>
        <v>0.61</v>
      </c>
      <c r="AF502" s="3">
        <f>1-Table1[[#This Row],[Passing Weight]]</f>
        <v>0.39</v>
      </c>
      <c r="AG502" s="3" t="str">
        <f>IF(COUNTIF(A:A,Table1[[#This Row],[Opp Team Name]]) &gt; 0, "N", "Y")</f>
        <v>N</v>
      </c>
      <c r="AH502" s="3" t="str">
        <f>IF(Table1[[#This Row],[Passing Attempts]] &lt;15, "Y", "N")</f>
        <v>N</v>
      </c>
      <c r="AI502" s="3" t="str">
        <f>IF(Table1[[#This Row],[Rushing Attempts]] &lt; 15, "Y", "N")</f>
        <v>N</v>
      </c>
      <c r="AJ502" s="3" t="str">
        <f>IF(Table1[[#This Row],[Opp Passing Attempts]]&lt;15, "Y", "N")</f>
        <v>N</v>
      </c>
      <c r="AK502" s="3" t="str">
        <f>IF(Table1[[#This Row],[Opp Rushing Attempts]]&lt;15, "Y", "N")</f>
        <v>N</v>
      </c>
      <c r="AL50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83.23</v>
      </c>
      <c r="AM50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132.78</v>
      </c>
      <c r="AN50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163.56</v>
      </c>
      <c r="AO50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97.03</v>
      </c>
      <c r="AP502" s="3">
        <f>ABS(Table1[[#This Row],[Team Score]]-Table1[[#This Row],[Opp Team Score]])</f>
        <v>29</v>
      </c>
      <c r="AQ502" s="3">
        <f>SUM(Table1[[#This Row],[Team Score]], Table1[[#This Row],[Opp Team Score]])</f>
        <v>73</v>
      </c>
      <c r="AR50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153.42999999999998</v>
      </c>
      <c r="AS502" s="3">
        <f>IF(Table1[[#This Row],[Efficiency Difference]] = " ", " ", ROUND((Table1[[#This Row],[Winning Margin]]*100)/Table1[[#This Row],[Efficiency Difference]], 2))</f>
        <v>18.899999999999999</v>
      </c>
    </row>
    <row r="503" spans="1:45">
      <c r="A503" t="s">
        <v>31</v>
      </c>
      <c r="B503">
        <v>503</v>
      </c>
      <c r="C503">
        <v>31</v>
      </c>
      <c r="D503">
        <v>150</v>
      </c>
      <c r="E503">
        <v>26</v>
      </c>
      <c r="F503">
        <v>0</v>
      </c>
      <c r="G503">
        <v>11</v>
      </c>
      <c r="H503">
        <v>0</v>
      </c>
      <c r="I503">
        <v>178</v>
      </c>
      <c r="J503">
        <v>47</v>
      </c>
      <c r="K503">
        <v>4</v>
      </c>
      <c r="L503">
        <v>0</v>
      </c>
      <c r="M503" t="s">
        <v>44</v>
      </c>
      <c r="N503">
        <v>86</v>
      </c>
      <c r="O503">
        <v>30</v>
      </c>
      <c r="P503">
        <v>404</v>
      </c>
      <c r="Q503">
        <v>54</v>
      </c>
      <c r="R503">
        <v>3</v>
      </c>
      <c r="S503">
        <v>35</v>
      </c>
      <c r="T503">
        <v>2</v>
      </c>
      <c r="U503">
        <v>168</v>
      </c>
      <c r="V503">
        <v>38</v>
      </c>
      <c r="W503">
        <v>1</v>
      </c>
      <c r="X503">
        <v>3</v>
      </c>
      <c r="Y503" t="s">
        <v>16</v>
      </c>
      <c r="Z503">
        <v>8</v>
      </c>
      <c r="AA503" s="3">
        <f>IF(AND(Table1[[#This Row],[Throw Out Pass Eff]]="N", Table1[[#This Row],[Against FCS Team]]="N"), ROUND(((5.45 * D503) + (150 * F503) + (100 * G503) - (300 * H503)) / E503, 2), " ")</f>
        <v>73.75</v>
      </c>
      <c r="AB503" s="3">
        <f>IF(AND(Table1[[#This Row],[Throw Out Pass Def Eff]]="N", Table1[[#This Row],[Against FCS Team]]="N"),200 - ROUND(((5.45 * P503) + (150 * R503) + (100 * S503) - (300 * T503)) / Q503, 2), " ")</f>
        <v>97.19</v>
      </c>
      <c r="AC503" s="3">
        <f>IF(AND(Table1[[#This Row],[Throw Out Rush Eff]]="N", Table1[[#This Row],[Against FCS Team]]="N"), ROUND(((23.2 * I503) + (150 * K503) - (300 * L503)) / J503, 2), " ")</f>
        <v>100.63</v>
      </c>
      <c r="AD503" s="3">
        <f>IF(AND(Table1[[#This Row],[Throw Out Rush Def Eff]]="N", Table1[[#This Row],[Against FCS Team]]="N"), 200 - ROUND(((23.2 * U503) + (150 * W503) - (300 * X503)) / V503, 2), " ")</f>
        <v>117.17</v>
      </c>
      <c r="AE503" s="3">
        <f>ROUND(Table1[[#This Row],[Opp Passing Attempts]]/(Table1[[#This Row],[Opp Passing Attempts]]+Table1[[#This Row],[Opp Rushing Attempts]]), 2)</f>
        <v>0.59</v>
      </c>
      <c r="AF503" s="3">
        <f>1-Table1[[#This Row],[Passing Weight]]</f>
        <v>0.41000000000000003</v>
      </c>
      <c r="AG503" s="3" t="str">
        <f>IF(COUNTIF(A:A,Table1[[#This Row],[Opp Team Name]]) &gt; 0, "N", "Y")</f>
        <v>N</v>
      </c>
      <c r="AH503" s="3" t="str">
        <f>IF(Table1[[#This Row],[Passing Attempts]] &lt;15, "Y", "N")</f>
        <v>N</v>
      </c>
      <c r="AI503" s="3" t="str">
        <f>IF(Table1[[#This Row],[Rushing Attempts]] &lt; 15, "Y", "N")</f>
        <v>N</v>
      </c>
      <c r="AJ503" s="3" t="str">
        <f>IF(Table1[[#This Row],[Opp Passing Attempts]]&lt;15, "Y", "N")</f>
        <v>N</v>
      </c>
      <c r="AK503" s="3" t="str">
        <f>IF(Table1[[#This Row],[Opp Rushing Attempts]]&lt;15, "Y", "N")</f>
        <v>N</v>
      </c>
      <c r="AL50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69.27</v>
      </c>
      <c r="AM50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81.62</v>
      </c>
      <c r="AN50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82.96</v>
      </c>
      <c r="AO50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109.06</v>
      </c>
      <c r="AP503" s="3">
        <f>ABS(Table1[[#This Row],[Team Score]]-Table1[[#This Row],[Opp Team Score]])</f>
        <v>1</v>
      </c>
      <c r="AQ503" s="3">
        <f>SUM(Table1[[#This Row],[Team Score]], Table1[[#This Row],[Opp Team Score]])</f>
        <v>61</v>
      </c>
      <c r="AR50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11.259999999999991</v>
      </c>
      <c r="AS503" s="3">
        <f>IF(Table1[[#This Row],[Efficiency Difference]] = " ", " ", ROUND((Table1[[#This Row],[Winning Margin]]*100)/Table1[[#This Row],[Efficiency Difference]], 2))</f>
        <v>8.8800000000000008</v>
      </c>
    </row>
    <row r="504" spans="1:45">
      <c r="A504" t="s">
        <v>41</v>
      </c>
      <c r="B504">
        <v>509</v>
      </c>
      <c r="C504">
        <v>42</v>
      </c>
      <c r="D504">
        <v>117</v>
      </c>
      <c r="E504">
        <v>16</v>
      </c>
      <c r="F504">
        <v>1</v>
      </c>
      <c r="G504">
        <v>12</v>
      </c>
      <c r="H504">
        <v>0</v>
      </c>
      <c r="I504">
        <v>320</v>
      </c>
      <c r="J504">
        <v>67</v>
      </c>
      <c r="K504">
        <v>5</v>
      </c>
      <c r="L504">
        <v>0</v>
      </c>
      <c r="M504" t="s">
        <v>182</v>
      </c>
      <c r="N504">
        <v>201</v>
      </c>
      <c r="O504">
        <v>21</v>
      </c>
      <c r="P504">
        <v>209</v>
      </c>
      <c r="Q504">
        <v>25</v>
      </c>
      <c r="R504">
        <v>1</v>
      </c>
      <c r="S504">
        <v>14</v>
      </c>
      <c r="T504">
        <v>1</v>
      </c>
      <c r="U504">
        <v>132</v>
      </c>
      <c r="V504">
        <v>26</v>
      </c>
      <c r="W504">
        <v>2</v>
      </c>
      <c r="X504">
        <v>1</v>
      </c>
      <c r="Y504" t="s">
        <v>16</v>
      </c>
      <c r="Z504">
        <v>2</v>
      </c>
      <c r="AA504" t="str">
        <f>IF(AND(Table1[[#This Row],[Throw Out Pass Eff]]="N", Table1[[#This Row],[Against FCS Team]]="N"), ROUND(((5.45 * D504) + (150 * F504) + (100 * G504) - (300 * H504)) / E504, 2), " ")</f>
        <v xml:space="preserve"> </v>
      </c>
      <c r="AB504" t="str">
        <f>IF(AND(Table1[[#This Row],[Throw Out Pass Def Eff]]="N", Table1[[#This Row],[Against FCS Team]]="N"),200 - ROUND(((5.45 * P504) + (150 * R504) + (100 * S504) - (300 * T504)) / Q504, 2), " ")</f>
        <v xml:space="preserve"> </v>
      </c>
      <c r="AC504" t="str">
        <f>IF(AND(Table1[[#This Row],[Throw Out Rush Eff]]="N", Table1[[#This Row],[Against FCS Team]]="N"), ROUND(((23.2 * I504) + (150 * K504) - (300 * L504)) / J504, 2), " ")</f>
        <v xml:space="preserve"> </v>
      </c>
      <c r="AD504" s="3" t="str">
        <f>IF(AND(Table1[[#This Row],[Throw Out Rush Def Eff]]="N", Table1[[#This Row],[Against FCS Team]]="N"), 200 - ROUND(((23.2 * U504) + (150 * W504) - (300 * X504)) / V504, 2), " ")</f>
        <v xml:space="preserve"> </v>
      </c>
      <c r="AE504" s="3">
        <f>ROUND(Table1[[#This Row],[Opp Passing Attempts]]/(Table1[[#This Row],[Opp Passing Attempts]]+Table1[[#This Row],[Opp Rushing Attempts]]), 2)</f>
        <v>0.49</v>
      </c>
      <c r="AF504" s="3">
        <f>1-Table1[[#This Row],[Passing Weight]]</f>
        <v>0.51</v>
      </c>
      <c r="AG504" s="3" t="str">
        <f>IF(COUNTIF(A:A,Table1[[#This Row],[Opp Team Name]]) &gt; 0, "N", "Y")</f>
        <v>Y</v>
      </c>
      <c r="AH504" s="3" t="str">
        <f>IF(Table1[[#This Row],[Passing Attempts]] &lt;15, "Y", "N")</f>
        <v>N</v>
      </c>
      <c r="AI504" s="3" t="str">
        <f>IF(Table1[[#This Row],[Rushing Attempts]] &lt; 15, "Y", "N")</f>
        <v>N</v>
      </c>
      <c r="AJ504" s="3" t="str">
        <f>IF(Table1[[#This Row],[Opp Passing Attempts]]&lt;15, "Y", "N")</f>
        <v>N</v>
      </c>
      <c r="AK504" s="3" t="str">
        <f>IF(Table1[[#This Row],[Opp Rushing Attempts]]&lt;15, "Y", "N")</f>
        <v>N</v>
      </c>
      <c r="AL50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0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0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0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504" s="3">
        <f>ABS(Table1[[#This Row],[Team Score]]-Table1[[#This Row],[Opp Team Score]])</f>
        <v>21</v>
      </c>
      <c r="AQ504" s="3">
        <f>SUM(Table1[[#This Row],[Team Score]], Table1[[#This Row],[Opp Team Score]])</f>
        <v>63</v>
      </c>
      <c r="AR50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04" s="3" t="str">
        <f>IF(Table1[[#This Row],[Efficiency Difference]] = " ", " ", ROUND((Table1[[#This Row],[Winning Margin]]*100)/Table1[[#This Row],[Efficiency Difference]], 2))</f>
        <v xml:space="preserve"> </v>
      </c>
    </row>
    <row r="505" spans="1:45">
      <c r="A505" t="s">
        <v>41</v>
      </c>
      <c r="B505">
        <v>509</v>
      </c>
      <c r="C505">
        <v>24</v>
      </c>
      <c r="D505">
        <v>197</v>
      </c>
      <c r="E505">
        <v>24</v>
      </c>
      <c r="F505">
        <v>0</v>
      </c>
      <c r="G505">
        <v>17</v>
      </c>
      <c r="H505">
        <v>1</v>
      </c>
      <c r="I505">
        <v>227</v>
      </c>
      <c r="J505">
        <v>54</v>
      </c>
      <c r="K505">
        <v>3</v>
      </c>
      <c r="L505">
        <v>0</v>
      </c>
      <c r="M505" t="s">
        <v>40</v>
      </c>
      <c r="N505">
        <v>67</v>
      </c>
      <c r="O505">
        <v>17</v>
      </c>
      <c r="P505">
        <v>351</v>
      </c>
      <c r="Q505">
        <v>44</v>
      </c>
      <c r="R505">
        <v>0</v>
      </c>
      <c r="S505">
        <v>24</v>
      </c>
      <c r="T505">
        <v>1</v>
      </c>
      <c r="U505">
        <v>104</v>
      </c>
      <c r="V505">
        <v>30</v>
      </c>
      <c r="W505">
        <v>2</v>
      </c>
      <c r="X505">
        <v>0</v>
      </c>
      <c r="Y505" t="s">
        <v>16</v>
      </c>
      <c r="Z505">
        <v>1</v>
      </c>
      <c r="AA505">
        <f>IF(AND(Table1[[#This Row],[Throw Out Pass Eff]]="N", Table1[[#This Row],[Against FCS Team]]="N"), ROUND(((5.45 * D505) + (150 * F505) + (100 * G505) - (300 * H505)) / E505, 2), " ")</f>
        <v>103.07</v>
      </c>
      <c r="AB505">
        <f>IF(AND(Table1[[#This Row],[Throw Out Pass Def Eff]]="N", Table1[[#This Row],[Against FCS Team]]="N"),200 - ROUND(((5.45 * P505) + (150 * R505) + (100 * S505) - (300 * T505)) / Q505, 2), " ")</f>
        <v>108.8</v>
      </c>
      <c r="AC505">
        <f>IF(AND(Table1[[#This Row],[Throw Out Rush Eff]]="N", Table1[[#This Row],[Against FCS Team]]="N"), ROUND(((23.2 * I505) + (150 * K505) - (300 * L505)) / J505, 2), " ")</f>
        <v>105.86</v>
      </c>
      <c r="AD505" s="3">
        <f>IF(AND(Table1[[#This Row],[Throw Out Rush Def Eff]]="N", Table1[[#This Row],[Against FCS Team]]="N"), 200 - ROUND(((23.2 * U505) + (150 * W505) - (300 * X505)) / V505, 2), " ")</f>
        <v>109.57</v>
      </c>
      <c r="AE505" s="3">
        <f>ROUND(Table1[[#This Row],[Opp Passing Attempts]]/(Table1[[#This Row],[Opp Passing Attempts]]+Table1[[#This Row],[Opp Rushing Attempts]]), 2)</f>
        <v>0.59</v>
      </c>
      <c r="AF505" s="3">
        <f>1-Table1[[#This Row],[Passing Weight]]</f>
        <v>0.41000000000000003</v>
      </c>
      <c r="AG505" s="3" t="str">
        <f>IF(COUNTIF(A:A,Table1[[#This Row],[Opp Team Name]]) &gt; 0, "N", "Y")</f>
        <v>N</v>
      </c>
      <c r="AH505" s="3" t="str">
        <f>IF(Table1[[#This Row],[Passing Attempts]] &lt;15, "Y", "N")</f>
        <v>N</v>
      </c>
      <c r="AI505" s="3" t="str">
        <f>IF(Table1[[#This Row],[Rushing Attempts]] &lt; 15, "Y", "N")</f>
        <v>N</v>
      </c>
      <c r="AJ505" s="3" t="str">
        <f>IF(Table1[[#This Row],[Opp Passing Attempts]]&lt;15, "Y", "N")</f>
        <v>N</v>
      </c>
      <c r="AK505" s="3" t="str">
        <f>IF(Table1[[#This Row],[Opp Rushing Attempts]]&lt;15, "Y", "N")</f>
        <v>N</v>
      </c>
      <c r="AL50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90.95</v>
      </c>
      <c r="AM50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81.96</v>
      </c>
      <c r="AN50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99.14</v>
      </c>
      <c r="AO50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85.49</v>
      </c>
      <c r="AP505" s="3">
        <f>ABS(Table1[[#This Row],[Team Score]]-Table1[[#This Row],[Opp Team Score]])</f>
        <v>7</v>
      </c>
      <c r="AQ505" s="3">
        <f>SUM(Table1[[#This Row],[Team Score]], Table1[[#This Row],[Opp Team Score]])</f>
        <v>41</v>
      </c>
      <c r="AR50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27.300000000000011</v>
      </c>
      <c r="AS505" s="3">
        <f>IF(Table1[[#This Row],[Efficiency Difference]] = " ", " ", ROUND((Table1[[#This Row],[Winning Margin]]*100)/Table1[[#This Row],[Efficiency Difference]], 2))</f>
        <v>25.64</v>
      </c>
    </row>
    <row r="506" spans="1:45">
      <c r="A506" t="s">
        <v>41</v>
      </c>
      <c r="B506">
        <v>509</v>
      </c>
      <c r="C506">
        <v>14</v>
      </c>
      <c r="D506">
        <v>194</v>
      </c>
      <c r="E506">
        <v>30</v>
      </c>
      <c r="F506">
        <v>2</v>
      </c>
      <c r="G506">
        <v>17</v>
      </c>
      <c r="H506">
        <v>0</v>
      </c>
      <c r="I506">
        <v>115</v>
      </c>
      <c r="J506">
        <v>27</v>
      </c>
      <c r="K506">
        <v>0</v>
      </c>
      <c r="L506">
        <v>0</v>
      </c>
      <c r="M506" t="s">
        <v>30</v>
      </c>
      <c r="N506">
        <v>725</v>
      </c>
      <c r="O506">
        <v>21</v>
      </c>
      <c r="P506">
        <v>6</v>
      </c>
      <c r="Q506">
        <v>7</v>
      </c>
      <c r="R506">
        <v>0</v>
      </c>
      <c r="S506">
        <v>1</v>
      </c>
      <c r="T506">
        <v>0</v>
      </c>
      <c r="U506">
        <v>381</v>
      </c>
      <c r="V506">
        <v>75</v>
      </c>
      <c r="W506">
        <v>3</v>
      </c>
      <c r="X506">
        <v>1</v>
      </c>
      <c r="Y506" t="s">
        <v>19</v>
      </c>
      <c r="Z506">
        <v>3</v>
      </c>
      <c r="AA506">
        <f>IF(AND(Table1[[#This Row],[Throw Out Pass Eff]]="N", Table1[[#This Row],[Against FCS Team]]="N"), ROUND(((5.45 * D506) + (150 * F506) + (100 * G506) - (300 * H506)) / E506, 2), " ")</f>
        <v>101.91</v>
      </c>
      <c r="AB506" t="str">
        <f>IF(AND(Table1[[#This Row],[Throw Out Pass Def Eff]]="N", Table1[[#This Row],[Against FCS Team]]="N"),200 - ROUND(((5.45 * P506) + (150 * R506) + (100 * S506) - (300 * T506)) / Q506, 2), " ")</f>
        <v xml:space="preserve"> </v>
      </c>
      <c r="AC506">
        <f>IF(AND(Table1[[#This Row],[Throw Out Rush Eff]]="N", Table1[[#This Row],[Against FCS Team]]="N"), ROUND(((23.2 * I506) + (150 * K506) - (300 * L506)) / J506, 2), " ")</f>
        <v>98.81</v>
      </c>
      <c r="AD506" s="3">
        <f>IF(AND(Table1[[#This Row],[Throw Out Rush Def Eff]]="N", Table1[[#This Row],[Against FCS Team]]="N"), 200 - ROUND(((23.2 * U506) + (150 * W506) - (300 * X506)) / V506, 2), " ")</f>
        <v>80.14</v>
      </c>
      <c r="AE506" s="3">
        <f>ROUND(Table1[[#This Row],[Opp Passing Attempts]]/(Table1[[#This Row],[Opp Passing Attempts]]+Table1[[#This Row],[Opp Rushing Attempts]]), 2)</f>
        <v>0.09</v>
      </c>
      <c r="AF506" s="3">
        <f>1-Table1[[#This Row],[Passing Weight]]</f>
        <v>0.91</v>
      </c>
      <c r="AG506" s="3" t="str">
        <f>IF(COUNTIF(A:A,Table1[[#This Row],[Opp Team Name]]) &gt; 0, "N", "Y")</f>
        <v>N</v>
      </c>
      <c r="AH506" s="3" t="str">
        <f>IF(Table1[[#This Row],[Passing Attempts]] &lt;15, "Y", "N")</f>
        <v>N</v>
      </c>
      <c r="AI506" s="3" t="str">
        <f>IF(Table1[[#This Row],[Rushing Attempts]] &lt; 15, "Y", "N")</f>
        <v>N</v>
      </c>
      <c r="AJ506" s="3" t="str">
        <f>IF(Table1[[#This Row],[Opp Passing Attempts]]&lt;15, "Y", "N")</f>
        <v>Y</v>
      </c>
      <c r="AK506" s="3" t="str">
        <f>IF(Table1[[#This Row],[Opp Rushing Attempts]]&lt;15, "Y", "N")</f>
        <v>N</v>
      </c>
      <c r="AL50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99.68</v>
      </c>
      <c r="AM50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0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78.510000000000005</v>
      </c>
      <c r="AO50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99.6</v>
      </c>
      <c r="AP506" s="3">
        <f>ABS(Table1[[#This Row],[Team Score]]-Table1[[#This Row],[Opp Team Score]])</f>
        <v>7</v>
      </c>
      <c r="AQ506" s="3">
        <f>SUM(Table1[[#This Row],[Team Score]], Table1[[#This Row],[Opp Team Score]])</f>
        <v>35</v>
      </c>
      <c r="AR50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06" s="3" t="str">
        <f>IF(Table1[[#This Row],[Efficiency Difference]] = " ", " ", ROUND((Table1[[#This Row],[Winning Margin]]*100)/Table1[[#This Row],[Efficiency Difference]], 2))</f>
        <v xml:space="preserve"> </v>
      </c>
    </row>
    <row r="507" spans="1:45">
      <c r="A507" t="s">
        <v>41</v>
      </c>
      <c r="B507">
        <v>509</v>
      </c>
      <c r="C507">
        <v>35</v>
      </c>
      <c r="D507">
        <v>160</v>
      </c>
      <c r="E507">
        <v>16</v>
      </c>
      <c r="F507">
        <v>4</v>
      </c>
      <c r="G507">
        <v>12</v>
      </c>
      <c r="H507">
        <v>0</v>
      </c>
      <c r="I507">
        <v>169</v>
      </c>
      <c r="J507">
        <v>51</v>
      </c>
      <c r="K507">
        <v>1</v>
      </c>
      <c r="L507">
        <v>1</v>
      </c>
      <c r="M507" t="s">
        <v>29</v>
      </c>
      <c r="N507">
        <v>301</v>
      </c>
      <c r="O507">
        <v>38</v>
      </c>
      <c r="P507">
        <v>391</v>
      </c>
      <c r="Q507">
        <v>32</v>
      </c>
      <c r="R507">
        <v>3</v>
      </c>
      <c r="S507">
        <v>21</v>
      </c>
      <c r="T507">
        <v>1</v>
      </c>
      <c r="U507">
        <v>82</v>
      </c>
      <c r="V507">
        <v>38</v>
      </c>
      <c r="W507">
        <v>2</v>
      </c>
      <c r="X507">
        <v>2</v>
      </c>
      <c r="Y507" t="s">
        <v>19</v>
      </c>
      <c r="Z507">
        <v>5</v>
      </c>
      <c r="AA507">
        <f>IF(AND(Table1[[#This Row],[Throw Out Pass Eff]]="N", Table1[[#This Row],[Against FCS Team]]="N"), ROUND(((5.45 * D507) + (150 * F507) + (100 * G507) - (300 * H507)) / E507, 2), " ")</f>
        <v>167</v>
      </c>
      <c r="AB507">
        <f>IF(AND(Table1[[#This Row],[Throw Out Pass Def Eff]]="N", Table1[[#This Row],[Against FCS Team]]="N"),200 - ROUND(((5.45 * P507) + (150 * R507) + (100 * S507) - (300 * T507)) / Q507, 2), " ")</f>
        <v>63.099999999999994</v>
      </c>
      <c r="AC507">
        <f>IF(AND(Table1[[#This Row],[Throw Out Rush Eff]]="N", Table1[[#This Row],[Against FCS Team]]="N"), ROUND(((23.2 * I507) + (150 * K507) - (300 * L507)) / J507, 2), " ")</f>
        <v>73.94</v>
      </c>
      <c r="AD507" s="3">
        <f>IF(AND(Table1[[#This Row],[Throw Out Rush Def Eff]]="N", Table1[[#This Row],[Against FCS Team]]="N"), 200 - ROUND(((23.2 * U507) + (150 * W507) - (300 * X507)) / V507, 2), " ")</f>
        <v>157.82999999999998</v>
      </c>
      <c r="AE507" s="3">
        <f>ROUND(Table1[[#This Row],[Opp Passing Attempts]]/(Table1[[#This Row],[Opp Passing Attempts]]+Table1[[#This Row],[Opp Rushing Attempts]]), 2)</f>
        <v>0.46</v>
      </c>
      <c r="AF507" s="3">
        <f>1-Table1[[#This Row],[Passing Weight]]</f>
        <v>0.54</v>
      </c>
      <c r="AG507" s="3" t="str">
        <f>IF(COUNTIF(A:A,Table1[[#This Row],[Opp Team Name]]) &gt; 0, "N", "Y")</f>
        <v>N</v>
      </c>
      <c r="AH507" s="3" t="str">
        <f>IF(Table1[[#This Row],[Passing Attempts]] &lt;15, "Y", "N")</f>
        <v>N</v>
      </c>
      <c r="AI507" s="3" t="str">
        <f>IF(Table1[[#This Row],[Rushing Attempts]] &lt; 15, "Y", "N")</f>
        <v>N</v>
      </c>
      <c r="AJ507" s="3" t="str">
        <f>IF(Table1[[#This Row],[Opp Passing Attempts]]&lt;15, "Y", "N")</f>
        <v>N</v>
      </c>
      <c r="AK507" s="3" t="str">
        <f>IF(Table1[[#This Row],[Opp Rushing Attempts]]&lt;15, "Y", "N")</f>
        <v>N</v>
      </c>
      <c r="AL50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158.61000000000001</v>
      </c>
      <c r="AM50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69.53</v>
      </c>
      <c r="AN50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103.81</v>
      </c>
      <c r="AO50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134.41999999999999</v>
      </c>
      <c r="AP507" s="3">
        <f>ABS(Table1[[#This Row],[Team Score]]-Table1[[#This Row],[Opp Team Score]])</f>
        <v>3</v>
      </c>
      <c r="AQ507" s="3">
        <f>SUM(Table1[[#This Row],[Team Score]], Table1[[#This Row],[Opp Team Score]])</f>
        <v>73</v>
      </c>
      <c r="AR50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61.869999999999976</v>
      </c>
      <c r="AS507" s="3">
        <f>IF(Table1[[#This Row],[Efficiency Difference]] = " ", " ", ROUND((Table1[[#This Row],[Winning Margin]]*100)/Table1[[#This Row],[Efficiency Difference]], 2))</f>
        <v>4.8499999999999996</v>
      </c>
    </row>
    <row r="508" spans="1:45">
      <c r="A508" t="s">
        <v>41</v>
      </c>
      <c r="B508">
        <v>509</v>
      </c>
      <c r="C508">
        <v>24</v>
      </c>
      <c r="D508">
        <v>331</v>
      </c>
      <c r="E508">
        <v>45</v>
      </c>
      <c r="F508">
        <v>0</v>
      </c>
      <c r="G508">
        <v>32</v>
      </c>
      <c r="H508">
        <v>1</v>
      </c>
      <c r="I508">
        <v>107</v>
      </c>
      <c r="J508">
        <v>25</v>
      </c>
      <c r="K508">
        <v>3</v>
      </c>
      <c r="L508">
        <v>1</v>
      </c>
      <c r="M508" t="s">
        <v>180</v>
      </c>
      <c r="N508">
        <v>418</v>
      </c>
      <c r="O508">
        <v>42</v>
      </c>
      <c r="P508">
        <v>362</v>
      </c>
      <c r="Q508">
        <v>28</v>
      </c>
      <c r="R508">
        <v>2</v>
      </c>
      <c r="S508">
        <v>19</v>
      </c>
      <c r="T508">
        <v>3</v>
      </c>
      <c r="U508">
        <v>179</v>
      </c>
      <c r="V508">
        <v>50</v>
      </c>
      <c r="W508">
        <v>4</v>
      </c>
      <c r="X508">
        <v>0</v>
      </c>
      <c r="Y508" t="s">
        <v>19</v>
      </c>
      <c r="Z508">
        <v>6</v>
      </c>
      <c r="AA508">
        <f>IF(AND(Table1[[#This Row],[Throw Out Pass Eff]]="N", Table1[[#This Row],[Against FCS Team]]="N"), ROUND(((5.45 * D508) + (150 * F508) + (100 * G508) - (300 * H508)) / E508, 2), " ")</f>
        <v>104.53</v>
      </c>
      <c r="AB508">
        <f>IF(AND(Table1[[#This Row],[Throw Out Pass Def Eff]]="N", Table1[[#This Row],[Against FCS Team]]="N"),200 - ROUND(((5.45 * P508) + (150 * R508) + (100 * S508) - (300 * T508)) / Q508, 2), " ")</f>
        <v>83.11</v>
      </c>
      <c r="AC508">
        <f>IF(AND(Table1[[#This Row],[Throw Out Rush Eff]]="N", Table1[[#This Row],[Against FCS Team]]="N"), ROUND(((23.2 * I508) + (150 * K508) - (300 * L508)) / J508, 2), " ")</f>
        <v>105.3</v>
      </c>
      <c r="AD508" s="3">
        <f>IF(AND(Table1[[#This Row],[Throw Out Rush Def Eff]]="N", Table1[[#This Row],[Against FCS Team]]="N"), 200 - ROUND(((23.2 * U508) + (150 * W508) - (300 * X508)) / V508, 2), " ")</f>
        <v>104.94</v>
      </c>
      <c r="AE508" s="3">
        <f>ROUND(Table1[[#This Row],[Opp Passing Attempts]]/(Table1[[#This Row],[Opp Passing Attempts]]+Table1[[#This Row],[Opp Rushing Attempts]]), 2)</f>
        <v>0.36</v>
      </c>
      <c r="AF508" s="3">
        <f>1-Table1[[#This Row],[Passing Weight]]</f>
        <v>0.64</v>
      </c>
      <c r="AG508" s="3" t="str">
        <f>IF(COUNTIF(A:A,Table1[[#This Row],[Opp Team Name]]) &gt; 0, "N", "Y")</f>
        <v>N</v>
      </c>
      <c r="AH508" s="3" t="str">
        <f>IF(Table1[[#This Row],[Passing Attempts]] &lt;15, "Y", "N")</f>
        <v>N</v>
      </c>
      <c r="AI508" s="3" t="str">
        <f>IF(Table1[[#This Row],[Rushing Attempts]] &lt; 15, "Y", "N")</f>
        <v>N</v>
      </c>
      <c r="AJ508" s="3" t="str">
        <f>IF(Table1[[#This Row],[Opp Passing Attempts]]&lt;15, "Y", "N")</f>
        <v>N</v>
      </c>
      <c r="AK508" s="3" t="str">
        <f>IF(Table1[[#This Row],[Opp Rushing Attempts]]&lt;15, "Y", "N")</f>
        <v>N</v>
      </c>
      <c r="AL50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112.19</v>
      </c>
      <c r="AM50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74.37</v>
      </c>
      <c r="AN50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114.79</v>
      </c>
      <c r="AO50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138.13999999999999</v>
      </c>
      <c r="AP508" s="3">
        <f>ABS(Table1[[#This Row],[Team Score]]-Table1[[#This Row],[Opp Team Score]])</f>
        <v>18</v>
      </c>
      <c r="AQ508" s="3">
        <f>SUM(Table1[[#This Row],[Team Score]], Table1[[#This Row],[Opp Team Score]])</f>
        <v>66</v>
      </c>
      <c r="AR50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2.1200000000000045</v>
      </c>
      <c r="AS508" s="3">
        <f>IF(Table1[[#This Row],[Efficiency Difference]] = " ", " ", ROUND((Table1[[#This Row],[Winning Margin]]*100)/Table1[[#This Row],[Efficiency Difference]], 2))</f>
        <v>849.06</v>
      </c>
    </row>
    <row r="509" spans="1:45">
      <c r="A509" t="s">
        <v>41</v>
      </c>
      <c r="B509">
        <v>509</v>
      </c>
      <c r="C509">
        <v>31</v>
      </c>
      <c r="D509">
        <v>342</v>
      </c>
      <c r="E509">
        <v>51</v>
      </c>
      <c r="F509">
        <v>3</v>
      </c>
      <c r="G509">
        <v>37</v>
      </c>
      <c r="H509">
        <v>1</v>
      </c>
      <c r="I509">
        <v>153</v>
      </c>
      <c r="J509">
        <v>41</v>
      </c>
      <c r="K509">
        <v>1</v>
      </c>
      <c r="L509">
        <v>1</v>
      </c>
      <c r="M509" t="s">
        <v>76</v>
      </c>
      <c r="N509">
        <v>312</v>
      </c>
      <c r="O509">
        <v>41</v>
      </c>
      <c r="P509">
        <v>224</v>
      </c>
      <c r="Q509">
        <v>22</v>
      </c>
      <c r="R509">
        <v>2</v>
      </c>
      <c r="S509">
        <v>14</v>
      </c>
      <c r="T509">
        <v>1</v>
      </c>
      <c r="U509">
        <v>155</v>
      </c>
      <c r="V509">
        <v>28</v>
      </c>
      <c r="W509">
        <v>2</v>
      </c>
      <c r="X509">
        <v>0</v>
      </c>
      <c r="Y509" t="s">
        <v>19</v>
      </c>
      <c r="Z509">
        <v>7</v>
      </c>
      <c r="AA509">
        <f>IF(AND(Table1[[#This Row],[Throw Out Pass Eff]]="N", Table1[[#This Row],[Against FCS Team]]="N"), ROUND(((5.45 * D509) + (150 * F509) + (100 * G509) - (300 * H509)) / E509, 2), " ")</f>
        <v>112.04</v>
      </c>
      <c r="AB509">
        <f>IF(AND(Table1[[#This Row],[Throw Out Pass Def Eff]]="N", Table1[[#This Row],[Against FCS Team]]="N"),200 - ROUND(((5.45 * P509) + (150 * R509) + (100 * S509) - (300 * T509)) / Q509, 2), " ")</f>
        <v>80.87</v>
      </c>
      <c r="AC509">
        <f>IF(AND(Table1[[#This Row],[Throw Out Rush Eff]]="N", Table1[[#This Row],[Against FCS Team]]="N"), ROUND(((23.2 * I509) + (150 * K509) - (300 * L509)) / J509, 2), " ")</f>
        <v>82.92</v>
      </c>
      <c r="AD509" s="3">
        <f>IF(AND(Table1[[#This Row],[Throw Out Rush Def Eff]]="N", Table1[[#This Row],[Against FCS Team]]="N"), 200 - ROUND(((23.2 * U509) + (150 * W509) - (300 * X509)) / V509, 2), " ")</f>
        <v>60.860000000000014</v>
      </c>
      <c r="AE509" s="3">
        <f>ROUND(Table1[[#This Row],[Opp Passing Attempts]]/(Table1[[#This Row],[Opp Passing Attempts]]+Table1[[#This Row],[Opp Rushing Attempts]]), 2)</f>
        <v>0.44</v>
      </c>
      <c r="AF509" s="3">
        <f>1-Table1[[#This Row],[Passing Weight]]</f>
        <v>0.56000000000000005</v>
      </c>
      <c r="AG509" s="3" t="str">
        <f>IF(COUNTIF(A:A,Table1[[#This Row],[Opp Team Name]]) &gt; 0, "N", "Y")</f>
        <v>N</v>
      </c>
      <c r="AH509" s="3" t="str">
        <f>IF(Table1[[#This Row],[Passing Attempts]] &lt;15, "Y", "N")</f>
        <v>N</v>
      </c>
      <c r="AI509" s="3" t="str">
        <f>IF(Table1[[#This Row],[Rushing Attempts]] &lt; 15, "Y", "N")</f>
        <v>N</v>
      </c>
      <c r="AJ509" s="3" t="str">
        <f>IF(Table1[[#This Row],[Opp Passing Attempts]]&lt;15, "Y", "N")</f>
        <v>N</v>
      </c>
      <c r="AK509" s="3" t="str">
        <f>IF(Table1[[#This Row],[Opp Rushing Attempts]]&lt;15, "Y", "N")</f>
        <v>N</v>
      </c>
      <c r="AL50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102.4</v>
      </c>
      <c r="AM50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97.05</v>
      </c>
      <c r="AN50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93.79</v>
      </c>
      <c r="AO50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59.22</v>
      </c>
      <c r="AP509" s="3">
        <f>ABS(Table1[[#This Row],[Team Score]]-Table1[[#This Row],[Opp Team Score]])</f>
        <v>10</v>
      </c>
      <c r="AQ509" s="3">
        <f>SUM(Table1[[#This Row],[Team Score]], Table1[[#This Row],[Opp Team Score]])</f>
        <v>72</v>
      </c>
      <c r="AR50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63.309999999999974</v>
      </c>
      <c r="AS509" s="3">
        <f>IF(Table1[[#This Row],[Efficiency Difference]] = " ", " ", ROUND((Table1[[#This Row],[Winning Margin]]*100)/Table1[[#This Row],[Efficiency Difference]], 2))</f>
        <v>15.8</v>
      </c>
    </row>
    <row r="510" spans="1:45">
      <c r="A510" t="s">
        <v>41</v>
      </c>
      <c r="B510">
        <v>509</v>
      </c>
      <c r="C510">
        <v>24</v>
      </c>
      <c r="D510">
        <v>312</v>
      </c>
      <c r="E510">
        <v>39</v>
      </c>
      <c r="F510">
        <v>1</v>
      </c>
      <c r="G510">
        <v>28</v>
      </c>
      <c r="H510">
        <v>1</v>
      </c>
      <c r="I510">
        <v>94</v>
      </c>
      <c r="J510">
        <v>37</v>
      </c>
      <c r="K510">
        <v>2</v>
      </c>
      <c r="L510">
        <v>0</v>
      </c>
      <c r="M510" t="s">
        <v>120</v>
      </c>
      <c r="N510">
        <v>539</v>
      </c>
      <c r="O510">
        <v>34</v>
      </c>
      <c r="P510">
        <v>192</v>
      </c>
      <c r="Q510">
        <v>27</v>
      </c>
      <c r="R510">
        <v>2</v>
      </c>
      <c r="S510">
        <v>17</v>
      </c>
      <c r="T510">
        <v>0</v>
      </c>
      <c r="U510">
        <v>197</v>
      </c>
      <c r="V510">
        <v>38</v>
      </c>
      <c r="W510">
        <v>2</v>
      </c>
      <c r="X510">
        <v>1</v>
      </c>
      <c r="Y510" t="s">
        <v>19</v>
      </c>
      <c r="Z510">
        <v>8</v>
      </c>
      <c r="AA510" s="3">
        <f>IF(AND(Table1[[#This Row],[Throw Out Pass Eff]]="N", Table1[[#This Row],[Against FCS Team]]="N"), ROUND(((5.45 * D510) + (150 * F510) + (100 * G510) - (300 * H510)) / E510, 2), " ")</f>
        <v>111.55</v>
      </c>
      <c r="AB510" s="3">
        <f>IF(AND(Table1[[#This Row],[Throw Out Pass Def Eff]]="N", Table1[[#This Row],[Against FCS Team]]="N"),200 - ROUND(((5.45 * P510) + (150 * R510) + (100 * S510) - (300 * T510)) / Q510, 2), " ")</f>
        <v>87.17</v>
      </c>
      <c r="AC510" s="3">
        <f>IF(AND(Table1[[#This Row],[Throw Out Rush Eff]]="N", Table1[[#This Row],[Against FCS Team]]="N"), ROUND(((23.2 * I510) + (150 * K510) - (300 * L510)) / J510, 2), " ")</f>
        <v>67.05</v>
      </c>
      <c r="AD510" s="3">
        <f>IF(AND(Table1[[#This Row],[Throw Out Rush Def Eff]]="N", Table1[[#This Row],[Against FCS Team]]="N"), 200 - ROUND(((23.2 * U510) + (150 * W510) - (300 * X510)) / V510, 2), " ")</f>
        <v>79.73</v>
      </c>
      <c r="AE510" s="3">
        <f>ROUND(Table1[[#This Row],[Opp Passing Attempts]]/(Table1[[#This Row],[Opp Passing Attempts]]+Table1[[#This Row],[Opp Rushing Attempts]]), 2)</f>
        <v>0.42</v>
      </c>
      <c r="AF510" s="3">
        <f>1-Table1[[#This Row],[Passing Weight]]</f>
        <v>0.58000000000000007</v>
      </c>
      <c r="AG510" s="3" t="str">
        <f>IF(COUNTIF(A:A,Table1[[#This Row],[Opp Team Name]]) &gt; 0, "N", "Y")</f>
        <v>N</v>
      </c>
      <c r="AH510" s="3" t="str">
        <f>IF(Table1[[#This Row],[Passing Attempts]] &lt;15, "Y", "N")</f>
        <v>N</v>
      </c>
      <c r="AI510" s="3" t="str">
        <f>IF(Table1[[#This Row],[Rushing Attempts]] &lt; 15, "Y", "N")</f>
        <v>N</v>
      </c>
      <c r="AJ510" s="3" t="str">
        <f>IF(Table1[[#This Row],[Opp Passing Attempts]]&lt;15, "Y", "N")</f>
        <v>N</v>
      </c>
      <c r="AK510" s="3" t="str">
        <f>IF(Table1[[#This Row],[Opp Rushing Attempts]]&lt;15, "Y", "N")</f>
        <v>N</v>
      </c>
      <c r="AL5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140.61000000000001</v>
      </c>
      <c r="AM5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76.22</v>
      </c>
      <c r="AN5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88.33</v>
      </c>
      <c r="AO5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70.209999999999994</v>
      </c>
      <c r="AP510" s="3">
        <f>ABS(Table1[[#This Row],[Team Score]]-Table1[[#This Row],[Opp Team Score]])</f>
        <v>10</v>
      </c>
      <c r="AQ510" s="3">
        <f>SUM(Table1[[#This Row],[Team Score]], Table1[[#This Row],[Opp Team Score]])</f>
        <v>58</v>
      </c>
      <c r="AR5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54.5</v>
      </c>
      <c r="AS510" s="3">
        <f>IF(Table1[[#This Row],[Efficiency Difference]] = " ", " ", ROUND((Table1[[#This Row],[Winning Margin]]*100)/Table1[[#This Row],[Efficiency Difference]], 2))</f>
        <v>18.350000000000001</v>
      </c>
    </row>
    <row r="511" spans="1:45">
      <c r="A511" t="s">
        <v>114</v>
      </c>
      <c r="B511">
        <v>513</v>
      </c>
      <c r="C511">
        <v>20</v>
      </c>
      <c r="D511">
        <v>391</v>
      </c>
      <c r="E511">
        <v>49</v>
      </c>
      <c r="F511">
        <v>2</v>
      </c>
      <c r="G511">
        <v>31</v>
      </c>
      <c r="H511">
        <v>3</v>
      </c>
      <c r="I511">
        <v>117</v>
      </c>
      <c r="J511">
        <v>29</v>
      </c>
      <c r="K511">
        <v>1</v>
      </c>
      <c r="L511">
        <v>2</v>
      </c>
      <c r="M511" t="s">
        <v>115</v>
      </c>
      <c r="N511">
        <v>651</v>
      </c>
      <c r="O511">
        <v>23</v>
      </c>
      <c r="P511">
        <v>128</v>
      </c>
      <c r="Q511">
        <v>30</v>
      </c>
      <c r="R511">
        <v>1</v>
      </c>
      <c r="S511">
        <v>18</v>
      </c>
      <c r="T511">
        <v>0</v>
      </c>
      <c r="U511">
        <v>126</v>
      </c>
      <c r="V511">
        <v>42</v>
      </c>
      <c r="W511">
        <v>0</v>
      </c>
      <c r="X511">
        <v>0</v>
      </c>
      <c r="Y511" t="s">
        <v>19</v>
      </c>
      <c r="Z511">
        <v>1</v>
      </c>
      <c r="AA511">
        <f>IF(AND(Table1[[#This Row],[Throw Out Pass Eff]]="N", Table1[[#This Row],[Against FCS Team]]="N"), ROUND(((5.45 * D511) + (150 * F511) + (100 * G511) - (300 * H511)) / E511, 2), " ")</f>
        <v>94.51</v>
      </c>
      <c r="AB511">
        <f>IF(AND(Table1[[#This Row],[Throw Out Pass Def Eff]]="N", Table1[[#This Row],[Against FCS Team]]="N"),200 - ROUND(((5.45 * P511) + (150 * R511) + (100 * S511) - (300 * T511)) / Q511, 2), " ")</f>
        <v>111.75</v>
      </c>
      <c r="AC511">
        <f>IF(AND(Table1[[#This Row],[Throw Out Rush Eff]]="N", Table1[[#This Row],[Against FCS Team]]="N"), ROUND(((23.2 * I511) + (150 * K511) - (300 * L511)) / J511, 2), " ")</f>
        <v>78.08</v>
      </c>
      <c r="AD511" s="3">
        <f>IF(AND(Table1[[#This Row],[Throw Out Rush Def Eff]]="N", Table1[[#This Row],[Against FCS Team]]="N"), 200 - ROUND(((23.2 * U511) + (150 * W511) - (300 * X511)) / V511, 2), " ")</f>
        <v>130.4</v>
      </c>
      <c r="AE511" s="3">
        <f>ROUND(Table1[[#This Row],[Opp Passing Attempts]]/(Table1[[#This Row],[Opp Passing Attempts]]+Table1[[#This Row],[Opp Rushing Attempts]]), 2)</f>
        <v>0.42</v>
      </c>
      <c r="AF511" s="3">
        <f>1-Table1[[#This Row],[Passing Weight]]</f>
        <v>0.58000000000000007</v>
      </c>
      <c r="AG511" s="3" t="str">
        <f>IF(COUNTIF(A:A,Table1[[#This Row],[Opp Team Name]]) &gt; 0, "N", "Y")</f>
        <v>N</v>
      </c>
      <c r="AH511" s="3" t="str">
        <f>IF(Table1[[#This Row],[Passing Attempts]] &lt;15, "Y", "N")</f>
        <v>N</v>
      </c>
      <c r="AI511" s="3" t="str">
        <f>IF(Table1[[#This Row],[Rushing Attempts]] &lt; 15, "Y", "N")</f>
        <v>N</v>
      </c>
      <c r="AJ511" s="3" t="str">
        <f>IF(Table1[[#This Row],[Opp Passing Attempts]]&lt;15, "Y", "N")</f>
        <v>N</v>
      </c>
      <c r="AK511" s="3" t="str">
        <f>IF(Table1[[#This Row],[Opp Rushing Attempts]]&lt;15, "Y", "N")</f>
        <v>N</v>
      </c>
      <c r="AL51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98.99</v>
      </c>
      <c r="AM51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105.61</v>
      </c>
      <c r="AN51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99.41</v>
      </c>
      <c r="AO5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135.44</v>
      </c>
      <c r="AP511" s="3">
        <f>ABS(Table1[[#This Row],[Team Score]]-Table1[[#This Row],[Opp Team Score]])</f>
        <v>3</v>
      </c>
      <c r="AQ511" s="3">
        <f>SUM(Table1[[#This Row],[Team Score]], Table1[[#This Row],[Opp Team Score]])</f>
        <v>43</v>
      </c>
      <c r="AR51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14.740000000000009</v>
      </c>
      <c r="AS511" s="3">
        <f>IF(Table1[[#This Row],[Efficiency Difference]] = " ", " ", ROUND((Table1[[#This Row],[Winning Margin]]*100)/Table1[[#This Row],[Efficiency Difference]], 2))</f>
        <v>20.350000000000001</v>
      </c>
    </row>
    <row r="512" spans="1:45">
      <c r="A512" t="s">
        <v>114</v>
      </c>
      <c r="B512">
        <v>513</v>
      </c>
      <c r="C512">
        <v>31</v>
      </c>
      <c r="D512">
        <v>315</v>
      </c>
      <c r="E512">
        <v>39</v>
      </c>
      <c r="F512">
        <v>3</v>
      </c>
      <c r="G512">
        <v>27</v>
      </c>
      <c r="H512">
        <v>2</v>
      </c>
      <c r="I512">
        <v>198</v>
      </c>
      <c r="J512">
        <v>33</v>
      </c>
      <c r="K512">
        <v>1</v>
      </c>
      <c r="L512">
        <v>3</v>
      </c>
      <c r="M512" t="s">
        <v>180</v>
      </c>
      <c r="N512">
        <v>418</v>
      </c>
      <c r="O512">
        <v>35</v>
      </c>
      <c r="P512">
        <v>338</v>
      </c>
      <c r="Q512">
        <v>24</v>
      </c>
      <c r="R512">
        <v>4</v>
      </c>
      <c r="S512">
        <v>11</v>
      </c>
      <c r="T512">
        <v>3</v>
      </c>
      <c r="U512">
        <v>114</v>
      </c>
      <c r="V512">
        <v>26</v>
      </c>
      <c r="W512">
        <v>1</v>
      </c>
      <c r="X512">
        <v>0</v>
      </c>
      <c r="Y512" t="s">
        <v>19</v>
      </c>
      <c r="Z512">
        <v>2</v>
      </c>
      <c r="AA512">
        <f>IF(AND(Table1[[#This Row],[Throw Out Pass Eff]]="N", Table1[[#This Row],[Against FCS Team]]="N"), ROUND(((5.45 * D512) + (150 * F512) + (100 * G512) - (300 * H512)) / E512, 2), " ")</f>
        <v>109.4</v>
      </c>
      <c r="AB512">
        <f>IF(AND(Table1[[#This Row],[Throw Out Pass Def Eff]]="N", Table1[[#This Row],[Against FCS Team]]="N"),200 - ROUND(((5.45 * P512) + (150 * R512) + (100 * S512) - (300 * T512)) / Q512, 2), " ")</f>
        <v>89.91</v>
      </c>
      <c r="AC512">
        <f>IF(AND(Table1[[#This Row],[Throw Out Rush Eff]]="N", Table1[[#This Row],[Against FCS Team]]="N"), ROUND(((23.2 * I512) + (150 * K512) - (300 * L512)) / J512, 2), " ")</f>
        <v>116.47</v>
      </c>
      <c r="AD512" s="3">
        <f>IF(AND(Table1[[#This Row],[Throw Out Rush Def Eff]]="N", Table1[[#This Row],[Against FCS Team]]="N"), 200 - ROUND(((23.2 * U512) + (150 * W512) - (300 * X512)) / V512, 2), " ")</f>
        <v>92.51</v>
      </c>
      <c r="AE512" s="3">
        <f>ROUND(Table1[[#This Row],[Opp Passing Attempts]]/(Table1[[#This Row],[Opp Passing Attempts]]+Table1[[#This Row],[Opp Rushing Attempts]]), 2)</f>
        <v>0.48</v>
      </c>
      <c r="AF512" s="3">
        <f>1-Table1[[#This Row],[Passing Weight]]</f>
        <v>0.52</v>
      </c>
      <c r="AG512" s="3" t="str">
        <f>IF(COUNTIF(A:A,Table1[[#This Row],[Opp Team Name]]) &gt; 0, "N", "Y")</f>
        <v>N</v>
      </c>
      <c r="AH512" s="3" t="str">
        <f>IF(Table1[[#This Row],[Passing Attempts]] &lt;15, "Y", "N")</f>
        <v>N</v>
      </c>
      <c r="AI512" s="3" t="str">
        <f>IF(Table1[[#This Row],[Rushing Attempts]] &lt; 15, "Y", "N")</f>
        <v>N</v>
      </c>
      <c r="AJ512" s="3" t="str">
        <f>IF(Table1[[#This Row],[Opp Passing Attempts]]&lt;15, "Y", "N")</f>
        <v>N</v>
      </c>
      <c r="AK512" s="3" t="str">
        <f>IF(Table1[[#This Row],[Opp Rushing Attempts]]&lt;15, "Y", "N")</f>
        <v>N</v>
      </c>
      <c r="AL5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117.41</v>
      </c>
      <c r="AM51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80.459999999999994</v>
      </c>
      <c r="AN5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126.97</v>
      </c>
      <c r="AO5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121.78</v>
      </c>
      <c r="AP512" s="3">
        <f>ABS(Table1[[#This Row],[Team Score]]-Table1[[#This Row],[Opp Team Score]])</f>
        <v>4</v>
      </c>
      <c r="AQ512" s="3">
        <f>SUM(Table1[[#This Row],[Team Score]], Table1[[#This Row],[Opp Team Score]])</f>
        <v>66</v>
      </c>
      <c r="AR51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8.2900000000000205</v>
      </c>
      <c r="AS512" s="3">
        <f>IF(Table1[[#This Row],[Efficiency Difference]] = " ", " ", ROUND((Table1[[#This Row],[Winning Margin]]*100)/Table1[[#This Row],[Efficiency Difference]], 2))</f>
        <v>48.25</v>
      </c>
    </row>
    <row r="513" spans="1:45">
      <c r="A513" t="s">
        <v>114</v>
      </c>
      <c r="B513">
        <v>513</v>
      </c>
      <c r="C513">
        <v>31</v>
      </c>
      <c r="D513">
        <v>161</v>
      </c>
      <c r="E513">
        <v>26</v>
      </c>
      <c r="F513">
        <v>1</v>
      </c>
      <c r="G513">
        <v>18</v>
      </c>
      <c r="H513">
        <v>1</v>
      </c>
      <c r="I513">
        <v>114</v>
      </c>
      <c r="J513">
        <v>32</v>
      </c>
      <c r="K513">
        <v>2</v>
      </c>
      <c r="L513">
        <v>2</v>
      </c>
      <c r="M513" t="s">
        <v>98</v>
      </c>
      <c r="N513">
        <v>416</v>
      </c>
      <c r="O513">
        <v>13</v>
      </c>
      <c r="P513">
        <v>329</v>
      </c>
      <c r="Q513">
        <v>54</v>
      </c>
      <c r="R513">
        <v>1</v>
      </c>
      <c r="S513">
        <v>34</v>
      </c>
      <c r="T513">
        <v>1</v>
      </c>
      <c r="U513">
        <v>29</v>
      </c>
      <c r="V513">
        <v>23</v>
      </c>
      <c r="W513">
        <v>0</v>
      </c>
      <c r="X513">
        <v>1</v>
      </c>
      <c r="Y513" t="s">
        <v>16</v>
      </c>
      <c r="Z513">
        <v>3</v>
      </c>
      <c r="AA513">
        <f>IF(AND(Table1[[#This Row],[Throw Out Pass Eff]]="N", Table1[[#This Row],[Against FCS Team]]="N"), ROUND(((5.45 * D513) + (150 * F513) + (100 * G513) - (300 * H513)) / E513, 2), " ")</f>
        <v>97.21</v>
      </c>
      <c r="AB513">
        <f>IF(AND(Table1[[#This Row],[Throw Out Pass Def Eff]]="N", Table1[[#This Row],[Against FCS Team]]="N"),200 - ROUND(((5.45 * P513) + (150 * R513) + (100 * S513) - (300 * T513)) / Q513, 2), " ")</f>
        <v>106.61</v>
      </c>
      <c r="AC513">
        <f>IF(AND(Table1[[#This Row],[Throw Out Rush Eff]]="N", Table1[[#This Row],[Against FCS Team]]="N"), ROUND(((23.2 * I513) + (150 * K513) - (300 * L513)) / J513, 2), " ")</f>
        <v>73.28</v>
      </c>
      <c r="AD513" s="3">
        <f>IF(AND(Table1[[#This Row],[Throw Out Rush Def Eff]]="N", Table1[[#This Row],[Against FCS Team]]="N"), 200 - ROUND(((23.2 * U513) + (150 * W513) - (300 * X513)) / V513, 2), " ")</f>
        <v>183.79</v>
      </c>
      <c r="AE513" s="3">
        <f>ROUND(Table1[[#This Row],[Opp Passing Attempts]]/(Table1[[#This Row],[Opp Passing Attempts]]+Table1[[#This Row],[Opp Rushing Attempts]]), 2)</f>
        <v>0.7</v>
      </c>
      <c r="AF513" s="3">
        <f>1-Table1[[#This Row],[Passing Weight]]</f>
        <v>0.30000000000000004</v>
      </c>
      <c r="AG513" s="3" t="str">
        <f>IF(COUNTIF(A:A,Table1[[#This Row],[Opp Team Name]]) &gt; 0, "N", "Y")</f>
        <v>N</v>
      </c>
      <c r="AH513" s="3" t="str">
        <f>IF(Table1[[#This Row],[Passing Attempts]] &lt;15, "Y", "N")</f>
        <v>N</v>
      </c>
      <c r="AI513" s="3" t="str">
        <f>IF(Table1[[#This Row],[Rushing Attempts]] &lt; 15, "Y", "N")</f>
        <v>N</v>
      </c>
      <c r="AJ513" s="3" t="str">
        <f>IF(Table1[[#This Row],[Opp Passing Attempts]]&lt;15, "Y", "N")</f>
        <v>N</v>
      </c>
      <c r="AK513" s="3" t="str">
        <f>IF(Table1[[#This Row],[Opp Rushing Attempts]]&lt;15, "Y", "N")</f>
        <v>N</v>
      </c>
      <c r="AL5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123.73</v>
      </c>
      <c r="AM5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116.04</v>
      </c>
      <c r="AN5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107.42</v>
      </c>
      <c r="AO5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137.05000000000001</v>
      </c>
      <c r="AP513" s="3">
        <f>ABS(Table1[[#This Row],[Team Score]]-Table1[[#This Row],[Opp Team Score]])</f>
        <v>18</v>
      </c>
      <c r="AQ513" s="3">
        <f>SUM(Table1[[#This Row],[Team Score]], Table1[[#This Row],[Opp Team Score]])</f>
        <v>44</v>
      </c>
      <c r="AR5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60.889999999999986</v>
      </c>
      <c r="AS513" s="3">
        <f>IF(Table1[[#This Row],[Efficiency Difference]] = " ", " ", ROUND((Table1[[#This Row],[Winning Margin]]*100)/Table1[[#This Row],[Efficiency Difference]], 2))</f>
        <v>29.56</v>
      </c>
    </row>
    <row r="514" spans="1:45">
      <c r="A514" t="s">
        <v>114</v>
      </c>
      <c r="B514">
        <v>513</v>
      </c>
      <c r="C514">
        <v>15</v>
      </c>
      <c r="D514">
        <v>216</v>
      </c>
      <c r="E514">
        <v>41</v>
      </c>
      <c r="F514">
        <v>1</v>
      </c>
      <c r="G514">
        <v>24</v>
      </c>
      <c r="H514">
        <v>1</v>
      </c>
      <c r="I514">
        <v>182</v>
      </c>
      <c r="J514">
        <v>32</v>
      </c>
      <c r="K514">
        <v>1</v>
      </c>
      <c r="L514">
        <v>1</v>
      </c>
      <c r="M514" t="s">
        <v>45</v>
      </c>
      <c r="N514">
        <v>545</v>
      </c>
      <c r="O514">
        <v>12</v>
      </c>
      <c r="P514">
        <v>165</v>
      </c>
      <c r="Q514">
        <v>32</v>
      </c>
      <c r="R514">
        <v>1</v>
      </c>
      <c r="S514">
        <v>22</v>
      </c>
      <c r="T514">
        <v>0</v>
      </c>
      <c r="U514">
        <v>103</v>
      </c>
      <c r="V514">
        <v>38</v>
      </c>
      <c r="W514">
        <v>0</v>
      </c>
      <c r="X514">
        <v>0</v>
      </c>
      <c r="Y514" t="s">
        <v>16</v>
      </c>
      <c r="Z514">
        <v>4</v>
      </c>
      <c r="AA514">
        <f>IF(AND(Table1[[#This Row],[Throw Out Pass Eff]]="N", Table1[[#This Row],[Against FCS Team]]="N"), ROUND(((5.45 * D514) + (150 * F514) + (100 * G514) - (300 * H514)) / E514, 2), " ")</f>
        <v>83.59</v>
      </c>
      <c r="AB514">
        <f>IF(AND(Table1[[#This Row],[Throw Out Pass Def Eff]]="N", Table1[[#This Row],[Against FCS Team]]="N"),200 - ROUND(((5.45 * P514) + (150 * R514) + (100 * S514) - (300 * T514)) / Q514, 2), " ")</f>
        <v>98.46</v>
      </c>
      <c r="AC514">
        <f>IF(AND(Table1[[#This Row],[Throw Out Rush Eff]]="N", Table1[[#This Row],[Against FCS Team]]="N"), ROUND(((23.2 * I514) + (150 * K514) - (300 * L514)) / J514, 2), " ")</f>
        <v>127.26</v>
      </c>
      <c r="AD514" s="3">
        <f>IF(AND(Table1[[#This Row],[Throw Out Rush Def Eff]]="N", Table1[[#This Row],[Against FCS Team]]="N"), 200 - ROUND(((23.2 * U514) + (150 * W514) - (300 * X514)) / V514, 2), " ")</f>
        <v>137.12</v>
      </c>
      <c r="AE514" s="3">
        <f>ROUND(Table1[[#This Row],[Opp Passing Attempts]]/(Table1[[#This Row],[Opp Passing Attempts]]+Table1[[#This Row],[Opp Rushing Attempts]]), 2)</f>
        <v>0.46</v>
      </c>
      <c r="AF514" s="3">
        <f>1-Table1[[#This Row],[Passing Weight]]</f>
        <v>0.54</v>
      </c>
      <c r="AG514" s="3" t="str">
        <f>IF(COUNTIF(A:A,Table1[[#This Row],[Opp Team Name]]) &gt; 0, "N", "Y")</f>
        <v>N</v>
      </c>
      <c r="AH514" s="3" t="str">
        <f>IF(Table1[[#This Row],[Passing Attempts]] &lt;15, "Y", "N")</f>
        <v>N</v>
      </c>
      <c r="AI514" s="3" t="str">
        <f>IF(Table1[[#This Row],[Rushing Attempts]] &lt; 15, "Y", "N")</f>
        <v>N</v>
      </c>
      <c r="AJ514" s="3" t="str">
        <f>IF(Table1[[#This Row],[Opp Passing Attempts]]&lt;15, "Y", "N")</f>
        <v>N</v>
      </c>
      <c r="AK514" s="3" t="str">
        <f>IF(Table1[[#This Row],[Opp Rushing Attempts]]&lt;15, "Y", "N")</f>
        <v>N</v>
      </c>
      <c r="AL5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88.39</v>
      </c>
      <c r="AM5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77.36</v>
      </c>
      <c r="AN5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152.76</v>
      </c>
      <c r="AO5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126.47</v>
      </c>
      <c r="AP514" s="3">
        <f>ABS(Table1[[#This Row],[Team Score]]-Table1[[#This Row],[Opp Team Score]])</f>
        <v>3</v>
      </c>
      <c r="AQ514" s="3">
        <f>SUM(Table1[[#This Row],[Team Score]], Table1[[#This Row],[Opp Team Score]])</f>
        <v>27</v>
      </c>
      <c r="AR5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46.430000000000007</v>
      </c>
      <c r="AS514" s="3">
        <f>IF(Table1[[#This Row],[Efficiency Difference]] = " ", " ", ROUND((Table1[[#This Row],[Winning Margin]]*100)/Table1[[#This Row],[Efficiency Difference]], 2))</f>
        <v>6.46</v>
      </c>
    </row>
    <row r="515" spans="1:45">
      <c r="A515" t="s">
        <v>114</v>
      </c>
      <c r="B515">
        <v>513</v>
      </c>
      <c r="C515">
        <v>38</v>
      </c>
      <c r="D515">
        <v>264</v>
      </c>
      <c r="E515">
        <v>41</v>
      </c>
      <c r="F515">
        <v>3</v>
      </c>
      <c r="G515">
        <v>25</v>
      </c>
      <c r="H515">
        <v>0</v>
      </c>
      <c r="I515">
        <v>287</v>
      </c>
      <c r="J515">
        <v>40</v>
      </c>
      <c r="K515">
        <v>2</v>
      </c>
      <c r="L515">
        <v>0</v>
      </c>
      <c r="M515" t="s">
        <v>101</v>
      </c>
      <c r="N515">
        <v>559</v>
      </c>
      <c r="O515">
        <v>10</v>
      </c>
      <c r="P515">
        <v>192</v>
      </c>
      <c r="Q515">
        <v>38</v>
      </c>
      <c r="R515">
        <v>1</v>
      </c>
      <c r="S515">
        <v>19</v>
      </c>
      <c r="T515">
        <v>1</v>
      </c>
      <c r="U515">
        <v>84</v>
      </c>
      <c r="V515">
        <v>27</v>
      </c>
      <c r="W515">
        <v>0</v>
      </c>
      <c r="X515">
        <v>0</v>
      </c>
      <c r="Y515" t="s">
        <v>16</v>
      </c>
      <c r="Z515">
        <v>5</v>
      </c>
      <c r="AA515">
        <f>IF(AND(Table1[[#This Row],[Throw Out Pass Eff]]="N", Table1[[#This Row],[Against FCS Team]]="N"), ROUND(((5.45 * D515) + (150 * F515) + (100 * G515) - (300 * H515)) / E515, 2), " ")</f>
        <v>107.04</v>
      </c>
      <c r="AB515">
        <f>IF(AND(Table1[[#This Row],[Throw Out Pass Def Eff]]="N", Table1[[#This Row],[Against FCS Team]]="N"),200 - ROUND(((5.45 * P515) + (150 * R515) + (100 * S515) - (300 * T515)) / Q515, 2), " ")</f>
        <v>126.41</v>
      </c>
      <c r="AC515">
        <f>IF(AND(Table1[[#This Row],[Throw Out Rush Eff]]="N", Table1[[#This Row],[Against FCS Team]]="N"), ROUND(((23.2 * I515) + (150 * K515) - (300 * L515)) / J515, 2), " ")</f>
        <v>173.96</v>
      </c>
      <c r="AD515" s="3">
        <f>IF(AND(Table1[[#This Row],[Throw Out Rush Def Eff]]="N", Table1[[#This Row],[Against FCS Team]]="N"), 200 - ROUND(((23.2 * U515) + (150 * W515) - (300 * X515)) / V515, 2), " ")</f>
        <v>127.82</v>
      </c>
      <c r="AE515" s="3">
        <f>ROUND(Table1[[#This Row],[Opp Passing Attempts]]/(Table1[[#This Row],[Opp Passing Attempts]]+Table1[[#This Row],[Opp Rushing Attempts]]), 2)</f>
        <v>0.57999999999999996</v>
      </c>
      <c r="AF515" s="3">
        <f>1-Table1[[#This Row],[Passing Weight]]</f>
        <v>0.42000000000000004</v>
      </c>
      <c r="AG515" s="3" t="str">
        <f>IF(COUNTIF(A:A,Table1[[#This Row],[Opp Team Name]]) &gt; 0, "N", "Y")</f>
        <v>N</v>
      </c>
      <c r="AH515" s="3" t="str">
        <f>IF(Table1[[#This Row],[Passing Attempts]] &lt;15, "Y", "N")</f>
        <v>N</v>
      </c>
      <c r="AI515" s="3" t="str">
        <f>IF(Table1[[#This Row],[Rushing Attempts]] &lt; 15, "Y", "N")</f>
        <v>N</v>
      </c>
      <c r="AJ515" s="3" t="str">
        <f>IF(Table1[[#This Row],[Opp Passing Attempts]]&lt;15, "Y", "N")</f>
        <v>N</v>
      </c>
      <c r="AK515" s="3" t="str">
        <f>IF(Table1[[#This Row],[Opp Rushing Attempts]]&lt;15, "Y", "N")</f>
        <v>N</v>
      </c>
      <c r="AL5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118.46</v>
      </c>
      <c r="AM5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112.26</v>
      </c>
      <c r="AN5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184.11</v>
      </c>
      <c r="AO5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123.74</v>
      </c>
      <c r="AP515" s="3">
        <f>ABS(Table1[[#This Row],[Team Score]]-Table1[[#This Row],[Opp Team Score]])</f>
        <v>28</v>
      </c>
      <c r="AQ515" s="3">
        <f>SUM(Table1[[#This Row],[Team Score]], Table1[[#This Row],[Opp Team Score]])</f>
        <v>48</v>
      </c>
      <c r="AR5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135.22999999999999</v>
      </c>
      <c r="AS515" s="3">
        <f>IF(Table1[[#This Row],[Efficiency Difference]] = " ", " ", ROUND((Table1[[#This Row],[Winning Margin]]*100)/Table1[[#This Row],[Efficiency Difference]], 2))</f>
        <v>20.71</v>
      </c>
    </row>
    <row r="516" spans="1:45">
      <c r="A516" t="s">
        <v>114</v>
      </c>
      <c r="B516">
        <v>513</v>
      </c>
      <c r="C516">
        <v>59</v>
      </c>
      <c r="D516">
        <v>294</v>
      </c>
      <c r="E516">
        <v>36</v>
      </c>
      <c r="F516">
        <v>4</v>
      </c>
      <c r="G516">
        <v>27</v>
      </c>
      <c r="H516">
        <v>0</v>
      </c>
      <c r="I516">
        <v>266</v>
      </c>
      <c r="J516">
        <v>29</v>
      </c>
      <c r="K516">
        <v>4</v>
      </c>
      <c r="L516">
        <v>0</v>
      </c>
      <c r="M516" t="s">
        <v>14</v>
      </c>
      <c r="N516">
        <v>721</v>
      </c>
      <c r="O516">
        <v>33</v>
      </c>
      <c r="P516">
        <v>202</v>
      </c>
      <c r="Q516">
        <v>28</v>
      </c>
      <c r="R516">
        <v>2</v>
      </c>
      <c r="S516">
        <v>16</v>
      </c>
      <c r="T516">
        <v>1</v>
      </c>
      <c r="U516">
        <v>363</v>
      </c>
      <c r="V516">
        <v>60</v>
      </c>
      <c r="W516">
        <v>2</v>
      </c>
      <c r="X516">
        <v>1</v>
      </c>
      <c r="Y516" t="s">
        <v>16</v>
      </c>
      <c r="Z516">
        <v>6</v>
      </c>
      <c r="AA516">
        <f>IF(AND(Table1[[#This Row],[Throw Out Pass Eff]]="N", Table1[[#This Row],[Against FCS Team]]="N"), ROUND(((5.45 * D516) + (150 * F516) + (100 * G516) - (300 * H516)) / E516, 2), " ")</f>
        <v>136.18</v>
      </c>
      <c r="AB516">
        <f>IF(AND(Table1[[#This Row],[Throw Out Pass Def Eff]]="N", Table1[[#This Row],[Against FCS Team]]="N"),200 - ROUND(((5.45 * P516) + (150 * R516) + (100 * S516) - (300 * T516)) / Q516, 2), " ")</f>
        <v>103.54</v>
      </c>
      <c r="AC516">
        <f>IF(AND(Table1[[#This Row],[Throw Out Rush Eff]]="N", Table1[[#This Row],[Against FCS Team]]="N"), ROUND(((23.2 * I516) + (150 * K516) - (300 * L516)) / J516, 2), " ")</f>
        <v>233.49</v>
      </c>
      <c r="AD516" s="3">
        <f>IF(AND(Table1[[#This Row],[Throw Out Rush Def Eff]]="N", Table1[[#This Row],[Against FCS Team]]="N"), 200 - ROUND(((23.2 * U516) + (150 * W516) - (300 * X516)) / V516, 2), " ")</f>
        <v>59.639999999999986</v>
      </c>
      <c r="AE516" s="3">
        <f>ROUND(Table1[[#This Row],[Opp Passing Attempts]]/(Table1[[#This Row],[Opp Passing Attempts]]+Table1[[#This Row],[Opp Rushing Attempts]]), 2)</f>
        <v>0.32</v>
      </c>
      <c r="AF516" s="3">
        <f>1-Table1[[#This Row],[Passing Weight]]</f>
        <v>0.67999999999999994</v>
      </c>
      <c r="AG516" s="3" t="str">
        <f>IF(COUNTIF(A:A,Table1[[#This Row],[Opp Team Name]]) &gt; 0, "N", "Y")</f>
        <v>N</v>
      </c>
      <c r="AH516" s="3" t="str">
        <f>IF(Table1[[#This Row],[Passing Attempts]] &lt;15, "Y", "N")</f>
        <v>N</v>
      </c>
      <c r="AI516" s="3" t="str">
        <f>IF(Table1[[#This Row],[Rushing Attempts]] &lt; 15, "Y", "N")</f>
        <v>N</v>
      </c>
      <c r="AJ516" s="3" t="str">
        <f>IF(Table1[[#This Row],[Opp Passing Attempts]]&lt;15, "Y", "N")</f>
        <v>N</v>
      </c>
      <c r="AK516" s="3" t="str">
        <f>IF(Table1[[#This Row],[Opp Rushing Attempts]]&lt;15, "Y", "N")</f>
        <v>N</v>
      </c>
      <c r="AL5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101.02</v>
      </c>
      <c r="AM5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94.23</v>
      </c>
      <c r="AN5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139.57</v>
      </c>
      <c r="AO5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70.06</v>
      </c>
      <c r="AP516" s="3">
        <f>ABS(Table1[[#This Row],[Team Score]]-Table1[[#This Row],[Opp Team Score]])</f>
        <v>26</v>
      </c>
      <c r="AQ516" s="3">
        <f>SUM(Table1[[#This Row],[Team Score]], Table1[[#This Row],[Opp Team Score]])</f>
        <v>92</v>
      </c>
      <c r="AR5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132.85000000000002</v>
      </c>
      <c r="AS516" s="3">
        <f>IF(Table1[[#This Row],[Efficiency Difference]] = " ", " ", ROUND((Table1[[#This Row],[Winning Margin]]*100)/Table1[[#This Row],[Efficiency Difference]], 2))</f>
        <v>19.57</v>
      </c>
    </row>
    <row r="517" spans="1:45">
      <c r="A517" t="s">
        <v>114</v>
      </c>
      <c r="B517">
        <v>513</v>
      </c>
      <c r="C517">
        <v>17</v>
      </c>
      <c r="D517">
        <v>226</v>
      </c>
      <c r="E517">
        <v>43</v>
      </c>
      <c r="F517">
        <v>0</v>
      </c>
      <c r="G517">
        <v>27</v>
      </c>
      <c r="H517">
        <v>1</v>
      </c>
      <c r="I517">
        <v>41</v>
      </c>
      <c r="J517">
        <v>14</v>
      </c>
      <c r="K517">
        <v>1</v>
      </c>
      <c r="L517">
        <v>2</v>
      </c>
      <c r="M517" t="s">
        <v>103</v>
      </c>
      <c r="N517">
        <v>657</v>
      </c>
      <c r="O517">
        <v>31</v>
      </c>
      <c r="P517">
        <v>224</v>
      </c>
      <c r="Q517">
        <v>35</v>
      </c>
      <c r="R517">
        <v>3</v>
      </c>
      <c r="S517">
        <v>24</v>
      </c>
      <c r="T517">
        <v>0</v>
      </c>
      <c r="U517">
        <v>219</v>
      </c>
      <c r="V517">
        <v>44</v>
      </c>
      <c r="W517">
        <v>0</v>
      </c>
      <c r="X517">
        <v>0</v>
      </c>
      <c r="Y517" t="s">
        <v>19</v>
      </c>
      <c r="Z517">
        <v>8</v>
      </c>
      <c r="AA517" s="3">
        <f>IF(AND(Table1[[#This Row],[Throw Out Pass Eff]]="N", Table1[[#This Row],[Against FCS Team]]="N"), ROUND(((5.45 * D517) + (150 * F517) + (100 * G517) - (300 * H517)) / E517, 2), " ")</f>
        <v>84.46</v>
      </c>
      <c r="AB517" s="3">
        <f>IF(AND(Table1[[#This Row],[Throw Out Pass Def Eff]]="N", Table1[[#This Row],[Against FCS Team]]="N"),200 - ROUND(((5.45 * P517) + (150 * R517) + (100 * S517) - (300 * T517)) / Q517, 2), " ")</f>
        <v>83.69</v>
      </c>
      <c r="AC517" s="3" t="str">
        <f>IF(AND(Table1[[#This Row],[Throw Out Rush Eff]]="N", Table1[[#This Row],[Against FCS Team]]="N"), ROUND(((23.2 * I517) + (150 * K517) - (300 * L517)) / J517, 2), " ")</f>
        <v xml:space="preserve"> </v>
      </c>
      <c r="AD517" s="3">
        <f>IF(AND(Table1[[#This Row],[Throw Out Rush Def Eff]]="N", Table1[[#This Row],[Against FCS Team]]="N"), 200 - ROUND(((23.2 * U517) + (150 * W517) - (300 * X517)) / V517, 2), " ")</f>
        <v>84.53</v>
      </c>
      <c r="AE517" s="3">
        <f>ROUND(Table1[[#This Row],[Opp Passing Attempts]]/(Table1[[#This Row],[Opp Passing Attempts]]+Table1[[#This Row],[Opp Rushing Attempts]]), 2)</f>
        <v>0.44</v>
      </c>
      <c r="AF517" s="3">
        <f>1-Table1[[#This Row],[Passing Weight]]</f>
        <v>0.56000000000000005</v>
      </c>
      <c r="AG517" s="3" t="str">
        <f>IF(COUNTIF(A:A,Table1[[#This Row],[Opp Team Name]]) &gt; 0, "N", "Y")</f>
        <v>N</v>
      </c>
      <c r="AH517" s="3" t="str">
        <f>IF(Table1[[#This Row],[Passing Attempts]] &lt;15, "Y", "N")</f>
        <v>N</v>
      </c>
      <c r="AI517" s="3" t="str">
        <f>IF(Table1[[#This Row],[Rushing Attempts]] &lt; 15, "Y", "N")</f>
        <v>Y</v>
      </c>
      <c r="AJ517" s="3" t="str">
        <f>IF(Table1[[#This Row],[Opp Passing Attempts]]&lt;15, "Y", "N")</f>
        <v>N</v>
      </c>
      <c r="AK517" s="3" t="str">
        <f>IF(Table1[[#This Row],[Opp Rushing Attempts]]&lt;15, "Y", "N")</f>
        <v>N</v>
      </c>
      <c r="AL5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85.84</v>
      </c>
      <c r="AM51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96.6</v>
      </c>
      <c r="AN51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77.540000000000006</v>
      </c>
      <c r="AP517" s="3">
        <f>ABS(Table1[[#This Row],[Team Score]]-Table1[[#This Row],[Opp Team Score]])</f>
        <v>14</v>
      </c>
      <c r="AQ517" s="3">
        <f>SUM(Table1[[#This Row],[Team Score]], Table1[[#This Row],[Opp Team Score]])</f>
        <v>48</v>
      </c>
      <c r="AR51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17" s="3" t="str">
        <f>IF(Table1[[#This Row],[Efficiency Difference]] = " ", " ", ROUND((Table1[[#This Row],[Winning Margin]]*100)/Table1[[#This Row],[Efficiency Difference]], 2))</f>
        <v xml:space="preserve"> </v>
      </c>
    </row>
    <row r="518" spans="1:45">
      <c r="A518" t="s">
        <v>109</v>
      </c>
      <c r="B518">
        <v>519</v>
      </c>
      <c r="C518">
        <v>30</v>
      </c>
      <c r="D518">
        <v>158</v>
      </c>
      <c r="E518">
        <v>29</v>
      </c>
      <c r="F518">
        <v>2</v>
      </c>
      <c r="G518">
        <v>16</v>
      </c>
      <c r="H518">
        <v>1</v>
      </c>
      <c r="I518">
        <v>233</v>
      </c>
      <c r="J518">
        <v>43</v>
      </c>
      <c r="K518">
        <v>0</v>
      </c>
      <c r="L518">
        <v>3</v>
      </c>
      <c r="M518" t="s">
        <v>183</v>
      </c>
      <c r="N518">
        <v>1092</v>
      </c>
      <c r="O518">
        <v>3</v>
      </c>
      <c r="P518">
        <v>19</v>
      </c>
      <c r="Q518">
        <v>18</v>
      </c>
      <c r="R518">
        <v>0</v>
      </c>
      <c r="S518">
        <v>4</v>
      </c>
      <c r="T518">
        <v>3</v>
      </c>
      <c r="U518">
        <v>105</v>
      </c>
      <c r="V518">
        <v>42</v>
      </c>
      <c r="W518">
        <v>0</v>
      </c>
      <c r="X518">
        <v>0</v>
      </c>
      <c r="Y518" t="s">
        <v>16</v>
      </c>
      <c r="Z518">
        <v>2</v>
      </c>
      <c r="AA518" t="str">
        <f>IF(AND(Table1[[#This Row],[Throw Out Pass Eff]]="N", Table1[[#This Row],[Against FCS Team]]="N"), ROUND(((5.45 * D518) + (150 * F518) + (100 * G518) - (300 * H518)) / E518, 2), " ")</f>
        <v xml:space="preserve"> </v>
      </c>
      <c r="AB518" t="str">
        <f>IF(AND(Table1[[#This Row],[Throw Out Pass Def Eff]]="N", Table1[[#This Row],[Against FCS Team]]="N"),200 - ROUND(((5.45 * P518) + (150 * R518) + (100 * S518) - (300 * T518)) / Q518, 2), " ")</f>
        <v xml:space="preserve"> </v>
      </c>
      <c r="AC518" t="str">
        <f>IF(AND(Table1[[#This Row],[Throw Out Rush Eff]]="N", Table1[[#This Row],[Against FCS Team]]="N"), ROUND(((23.2 * I518) + (150 * K518) - (300 * L518)) / J518, 2), " ")</f>
        <v xml:space="preserve"> </v>
      </c>
      <c r="AD518" s="3" t="str">
        <f>IF(AND(Table1[[#This Row],[Throw Out Rush Def Eff]]="N", Table1[[#This Row],[Against FCS Team]]="N"), 200 - ROUND(((23.2 * U518) + (150 * W518) - (300 * X518)) / V518, 2), " ")</f>
        <v xml:space="preserve"> </v>
      </c>
      <c r="AE518" s="3">
        <f>ROUND(Table1[[#This Row],[Opp Passing Attempts]]/(Table1[[#This Row],[Opp Passing Attempts]]+Table1[[#This Row],[Opp Rushing Attempts]]), 2)</f>
        <v>0.3</v>
      </c>
      <c r="AF518" s="3">
        <f>1-Table1[[#This Row],[Passing Weight]]</f>
        <v>0.7</v>
      </c>
      <c r="AG518" s="3" t="str">
        <f>IF(COUNTIF(A:A,Table1[[#This Row],[Opp Team Name]]) &gt; 0, "N", "Y")</f>
        <v>Y</v>
      </c>
      <c r="AH518" s="3" t="str">
        <f>IF(Table1[[#This Row],[Passing Attempts]] &lt;15, "Y", "N")</f>
        <v>N</v>
      </c>
      <c r="AI518" s="3" t="str">
        <f>IF(Table1[[#This Row],[Rushing Attempts]] &lt; 15, "Y", "N")</f>
        <v>N</v>
      </c>
      <c r="AJ518" s="3" t="str">
        <f>IF(Table1[[#This Row],[Opp Passing Attempts]]&lt;15, "Y", "N")</f>
        <v>N</v>
      </c>
      <c r="AK518" s="3" t="str">
        <f>IF(Table1[[#This Row],[Opp Rushing Attempts]]&lt;15, "Y", "N")</f>
        <v>N</v>
      </c>
      <c r="AL51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1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1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1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518" s="3">
        <f>ABS(Table1[[#This Row],[Team Score]]-Table1[[#This Row],[Opp Team Score]])</f>
        <v>27</v>
      </c>
      <c r="AQ518" s="3">
        <f>SUM(Table1[[#This Row],[Team Score]], Table1[[#This Row],[Opp Team Score]])</f>
        <v>33</v>
      </c>
      <c r="AR51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18" s="3" t="str">
        <f>IF(Table1[[#This Row],[Efficiency Difference]] = " ", " ", ROUND((Table1[[#This Row],[Winning Margin]]*100)/Table1[[#This Row],[Efficiency Difference]], 2))</f>
        <v xml:space="preserve"> </v>
      </c>
    </row>
    <row r="519" spans="1:45">
      <c r="A519" t="s">
        <v>109</v>
      </c>
      <c r="B519">
        <v>519</v>
      </c>
      <c r="C519">
        <v>44</v>
      </c>
      <c r="D519">
        <v>211</v>
      </c>
      <c r="E519">
        <v>30</v>
      </c>
      <c r="F519">
        <v>2</v>
      </c>
      <c r="G519">
        <v>17</v>
      </c>
      <c r="H519">
        <v>1</v>
      </c>
      <c r="I519">
        <v>241</v>
      </c>
      <c r="J519">
        <v>47</v>
      </c>
      <c r="K519">
        <v>3</v>
      </c>
      <c r="L519">
        <v>1</v>
      </c>
      <c r="M519" t="s">
        <v>108</v>
      </c>
      <c r="N519">
        <v>472</v>
      </c>
      <c r="O519">
        <v>24</v>
      </c>
      <c r="P519">
        <v>362</v>
      </c>
      <c r="Q519">
        <v>41</v>
      </c>
      <c r="R519">
        <v>2</v>
      </c>
      <c r="S519">
        <v>22</v>
      </c>
      <c r="T519">
        <v>1</v>
      </c>
      <c r="U519">
        <v>6</v>
      </c>
      <c r="V519">
        <v>23</v>
      </c>
      <c r="W519">
        <v>0</v>
      </c>
      <c r="X519">
        <v>0</v>
      </c>
      <c r="Y519" t="s">
        <v>16</v>
      </c>
      <c r="Z519">
        <v>1</v>
      </c>
      <c r="AA519">
        <f>IF(AND(Table1[[#This Row],[Throw Out Pass Eff]]="N", Table1[[#This Row],[Against FCS Team]]="N"), ROUND(((5.45 * D519) + (150 * F519) + (100 * G519) - (300 * H519)) / E519, 2), " ")</f>
        <v>95</v>
      </c>
      <c r="AB519">
        <f>IF(AND(Table1[[#This Row],[Throw Out Pass Def Eff]]="N", Table1[[#This Row],[Against FCS Team]]="N"),200 - ROUND(((5.45 * P519) + (150 * R519) + (100 * S519) - (300 * T519)) / Q519, 2), " ")</f>
        <v>98.22</v>
      </c>
      <c r="AC519">
        <f>IF(AND(Table1[[#This Row],[Throw Out Rush Eff]]="N", Table1[[#This Row],[Against FCS Team]]="N"), ROUND(((23.2 * I519) + (150 * K519) - (300 * L519)) / J519, 2), " ")</f>
        <v>122.15</v>
      </c>
      <c r="AD519" s="3">
        <f>IF(AND(Table1[[#This Row],[Throw Out Rush Def Eff]]="N", Table1[[#This Row],[Against FCS Team]]="N"), 200 - ROUND(((23.2 * U519) + (150 * W519) - (300 * X519)) / V519, 2), " ")</f>
        <v>193.95</v>
      </c>
      <c r="AE519" s="3">
        <f>ROUND(Table1[[#This Row],[Opp Passing Attempts]]/(Table1[[#This Row],[Opp Passing Attempts]]+Table1[[#This Row],[Opp Rushing Attempts]]), 2)</f>
        <v>0.64</v>
      </c>
      <c r="AF519" s="3">
        <f>1-Table1[[#This Row],[Passing Weight]]</f>
        <v>0.36</v>
      </c>
      <c r="AG519" s="3" t="str">
        <f>IF(COUNTIF(A:A,Table1[[#This Row],[Opp Team Name]]) &gt; 0, "N", "Y")</f>
        <v>N</v>
      </c>
      <c r="AH519" s="3" t="str">
        <f>IF(Table1[[#This Row],[Passing Attempts]] &lt;15, "Y", "N")</f>
        <v>N</v>
      </c>
      <c r="AI519" s="3" t="str">
        <f>IF(Table1[[#This Row],[Rushing Attempts]] &lt; 15, "Y", "N")</f>
        <v>N</v>
      </c>
      <c r="AJ519" s="3" t="str">
        <f>IF(Table1[[#This Row],[Opp Passing Attempts]]&lt;15, "Y", "N")</f>
        <v>N</v>
      </c>
      <c r="AK519" s="3" t="str">
        <f>IF(Table1[[#This Row],[Opp Rushing Attempts]]&lt;15, "Y", "N")</f>
        <v>N</v>
      </c>
      <c r="AL51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108.55</v>
      </c>
      <c r="AM51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108.9</v>
      </c>
      <c r="AN51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101.47</v>
      </c>
      <c r="AO51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154.71</v>
      </c>
      <c r="AP519" s="3">
        <f>ABS(Table1[[#This Row],[Team Score]]-Table1[[#This Row],[Opp Team Score]])</f>
        <v>20</v>
      </c>
      <c r="AQ519" s="3">
        <f>SUM(Table1[[#This Row],[Team Score]], Table1[[#This Row],[Opp Team Score]])</f>
        <v>68</v>
      </c>
      <c r="AR51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109.31999999999996</v>
      </c>
      <c r="AS519" s="3">
        <f>IF(Table1[[#This Row],[Efficiency Difference]] = " ", " ", ROUND((Table1[[#This Row],[Winning Margin]]*100)/Table1[[#This Row],[Efficiency Difference]], 2))</f>
        <v>18.29</v>
      </c>
    </row>
    <row r="520" spans="1:45">
      <c r="A520" t="s">
        <v>109</v>
      </c>
      <c r="B520">
        <v>519</v>
      </c>
      <c r="C520">
        <v>44</v>
      </c>
      <c r="D520">
        <v>288</v>
      </c>
      <c r="E520">
        <v>30</v>
      </c>
      <c r="F520">
        <v>3</v>
      </c>
      <c r="G520">
        <v>21</v>
      </c>
      <c r="H520">
        <v>0</v>
      </c>
      <c r="I520">
        <v>271</v>
      </c>
      <c r="J520">
        <v>55</v>
      </c>
      <c r="K520">
        <v>2</v>
      </c>
      <c r="L520">
        <v>2</v>
      </c>
      <c r="M520" t="s">
        <v>176</v>
      </c>
      <c r="N520">
        <v>388</v>
      </c>
      <c r="O520">
        <v>7</v>
      </c>
      <c r="P520">
        <v>159</v>
      </c>
      <c r="Q520">
        <v>29</v>
      </c>
      <c r="R520">
        <v>1</v>
      </c>
      <c r="S520">
        <v>11</v>
      </c>
      <c r="T520">
        <v>4</v>
      </c>
      <c r="U520">
        <v>172</v>
      </c>
      <c r="V520">
        <v>34</v>
      </c>
      <c r="W520">
        <v>0</v>
      </c>
      <c r="X520">
        <v>2</v>
      </c>
      <c r="Y520" t="s">
        <v>16</v>
      </c>
      <c r="Z520">
        <v>3</v>
      </c>
      <c r="AA520">
        <f>IF(AND(Table1[[#This Row],[Throw Out Pass Eff]]="N", Table1[[#This Row],[Against FCS Team]]="N"), ROUND(((5.45 * D520) + (150 * F520) + (100 * G520) - (300 * H520)) / E520, 2), " ")</f>
        <v>137.32</v>
      </c>
      <c r="AB520">
        <f>IF(AND(Table1[[#This Row],[Throw Out Pass Def Eff]]="N", Table1[[#This Row],[Against FCS Team]]="N"),200 - ROUND(((5.45 * P520) + (150 * R520) + (100 * S520) - (300 * T520)) / Q520, 2), " ")</f>
        <v>168.39</v>
      </c>
      <c r="AC520">
        <f>IF(AND(Table1[[#This Row],[Throw Out Rush Eff]]="N", Table1[[#This Row],[Against FCS Team]]="N"), ROUND(((23.2 * I520) + (150 * K520) - (300 * L520)) / J520, 2), " ")</f>
        <v>108.86</v>
      </c>
      <c r="AD520" s="3">
        <f>IF(AND(Table1[[#This Row],[Throw Out Rush Def Eff]]="N", Table1[[#This Row],[Against FCS Team]]="N"), 200 - ROUND(((23.2 * U520) + (150 * W520) - (300 * X520)) / V520, 2), " ")</f>
        <v>100.28</v>
      </c>
      <c r="AE520" s="3">
        <f>ROUND(Table1[[#This Row],[Opp Passing Attempts]]/(Table1[[#This Row],[Opp Passing Attempts]]+Table1[[#This Row],[Opp Rushing Attempts]]), 2)</f>
        <v>0.46</v>
      </c>
      <c r="AF520" s="3">
        <f>1-Table1[[#This Row],[Passing Weight]]</f>
        <v>0.54</v>
      </c>
      <c r="AG520" s="3" t="str">
        <f>IF(COUNTIF(A:A,Table1[[#This Row],[Opp Team Name]]) &gt; 0, "N", "Y")</f>
        <v>N</v>
      </c>
      <c r="AH520" s="3" t="str">
        <f>IF(Table1[[#This Row],[Passing Attempts]] &lt;15, "Y", "N")</f>
        <v>N</v>
      </c>
      <c r="AI520" s="3" t="str">
        <f>IF(Table1[[#This Row],[Rushing Attempts]] &lt; 15, "Y", "N")</f>
        <v>N</v>
      </c>
      <c r="AJ520" s="3" t="str">
        <f>IF(Table1[[#This Row],[Opp Passing Attempts]]&lt;15, "Y", "N")</f>
        <v>N</v>
      </c>
      <c r="AK520" s="3" t="str">
        <f>IF(Table1[[#This Row],[Opp Rushing Attempts]]&lt;15, "Y", "N")</f>
        <v>N</v>
      </c>
      <c r="AL5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120.82</v>
      </c>
      <c r="AM5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139.07</v>
      </c>
      <c r="AN5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117.62</v>
      </c>
      <c r="AO5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69.16</v>
      </c>
      <c r="AP520" s="3">
        <f>ABS(Table1[[#This Row],[Team Score]]-Table1[[#This Row],[Opp Team Score]])</f>
        <v>37</v>
      </c>
      <c r="AQ520" s="3">
        <f>SUM(Table1[[#This Row],[Team Score]], Table1[[#This Row],[Opp Team Score]])</f>
        <v>51</v>
      </c>
      <c r="AR5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114.84999999999997</v>
      </c>
      <c r="AS520" s="3">
        <f>IF(Table1[[#This Row],[Efficiency Difference]] = " ", " ", ROUND((Table1[[#This Row],[Winning Margin]]*100)/Table1[[#This Row],[Efficiency Difference]], 2))</f>
        <v>32.22</v>
      </c>
    </row>
    <row r="521" spans="1:45">
      <c r="A521" t="s">
        <v>109</v>
      </c>
      <c r="B521">
        <v>519</v>
      </c>
      <c r="C521">
        <v>26</v>
      </c>
      <c r="D521">
        <v>339</v>
      </c>
      <c r="E521">
        <v>36</v>
      </c>
      <c r="F521">
        <v>3</v>
      </c>
      <c r="G521">
        <v>23</v>
      </c>
      <c r="H521">
        <v>0</v>
      </c>
      <c r="I521">
        <v>100</v>
      </c>
      <c r="J521">
        <v>23</v>
      </c>
      <c r="K521">
        <v>0</v>
      </c>
      <c r="L521">
        <v>4</v>
      </c>
      <c r="M521" t="s">
        <v>124</v>
      </c>
      <c r="N521">
        <v>587</v>
      </c>
      <c r="O521">
        <v>38</v>
      </c>
      <c r="P521">
        <v>251</v>
      </c>
      <c r="Q521">
        <v>35</v>
      </c>
      <c r="R521">
        <v>3</v>
      </c>
      <c r="S521">
        <v>22</v>
      </c>
      <c r="T521">
        <v>1</v>
      </c>
      <c r="U521">
        <v>159</v>
      </c>
      <c r="V521">
        <v>43</v>
      </c>
      <c r="W521">
        <v>1</v>
      </c>
      <c r="X521">
        <v>1</v>
      </c>
      <c r="Y521" t="s">
        <v>19</v>
      </c>
      <c r="Z521">
        <v>4</v>
      </c>
      <c r="AA521">
        <f>IF(AND(Table1[[#This Row],[Throw Out Pass Eff]]="N", Table1[[#This Row],[Against FCS Team]]="N"), ROUND(((5.45 * D521) + (150 * F521) + (100 * G521) - (300 * H521)) / E521, 2), " ")</f>
        <v>127.71</v>
      </c>
      <c r="AB521">
        <f>IF(AND(Table1[[#This Row],[Throw Out Pass Def Eff]]="N", Table1[[#This Row],[Against FCS Team]]="N"),200 - ROUND(((5.45 * P521) + (150 * R521) + (100 * S521) - (300 * T521)) / Q521, 2), " ")</f>
        <v>93.77</v>
      </c>
      <c r="AC521">
        <f>IF(AND(Table1[[#This Row],[Throw Out Rush Eff]]="N", Table1[[#This Row],[Against FCS Team]]="N"), ROUND(((23.2 * I521) + (150 * K521) - (300 * L521)) / J521, 2), " ")</f>
        <v>48.7</v>
      </c>
      <c r="AD521" s="3">
        <f>IF(AND(Table1[[#This Row],[Throw Out Rush Def Eff]]="N", Table1[[#This Row],[Against FCS Team]]="N"), 200 - ROUND(((23.2 * U521) + (150 * W521) - (300 * X521)) / V521, 2), " ")</f>
        <v>117.7</v>
      </c>
      <c r="AE521" s="3">
        <f>ROUND(Table1[[#This Row],[Opp Passing Attempts]]/(Table1[[#This Row],[Opp Passing Attempts]]+Table1[[#This Row],[Opp Rushing Attempts]]), 2)</f>
        <v>0.45</v>
      </c>
      <c r="AF521" s="3">
        <f>1-Table1[[#This Row],[Passing Weight]]</f>
        <v>0.55000000000000004</v>
      </c>
      <c r="AG521" s="3" t="str">
        <f>IF(COUNTIF(A:A,Table1[[#This Row],[Opp Team Name]]) &gt; 0, "N", "Y")</f>
        <v>N</v>
      </c>
      <c r="AH521" s="3" t="str">
        <f>IF(Table1[[#This Row],[Passing Attempts]] &lt;15, "Y", "N")</f>
        <v>N</v>
      </c>
      <c r="AI521" s="3" t="str">
        <f>IF(Table1[[#This Row],[Rushing Attempts]] &lt; 15, "Y", "N")</f>
        <v>N</v>
      </c>
      <c r="AJ521" s="3" t="str">
        <f>IF(Table1[[#This Row],[Opp Passing Attempts]]&lt;15, "Y", "N")</f>
        <v>N</v>
      </c>
      <c r="AK521" s="3" t="str">
        <f>IF(Table1[[#This Row],[Opp Rushing Attempts]]&lt;15, "Y", "N")</f>
        <v>N</v>
      </c>
      <c r="AL5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153.38999999999999</v>
      </c>
      <c r="AM5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85.43</v>
      </c>
      <c r="AN5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54.27</v>
      </c>
      <c r="AO5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55.27</v>
      </c>
      <c r="AP521" s="3">
        <f>ABS(Table1[[#This Row],[Team Score]]-Table1[[#This Row],[Opp Team Score]])</f>
        <v>12</v>
      </c>
      <c r="AQ521" s="3">
        <f>SUM(Table1[[#This Row],[Team Score]], Table1[[#This Row],[Opp Team Score]])</f>
        <v>64</v>
      </c>
      <c r="AR5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12.120000000000005</v>
      </c>
      <c r="AS521" s="3">
        <f>IF(Table1[[#This Row],[Efficiency Difference]] = " ", " ", ROUND((Table1[[#This Row],[Winning Margin]]*100)/Table1[[#This Row],[Efficiency Difference]], 2))</f>
        <v>99.01</v>
      </c>
    </row>
    <row r="522" spans="1:45">
      <c r="A522" t="s">
        <v>109</v>
      </c>
      <c r="B522">
        <v>519</v>
      </c>
      <c r="C522">
        <v>17</v>
      </c>
      <c r="D522">
        <v>276</v>
      </c>
      <c r="E522">
        <v>42</v>
      </c>
      <c r="F522">
        <v>2</v>
      </c>
      <c r="G522">
        <v>28</v>
      </c>
      <c r="H522">
        <v>0</v>
      </c>
      <c r="I522">
        <v>115</v>
      </c>
      <c r="J522">
        <v>39</v>
      </c>
      <c r="K522">
        <v>0</v>
      </c>
      <c r="L522">
        <v>1</v>
      </c>
      <c r="M522" t="s">
        <v>21</v>
      </c>
      <c r="N522">
        <v>331</v>
      </c>
      <c r="O522">
        <v>10</v>
      </c>
      <c r="P522">
        <v>117</v>
      </c>
      <c r="Q522">
        <v>36</v>
      </c>
      <c r="R522">
        <v>0</v>
      </c>
      <c r="S522">
        <v>15</v>
      </c>
      <c r="T522">
        <v>3</v>
      </c>
      <c r="U522">
        <v>83</v>
      </c>
      <c r="V522">
        <v>32</v>
      </c>
      <c r="W522">
        <v>1</v>
      </c>
      <c r="X522">
        <v>1</v>
      </c>
      <c r="Y522" t="s">
        <v>16</v>
      </c>
      <c r="Z522">
        <v>5</v>
      </c>
      <c r="AA522">
        <f>IF(AND(Table1[[#This Row],[Throw Out Pass Eff]]="N", Table1[[#This Row],[Against FCS Team]]="N"), ROUND(((5.45 * D522) + (150 * F522) + (100 * G522) - (300 * H522)) / E522, 2), " ")</f>
        <v>109.62</v>
      </c>
      <c r="AB522">
        <f>IF(AND(Table1[[#This Row],[Throw Out Pass Def Eff]]="N", Table1[[#This Row],[Against FCS Team]]="N"),200 - ROUND(((5.45 * P522) + (150 * R522) + (100 * S522) - (300 * T522)) / Q522, 2), " ")</f>
        <v>165.62</v>
      </c>
      <c r="AC522">
        <f>IF(AND(Table1[[#This Row],[Throw Out Rush Eff]]="N", Table1[[#This Row],[Against FCS Team]]="N"), ROUND(((23.2 * I522) + (150 * K522) - (300 * L522)) / J522, 2), " ")</f>
        <v>60.72</v>
      </c>
      <c r="AD522" s="3">
        <f>IF(AND(Table1[[#This Row],[Throw Out Rush Def Eff]]="N", Table1[[#This Row],[Against FCS Team]]="N"), 200 - ROUND(((23.2 * U522) + (150 * W522) - (300 * X522)) / V522, 2), " ")</f>
        <v>144.51</v>
      </c>
      <c r="AE522" s="3">
        <f>ROUND(Table1[[#This Row],[Opp Passing Attempts]]/(Table1[[#This Row],[Opp Passing Attempts]]+Table1[[#This Row],[Opp Rushing Attempts]]), 2)</f>
        <v>0.53</v>
      </c>
      <c r="AF522" s="3">
        <f>1-Table1[[#This Row],[Passing Weight]]</f>
        <v>0.47</v>
      </c>
      <c r="AG522" s="3" t="str">
        <f>IF(COUNTIF(A:A,Table1[[#This Row],[Opp Team Name]]) &gt; 0, "N", "Y")</f>
        <v>N</v>
      </c>
      <c r="AH522" s="3" t="str">
        <f>IF(Table1[[#This Row],[Passing Attempts]] &lt;15, "Y", "N")</f>
        <v>N</v>
      </c>
      <c r="AI522" s="3" t="str">
        <f>IF(Table1[[#This Row],[Rushing Attempts]] &lt; 15, "Y", "N")</f>
        <v>N</v>
      </c>
      <c r="AJ522" s="3" t="str">
        <f>IF(Table1[[#This Row],[Opp Passing Attempts]]&lt;15, "Y", "N")</f>
        <v>N</v>
      </c>
      <c r="AK522" s="3" t="str">
        <f>IF(Table1[[#This Row],[Opp Rushing Attempts]]&lt;15, "Y", "N")</f>
        <v>N</v>
      </c>
      <c r="AL5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124.84</v>
      </c>
      <c r="AM5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78.489999999999995</v>
      </c>
      <c r="AN5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73.400000000000006</v>
      </c>
      <c r="AO5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42.93</v>
      </c>
      <c r="AP522" s="3">
        <f>ABS(Table1[[#This Row],[Team Score]]-Table1[[#This Row],[Opp Team Score]])</f>
        <v>7</v>
      </c>
      <c r="AQ522" s="3">
        <f>SUM(Table1[[#This Row],[Team Score]], Table1[[#This Row],[Opp Team Score]])</f>
        <v>27</v>
      </c>
      <c r="AR5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80.47</v>
      </c>
      <c r="AS522" s="3">
        <f>IF(Table1[[#This Row],[Efficiency Difference]] = " ", " ", ROUND((Table1[[#This Row],[Winning Margin]]*100)/Table1[[#This Row],[Efficiency Difference]], 2))</f>
        <v>8.6999999999999993</v>
      </c>
    </row>
    <row r="523" spans="1:45">
      <c r="A523" t="s">
        <v>109</v>
      </c>
      <c r="B523">
        <v>519</v>
      </c>
      <c r="C523">
        <v>37</v>
      </c>
      <c r="D523">
        <v>203</v>
      </c>
      <c r="E523">
        <v>37</v>
      </c>
      <c r="F523">
        <v>1</v>
      </c>
      <c r="G523">
        <v>23</v>
      </c>
      <c r="H523">
        <v>1</v>
      </c>
      <c r="I523">
        <v>239</v>
      </c>
      <c r="J523">
        <v>35</v>
      </c>
      <c r="K523">
        <v>3</v>
      </c>
      <c r="L523">
        <v>0</v>
      </c>
      <c r="M523" t="s">
        <v>44</v>
      </c>
      <c r="N523">
        <v>86</v>
      </c>
      <c r="O523">
        <v>38</v>
      </c>
      <c r="P523">
        <v>343</v>
      </c>
      <c r="Q523">
        <v>39</v>
      </c>
      <c r="R523">
        <v>2</v>
      </c>
      <c r="S523">
        <v>23</v>
      </c>
      <c r="T523">
        <v>0</v>
      </c>
      <c r="U523">
        <v>167</v>
      </c>
      <c r="V523">
        <v>41</v>
      </c>
      <c r="W523">
        <v>3</v>
      </c>
      <c r="X523">
        <v>0</v>
      </c>
      <c r="Y523" t="s">
        <v>19</v>
      </c>
      <c r="Z523">
        <v>6</v>
      </c>
      <c r="AA523">
        <f>IF(AND(Table1[[#This Row],[Throw Out Pass Eff]]="N", Table1[[#This Row],[Against FCS Team]]="N"), ROUND(((5.45 * D523) + (150 * F523) + (100 * G523) - (300 * H523)) / E523, 2), " ")</f>
        <v>88.01</v>
      </c>
      <c r="AB523">
        <f>IF(AND(Table1[[#This Row],[Throw Out Pass Def Eff]]="N", Table1[[#This Row],[Against FCS Team]]="N"),200 - ROUND(((5.45 * P523) + (150 * R523) + (100 * S523) - (300 * T523)) / Q523, 2), " ")</f>
        <v>85.4</v>
      </c>
      <c r="AC523">
        <f>IF(AND(Table1[[#This Row],[Throw Out Rush Eff]]="N", Table1[[#This Row],[Against FCS Team]]="N"), ROUND(((23.2 * I523) + (150 * K523) - (300 * L523)) / J523, 2), " ")</f>
        <v>171.28</v>
      </c>
      <c r="AD523" s="3">
        <f>IF(AND(Table1[[#This Row],[Throw Out Rush Def Eff]]="N", Table1[[#This Row],[Against FCS Team]]="N"), 200 - ROUND(((23.2 * U523) + (150 * W523) - (300 * X523)) / V523, 2), " ")</f>
        <v>94.53</v>
      </c>
      <c r="AE523" s="3">
        <f>ROUND(Table1[[#This Row],[Opp Passing Attempts]]/(Table1[[#This Row],[Opp Passing Attempts]]+Table1[[#This Row],[Opp Rushing Attempts]]), 2)</f>
        <v>0.49</v>
      </c>
      <c r="AF523" s="3">
        <f>1-Table1[[#This Row],[Passing Weight]]</f>
        <v>0.51</v>
      </c>
      <c r="AG523" s="3" t="str">
        <f>IF(COUNTIF(A:A,Table1[[#This Row],[Opp Team Name]]) &gt; 0, "N", "Y")</f>
        <v>N</v>
      </c>
      <c r="AH523" s="3" t="str">
        <f>IF(Table1[[#This Row],[Passing Attempts]] &lt;15, "Y", "N")</f>
        <v>N</v>
      </c>
      <c r="AI523" s="3" t="str">
        <f>IF(Table1[[#This Row],[Rushing Attempts]] &lt; 15, "Y", "N")</f>
        <v>N</v>
      </c>
      <c r="AJ523" s="3" t="str">
        <f>IF(Table1[[#This Row],[Opp Passing Attempts]]&lt;15, "Y", "N")</f>
        <v>N</v>
      </c>
      <c r="AK523" s="3" t="str">
        <f>IF(Table1[[#This Row],[Opp Rushing Attempts]]&lt;15, "Y", "N")</f>
        <v>N</v>
      </c>
      <c r="AL5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82.66</v>
      </c>
      <c r="AM5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71.72</v>
      </c>
      <c r="AN5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141.19999999999999</v>
      </c>
      <c r="AO5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87.99</v>
      </c>
      <c r="AP523" s="3">
        <f>ABS(Table1[[#This Row],[Team Score]]-Table1[[#This Row],[Opp Team Score]])</f>
        <v>1</v>
      </c>
      <c r="AQ523" s="3">
        <f>SUM(Table1[[#This Row],[Team Score]], Table1[[#This Row],[Opp Team Score]])</f>
        <v>75</v>
      </c>
      <c r="AR5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39.220000000000027</v>
      </c>
      <c r="AS523" s="3">
        <f>IF(Table1[[#This Row],[Efficiency Difference]] = " ", " ", ROUND((Table1[[#This Row],[Winning Margin]]*100)/Table1[[#This Row],[Efficiency Difference]], 2))</f>
        <v>2.5499999999999998</v>
      </c>
    </row>
    <row r="524" spans="1:45">
      <c r="A524" t="s">
        <v>109</v>
      </c>
      <c r="B524">
        <v>519</v>
      </c>
      <c r="C524">
        <v>20</v>
      </c>
      <c r="D524">
        <v>283</v>
      </c>
      <c r="E524">
        <v>31</v>
      </c>
      <c r="F524">
        <v>3</v>
      </c>
      <c r="G524">
        <v>19</v>
      </c>
      <c r="H524">
        <v>2</v>
      </c>
      <c r="I524">
        <v>130</v>
      </c>
      <c r="J524">
        <v>30</v>
      </c>
      <c r="K524">
        <v>0</v>
      </c>
      <c r="L524">
        <v>1</v>
      </c>
      <c r="M524" t="s">
        <v>34</v>
      </c>
      <c r="N524">
        <v>47</v>
      </c>
      <c r="O524">
        <v>23</v>
      </c>
      <c r="P524">
        <v>206</v>
      </c>
      <c r="Q524">
        <v>37</v>
      </c>
      <c r="R524">
        <v>0</v>
      </c>
      <c r="S524">
        <v>21</v>
      </c>
      <c r="T524">
        <v>0</v>
      </c>
      <c r="U524">
        <v>166</v>
      </c>
      <c r="V524">
        <v>41</v>
      </c>
      <c r="W524">
        <v>2</v>
      </c>
      <c r="X524">
        <v>0</v>
      </c>
      <c r="Y524" t="s">
        <v>19</v>
      </c>
      <c r="Z524">
        <v>7</v>
      </c>
      <c r="AA524">
        <f>IF(AND(Table1[[#This Row],[Throw Out Pass Eff]]="N", Table1[[#This Row],[Against FCS Team]]="N"), ROUND(((5.45 * D524) + (150 * F524) + (100 * G524) - (300 * H524)) / E524, 2), " ")</f>
        <v>106.2</v>
      </c>
      <c r="AB524">
        <f>IF(AND(Table1[[#This Row],[Throw Out Pass Def Eff]]="N", Table1[[#This Row],[Against FCS Team]]="N"),200 - ROUND(((5.45 * P524) + (150 * R524) + (100 * S524) - (300 * T524)) / Q524, 2), " ")</f>
        <v>112.9</v>
      </c>
      <c r="AC524">
        <f>IF(AND(Table1[[#This Row],[Throw Out Rush Eff]]="N", Table1[[#This Row],[Against FCS Team]]="N"), ROUND(((23.2 * I524) + (150 * K524) - (300 * L524)) / J524, 2), " ")</f>
        <v>90.53</v>
      </c>
      <c r="AD524" s="3">
        <f>IF(AND(Table1[[#This Row],[Throw Out Rush Def Eff]]="N", Table1[[#This Row],[Against FCS Team]]="N"), 200 - ROUND(((23.2 * U524) + (150 * W524) - (300 * X524)) / V524, 2), " ")</f>
        <v>98.75</v>
      </c>
      <c r="AE524" s="3">
        <f>ROUND(Table1[[#This Row],[Opp Passing Attempts]]/(Table1[[#This Row],[Opp Passing Attempts]]+Table1[[#This Row],[Opp Rushing Attempts]]), 2)</f>
        <v>0.47</v>
      </c>
      <c r="AF524" s="3">
        <f>1-Table1[[#This Row],[Passing Weight]]</f>
        <v>0.53</v>
      </c>
      <c r="AG524" s="3" t="str">
        <f>IF(COUNTIF(A:A,Table1[[#This Row],[Opp Team Name]]) &gt; 0, "N", "Y")</f>
        <v>N</v>
      </c>
      <c r="AH524" s="3" t="str">
        <f>IF(Table1[[#This Row],[Passing Attempts]] &lt;15, "Y", "N")</f>
        <v>N</v>
      </c>
      <c r="AI524" s="3" t="str">
        <f>IF(Table1[[#This Row],[Rushing Attempts]] &lt; 15, "Y", "N")</f>
        <v>N</v>
      </c>
      <c r="AJ524" s="3" t="str">
        <f>IF(Table1[[#This Row],[Opp Passing Attempts]]&lt;15, "Y", "N")</f>
        <v>N</v>
      </c>
      <c r="AK524" s="3" t="str">
        <f>IF(Table1[[#This Row],[Opp Rushing Attempts]]&lt;15, "Y", "N")</f>
        <v>N</v>
      </c>
      <c r="AL5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90.25</v>
      </c>
      <c r="AM5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109.9</v>
      </c>
      <c r="AN5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78.3</v>
      </c>
      <c r="AO5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85.03</v>
      </c>
      <c r="AP524" s="3">
        <f>ABS(Table1[[#This Row],[Team Score]]-Table1[[#This Row],[Opp Team Score]])</f>
        <v>3</v>
      </c>
      <c r="AQ524" s="3">
        <f>SUM(Table1[[#This Row],[Team Score]], Table1[[#This Row],[Opp Team Score]])</f>
        <v>43</v>
      </c>
      <c r="AR5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8.3800000000000239</v>
      </c>
      <c r="AS524" s="3">
        <f>IF(Table1[[#This Row],[Efficiency Difference]] = " ", " ", ROUND((Table1[[#This Row],[Winning Margin]]*100)/Table1[[#This Row],[Efficiency Difference]], 2))</f>
        <v>35.799999999999997</v>
      </c>
    </row>
    <row r="525" spans="1:45">
      <c r="A525" t="s">
        <v>109</v>
      </c>
      <c r="B525">
        <v>519</v>
      </c>
      <c r="C525">
        <v>37</v>
      </c>
      <c r="D525">
        <v>344</v>
      </c>
      <c r="E525">
        <v>31</v>
      </c>
      <c r="F525">
        <v>2</v>
      </c>
      <c r="G525">
        <v>23</v>
      </c>
      <c r="H525">
        <v>1</v>
      </c>
      <c r="I525">
        <v>212</v>
      </c>
      <c r="J525">
        <v>49</v>
      </c>
      <c r="K525">
        <v>2</v>
      </c>
      <c r="L525">
        <v>2</v>
      </c>
      <c r="M525" t="s">
        <v>17</v>
      </c>
      <c r="N525">
        <v>5</v>
      </c>
      <c r="O525">
        <v>20</v>
      </c>
      <c r="P525">
        <v>168</v>
      </c>
      <c r="Q525">
        <v>33</v>
      </c>
      <c r="R525">
        <v>2</v>
      </c>
      <c r="S525">
        <v>17</v>
      </c>
      <c r="T525">
        <v>0</v>
      </c>
      <c r="U525">
        <v>81</v>
      </c>
      <c r="V525">
        <v>35</v>
      </c>
      <c r="W525">
        <v>0</v>
      </c>
      <c r="X525">
        <v>1</v>
      </c>
      <c r="Y525" t="s">
        <v>16</v>
      </c>
      <c r="Z525">
        <v>8</v>
      </c>
      <c r="AA525" s="3">
        <f>IF(AND(Table1[[#This Row],[Throw Out Pass Eff]]="N", Table1[[#This Row],[Against FCS Team]]="N"), ROUND(((5.45 * D525) + (150 * F525) + (100 * G525) - (300 * H525)) / E525, 2), " ")</f>
        <v>134.66999999999999</v>
      </c>
      <c r="AB525" s="3">
        <f>IF(AND(Table1[[#This Row],[Throw Out Pass Def Eff]]="N", Table1[[#This Row],[Against FCS Team]]="N"),200 - ROUND(((5.45 * P525) + (150 * R525) + (100 * S525) - (300 * T525)) / Q525, 2), " ")</f>
        <v>111.65</v>
      </c>
      <c r="AC525" s="3">
        <f>IF(AND(Table1[[#This Row],[Throw Out Rush Eff]]="N", Table1[[#This Row],[Against FCS Team]]="N"), ROUND(((23.2 * I525) + (150 * K525) - (300 * L525)) / J525, 2), " ")</f>
        <v>94.25</v>
      </c>
      <c r="AD525" s="3">
        <f>IF(AND(Table1[[#This Row],[Throw Out Rush Def Eff]]="N", Table1[[#This Row],[Against FCS Team]]="N"), 200 - ROUND(((23.2 * U525) + (150 * W525) - (300 * X525)) / V525, 2), " ")</f>
        <v>154.88</v>
      </c>
      <c r="AE525" s="3">
        <f>ROUND(Table1[[#This Row],[Opp Passing Attempts]]/(Table1[[#This Row],[Opp Passing Attempts]]+Table1[[#This Row],[Opp Rushing Attempts]]), 2)</f>
        <v>0.49</v>
      </c>
      <c r="AF525" s="3">
        <f>1-Table1[[#This Row],[Passing Weight]]</f>
        <v>0.51</v>
      </c>
      <c r="AG525" s="3" t="str">
        <f>IF(COUNTIF(A:A,Table1[[#This Row],[Opp Team Name]]) &gt; 0, "N", "Y")</f>
        <v>N</v>
      </c>
      <c r="AH525" s="3" t="str">
        <f>IF(Table1[[#This Row],[Passing Attempts]] &lt;15, "Y", "N")</f>
        <v>N</v>
      </c>
      <c r="AI525" s="3" t="str">
        <f>IF(Table1[[#This Row],[Rushing Attempts]] &lt; 15, "Y", "N")</f>
        <v>N</v>
      </c>
      <c r="AJ525" s="3" t="str">
        <f>IF(Table1[[#This Row],[Opp Passing Attempts]]&lt;15, "Y", "N")</f>
        <v>N</v>
      </c>
      <c r="AK525" s="3" t="str">
        <f>IF(Table1[[#This Row],[Opp Rushing Attempts]]&lt;15, "Y", "N")</f>
        <v>N</v>
      </c>
      <c r="AL5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111.42</v>
      </c>
      <c r="AM5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78.16</v>
      </c>
      <c r="AN5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87.2</v>
      </c>
      <c r="AO5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87.42</v>
      </c>
      <c r="AP525" s="3">
        <f>ABS(Table1[[#This Row],[Team Score]]-Table1[[#This Row],[Opp Team Score]])</f>
        <v>17</v>
      </c>
      <c r="AQ525" s="3">
        <f>SUM(Table1[[#This Row],[Team Score]], Table1[[#This Row],[Opp Team Score]])</f>
        <v>57</v>
      </c>
      <c r="AR5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95.44999999999996</v>
      </c>
      <c r="AS525" s="3">
        <f>IF(Table1[[#This Row],[Efficiency Difference]] = " ", " ", ROUND((Table1[[#This Row],[Winning Margin]]*100)/Table1[[#This Row],[Efficiency Difference]], 2))</f>
        <v>17.809999999999999</v>
      </c>
    </row>
    <row r="526" spans="1:45">
      <c r="A526" t="s">
        <v>18</v>
      </c>
      <c r="B526">
        <v>518</v>
      </c>
      <c r="C526">
        <v>42</v>
      </c>
      <c r="D526">
        <v>293</v>
      </c>
      <c r="E526">
        <v>28</v>
      </c>
      <c r="F526">
        <v>4</v>
      </c>
      <c r="G526">
        <v>20</v>
      </c>
      <c r="H526">
        <v>0</v>
      </c>
      <c r="I526">
        <v>224</v>
      </c>
      <c r="J526">
        <v>51</v>
      </c>
      <c r="K526">
        <v>2</v>
      </c>
      <c r="L526">
        <v>1</v>
      </c>
      <c r="M526" t="s">
        <v>17</v>
      </c>
      <c r="N526">
        <v>5</v>
      </c>
      <c r="O526">
        <v>0</v>
      </c>
      <c r="P526">
        <v>55</v>
      </c>
      <c r="Q526">
        <v>19</v>
      </c>
      <c r="R526">
        <v>0</v>
      </c>
      <c r="S526">
        <v>7</v>
      </c>
      <c r="T526">
        <v>1</v>
      </c>
      <c r="U526">
        <v>35</v>
      </c>
      <c r="V526">
        <v>27</v>
      </c>
      <c r="W526">
        <v>0</v>
      </c>
      <c r="X526">
        <v>0</v>
      </c>
      <c r="Y526" t="s">
        <v>16</v>
      </c>
      <c r="Z526">
        <v>1</v>
      </c>
      <c r="AA526">
        <f>IF(AND(Table1[[#This Row],[Throw Out Pass Eff]]="N", Table1[[#This Row],[Against FCS Team]]="N"), ROUND(((5.45 * D526) + (150 * F526) + (100 * G526) - (300 * H526)) / E526, 2), " ")</f>
        <v>149.88999999999999</v>
      </c>
      <c r="AB526">
        <f>IF(AND(Table1[[#This Row],[Throw Out Pass Def Eff]]="N", Table1[[#This Row],[Against FCS Team]]="N"),200 - ROUND(((5.45 * P526) + (150 * R526) + (100 * S526) - (300 * T526)) / Q526, 2), " ")</f>
        <v>163.17000000000002</v>
      </c>
      <c r="AC526">
        <f>IF(AND(Table1[[#This Row],[Throw Out Rush Eff]]="N", Table1[[#This Row],[Against FCS Team]]="N"), ROUND(((23.2 * I526) + (150 * K526) - (300 * L526)) / J526, 2), " ")</f>
        <v>101.9</v>
      </c>
      <c r="AD526" s="3">
        <f>IF(AND(Table1[[#This Row],[Throw Out Rush Def Eff]]="N", Table1[[#This Row],[Against FCS Team]]="N"), 200 - ROUND(((23.2 * U526) + (150 * W526) - (300 * X526)) / V526, 2), " ")</f>
        <v>169.93</v>
      </c>
      <c r="AE526" s="3">
        <f>ROUND(Table1[[#This Row],[Opp Passing Attempts]]/(Table1[[#This Row],[Opp Passing Attempts]]+Table1[[#This Row],[Opp Rushing Attempts]]), 2)</f>
        <v>0.41</v>
      </c>
      <c r="AF526" s="3">
        <f>1-Table1[[#This Row],[Passing Weight]]</f>
        <v>0.59000000000000008</v>
      </c>
      <c r="AG526" s="3" t="str">
        <f>IF(COUNTIF(A:A,Table1[[#This Row],[Opp Team Name]]) &gt; 0, "N", "Y")</f>
        <v>N</v>
      </c>
      <c r="AH526" s="3" t="str">
        <f>IF(Table1[[#This Row],[Passing Attempts]] &lt;15, "Y", "N")</f>
        <v>N</v>
      </c>
      <c r="AI526" s="3" t="str">
        <f>IF(Table1[[#This Row],[Rushing Attempts]] &lt; 15, "Y", "N")</f>
        <v>N</v>
      </c>
      <c r="AJ526" s="3" t="str">
        <f>IF(Table1[[#This Row],[Opp Passing Attempts]]&lt;15, "Y", "N")</f>
        <v>N</v>
      </c>
      <c r="AK526" s="3" t="str">
        <f>IF(Table1[[#This Row],[Opp Rushing Attempts]]&lt;15, "Y", "N")</f>
        <v>N</v>
      </c>
      <c r="AL5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124.01</v>
      </c>
      <c r="AM5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114.22</v>
      </c>
      <c r="AN5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94.28</v>
      </c>
      <c r="AO5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95.92</v>
      </c>
      <c r="AP526" s="3">
        <f>ABS(Table1[[#This Row],[Team Score]]-Table1[[#This Row],[Opp Team Score]])</f>
        <v>42</v>
      </c>
      <c r="AQ526" s="3">
        <f>SUM(Table1[[#This Row],[Team Score]], Table1[[#This Row],[Opp Team Score]])</f>
        <v>42</v>
      </c>
      <c r="AR5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184.89000000000001</v>
      </c>
      <c r="AS526" s="3">
        <f>IF(Table1[[#This Row],[Efficiency Difference]] = " ", " ", ROUND((Table1[[#This Row],[Winning Margin]]*100)/Table1[[#This Row],[Efficiency Difference]], 2))</f>
        <v>22.72</v>
      </c>
    </row>
    <row r="527" spans="1:45">
      <c r="A527" t="s">
        <v>18</v>
      </c>
      <c r="B527">
        <v>518</v>
      </c>
      <c r="C527">
        <v>27</v>
      </c>
      <c r="D527">
        <v>189</v>
      </c>
      <c r="E527">
        <v>30</v>
      </c>
      <c r="F527">
        <v>1</v>
      </c>
      <c r="G527">
        <v>16</v>
      </c>
      <c r="H527">
        <v>0</v>
      </c>
      <c r="I527">
        <v>112</v>
      </c>
      <c r="J527">
        <v>34</v>
      </c>
      <c r="K527">
        <v>2</v>
      </c>
      <c r="L527">
        <v>1</v>
      </c>
      <c r="M527" t="s">
        <v>138</v>
      </c>
      <c r="N527">
        <v>709</v>
      </c>
      <c r="O527">
        <v>22</v>
      </c>
      <c r="P527">
        <v>292</v>
      </c>
      <c r="Q527">
        <v>42</v>
      </c>
      <c r="R527">
        <v>2</v>
      </c>
      <c r="S527">
        <v>21</v>
      </c>
      <c r="T527">
        <v>1</v>
      </c>
      <c r="U527">
        <v>46</v>
      </c>
      <c r="V527">
        <v>30</v>
      </c>
      <c r="W527">
        <v>1</v>
      </c>
      <c r="X527">
        <v>0</v>
      </c>
      <c r="Y527" t="s">
        <v>16</v>
      </c>
      <c r="Z527">
        <v>2</v>
      </c>
      <c r="AA527">
        <f>IF(AND(Table1[[#This Row],[Throw Out Pass Eff]]="N", Table1[[#This Row],[Against FCS Team]]="N"), ROUND(((5.45 * D527) + (150 * F527) + (100 * G527) - (300 * H527)) / E527, 2), " ")</f>
        <v>92.67</v>
      </c>
      <c r="AB527">
        <f>IF(AND(Table1[[#This Row],[Throw Out Pass Def Eff]]="N", Table1[[#This Row],[Against FCS Team]]="N"),200 - ROUND(((5.45 * P527) + (150 * R527) + (100 * S527) - (300 * T527)) / Q527, 2), " ")</f>
        <v>112.11</v>
      </c>
      <c r="AC527">
        <f>IF(AND(Table1[[#This Row],[Throw Out Rush Eff]]="N", Table1[[#This Row],[Against FCS Team]]="N"), ROUND(((23.2 * I527) + (150 * K527) - (300 * L527)) / J527, 2), " ")</f>
        <v>76.42</v>
      </c>
      <c r="AD527" s="3">
        <f>IF(AND(Table1[[#This Row],[Throw Out Rush Def Eff]]="N", Table1[[#This Row],[Against FCS Team]]="N"), 200 - ROUND(((23.2 * U527) + (150 * W527) - (300 * X527)) / V527, 2), " ")</f>
        <v>159.43</v>
      </c>
      <c r="AE527" s="3">
        <f>ROUND(Table1[[#This Row],[Opp Passing Attempts]]/(Table1[[#This Row],[Opp Passing Attempts]]+Table1[[#This Row],[Opp Rushing Attempts]]), 2)</f>
        <v>0.57999999999999996</v>
      </c>
      <c r="AF527" s="3">
        <f>1-Table1[[#This Row],[Passing Weight]]</f>
        <v>0.42000000000000004</v>
      </c>
      <c r="AG527" s="3" t="str">
        <f>IF(COUNTIF(A:A,Table1[[#This Row],[Opp Team Name]]) &gt; 0, "N", "Y")</f>
        <v>N</v>
      </c>
      <c r="AH527" s="3" t="str">
        <f>IF(Table1[[#This Row],[Passing Attempts]] &lt;15, "Y", "N")</f>
        <v>N</v>
      </c>
      <c r="AI527" s="3" t="str">
        <f>IF(Table1[[#This Row],[Rushing Attempts]] &lt; 15, "Y", "N")</f>
        <v>N</v>
      </c>
      <c r="AJ527" s="3" t="str">
        <f>IF(Table1[[#This Row],[Opp Passing Attempts]]&lt;15, "Y", "N")</f>
        <v>N</v>
      </c>
      <c r="AK527" s="3" t="str">
        <f>IF(Table1[[#This Row],[Opp Rushing Attempts]]&lt;15, "Y", "N")</f>
        <v>N</v>
      </c>
      <c r="AL5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94.1</v>
      </c>
      <c r="AM52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131.32</v>
      </c>
      <c r="AN5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101.41</v>
      </c>
      <c r="AO5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166.22</v>
      </c>
      <c r="AP527" s="3">
        <f>ABS(Table1[[#This Row],[Team Score]]-Table1[[#This Row],[Opp Team Score]])</f>
        <v>5</v>
      </c>
      <c r="AQ527" s="3">
        <f>SUM(Table1[[#This Row],[Team Score]], Table1[[#This Row],[Opp Team Score]])</f>
        <v>49</v>
      </c>
      <c r="AR52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40.630000000000024</v>
      </c>
      <c r="AS527" s="3">
        <f>IF(Table1[[#This Row],[Efficiency Difference]] = " ", " ", ROUND((Table1[[#This Row],[Winning Margin]]*100)/Table1[[#This Row],[Efficiency Difference]], 2))</f>
        <v>12.31</v>
      </c>
    </row>
    <row r="528" spans="1:45">
      <c r="A528" t="s">
        <v>18</v>
      </c>
      <c r="B528">
        <v>518</v>
      </c>
      <c r="C528">
        <v>6</v>
      </c>
      <c r="D528">
        <v>35</v>
      </c>
      <c r="E528">
        <v>18</v>
      </c>
      <c r="F528">
        <v>0</v>
      </c>
      <c r="G528">
        <v>4</v>
      </c>
      <c r="H528">
        <v>1</v>
      </c>
      <c r="I528">
        <v>174</v>
      </c>
      <c r="J528">
        <v>37</v>
      </c>
      <c r="K528">
        <v>0</v>
      </c>
      <c r="L528">
        <v>1</v>
      </c>
      <c r="M528" t="s">
        <v>179</v>
      </c>
      <c r="N528">
        <v>415</v>
      </c>
      <c r="O528">
        <v>24</v>
      </c>
      <c r="P528">
        <v>123</v>
      </c>
      <c r="Q528">
        <v>23</v>
      </c>
      <c r="R528">
        <v>2</v>
      </c>
      <c r="S528">
        <v>16</v>
      </c>
      <c r="T528">
        <v>2</v>
      </c>
      <c r="U528">
        <v>240</v>
      </c>
      <c r="V528">
        <v>42</v>
      </c>
      <c r="W528">
        <v>1</v>
      </c>
      <c r="X528">
        <v>0</v>
      </c>
      <c r="Y528" t="s">
        <v>19</v>
      </c>
      <c r="Z528">
        <v>3</v>
      </c>
      <c r="AA528">
        <f>IF(AND(Table1[[#This Row],[Throw Out Pass Eff]]="N", Table1[[#This Row],[Against FCS Team]]="N"), ROUND(((5.45 * D528) + (150 * F528) + (100 * G528) - (300 * H528)) / E528, 2), " ")</f>
        <v>16.149999999999999</v>
      </c>
      <c r="AB528">
        <f>IF(AND(Table1[[#This Row],[Throw Out Pass Def Eff]]="N", Table1[[#This Row],[Against FCS Team]]="N"),200 - ROUND(((5.45 * P528) + (150 * R528) + (100 * S528) - (300 * T528)) / Q528, 2), " ")</f>
        <v>114.33</v>
      </c>
      <c r="AC528">
        <f>IF(AND(Table1[[#This Row],[Throw Out Rush Eff]]="N", Table1[[#This Row],[Against FCS Team]]="N"), ROUND(((23.2 * I528) + (150 * K528) - (300 * L528)) / J528, 2), " ")</f>
        <v>100.99</v>
      </c>
      <c r="AD528" s="3">
        <f>IF(AND(Table1[[#This Row],[Throw Out Rush Def Eff]]="N", Table1[[#This Row],[Against FCS Team]]="N"), 200 - ROUND(((23.2 * U528) + (150 * W528) - (300 * X528)) / V528, 2), " ")</f>
        <v>63.860000000000014</v>
      </c>
      <c r="AE528" s="3">
        <f>ROUND(Table1[[#This Row],[Opp Passing Attempts]]/(Table1[[#This Row],[Opp Passing Attempts]]+Table1[[#This Row],[Opp Rushing Attempts]]), 2)</f>
        <v>0.35</v>
      </c>
      <c r="AF528" s="3">
        <f>1-Table1[[#This Row],[Passing Weight]]</f>
        <v>0.65</v>
      </c>
      <c r="AG528" s="3" t="str">
        <f>IF(COUNTIF(A:A,Table1[[#This Row],[Opp Team Name]]) &gt; 0, "N", "Y")</f>
        <v>N</v>
      </c>
      <c r="AH528" s="3" t="str">
        <f>IF(Table1[[#This Row],[Passing Attempts]] &lt;15, "Y", "N")</f>
        <v>N</v>
      </c>
      <c r="AI528" s="3" t="str">
        <f>IF(Table1[[#This Row],[Rushing Attempts]] &lt; 15, "Y", "N")</f>
        <v>N</v>
      </c>
      <c r="AJ528" s="3" t="str">
        <f>IF(Table1[[#This Row],[Opp Passing Attempts]]&lt;15, "Y", "N")</f>
        <v>N</v>
      </c>
      <c r="AK528" s="3" t="str">
        <f>IF(Table1[[#This Row],[Opp Rushing Attempts]]&lt;15, "Y", "N")</f>
        <v>N</v>
      </c>
      <c r="AL5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14.44</v>
      </c>
      <c r="AM5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120.37</v>
      </c>
      <c r="AN5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104.67</v>
      </c>
      <c r="AO5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64.73</v>
      </c>
      <c r="AP528" s="3">
        <f>ABS(Table1[[#This Row],[Team Score]]-Table1[[#This Row],[Opp Team Score]])</f>
        <v>18</v>
      </c>
      <c r="AQ528" s="3">
        <f>SUM(Table1[[#This Row],[Team Score]], Table1[[#This Row],[Opp Team Score]])</f>
        <v>30</v>
      </c>
      <c r="AR5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104.67000000000002</v>
      </c>
      <c r="AS528" s="3">
        <f>IF(Table1[[#This Row],[Efficiency Difference]] = " ", " ", ROUND((Table1[[#This Row],[Winning Margin]]*100)/Table1[[#This Row],[Efficiency Difference]], 2))</f>
        <v>17.2</v>
      </c>
    </row>
    <row r="529" spans="1:45">
      <c r="A529" t="s">
        <v>18</v>
      </c>
      <c r="B529">
        <v>518</v>
      </c>
      <c r="C529">
        <v>37</v>
      </c>
      <c r="D529">
        <v>110</v>
      </c>
      <c r="E529">
        <v>15</v>
      </c>
      <c r="F529">
        <v>2</v>
      </c>
      <c r="G529">
        <v>7</v>
      </c>
      <c r="H529">
        <v>0</v>
      </c>
      <c r="I529">
        <v>226</v>
      </c>
      <c r="J529">
        <v>47</v>
      </c>
      <c r="K529">
        <v>2</v>
      </c>
      <c r="L529">
        <v>0</v>
      </c>
      <c r="M529" t="s">
        <v>56</v>
      </c>
      <c r="N529">
        <v>157</v>
      </c>
      <c r="O529">
        <v>17</v>
      </c>
      <c r="P529">
        <v>238</v>
      </c>
      <c r="Q529">
        <v>39</v>
      </c>
      <c r="R529">
        <v>2</v>
      </c>
      <c r="S529">
        <v>22</v>
      </c>
      <c r="T529">
        <v>0</v>
      </c>
      <c r="U529">
        <v>76</v>
      </c>
      <c r="V529">
        <v>16</v>
      </c>
      <c r="W529">
        <v>0</v>
      </c>
      <c r="X529">
        <v>2</v>
      </c>
      <c r="Y529" t="s">
        <v>16</v>
      </c>
      <c r="Z529">
        <v>4</v>
      </c>
      <c r="AA529">
        <f>IF(AND(Table1[[#This Row],[Throw Out Pass Eff]]="N", Table1[[#This Row],[Against FCS Team]]="N"), ROUND(((5.45 * D529) + (150 * F529) + (100 * G529) - (300 * H529)) / E529, 2), " ")</f>
        <v>106.63</v>
      </c>
      <c r="AB529">
        <f>IF(AND(Table1[[#This Row],[Throw Out Pass Def Eff]]="N", Table1[[#This Row],[Against FCS Team]]="N"),200 - ROUND(((5.45 * P529) + (150 * R529) + (100 * S529) - (300 * T529)) / Q529, 2), " ")</f>
        <v>102.64</v>
      </c>
      <c r="AC529">
        <f>IF(AND(Table1[[#This Row],[Throw Out Rush Eff]]="N", Table1[[#This Row],[Against FCS Team]]="N"), ROUND(((23.2 * I529) + (150 * K529) - (300 * L529)) / J529, 2), " ")</f>
        <v>117.94</v>
      </c>
      <c r="AD529" s="3">
        <f>IF(AND(Table1[[#This Row],[Throw Out Rush Def Eff]]="N", Table1[[#This Row],[Against FCS Team]]="N"), 200 - ROUND(((23.2 * U529) + (150 * W529) - (300 * X529)) / V529, 2), " ")</f>
        <v>127.3</v>
      </c>
      <c r="AE529" s="3">
        <f>ROUND(Table1[[#This Row],[Opp Passing Attempts]]/(Table1[[#This Row],[Opp Passing Attempts]]+Table1[[#This Row],[Opp Rushing Attempts]]), 2)</f>
        <v>0.71</v>
      </c>
      <c r="AF529" s="3">
        <f>1-Table1[[#This Row],[Passing Weight]]</f>
        <v>0.29000000000000004</v>
      </c>
      <c r="AG529" s="3" t="str">
        <f>IF(COUNTIF(A:A,Table1[[#This Row],[Opp Team Name]]) &gt; 0, "N", "Y")</f>
        <v>N</v>
      </c>
      <c r="AH529" s="3" t="str">
        <f>IF(Table1[[#This Row],[Passing Attempts]] &lt;15, "Y", "N")</f>
        <v>N</v>
      </c>
      <c r="AI529" s="3" t="str">
        <f>IF(Table1[[#This Row],[Rushing Attempts]] &lt; 15, "Y", "N")</f>
        <v>N</v>
      </c>
      <c r="AJ529" s="3" t="str">
        <f>IF(Table1[[#This Row],[Opp Passing Attempts]]&lt;15, "Y", "N")</f>
        <v>N</v>
      </c>
      <c r="AK529" s="3" t="str">
        <f>IF(Table1[[#This Row],[Opp Rushing Attempts]]&lt;15, "Y", "N")</f>
        <v>N</v>
      </c>
      <c r="AL5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91.73</v>
      </c>
      <c r="AM5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95.52</v>
      </c>
      <c r="AN5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99.35</v>
      </c>
      <c r="AO5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86.16</v>
      </c>
      <c r="AP529" s="3">
        <f>ABS(Table1[[#This Row],[Team Score]]-Table1[[#This Row],[Opp Team Score]])</f>
        <v>20</v>
      </c>
      <c r="AQ529" s="3">
        <f>SUM(Table1[[#This Row],[Team Score]], Table1[[#This Row],[Opp Team Score]])</f>
        <v>54</v>
      </c>
      <c r="AR5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54.509999999999991</v>
      </c>
      <c r="AS529" s="3">
        <f>IF(Table1[[#This Row],[Efficiency Difference]] = " ", " ", ROUND((Table1[[#This Row],[Winning Margin]]*100)/Table1[[#This Row],[Efficiency Difference]], 2))</f>
        <v>36.69</v>
      </c>
    </row>
    <row r="530" spans="1:45">
      <c r="A530" t="s">
        <v>18</v>
      </c>
      <c r="B530">
        <v>518</v>
      </c>
      <c r="C530">
        <v>7</v>
      </c>
      <c r="D530">
        <v>143</v>
      </c>
      <c r="E530">
        <v>25</v>
      </c>
      <c r="F530">
        <v>1</v>
      </c>
      <c r="G530">
        <v>12</v>
      </c>
      <c r="H530">
        <v>1</v>
      </c>
      <c r="I530">
        <v>35</v>
      </c>
      <c r="J530">
        <v>39</v>
      </c>
      <c r="K530">
        <v>0</v>
      </c>
      <c r="L530">
        <v>0</v>
      </c>
      <c r="M530" t="s">
        <v>98</v>
      </c>
      <c r="N530">
        <v>416</v>
      </c>
      <c r="O530">
        <v>10</v>
      </c>
      <c r="P530">
        <v>250</v>
      </c>
      <c r="Q530">
        <v>32</v>
      </c>
      <c r="R530">
        <v>1</v>
      </c>
      <c r="S530">
        <v>20</v>
      </c>
      <c r="T530">
        <v>2</v>
      </c>
      <c r="U530">
        <v>71</v>
      </c>
      <c r="V530">
        <v>31</v>
      </c>
      <c r="W530">
        <v>0</v>
      </c>
      <c r="X530">
        <v>1</v>
      </c>
      <c r="Y530" t="s">
        <v>19</v>
      </c>
      <c r="Z530">
        <v>5</v>
      </c>
      <c r="AA530">
        <f>IF(AND(Table1[[#This Row],[Throw Out Pass Eff]]="N", Table1[[#This Row],[Against FCS Team]]="N"), ROUND(((5.45 * D530) + (150 * F530) + (100 * G530) - (300 * H530)) / E530, 2), " ")</f>
        <v>73.17</v>
      </c>
      <c r="AB530">
        <f>IF(AND(Table1[[#This Row],[Throw Out Pass Def Eff]]="N", Table1[[#This Row],[Against FCS Team]]="N"),200 - ROUND(((5.45 * P530) + (150 * R530) + (100 * S530) - (300 * T530)) / Q530, 2), " ")</f>
        <v>108.98</v>
      </c>
      <c r="AC530">
        <f>IF(AND(Table1[[#This Row],[Throw Out Rush Eff]]="N", Table1[[#This Row],[Against FCS Team]]="N"), ROUND(((23.2 * I530) + (150 * K530) - (300 * L530)) / J530, 2), " ")</f>
        <v>20.82</v>
      </c>
      <c r="AD530" s="3">
        <f>IF(AND(Table1[[#This Row],[Throw Out Rush Def Eff]]="N", Table1[[#This Row],[Against FCS Team]]="N"), 200 - ROUND(((23.2 * U530) + (150 * W530) - (300 * X530)) / V530, 2), " ")</f>
        <v>156.54</v>
      </c>
      <c r="AE530" s="3">
        <f>ROUND(Table1[[#This Row],[Opp Passing Attempts]]/(Table1[[#This Row],[Opp Passing Attempts]]+Table1[[#This Row],[Opp Rushing Attempts]]), 2)</f>
        <v>0.51</v>
      </c>
      <c r="AF530" s="3">
        <f>1-Table1[[#This Row],[Passing Weight]]</f>
        <v>0.49</v>
      </c>
      <c r="AG530" s="3" t="str">
        <f>IF(COUNTIF(A:A,Table1[[#This Row],[Opp Team Name]]) &gt; 0, "N", "Y")</f>
        <v>N</v>
      </c>
      <c r="AH530" s="3" t="str">
        <f>IF(Table1[[#This Row],[Passing Attempts]] &lt;15, "Y", "N")</f>
        <v>N</v>
      </c>
      <c r="AI530" s="3" t="str">
        <f>IF(Table1[[#This Row],[Rushing Attempts]] &lt; 15, "Y", "N")</f>
        <v>N</v>
      </c>
      <c r="AJ530" s="3" t="str">
        <f>IF(Table1[[#This Row],[Opp Passing Attempts]]&lt;15, "Y", "N")</f>
        <v>N</v>
      </c>
      <c r="AK530" s="3" t="str">
        <f>IF(Table1[[#This Row],[Opp Rushing Attempts]]&lt;15, "Y", "N")</f>
        <v>N</v>
      </c>
      <c r="AL5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93.13</v>
      </c>
      <c r="AM5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118.62</v>
      </c>
      <c r="AN5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30.52</v>
      </c>
      <c r="AO5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116.73</v>
      </c>
      <c r="AP530" s="3">
        <f>ABS(Table1[[#This Row],[Team Score]]-Table1[[#This Row],[Opp Team Score]])</f>
        <v>3</v>
      </c>
      <c r="AQ530" s="3">
        <f>SUM(Table1[[#This Row],[Team Score]], Table1[[#This Row],[Opp Team Score]])</f>
        <v>17</v>
      </c>
      <c r="AR5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40.490000000000009</v>
      </c>
      <c r="AS530" s="3">
        <f>IF(Table1[[#This Row],[Efficiency Difference]] = " ", " ", ROUND((Table1[[#This Row],[Winning Margin]]*100)/Table1[[#This Row],[Efficiency Difference]], 2))</f>
        <v>7.41</v>
      </c>
    </row>
    <row r="531" spans="1:45">
      <c r="A531" t="s">
        <v>18</v>
      </c>
      <c r="B531">
        <v>518</v>
      </c>
      <c r="C531">
        <v>27</v>
      </c>
      <c r="D531">
        <v>108</v>
      </c>
      <c r="E531">
        <v>18</v>
      </c>
      <c r="F531">
        <v>1</v>
      </c>
      <c r="G531">
        <v>6</v>
      </c>
      <c r="H531">
        <v>1</v>
      </c>
      <c r="I531">
        <v>243</v>
      </c>
      <c r="J531">
        <v>41</v>
      </c>
      <c r="K531">
        <v>2</v>
      </c>
      <c r="L531">
        <v>1</v>
      </c>
      <c r="M531" t="s">
        <v>106</v>
      </c>
      <c r="N531">
        <v>463</v>
      </c>
      <c r="O531">
        <v>34</v>
      </c>
      <c r="P531">
        <v>191</v>
      </c>
      <c r="Q531">
        <v>22</v>
      </c>
      <c r="R531">
        <v>2</v>
      </c>
      <c r="S531">
        <v>16</v>
      </c>
      <c r="T531">
        <v>1</v>
      </c>
      <c r="U531">
        <v>232</v>
      </c>
      <c r="V531">
        <v>51</v>
      </c>
      <c r="W531">
        <v>2</v>
      </c>
      <c r="X531">
        <v>0</v>
      </c>
      <c r="Y531" t="s">
        <v>19</v>
      </c>
      <c r="Z531">
        <v>6</v>
      </c>
      <c r="AA531">
        <f>IF(AND(Table1[[#This Row],[Throw Out Pass Eff]]="N", Table1[[#This Row],[Against FCS Team]]="N"), ROUND(((5.45 * D531) + (150 * F531) + (100 * G531) - (300 * H531)) / E531, 2), " ")</f>
        <v>57.7</v>
      </c>
      <c r="AB531">
        <f>IF(AND(Table1[[#This Row],[Throw Out Pass Def Eff]]="N", Table1[[#This Row],[Against FCS Team]]="N"),200 - ROUND(((5.45 * P531) + (150 * R531) + (100 * S531) - (300 * T531)) / Q531, 2), " ")</f>
        <v>79.959999999999994</v>
      </c>
      <c r="AC531">
        <f>IF(AND(Table1[[#This Row],[Throw Out Rush Eff]]="N", Table1[[#This Row],[Against FCS Team]]="N"), ROUND(((23.2 * I531) + (150 * K531) - (300 * L531)) / J531, 2), " ")</f>
        <v>137.5</v>
      </c>
      <c r="AD531" s="3">
        <f>IF(AND(Table1[[#This Row],[Throw Out Rush Def Eff]]="N", Table1[[#This Row],[Against FCS Team]]="N"), 200 - ROUND(((23.2 * U531) + (150 * W531) - (300 * X531)) / V531, 2), " ")</f>
        <v>88.58</v>
      </c>
      <c r="AE531" s="3">
        <f>ROUND(Table1[[#This Row],[Opp Passing Attempts]]/(Table1[[#This Row],[Opp Passing Attempts]]+Table1[[#This Row],[Opp Rushing Attempts]]), 2)</f>
        <v>0.3</v>
      </c>
      <c r="AF531" s="3">
        <f>1-Table1[[#This Row],[Passing Weight]]</f>
        <v>0.7</v>
      </c>
      <c r="AG531" s="3" t="str">
        <f>IF(COUNTIF(A:A,Table1[[#This Row],[Opp Team Name]]) &gt; 0, "N", "Y")</f>
        <v>N</v>
      </c>
      <c r="AH531" s="3" t="str">
        <f>IF(Table1[[#This Row],[Passing Attempts]] &lt;15, "Y", "N")</f>
        <v>N</v>
      </c>
      <c r="AI531" s="3" t="str">
        <f>IF(Table1[[#This Row],[Rushing Attempts]] &lt; 15, "Y", "N")</f>
        <v>N</v>
      </c>
      <c r="AJ531" s="3" t="str">
        <f>IF(Table1[[#This Row],[Opp Passing Attempts]]&lt;15, "Y", "N")</f>
        <v>N</v>
      </c>
      <c r="AK531" s="3" t="str">
        <f>IF(Table1[[#This Row],[Opp Rushing Attempts]]&lt;15, "Y", "N")</f>
        <v>N</v>
      </c>
      <c r="AL53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61.32</v>
      </c>
      <c r="AM53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76.010000000000005</v>
      </c>
      <c r="AN53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127.05</v>
      </c>
      <c r="AO53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120.68</v>
      </c>
      <c r="AP531" s="3">
        <f>ABS(Table1[[#This Row],[Team Score]]-Table1[[#This Row],[Opp Team Score]])</f>
        <v>7</v>
      </c>
      <c r="AQ531" s="3">
        <f>SUM(Table1[[#This Row],[Team Score]], Table1[[#This Row],[Opp Team Score]])</f>
        <v>61</v>
      </c>
      <c r="AR53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36.260000000000019</v>
      </c>
      <c r="AS531" s="3">
        <f>IF(Table1[[#This Row],[Efficiency Difference]] = " ", " ", ROUND((Table1[[#This Row],[Winning Margin]]*100)/Table1[[#This Row],[Efficiency Difference]], 2))</f>
        <v>19.309999999999999</v>
      </c>
    </row>
    <row r="532" spans="1:45">
      <c r="A532" t="s">
        <v>18</v>
      </c>
      <c r="B532">
        <v>518</v>
      </c>
      <c r="C532">
        <v>17</v>
      </c>
      <c r="D532">
        <v>17</v>
      </c>
      <c r="E532">
        <v>4</v>
      </c>
      <c r="F532">
        <v>1</v>
      </c>
      <c r="G532">
        <v>1</v>
      </c>
      <c r="H532">
        <v>0</v>
      </c>
      <c r="I532">
        <v>211</v>
      </c>
      <c r="J532">
        <v>51</v>
      </c>
      <c r="K532">
        <v>1</v>
      </c>
      <c r="L532">
        <v>0</v>
      </c>
      <c r="M532" t="s">
        <v>29</v>
      </c>
      <c r="N532">
        <v>301</v>
      </c>
      <c r="O532">
        <v>7</v>
      </c>
      <c r="P532">
        <v>169</v>
      </c>
      <c r="Q532">
        <v>34</v>
      </c>
      <c r="R532">
        <v>1</v>
      </c>
      <c r="S532">
        <v>20</v>
      </c>
      <c r="T532">
        <v>2</v>
      </c>
      <c r="U532">
        <v>116</v>
      </c>
      <c r="V532">
        <v>35</v>
      </c>
      <c r="W532">
        <v>0</v>
      </c>
      <c r="X532">
        <v>1</v>
      </c>
      <c r="Y532" t="s">
        <v>16</v>
      </c>
      <c r="Z532">
        <v>7</v>
      </c>
      <c r="AA532" t="str">
        <f>IF(AND(Table1[[#This Row],[Throw Out Pass Eff]]="N", Table1[[#This Row],[Against FCS Team]]="N"), ROUND(((5.45 * D532) + (150 * F532) + (100 * G532) - (300 * H532)) / E532, 2), " ")</f>
        <v xml:space="preserve"> </v>
      </c>
      <c r="AB532">
        <f>IF(AND(Table1[[#This Row],[Throw Out Pass Def Eff]]="N", Table1[[#This Row],[Against FCS Team]]="N"),200 - ROUND(((5.45 * P532) + (150 * R532) + (100 * S532) - (300 * T532)) / Q532, 2), " ")</f>
        <v>127.32</v>
      </c>
      <c r="AC532">
        <f>IF(AND(Table1[[#This Row],[Throw Out Rush Eff]]="N", Table1[[#This Row],[Against FCS Team]]="N"), ROUND(((23.2 * I532) + (150 * K532) - (300 * L532)) / J532, 2), " ")</f>
        <v>98.93</v>
      </c>
      <c r="AD532" s="3">
        <f>IF(AND(Table1[[#This Row],[Throw Out Rush Def Eff]]="N", Table1[[#This Row],[Against FCS Team]]="N"), 200 - ROUND(((23.2 * U532) + (150 * W532) - (300 * X532)) / V532, 2), " ")</f>
        <v>131.68</v>
      </c>
      <c r="AE532" s="3">
        <f>ROUND(Table1[[#This Row],[Opp Passing Attempts]]/(Table1[[#This Row],[Opp Passing Attempts]]+Table1[[#This Row],[Opp Rushing Attempts]]), 2)</f>
        <v>0.49</v>
      </c>
      <c r="AF532" s="3">
        <f>1-Table1[[#This Row],[Passing Weight]]</f>
        <v>0.51</v>
      </c>
      <c r="AG532" s="3" t="str">
        <f>IF(COUNTIF(A:A,Table1[[#This Row],[Opp Team Name]]) &gt; 0, "N", "Y")</f>
        <v>N</v>
      </c>
      <c r="AH532" s="3" t="str">
        <f>IF(Table1[[#This Row],[Passing Attempts]] &lt;15, "Y", "N")</f>
        <v>Y</v>
      </c>
      <c r="AI532" s="3" t="str">
        <f>IF(Table1[[#This Row],[Rushing Attempts]] &lt; 15, "Y", "N")</f>
        <v>N</v>
      </c>
      <c r="AJ532" s="3" t="str">
        <f>IF(Table1[[#This Row],[Opp Passing Attempts]]&lt;15, "Y", "N")</f>
        <v>N</v>
      </c>
      <c r="AK532" s="3" t="str">
        <f>IF(Table1[[#This Row],[Opp Rushing Attempts]]&lt;15, "Y", "N")</f>
        <v>N</v>
      </c>
      <c r="AL53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3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140.30000000000001</v>
      </c>
      <c r="AN53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138.9</v>
      </c>
      <c r="AO5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112.15</v>
      </c>
      <c r="AP532" s="3">
        <f>ABS(Table1[[#This Row],[Team Score]]-Table1[[#This Row],[Opp Team Score]])</f>
        <v>10</v>
      </c>
      <c r="AQ532" s="3">
        <f>SUM(Table1[[#This Row],[Team Score]], Table1[[#This Row],[Opp Team Score]])</f>
        <v>24</v>
      </c>
      <c r="AR53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32" s="3" t="str">
        <f>IF(Table1[[#This Row],[Efficiency Difference]] = " ", " ", ROUND((Table1[[#This Row],[Winning Margin]]*100)/Table1[[#This Row],[Efficiency Difference]], 2))</f>
        <v xml:space="preserve"> </v>
      </c>
    </row>
    <row r="533" spans="1:45">
      <c r="A533" t="s">
        <v>116</v>
      </c>
      <c r="B533">
        <v>522</v>
      </c>
      <c r="C533">
        <v>47</v>
      </c>
      <c r="D533">
        <v>417</v>
      </c>
      <c r="E533">
        <v>54</v>
      </c>
      <c r="F533">
        <v>1</v>
      </c>
      <c r="G533">
        <v>39</v>
      </c>
      <c r="H533">
        <v>0</v>
      </c>
      <c r="I533">
        <v>246</v>
      </c>
      <c r="J533">
        <v>46</v>
      </c>
      <c r="K533">
        <v>5</v>
      </c>
      <c r="L533">
        <v>1</v>
      </c>
      <c r="M533" t="s">
        <v>117</v>
      </c>
      <c r="N533">
        <v>719</v>
      </c>
      <c r="O533">
        <v>14</v>
      </c>
      <c r="P533">
        <v>271</v>
      </c>
      <c r="Q533">
        <v>33</v>
      </c>
      <c r="R533">
        <v>2</v>
      </c>
      <c r="S533">
        <v>18</v>
      </c>
      <c r="T533">
        <v>1</v>
      </c>
      <c r="U533">
        <v>129</v>
      </c>
      <c r="V533">
        <v>31</v>
      </c>
      <c r="W533">
        <v>0</v>
      </c>
      <c r="X533">
        <v>2</v>
      </c>
      <c r="Y533" t="s">
        <v>16</v>
      </c>
      <c r="Z533">
        <v>1</v>
      </c>
      <c r="AA533">
        <f>IF(AND(Table1[[#This Row],[Throw Out Pass Eff]]="N", Table1[[#This Row],[Against FCS Team]]="N"), ROUND(((5.45 * D533) + (150 * F533) + (100 * G533) - (300 * H533)) / E533, 2), " ")</f>
        <v>117.09</v>
      </c>
      <c r="AB533">
        <f>IF(AND(Table1[[#This Row],[Throw Out Pass Def Eff]]="N", Table1[[#This Row],[Against FCS Team]]="N"),200 - ROUND(((5.45 * P533) + (150 * R533) + (100 * S533) - (300 * T533)) / Q533, 2), " ")</f>
        <v>100.7</v>
      </c>
      <c r="AC533">
        <f>IF(AND(Table1[[#This Row],[Throw Out Rush Eff]]="N", Table1[[#This Row],[Against FCS Team]]="N"), ROUND(((23.2 * I533) + (150 * K533) - (300 * L533)) / J533, 2), " ")</f>
        <v>133.85</v>
      </c>
      <c r="AD533" s="3">
        <f>IF(AND(Table1[[#This Row],[Throw Out Rush Def Eff]]="N", Table1[[#This Row],[Against FCS Team]]="N"), 200 - ROUND(((23.2 * U533) + (150 * W533) - (300 * X533)) / V533, 2), " ")</f>
        <v>122.81</v>
      </c>
      <c r="AE533" s="3">
        <f>ROUND(Table1[[#This Row],[Opp Passing Attempts]]/(Table1[[#This Row],[Opp Passing Attempts]]+Table1[[#This Row],[Opp Rushing Attempts]]), 2)</f>
        <v>0.52</v>
      </c>
      <c r="AF533" s="3">
        <f>1-Table1[[#This Row],[Passing Weight]]</f>
        <v>0.48</v>
      </c>
      <c r="AG533" s="3" t="str">
        <f>IF(COUNTIF(A:A,Table1[[#This Row],[Opp Team Name]]) &gt; 0, "N", "Y")</f>
        <v>N</v>
      </c>
      <c r="AH533" s="3" t="str">
        <f>IF(Table1[[#This Row],[Passing Attempts]] &lt;15, "Y", "N")</f>
        <v>N</v>
      </c>
      <c r="AI533" s="3" t="str">
        <f>IF(Table1[[#This Row],[Rushing Attempts]] &lt; 15, "Y", "N")</f>
        <v>N</v>
      </c>
      <c r="AJ533" s="3" t="str">
        <f>IF(Table1[[#This Row],[Opp Passing Attempts]]&lt;15, "Y", "N")</f>
        <v>N</v>
      </c>
      <c r="AK533" s="3" t="str">
        <f>IF(Table1[[#This Row],[Opp Rushing Attempts]]&lt;15, "Y", "N")</f>
        <v>N</v>
      </c>
      <c r="AL5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116.17</v>
      </c>
      <c r="AM5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93.84</v>
      </c>
      <c r="AN5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172.44</v>
      </c>
      <c r="AO5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125.01</v>
      </c>
      <c r="AP533" s="3">
        <f>ABS(Table1[[#This Row],[Team Score]]-Table1[[#This Row],[Opp Team Score]])</f>
        <v>33</v>
      </c>
      <c r="AQ533" s="3">
        <f>SUM(Table1[[#This Row],[Team Score]], Table1[[#This Row],[Opp Team Score]])</f>
        <v>61</v>
      </c>
      <c r="AR5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74.449999999999989</v>
      </c>
      <c r="AS533" s="3">
        <f>IF(Table1[[#This Row],[Efficiency Difference]] = " ", " ", ROUND((Table1[[#This Row],[Winning Margin]]*100)/Table1[[#This Row],[Efficiency Difference]], 2))</f>
        <v>44.33</v>
      </c>
    </row>
    <row r="534" spans="1:45">
      <c r="A534" t="s">
        <v>116</v>
      </c>
      <c r="B534">
        <v>522</v>
      </c>
      <c r="C534">
        <v>23</v>
      </c>
      <c r="D534">
        <v>199</v>
      </c>
      <c r="E534">
        <v>27</v>
      </c>
      <c r="F534">
        <v>1</v>
      </c>
      <c r="G534">
        <v>18</v>
      </c>
      <c r="H534">
        <v>2</v>
      </c>
      <c r="I534">
        <v>111</v>
      </c>
      <c r="J534">
        <v>39</v>
      </c>
      <c r="K534">
        <v>1</v>
      </c>
      <c r="L534">
        <v>0</v>
      </c>
      <c r="M534" t="s">
        <v>70</v>
      </c>
      <c r="N534">
        <v>234</v>
      </c>
      <c r="O534">
        <v>13</v>
      </c>
      <c r="P534">
        <v>219</v>
      </c>
      <c r="Q534">
        <v>34</v>
      </c>
      <c r="R534">
        <v>1</v>
      </c>
      <c r="S534">
        <v>20</v>
      </c>
      <c r="T534">
        <v>3</v>
      </c>
      <c r="U534">
        <v>27</v>
      </c>
      <c r="V534">
        <v>26</v>
      </c>
      <c r="W534">
        <v>0</v>
      </c>
      <c r="X534">
        <v>0</v>
      </c>
      <c r="Y534" t="s">
        <v>16</v>
      </c>
      <c r="Z534">
        <v>3</v>
      </c>
      <c r="AA534">
        <f>IF(AND(Table1[[#This Row],[Throw Out Pass Eff]]="N", Table1[[#This Row],[Against FCS Team]]="N"), ROUND(((5.45 * D534) + (150 * F534) + (100 * G534) - (300 * H534)) / E534, 2), " ")</f>
        <v>90.17</v>
      </c>
      <c r="AB534">
        <f>IF(AND(Table1[[#This Row],[Throw Out Pass Def Eff]]="N", Table1[[#This Row],[Against FCS Team]]="N"),200 - ROUND(((5.45 * P534) + (150 * R534) + (100 * S534) - (300 * T534)) / Q534, 2), " ")</f>
        <v>128.13</v>
      </c>
      <c r="AC534">
        <f>IF(AND(Table1[[#This Row],[Throw Out Rush Eff]]="N", Table1[[#This Row],[Against FCS Team]]="N"), ROUND(((23.2 * I534) + (150 * K534) - (300 * L534)) / J534, 2), " ")</f>
        <v>69.88</v>
      </c>
      <c r="AD534" s="3">
        <f>IF(AND(Table1[[#This Row],[Throw Out Rush Def Eff]]="N", Table1[[#This Row],[Against FCS Team]]="N"), 200 - ROUND(((23.2 * U534) + (150 * W534) - (300 * X534)) / V534, 2), " ")</f>
        <v>175.91</v>
      </c>
      <c r="AE534" s="3">
        <f>ROUND(Table1[[#This Row],[Opp Passing Attempts]]/(Table1[[#This Row],[Opp Passing Attempts]]+Table1[[#This Row],[Opp Rushing Attempts]]), 2)</f>
        <v>0.56999999999999995</v>
      </c>
      <c r="AF534" s="3">
        <f>1-Table1[[#This Row],[Passing Weight]]</f>
        <v>0.43000000000000005</v>
      </c>
      <c r="AG534" s="3" t="str">
        <f>IF(COUNTIF(A:A,Table1[[#This Row],[Opp Team Name]]) &gt; 0, "N", "Y")</f>
        <v>N</v>
      </c>
      <c r="AH534" s="3" t="str">
        <f>IF(Table1[[#This Row],[Passing Attempts]] &lt;15, "Y", "N")</f>
        <v>N</v>
      </c>
      <c r="AI534" s="3" t="str">
        <f>IF(Table1[[#This Row],[Rushing Attempts]] &lt; 15, "Y", "N")</f>
        <v>N</v>
      </c>
      <c r="AJ534" s="3" t="str">
        <f>IF(Table1[[#This Row],[Opp Passing Attempts]]&lt;15, "Y", "N")</f>
        <v>N</v>
      </c>
      <c r="AK534" s="3" t="str">
        <f>IF(Table1[[#This Row],[Opp Rushing Attempts]]&lt;15, "Y", "N")</f>
        <v>N</v>
      </c>
      <c r="AL53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92.88</v>
      </c>
      <c r="AM53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125.99</v>
      </c>
      <c r="AN53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99.87</v>
      </c>
      <c r="AO53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145.13999999999999</v>
      </c>
      <c r="AP534" s="3">
        <f>ABS(Table1[[#This Row],[Team Score]]-Table1[[#This Row],[Opp Team Score]])</f>
        <v>10</v>
      </c>
      <c r="AQ534" s="3">
        <f>SUM(Table1[[#This Row],[Team Score]], Table1[[#This Row],[Opp Team Score]])</f>
        <v>36</v>
      </c>
      <c r="AR53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64.089999999999975</v>
      </c>
      <c r="AS534" s="3">
        <f>IF(Table1[[#This Row],[Efficiency Difference]] = " ", " ", ROUND((Table1[[#This Row],[Winning Margin]]*100)/Table1[[#This Row],[Efficiency Difference]], 2))</f>
        <v>15.6</v>
      </c>
    </row>
    <row r="535" spans="1:45">
      <c r="A535" t="s">
        <v>116</v>
      </c>
      <c r="B535">
        <v>522</v>
      </c>
      <c r="C535">
        <v>38</v>
      </c>
      <c r="D535">
        <v>448</v>
      </c>
      <c r="E535">
        <v>48</v>
      </c>
      <c r="F535">
        <v>3</v>
      </c>
      <c r="G535">
        <v>35</v>
      </c>
      <c r="H535">
        <v>2</v>
      </c>
      <c r="I535">
        <v>144</v>
      </c>
      <c r="J535">
        <v>39</v>
      </c>
      <c r="K535">
        <v>2</v>
      </c>
      <c r="L535">
        <v>0</v>
      </c>
      <c r="M535" t="s">
        <v>97</v>
      </c>
      <c r="N535">
        <v>434</v>
      </c>
      <c r="O535">
        <v>28</v>
      </c>
      <c r="P535">
        <v>291</v>
      </c>
      <c r="Q535">
        <v>33</v>
      </c>
      <c r="R535">
        <v>1</v>
      </c>
      <c r="S535">
        <v>16</v>
      </c>
      <c r="T535">
        <v>0</v>
      </c>
      <c r="U535">
        <v>241</v>
      </c>
      <c r="V535">
        <v>42</v>
      </c>
      <c r="W535">
        <v>3</v>
      </c>
      <c r="X535">
        <v>0</v>
      </c>
      <c r="Y535" t="s">
        <v>16</v>
      </c>
      <c r="Z535">
        <v>4</v>
      </c>
      <c r="AA535">
        <f>IF(AND(Table1[[#This Row],[Throw Out Pass Eff]]="N", Table1[[#This Row],[Against FCS Team]]="N"), ROUND(((5.45 * D535) + (150 * F535) + (100 * G535) - (300 * H535)) / E535, 2), " ")</f>
        <v>120.66</v>
      </c>
      <c r="AB535">
        <f>IF(AND(Table1[[#This Row],[Throw Out Pass Def Eff]]="N", Table1[[#This Row],[Against FCS Team]]="N"),200 - ROUND(((5.45 * P535) + (150 * R535) + (100 * S535) - (300 * T535)) / Q535, 2), " ")</f>
        <v>98.91</v>
      </c>
      <c r="AC535">
        <f>IF(AND(Table1[[#This Row],[Throw Out Rush Eff]]="N", Table1[[#This Row],[Against FCS Team]]="N"), ROUND(((23.2 * I535) + (150 * K535) - (300 * L535)) / J535, 2), " ")</f>
        <v>93.35</v>
      </c>
      <c r="AD535" s="3">
        <f>IF(AND(Table1[[#This Row],[Throw Out Rush Def Eff]]="N", Table1[[#This Row],[Against FCS Team]]="N"), 200 - ROUND(((23.2 * U535) + (150 * W535) - (300 * X535)) / V535, 2), " ")</f>
        <v>56.16</v>
      </c>
      <c r="AE535" s="3">
        <f>ROUND(Table1[[#This Row],[Opp Passing Attempts]]/(Table1[[#This Row],[Opp Passing Attempts]]+Table1[[#This Row],[Opp Rushing Attempts]]), 2)</f>
        <v>0.44</v>
      </c>
      <c r="AF535" s="3">
        <f>1-Table1[[#This Row],[Passing Weight]]</f>
        <v>0.56000000000000005</v>
      </c>
      <c r="AG535" s="3" t="str">
        <f>IF(COUNTIF(A:A,Table1[[#This Row],[Opp Team Name]]) &gt; 0, "N", "Y")</f>
        <v>N</v>
      </c>
      <c r="AH535" s="3" t="str">
        <f>IF(Table1[[#This Row],[Passing Attempts]] &lt;15, "Y", "N")</f>
        <v>N</v>
      </c>
      <c r="AI535" s="3" t="str">
        <f>IF(Table1[[#This Row],[Rushing Attempts]] &lt; 15, "Y", "N")</f>
        <v>N</v>
      </c>
      <c r="AJ535" s="3" t="str">
        <f>IF(Table1[[#This Row],[Opp Passing Attempts]]&lt;15, "Y", "N")</f>
        <v>N</v>
      </c>
      <c r="AK535" s="3" t="str">
        <f>IF(Table1[[#This Row],[Opp Rushing Attempts]]&lt;15, "Y", "N")</f>
        <v>N</v>
      </c>
      <c r="AL5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115.31</v>
      </c>
      <c r="AM5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92.97</v>
      </c>
      <c r="AN5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102.16</v>
      </c>
      <c r="AO5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65.010000000000005</v>
      </c>
      <c r="AP535" s="3">
        <f>ABS(Table1[[#This Row],[Team Score]]-Table1[[#This Row],[Opp Team Score]])</f>
        <v>10</v>
      </c>
      <c r="AQ535" s="3">
        <f>SUM(Table1[[#This Row],[Team Score]], Table1[[#This Row],[Opp Team Score]])</f>
        <v>66</v>
      </c>
      <c r="AR53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30.920000000000016</v>
      </c>
      <c r="AS535" s="3">
        <f>IF(Table1[[#This Row],[Efficiency Difference]] = " ", " ", ROUND((Table1[[#This Row],[Winning Margin]]*100)/Table1[[#This Row],[Efficiency Difference]], 2))</f>
        <v>32.340000000000003</v>
      </c>
    </row>
    <row r="536" spans="1:45">
      <c r="A536" t="s">
        <v>116</v>
      </c>
      <c r="B536">
        <v>522</v>
      </c>
      <c r="C536">
        <v>62</v>
      </c>
      <c r="D536">
        <v>447</v>
      </c>
      <c r="E536">
        <v>39</v>
      </c>
      <c r="F536">
        <v>5</v>
      </c>
      <c r="G536">
        <v>27</v>
      </c>
      <c r="H536">
        <v>1</v>
      </c>
      <c r="I536">
        <v>208</v>
      </c>
      <c r="J536">
        <v>38</v>
      </c>
      <c r="K536">
        <v>2</v>
      </c>
      <c r="L536">
        <v>1</v>
      </c>
      <c r="M536" t="s">
        <v>34</v>
      </c>
      <c r="N536">
        <v>47</v>
      </c>
      <c r="O536">
        <v>6</v>
      </c>
      <c r="P536">
        <v>95</v>
      </c>
      <c r="Q536">
        <v>36</v>
      </c>
      <c r="R536">
        <v>0</v>
      </c>
      <c r="S536">
        <v>14</v>
      </c>
      <c r="T536">
        <v>3</v>
      </c>
      <c r="U536">
        <v>119</v>
      </c>
      <c r="V536">
        <v>35</v>
      </c>
      <c r="W536">
        <v>0</v>
      </c>
      <c r="X536">
        <v>1</v>
      </c>
      <c r="Y536" t="s">
        <v>16</v>
      </c>
      <c r="Z536">
        <v>5</v>
      </c>
      <c r="AA536">
        <f>IF(AND(Table1[[#This Row],[Throw Out Pass Eff]]="N", Table1[[#This Row],[Against FCS Team]]="N"), ROUND(((5.45 * D536) + (150 * F536) + (100 * G536) - (300 * H536)) / E536, 2), " ")</f>
        <v>143.22999999999999</v>
      </c>
      <c r="AB536">
        <f>IF(AND(Table1[[#This Row],[Throw Out Pass Def Eff]]="N", Table1[[#This Row],[Against FCS Team]]="N"),200 - ROUND(((5.45 * P536) + (150 * R536) + (100 * S536) - (300 * T536)) / Q536, 2), " ")</f>
        <v>171.73</v>
      </c>
      <c r="AC536">
        <f>IF(AND(Table1[[#This Row],[Throw Out Rush Eff]]="N", Table1[[#This Row],[Against FCS Team]]="N"), ROUND(((23.2 * I536) + (150 * K536) - (300 * L536)) / J536, 2), " ")</f>
        <v>126.99</v>
      </c>
      <c r="AD536" s="3">
        <f>IF(AND(Table1[[#This Row],[Throw Out Rush Def Eff]]="N", Table1[[#This Row],[Against FCS Team]]="N"), 200 - ROUND(((23.2 * U536) + (150 * W536) - (300 * X536)) / V536, 2), " ")</f>
        <v>129.69</v>
      </c>
      <c r="AE536" s="3">
        <f>ROUND(Table1[[#This Row],[Opp Passing Attempts]]/(Table1[[#This Row],[Opp Passing Attempts]]+Table1[[#This Row],[Opp Rushing Attempts]]), 2)</f>
        <v>0.51</v>
      </c>
      <c r="AF536" s="3">
        <f>1-Table1[[#This Row],[Passing Weight]]</f>
        <v>0.49</v>
      </c>
      <c r="AG536" s="3" t="str">
        <f>IF(COUNTIF(A:A,Table1[[#This Row],[Opp Team Name]]) &gt; 0, "N", "Y")</f>
        <v>N</v>
      </c>
      <c r="AH536" s="3" t="str">
        <f>IF(Table1[[#This Row],[Passing Attempts]] &lt;15, "Y", "N")</f>
        <v>N</v>
      </c>
      <c r="AI536" s="3" t="str">
        <f>IF(Table1[[#This Row],[Rushing Attempts]] &lt; 15, "Y", "N")</f>
        <v>N</v>
      </c>
      <c r="AJ536" s="3" t="str">
        <f>IF(Table1[[#This Row],[Opp Passing Attempts]]&lt;15, "Y", "N")</f>
        <v>N</v>
      </c>
      <c r="AK536" s="3" t="str">
        <f>IF(Table1[[#This Row],[Opp Rushing Attempts]]&lt;15, "Y", "N")</f>
        <v>N</v>
      </c>
      <c r="AL5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121.72</v>
      </c>
      <c r="AM5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167.17</v>
      </c>
      <c r="AN5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109.83</v>
      </c>
      <c r="AO5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111.67</v>
      </c>
      <c r="AP536" s="3">
        <f>ABS(Table1[[#This Row],[Team Score]]-Table1[[#This Row],[Opp Team Score]])</f>
        <v>56</v>
      </c>
      <c r="AQ536" s="3">
        <f>SUM(Table1[[#This Row],[Team Score]], Table1[[#This Row],[Opp Team Score]])</f>
        <v>68</v>
      </c>
      <c r="AR5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171.63999999999993</v>
      </c>
      <c r="AS536" s="3">
        <f>IF(Table1[[#This Row],[Efficiency Difference]] = " ", " ", ROUND((Table1[[#This Row],[Winning Margin]]*100)/Table1[[#This Row],[Efficiency Difference]], 2))</f>
        <v>32.630000000000003</v>
      </c>
    </row>
    <row r="537" spans="1:45">
      <c r="A537" t="s">
        <v>116</v>
      </c>
      <c r="B537">
        <v>522</v>
      </c>
      <c r="C537">
        <v>55</v>
      </c>
      <c r="D537">
        <v>367</v>
      </c>
      <c r="E537">
        <v>52</v>
      </c>
      <c r="F537">
        <v>3</v>
      </c>
      <c r="G537">
        <v>31</v>
      </c>
      <c r="H537">
        <v>0</v>
      </c>
      <c r="I537">
        <v>86</v>
      </c>
      <c r="J537">
        <v>19</v>
      </c>
      <c r="K537">
        <v>1</v>
      </c>
      <c r="L537">
        <v>1</v>
      </c>
      <c r="M537" t="s">
        <v>123</v>
      </c>
      <c r="N537">
        <v>703</v>
      </c>
      <c r="O537">
        <v>17</v>
      </c>
      <c r="P537">
        <v>223</v>
      </c>
      <c r="Q537">
        <v>36</v>
      </c>
      <c r="R537">
        <v>1</v>
      </c>
      <c r="S537">
        <v>20</v>
      </c>
      <c r="T537">
        <v>2</v>
      </c>
      <c r="U537">
        <v>36</v>
      </c>
      <c r="V537">
        <v>45</v>
      </c>
      <c r="W537">
        <v>0</v>
      </c>
      <c r="X537">
        <v>3</v>
      </c>
      <c r="Y537" t="s">
        <v>16</v>
      </c>
      <c r="Z537">
        <v>6</v>
      </c>
      <c r="AA537">
        <f>IF(AND(Table1[[#This Row],[Throw Out Pass Eff]]="N", Table1[[#This Row],[Against FCS Team]]="N"), ROUND(((5.45 * D537) + (150 * F537) + (100 * G537) - (300 * H537)) / E537, 2), " ")</f>
        <v>106.73</v>
      </c>
      <c r="AB537">
        <f>IF(AND(Table1[[#This Row],[Throw Out Pass Def Eff]]="N", Table1[[#This Row],[Against FCS Team]]="N"),200 - ROUND(((5.45 * P537) + (150 * R537) + (100 * S537) - (300 * T537)) / Q537, 2), " ")</f>
        <v>123.18</v>
      </c>
      <c r="AC537">
        <f>IF(AND(Table1[[#This Row],[Throw Out Rush Eff]]="N", Table1[[#This Row],[Against FCS Team]]="N"), ROUND(((23.2 * I537) + (150 * K537) - (300 * L537)) / J537, 2), " ")</f>
        <v>97.12</v>
      </c>
      <c r="AD537" s="3">
        <f>IF(AND(Table1[[#This Row],[Throw Out Rush Def Eff]]="N", Table1[[#This Row],[Against FCS Team]]="N"), 200 - ROUND(((23.2 * U537) + (150 * W537) - (300 * X537)) / V537, 2), " ")</f>
        <v>201.44</v>
      </c>
      <c r="AE537" s="3">
        <f>ROUND(Table1[[#This Row],[Opp Passing Attempts]]/(Table1[[#This Row],[Opp Passing Attempts]]+Table1[[#This Row],[Opp Rushing Attempts]]), 2)</f>
        <v>0.44</v>
      </c>
      <c r="AF537" s="3">
        <f>1-Table1[[#This Row],[Passing Weight]]</f>
        <v>0.56000000000000005</v>
      </c>
      <c r="AG537" s="3" t="str">
        <f>IF(COUNTIF(A:A,Table1[[#This Row],[Opp Team Name]]) &gt; 0, "N", "Y")</f>
        <v>N</v>
      </c>
      <c r="AH537" s="3" t="str">
        <f>IF(Table1[[#This Row],[Passing Attempts]] &lt;15, "Y", "N")</f>
        <v>N</v>
      </c>
      <c r="AI537" s="3" t="str">
        <f>IF(Table1[[#This Row],[Rushing Attempts]] &lt; 15, "Y", "N")</f>
        <v>N</v>
      </c>
      <c r="AJ537" s="3" t="str">
        <f>IF(Table1[[#This Row],[Opp Passing Attempts]]&lt;15, "Y", "N")</f>
        <v>N</v>
      </c>
      <c r="AK537" s="3" t="str">
        <f>IF(Table1[[#This Row],[Opp Rushing Attempts]]&lt;15, "Y", "N")</f>
        <v>N</v>
      </c>
      <c r="AL5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131.72</v>
      </c>
      <c r="AM5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124.96</v>
      </c>
      <c r="AN5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103.06</v>
      </c>
      <c r="AO5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179.54</v>
      </c>
      <c r="AP537" s="3">
        <f>ABS(Table1[[#This Row],[Team Score]]-Table1[[#This Row],[Opp Team Score]])</f>
        <v>38</v>
      </c>
      <c r="AQ537" s="3">
        <f>SUM(Table1[[#This Row],[Team Score]], Table1[[#This Row],[Opp Team Score]])</f>
        <v>72</v>
      </c>
      <c r="AR5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128.47000000000003</v>
      </c>
      <c r="AS537" s="3">
        <f>IF(Table1[[#This Row],[Efficiency Difference]] = " ", " ", ROUND((Table1[[#This Row],[Winning Margin]]*100)/Table1[[#This Row],[Efficiency Difference]], 2))</f>
        <v>29.58</v>
      </c>
    </row>
    <row r="538" spans="1:45">
      <c r="A538" t="s">
        <v>116</v>
      </c>
      <c r="B538">
        <v>522</v>
      </c>
      <c r="C538">
        <v>47</v>
      </c>
      <c r="D538">
        <v>363</v>
      </c>
      <c r="E538">
        <v>48</v>
      </c>
      <c r="F538">
        <v>3</v>
      </c>
      <c r="G538">
        <v>29</v>
      </c>
      <c r="H538">
        <v>1</v>
      </c>
      <c r="I538">
        <v>247</v>
      </c>
      <c r="J538">
        <v>40</v>
      </c>
      <c r="K538">
        <v>2</v>
      </c>
      <c r="L538">
        <v>2</v>
      </c>
      <c r="M538" t="s">
        <v>80</v>
      </c>
      <c r="N538">
        <v>328</v>
      </c>
      <c r="O538">
        <v>17</v>
      </c>
      <c r="P538">
        <v>108</v>
      </c>
      <c r="Q538">
        <v>25</v>
      </c>
      <c r="R538">
        <v>0</v>
      </c>
      <c r="S538">
        <v>13</v>
      </c>
      <c r="T538">
        <v>0</v>
      </c>
      <c r="U538">
        <v>144</v>
      </c>
      <c r="V538">
        <v>38</v>
      </c>
      <c r="W538">
        <v>2</v>
      </c>
      <c r="X538">
        <v>0</v>
      </c>
      <c r="Y538" t="s">
        <v>16</v>
      </c>
      <c r="Z538">
        <v>7</v>
      </c>
      <c r="AA538">
        <f>IF(AND(Table1[[#This Row],[Throw Out Pass Eff]]="N", Table1[[#This Row],[Against FCS Team]]="N"), ROUND(((5.45 * D538) + (150 * F538) + (100 * G538) - (300 * H538)) / E538, 2), " ")</f>
        <v>104.76</v>
      </c>
      <c r="AB538">
        <f>IF(AND(Table1[[#This Row],[Throw Out Pass Def Eff]]="N", Table1[[#This Row],[Against FCS Team]]="N"),200 - ROUND(((5.45 * P538) + (150 * R538) + (100 * S538) - (300 * T538)) / Q538, 2), " ")</f>
        <v>124.46</v>
      </c>
      <c r="AC538">
        <f>IF(AND(Table1[[#This Row],[Throw Out Rush Eff]]="N", Table1[[#This Row],[Against FCS Team]]="N"), ROUND(((23.2 * I538) + (150 * K538) - (300 * L538)) / J538, 2), " ")</f>
        <v>135.76</v>
      </c>
      <c r="AD538" s="3">
        <f>IF(AND(Table1[[#This Row],[Throw Out Rush Def Eff]]="N", Table1[[#This Row],[Against FCS Team]]="N"), 200 - ROUND(((23.2 * U538) + (150 * W538) - (300 * X538)) / V538, 2), " ")</f>
        <v>104.19</v>
      </c>
      <c r="AE538" s="3">
        <f>ROUND(Table1[[#This Row],[Opp Passing Attempts]]/(Table1[[#This Row],[Opp Passing Attempts]]+Table1[[#This Row],[Opp Rushing Attempts]]), 2)</f>
        <v>0.4</v>
      </c>
      <c r="AF538" s="3">
        <f>1-Table1[[#This Row],[Passing Weight]]</f>
        <v>0.6</v>
      </c>
      <c r="AG538" s="3" t="str">
        <f>IF(COUNTIF(A:A,Table1[[#This Row],[Opp Team Name]]) &gt; 0, "N", "Y")</f>
        <v>N</v>
      </c>
      <c r="AH538" s="3" t="str">
        <f>IF(Table1[[#This Row],[Passing Attempts]] &lt;15, "Y", "N")</f>
        <v>N</v>
      </c>
      <c r="AI538" s="3" t="str">
        <f>IF(Table1[[#This Row],[Rushing Attempts]] &lt; 15, "Y", "N")</f>
        <v>N</v>
      </c>
      <c r="AJ538" s="3" t="str">
        <f>IF(Table1[[#This Row],[Opp Passing Attempts]]&lt;15, "Y", "N")</f>
        <v>N</v>
      </c>
      <c r="AK538" s="3" t="str">
        <f>IF(Table1[[#This Row],[Opp Rushing Attempts]]&lt;15, "Y", "N")</f>
        <v>N</v>
      </c>
      <c r="AL53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76.05</v>
      </c>
      <c r="AM53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135.62</v>
      </c>
      <c r="AN53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74.58</v>
      </c>
      <c r="AO53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95.24</v>
      </c>
      <c r="AP538" s="3">
        <f>ABS(Table1[[#This Row],[Team Score]]-Table1[[#This Row],[Opp Team Score]])</f>
        <v>30</v>
      </c>
      <c r="AQ538" s="3">
        <f>SUM(Table1[[#This Row],[Team Score]], Table1[[#This Row],[Opp Team Score]])</f>
        <v>64</v>
      </c>
      <c r="AR53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69.169999999999959</v>
      </c>
      <c r="AS538" s="3">
        <f>IF(Table1[[#This Row],[Efficiency Difference]] = " ", " ", ROUND((Table1[[#This Row],[Winning Margin]]*100)/Table1[[#This Row],[Efficiency Difference]], 2))</f>
        <v>43.37</v>
      </c>
    </row>
    <row r="539" spans="1:45">
      <c r="A539" t="s">
        <v>116</v>
      </c>
      <c r="B539">
        <v>522</v>
      </c>
      <c r="C539">
        <v>38</v>
      </c>
      <c r="D539">
        <v>412</v>
      </c>
      <c r="E539">
        <v>55</v>
      </c>
      <c r="F539">
        <v>5</v>
      </c>
      <c r="G539">
        <v>30</v>
      </c>
      <c r="H539">
        <v>1</v>
      </c>
      <c r="I539">
        <v>124</v>
      </c>
      <c r="J539">
        <v>25</v>
      </c>
      <c r="K539">
        <v>0</v>
      </c>
      <c r="L539">
        <v>1</v>
      </c>
      <c r="M539" t="s">
        <v>137</v>
      </c>
      <c r="N539">
        <v>700</v>
      </c>
      <c r="O539">
        <v>41</v>
      </c>
      <c r="P539">
        <v>452</v>
      </c>
      <c r="Q539">
        <v>53</v>
      </c>
      <c r="R539">
        <v>4</v>
      </c>
      <c r="S539">
        <v>34</v>
      </c>
      <c r="T539">
        <v>0</v>
      </c>
      <c r="U539">
        <v>120</v>
      </c>
      <c r="V539">
        <v>43</v>
      </c>
      <c r="W539">
        <v>1</v>
      </c>
      <c r="X539">
        <v>0</v>
      </c>
      <c r="Y539" t="s">
        <v>19</v>
      </c>
      <c r="Z539">
        <v>8</v>
      </c>
      <c r="AA539" s="3">
        <f>IF(AND(Table1[[#This Row],[Throw Out Pass Eff]]="N", Table1[[#This Row],[Against FCS Team]]="N"), ROUND(((5.45 * D539) + (150 * F539) + (100 * G539) - (300 * H539)) / E539, 2), " ")</f>
        <v>103.55</v>
      </c>
      <c r="AB539" s="3">
        <f>IF(AND(Table1[[#This Row],[Throw Out Pass Def Eff]]="N", Table1[[#This Row],[Against FCS Team]]="N"),200 - ROUND(((5.45 * P539) + (150 * R539) + (100 * S539) - (300 * T539)) / Q539, 2), " ")</f>
        <v>78.05</v>
      </c>
      <c r="AC539" s="3">
        <f>IF(AND(Table1[[#This Row],[Throw Out Rush Eff]]="N", Table1[[#This Row],[Against FCS Team]]="N"), ROUND(((23.2 * I539) + (150 * K539) - (300 * L539)) / J539, 2), " ")</f>
        <v>103.07</v>
      </c>
      <c r="AD539" s="3">
        <f>IF(AND(Table1[[#This Row],[Throw Out Rush Def Eff]]="N", Table1[[#This Row],[Against FCS Team]]="N"), 200 - ROUND(((23.2 * U539) + (150 * W539) - (300 * X539)) / V539, 2), " ")</f>
        <v>131.76999999999998</v>
      </c>
      <c r="AE539" s="3">
        <f>ROUND(Table1[[#This Row],[Opp Passing Attempts]]/(Table1[[#This Row],[Opp Passing Attempts]]+Table1[[#This Row],[Opp Rushing Attempts]]), 2)</f>
        <v>0.55000000000000004</v>
      </c>
      <c r="AF539" s="3">
        <f>1-Table1[[#This Row],[Passing Weight]]</f>
        <v>0.44999999999999996</v>
      </c>
      <c r="AG539" s="3" t="str">
        <f>IF(COUNTIF(A:A,Table1[[#This Row],[Opp Team Name]]) &gt; 0, "N", "Y")</f>
        <v>N</v>
      </c>
      <c r="AH539" s="3" t="str">
        <f>IF(Table1[[#This Row],[Passing Attempts]] &lt;15, "Y", "N")</f>
        <v>N</v>
      </c>
      <c r="AI539" s="3" t="str">
        <f>IF(Table1[[#This Row],[Rushing Attempts]] &lt; 15, "Y", "N")</f>
        <v>N</v>
      </c>
      <c r="AJ539" s="3" t="str">
        <f>IF(Table1[[#This Row],[Opp Passing Attempts]]&lt;15, "Y", "N")</f>
        <v>N</v>
      </c>
      <c r="AK539" s="3" t="str">
        <f>IF(Table1[[#This Row],[Opp Rushing Attempts]]&lt;15, "Y", "N")</f>
        <v>N</v>
      </c>
      <c r="AL53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102.54</v>
      </c>
      <c r="AM5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93.37</v>
      </c>
      <c r="AN5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95.58</v>
      </c>
      <c r="AO5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135.47999999999999</v>
      </c>
      <c r="AP539" s="3">
        <f>ABS(Table1[[#This Row],[Team Score]]-Table1[[#This Row],[Opp Team Score]])</f>
        <v>3</v>
      </c>
      <c r="AQ539" s="3">
        <f>SUM(Table1[[#This Row],[Team Score]], Table1[[#This Row],[Opp Team Score]])</f>
        <v>79</v>
      </c>
      <c r="AR53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16.439999999999998</v>
      </c>
      <c r="AS539" s="3">
        <f>IF(Table1[[#This Row],[Efficiency Difference]] = " ", " ", ROUND((Table1[[#This Row],[Winning Margin]]*100)/Table1[[#This Row],[Efficiency Difference]], 2))</f>
        <v>18.25</v>
      </c>
    </row>
    <row r="540" spans="1:45">
      <c r="A540" t="s">
        <v>87</v>
      </c>
      <c r="B540">
        <v>521</v>
      </c>
      <c r="C540">
        <v>61</v>
      </c>
      <c r="D540">
        <v>458</v>
      </c>
      <c r="E540">
        <v>43</v>
      </c>
      <c r="F540">
        <v>4</v>
      </c>
      <c r="G540">
        <v>28</v>
      </c>
      <c r="H540">
        <v>3</v>
      </c>
      <c r="I540">
        <v>208</v>
      </c>
      <c r="J540">
        <v>44</v>
      </c>
      <c r="K540">
        <v>3</v>
      </c>
      <c r="L540">
        <v>0</v>
      </c>
      <c r="M540" t="s">
        <v>86</v>
      </c>
      <c r="N540">
        <v>671</v>
      </c>
      <c r="O540">
        <v>34</v>
      </c>
      <c r="P540">
        <v>212</v>
      </c>
      <c r="Q540">
        <v>37</v>
      </c>
      <c r="R540">
        <v>0</v>
      </c>
      <c r="S540">
        <v>20</v>
      </c>
      <c r="T540">
        <v>1</v>
      </c>
      <c r="U540">
        <v>108</v>
      </c>
      <c r="V540">
        <v>37</v>
      </c>
      <c r="W540">
        <v>2</v>
      </c>
      <c r="X540">
        <v>1</v>
      </c>
      <c r="Y540" t="s">
        <v>16</v>
      </c>
      <c r="Z540">
        <v>1</v>
      </c>
      <c r="AA540">
        <f>IF(AND(Table1[[#This Row],[Throw Out Pass Eff]]="N", Table1[[#This Row],[Against FCS Team]]="N"), ROUND(((5.45 * D540) + (150 * F540) + (100 * G540) - (300 * H540)) / E540, 2), " ")</f>
        <v>116.19</v>
      </c>
      <c r="AB540">
        <f>IF(AND(Table1[[#This Row],[Throw Out Pass Def Eff]]="N", Table1[[#This Row],[Against FCS Team]]="N"),200 - ROUND(((5.45 * P540) + (150 * R540) + (100 * S540) - (300 * T540)) / Q540, 2), " ")</f>
        <v>122.83</v>
      </c>
      <c r="AC540">
        <f>IF(AND(Table1[[#This Row],[Throw Out Rush Eff]]="N", Table1[[#This Row],[Against FCS Team]]="N"), ROUND(((23.2 * I540) + (150 * K540) - (300 * L540)) / J540, 2), " ")</f>
        <v>119.9</v>
      </c>
      <c r="AD540" s="3">
        <f>IF(AND(Table1[[#This Row],[Throw Out Rush Def Eff]]="N", Table1[[#This Row],[Against FCS Team]]="N"), 200 - ROUND(((23.2 * U540) + (150 * W540) - (300 * X540)) / V540, 2), " ")</f>
        <v>132.28</v>
      </c>
      <c r="AE540" s="3">
        <f>ROUND(Table1[[#This Row],[Opp Passing Attempts]]/(Table1[[#This Row],[Opp Passing Attempts]]+Table1[[#This Row],[Opp Rushing Attempts]]), 2)</f>
        <v>0.5</v>
      </c>
      <c r="AF540" s="3">
        <f>1-Table1[[#This Row],[Passing Weight]]</f>
        <v>0.5</v>
      </c>
      <c r="AG540" s="3" t="str">
        <f>IF(COUNTIF(A:A,Table1[[#This Row],[Opp Team Name]]) &gt; 0, "N", "Y")</f>
        <v>N</v>
      </c>
      <c r="AH540" s="3" t="str">
        <f>IF(Table1[[#This Row],[Passing Attempts]] &lt;15, "Y", "N")</f>
        <v>N</v>
      </c>
      <c r="AI540" s="3" t="str">
        <f>IF(Table1[[#This Row],[Rushing Attempts]] &lt; 15, "Y", "N")</f>
        <v>N</v>
      </c>
      <c r="AJ540" s="3" t="str">
        <f>IF(Table1[[#This Row],[Opp Passing Attempts]]&lt;15, "Y", "N")</f>
        <v>N</v>
      </c>
      <c r="AK540" s="3" t="str">
        <f>IF(Table1[[#This Row],[Opp Rushing Attempts]]&lt;15, "Y", "N")</f>
        <v>N</v>
      </c>
      <c r="AL54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118.71</v>
      </c>
      <c r="AM5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132.47</v>
      </c>
      <c r="AN5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137.47</v>
      </c>
      <c r="AO5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102.93</v>
      </c>
      <c r="AP540" s="3">
        <f>ABS(Table1[[#This Row],[Team Score]]-Table1[[#This Row],[Opp Team Score]])</f>
        <v>27</v>
      </c>
      <c r="AQ540" s="3">
        <f>SUM(Table1[[#This Row],[Team Score]], Table1[[#This Row],[Opp Team Score]])</f>
        <v>95</v>
      </c>
      <c r="AR54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91.200000000000017</v>
      </c>
      <c r="AS540" s="3">
        <f>IF(Table1[[#This Row],[Efficiency Difference]] = " ", " ", ROUND((Table1[[#This Row],[Winning Margin]]*100)/Table1[[#This Row],[Efficiency Difference]], 2))</f>
        <v>29.61</v>
      </c>
    </row>
    <row r="541" spans="1:45">
      <c r="A541" t="s">
        <v>87</v>
      </c>
      <c r="B541">
        <v>521</v>
      </c>
      <c r="C541">
        <v>37</v>
      </c>
      <c r="D541">
        <v>397</v>
      </c>
      <c r="E541">
        <v>53</v>
      </c>
      <c r="F541">
        <v>2</v>
      </c>
      <c r="G541">
        <v>42</v>
      </c>
      <c r="H541">
        <v>1</v>
      </c>
      <c r="I541">
        <v>197</v>
      </c>
      <c r="J541">
        <v>31</v>
      </c>
      <c r="K541">
        <v>3</v>
      </c>
      <c r="L541">
        <v>0</v>
      </c>
      <c r="M541" t="s">
        <v>22</v>
      </c>
      <c r="N541">
        <v>29</v>
      </c>
      <c r="O541">
        <v>14</v>
      </c>
      <c r="P541">
        <v>398</v>
      </c>
      <c r="Q541">
        <v>51</v>
      </c>
      <c r="R541">
        <v>1</v>
      </c>
      <c r="S541">
        <v>37</v>
      </c>
      <c r="T541">
        <v>0</v>
      </c>
      <c r="U541">
        <v>41</v>
      </c>
      <c r="V541">
        <v>21</v>
      </c>
      <c r="W541">
        <v>1</v>
      </c>
      <c r="X541">
        <v>1</v>
      </c>
      <c r="Y541" t="s">
        <v>16</v>
      </c>
      <c r="Z541">
        <v>2</v>
      </c>
      <c r="AA541">
        <f>IF(AND(Table1[[#This Row],[Throw Out Pass Eff]]="N", Table1[[#This Row],[Against FCS Team]]="N"), ROUND(((5.45 * D541) + (150 * F541) + (100 * G541) - (300 * H541)) / E541, 2), " ")</f>
        <v>120.07</v>
      </c>
      <c r="AB541">
        <f>IF(AND(Table1[[#This Row],[Throw Out Pass Def Eff]]="N", Table1[[#This Row],[Against FCS Team]]="N"),200 - ROUND(((5.45 * P541) + (150 * R541) + (100 * S541) - (300 * T541)) / Q541, 2), " ")</f>
        <v>81.98</v>
      </c>
      <c r="AC541">
        <f>IF(AND(Table1[[#This Row],[Throw Out Rush Eff]]="N", Table1[[#This Row],[Against FCS Team]]="N"), ROUND(((23.2 * I541) + (150 * K541) - (300 * L541)) / J541, 2), " ")</f>
        <v>161.94999999999999</v>
      </c>
      <c r="AD541" s="3">
        <f>IF(AND(Table1[[#This Row],[Throw Out Rush Def Eff]]="N", Table1[[#This Row],[Against FCS Team]]="N"), 200 - ROUND(((23.2 * U541) + (150 * W541) - (300 * X541)) / V541, 2), " ")</f>
        <v>161.85</v>
      </c>
      <c r="AE541" s="3">
        <f>ROUND(Table1[[#This Row],[Opp Passing Attempts]]/(Table1[[#This Row],[Opp Passing Attempts]]+Table1[[#This Row],[Opp Rushing Attempts]]), 2)</f>
        <v>0.71</v>
      </c>
      <c r="AF541" s="3">
        <f>1-Table1[[#This Row],[Passing Weight]]</f>
        <v>0.29000000000000004</v>
      </c>
      <c r="AG541" s="3" t="str">
        <f>IF(COUNTIF(A:A,Table1[[#This Row],[Opp Team Name]]) &gt; 0, "N", "Y")</f>
        <v>N</v>
      </c>
      <c r="AH541" s="3" t="str">
        <f>IF(Table1[[#This Row],[Passing Attempts]] &lt;15, "Y", "N")</f>
        <v>N</v>
      </c>
      <c r="AI541" s="3" t="str">
        <f>IF(Table1[[#This Row],[Rushing Attempts]] &lt; 15, "Y", "N")</f>
        <v>N</v>
      </c>
      <c r="AJ541" s="3" t="str">
        <f>IF(Table1[[#This Row],[Opp Passing Attempts]]&lt;15, "Y", "N")</f>
        <v>N</v>
      </c>
      <c r="AK541" s="3" t="str">
        <f>IF(Table1[[#This Row],[Opp Rushing Attempts]]&lt;15, "Y", "N")</f>
        <v>N</v>
      </c>
      <c r="AL54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98.72</v>
      </c>
      <c r="AM54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91.68</v>
      </c>
      <c r="AN54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120.15</v>
      </c>
      <c r="AO54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117.3</v>
      </c>
      <c r="AP541" s="3">
        <f>ABS(Table1[[#This Row],[Team Score]]-Table1[[#This Row],[Opp Team Score]])</f>
        <v>23</v>
      </c>
      <c r="AQ541" s="3">
        <f>SUM(Table1[[#This Row],[Team Score]], Table1[[#This Row],[Opp Team Score]])</f>
        <v>51</v>
      </c>
      <c r="AR54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125.84999999999997</v>
      </c>
      <c r="AS541" s="3">
        <f>IF(Table1[[#This Row],[Efficiency Difference]] = " ", " ", ROUND((Table1[[#This Row],[Winning Margin]]*100)/Table1[[#This Row],[Efficiency Difference]], 2))</f>
        <v>18.28</v>
      </c>
    </row>
    <row r="542" spans="1:45">
      <c r="A542" t="s">
        <v>87</v>
      </c>
      <c r="B542">
        <v>521</v>
      </c>
      <c r="C542">
        <v>59</v>
      </c>
      <c r="D542">
        <v>369</v>
      </c>
      <c r="E542">
        <v>40</v>
      </c>
      <c r="F542">
        <v>3</v>
      </c>
      <c r="G542">
        <v>29</v>
      </c>
      <c r="H542">
        <v>2</v>
      </c>
      <c r="I542">
        <v>174</v>
      </c>
      <c r="J542">
        <v>48</v>
      </c>
      <c r="K542">
        <v>4</v>
      </c>
      <c r="L542">
        <v>0</v>
      </c>
      <c r="M542" t="s">
        <v>117</v>
      </c>
      <c r="N542">
        <v>719</v>
      </c>
      <c r="O542">
        <v>33</v>
      </c>
      <c r="P542">
        <v>117</v>
      </c>
      <c r="Q542">
        <v>26</v>
      </c>
      <c r="R542">
        <v>2</v>
      </c>
      <c r="S542">
        <v>8</v>
      </c>
      <c r="T542">
        <v>4</v>
      </c>
      <c r="U542">
        <v>365</v>
      </c>
      <c r="V542">
        <v>59</v>
      </c>
      <c r="W542">
        <v>2</v>
      </c>
      <c r="X542">
        <v>2</v>
      </c>
      <c r="Y542" t="s">
        <v>16</v>
      </c>
      <c r="Z542">
        <v>4</v>
      </c>
      <c r="AA542">
        <f>IF(AND(Table1[[#This Row],[Throw Out Pass Eff]]="N", Table1[[#This Row],[Against FCS Team]]="N"), ROUND(((5.45 * D542) + (150 * F542) + (100 * G542) - (300 * H542)) / E542, 2), " ")</f>
        <v>119.03</v>
      </c>
      <c r="AB542">
        <f>IF(AND(Table1[[#This Row],[Throw Out Pass Def Eff]]="N", Table1[[#This Row],[Against FCS Team]]="N"),200 - ROUND(((5.45 * P542) + (150 * R542) + (100 * S542) - (300 * T542)) / Q542, 2), " ")</f>
        <v>179.32</v>
      </c>
      <c r="AC542">
        <f>IF(AND(Table1[[#This Row],[Throw Out Rush Eff]]="N", Table1[[#This Row],[Against FCS Team]]="N"), ROUND(((23.2 * I542) + (150 * K542) - (300 * L542)) / J542, 2), " ")</f>
        <v>96.6</v>
      </c>
      <c r="AD542" s="3">
        <f>IF(AND(Table1[[#This Row],[Throw Out Rush Def Eff]]="N", Table1[[#This Row],[Against FCS Team]]="N"), 200 - ROUND(((23.2 * U542) + (150 * W542) - (300 * X542)) / V542, 2), " ")</f>
        <v>61.56</v>
      </c>
      <c r="AE542" s="3">
        <f>ROUND(Table1[[#This Row],[Opp Passing Attempts]]/(Table1[[#This Row],[Opp Passing Attempts]]+Table1[[#This Row],[Opp Rushing Attempts]]), 2)</f>
        <v>0.31</v>
      </c>
      <c r="AF542" s="3">
        <f>1-Table1[[#This Row],[Passing Weight]]</f>
        <v>0.69</v>
      </c>
      <c r="AG542" s="3" t="str">
        <f>IF(COUNTIF(A:A,Table1[[#This Row],[Opp Team Name]]) &gt; 0, "N", "Y")</f>
        <v>N</v>
      </c>
      <c r="AH542" s="3" t="str">
        <f>IF(Table1[[#This Row],[Passing Attempts]] &lt;15, "Y", "N")</f>
        <v>N</v>
      </c>
      <c r="AI542" s="3" t="str">
        <f>IF(Table1[[#This Row],[Rushing Attempts]] &lt; 15, "Y", "N")</f>
        <v>N</v>
      </c>
      <c r="AJ542" s="3" t="str">
        <f>IF(Table1[[#This Row],[Opp Passing Attempts]]&lt;15, "Y", "N")</f>
        <v>N</v>
      </c>
      <c r="AK542" s="3" t="str">
        <f>IF(Table1[[#This Row],[Opp Rushing Attempts]]&lt;15, "Y", "N")</f>
        <v>N</v>
      </c>
      <c r="AL54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118.1</v>
      </c>
      <c r="AM5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167.11</v>
      </c>
      <c r="AN5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124.45</v>
      </c>
      <c r="AO5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62.66</v>
      </c>
      <c r="AP542" s="3">
        <f>ABS(Table1[[#This Row],[Team Score]]-Table1[[#This Row],[Opp Team Score]])</f>
        <v>26</v>
      </c>
      <c r="AQ542" s="3">
        <f>SUM(Table1[[#This Row],[Team Score]], Table1[[#This Row],[Opp Team Score]])</f>
        <v>92</v>
      </c>
      <c r="AR54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56.509999999999991</v>
      </c>
      <c r="AS542" s="3">
        <f>IF(Table1[[#This Row],[Efficiency Difference]] = " ", " ", ROUND((Table1[[#This Row],[Winning Margin]]*100)/Table1[[#This Row],[Efficiency Difference]], 2))</f>
        <v>46.01</v>
      </c>
    </row>
    <row r="543" spans="1:45">
      <c r="A543" t="s">
        <v>87</v>
      </c>
      <c r="B543">
        <v>521</v>
      </c>
      <c r="C543">
        <v>30</v>
      </c>
      <c r="D543">
        <v>438</v>
      </c>
      <c r="E543">
        <v>60</v>
      </c>
      <c r="F543">
        <v>2</v>
      </c>
      <c r="G543">
        <v>47</v>
      </c>
      <c r="H543">
        <v>0</v>
      </c>
      <c r="I543">
        <v>46</v>
      </c>
      <c r="J543">
        <v>35</v>
      </c>
      <c r="K543">
        <v>1</v>
      </c>
      <c r="L543">
        <v>1</v>
      </c>
      <c r="M543" t="s">
        <v>187</v>
      </c>
      <c r="N543">
        <v>697</v>
      </c>
      <c r="O543">
        <v>29</v>
      </c>
      <c r="P543">
        <v>309</v>
      </c>
      <c r="Q543">
        <v>47</v>
      </c>
      <c r="R543">
        <v>2</v>
      </c>
      <c r="S543">
        <v>28</v>
      </c>
      <c r="T543">
        <v>3</v>
      </c>
      <c r="U543">
        <v>162</v>
      </c>
      <c r="V543">
        <v>27</v>
      </c>
      <c r="W543">
        <v>1</v>
      </c>
      <c r="X543">
        <v>1</v>
      </c>
      <c r="Y543" t="s">
        <v>16</v>
      </c>
      <c r="Z543">
        <v>4</v>
      </c>
      <c r="AA543">
        <f>IF(AND(Table1[[#This Row],[Throw Out Pass Eff]]="N", Table1[[#This Row],[Against FCS Team]]="N"), ROUND(((5.45 * D543) + (150 * F543) + (100 * G543) - (300 * H543)) / E543, 2), " ")</f>
        <v>123.12</v>
      </c>
      <c r="AB543">
        <f>IF(AND(Table1[[#This Row],[Throw Out Pass Def Eff]]="N", Table1[[#This Row],[Against FCS Team]]="N"),200 - ROUND(((5.45 * P543) + (150 * R543) + (100 * S543) - (300 * T543)) / Q543, 2), " ")</f>
        <v>117.36</v>
      </c>
      <c r="AC543">
        <f>IF(AND(Table1[[#This Row],[Throw Out Rush Eff]]="N", Table1[[#This Row],[Against FCS Team]]="N"), ROUND(((23.2 * I543) + (150 * K543) - (300 * L543)) / J543, 2), " ")</f>
        <v>26.21</v>
      </c>
      <c r="AD543" s="3">
        <f>IF(AND(Table1[[#This Row],[Throw Out Rush Def Eff]]="N", Table1[[#This Row],[Against FCS Team]]="N"), 200 - ROUND(((23.2 * U543) + (150 * W543) - (300 * X543)) / V543, 2), " ")</f>
        <v>66.360000000000014</v>
      </c>
      <c r="AE543" s="3">
        <f>ROUND(Table1[[#This Row],[Opp Passing Attempts]]/(Table1[[#This Row],[Opp Passing Attempts]]+Table1[[#This Row],[Opp Rushing Attempts]]), 2)</f>
        <v>0.64</v>
      </c>
      <c r="AF543" s="3">
        <f>1-Table1[[#This Row],[Passing Weight]]</f>
        <v>0.36</v>
      </c>
      <c r="AG543" s="3" t="str">
        <f>IF(COUNTIF(A:A,Table1[[#This Row],[Opp Team Name]]) &gt; 0, "N", "Y")</f>
        <v>N</v>
      </c>
      <c r="AH543" s="3" t="str">
        <f>IF(Table1[[#This Row],[Passing Attempts]] &lt;15, "Y", "N")</f>
        <v>N</v>
      </c>
      <c r="AI543" s="3" t="str">
        <f>IF(Table1[[#This Row],[Rushing Attempts]] &lt; 15, "Y", "N")</f>
        <v>N</v>
      </c>
      <c r="AJ543" s="3" t="str">
        <f>IF(Table1[[#This Row],[Opp Passing Attempts]]&lt;15, "Y", "N")</f>
        <v>N</v>
      </c>
      <c r="AK543" s="3" t="str">
        <f>IF(Table1[[#This Row],[Opp Rushing Attempts]]&lt;15, "Y", "N")</f>
        <v>N</v>
      </c>
      <c r="AL54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121.23</v>
      </c>
      <c r="AM5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132.34</v>
      </c>
      <c r="AN5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36.520000000000003</v>
      </c>
      <c r="AO5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86.1</v>
      </c>
      <c r="AP543" s="3">
        <f>ABS(Table1[[#This Row],[Team Score]]-Table1[[#This Row],[Opp Team Score]])</f>
        <v>1</v>
      </c>
      <c r="AQ543" s="3">
        <f>SUM(Table1[[#This Row],[Team Score]], Table1[[#This Row],[Opp Team Score]])</f>
        <v>59</v>
      </c>
      <c r="AR54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66.94999999999996</v>
      </c>
      <c r="AS543" s="3">
        <f>IF(Table1[[#This Row],[Efficiency Difference]] = " ", " ", ROUND((Table1[[#This Row],[Winning Margin]]*100)/Table1[[#This Row],[Efficiency Difference]], 2))</f>
        <v>1.49</v>
      </c>
    </row>
    <row r="544" spans="1:45">
      <c r="A544" t="s">
        <v>87</v>
      </c>
      <c r="B544">
        <v>521</v>
      </c>
      <c r="C544">
        <v>70</v>
      </c>
      <c r="D544">
        <v>494</v>
      </c>
      <c r="E544">
        <v>49</v>
      </c>
      <c r="F544">
        <v>7</v>
      </c>
      <c r="G544">
        <v>38</v>
      </c>
      <c r="H544">
        <v>0</v>
      </c>
      <c r="I544">
        <v>106</v>
      </c>
      <c r="J544">
        <v>27</v>
      </c>
      <c r="K544">
        <v>3</v>
      </c>
      <c r="L544">
        <v>0</v>
      </c>
      <c r="M544" t="s">
        <v>80</v>
      </c>
      <c r="N544">
        <v>328</v>
      </c>
      <c r="O544">
        <v>28</v>
      </c>
      <c r="P544">
        <v>325</v>
      </c>
      <c r="Q544">
        <v>37</v>
      </c>
      <c r="R544">
        <v>2</v>
      </c>
      <c r="S544">
        <v>26</v>
      </c>
      <c r="T544">
        <v>2</v>
      </c>
      <c r="U544">
        <v>153</v>
      </c>
      <c r="V544">
        <v>44</v>
      </c>
      <c r="W544">
        <v>2</v>
      </c>
      <c r="X544">
        <v>2</v>
      </c>
      <c r="Y544" t="s">
        <v>16</v>
      </c>
      <c r="Z544">
        <v>6</v>
      </c>
      <c r="AA544">
        <f>IF(AND(Table1[[#This Row],[Throw Out Pass Eff]]="N", Table1[[#This Row],[Against FCS Team]]="N"), ROUND(((5.45 * D544) + (150 * F544) + (100 * G544) - (300 * H544)) / E544, 2), " ")</f>
        <v>153.91999999999999</v>
      </c>
      <c r="AB544">
        <f>IF(AND(Table1[[#This Row],[Throw Out Pass Def Eff]]="N", Table1[[#This Row],[Against FCS Team]]="N"),200 - ROUND(((5.45 * P544) + (150 * R544) + (100 * S544) - (300 * T544)) / Q544, 2), " ")</f>
        <v>89.97</v>
      </c>
      <c r="AC544">
        <f>IF(AND(Table1[[#This Row],[Throw Out Rush Eff]]="N", Table1[[#This Row],[Against FCS Team]]="N"), ROUND(((23.2 * I544) + (150 * K544) - (300 * L544)) / J544, 2), " ")</f>
        <v>107.75</v>
      </c>
      <c r="AD544" s="3">
        <f>IF(AND(Table1[[#This Row],[Throw Out Rush Def Eff]]="N", Table1[[#This Row],[Against FCS Team]]="N"), 200 - ROUND(((23.2 * U544) + (150 * W544) - (300 * X544)) / V544, 2), " ")</f>
        <v>126.15</v>
      </c>
      <c r="AE544" s="3">
        <f>ROUND(Table1[[#This Row],[Opp Passing Attempts]]/(Table1[[#This Row],[Opp Passing Attempts]]+Table1[[#This Row],[Opp Rushing Attempts]]), 2)</f>
        <v>0.46</v>
      </c>
      <c r="AF544" s="3">
        <f>1-Table1[[#This Row],[Passing Weight]]</f>
        <v>0.54</v>
      </c>
      <c r="AG544" s="3" t="str">
        <f>IF(COUNTIF(A:A,Table1[[#This Row],[Opp Team Name]]) &gt; 0, "N", "Y")</f>
        <v>N</v>
      </c>
      <c r="AH544" s="3" t="str">
        <f>IF(Table1[[#This Row],[Passing Attempts]] &lt;15, "Y", "N")</f>
        <v>N</v>
      </c>
      <c r="AI544" s="3" t="str">
        <f>IF(Table1[[#This Row],[Rushing Attempts]] &lt; 15, "Y", "N")</f>
        <v>N</v>
      </c>
      <c r="AJ544" s="3" t="str">
        <f>IF(Table1[[#This Row],[Opp Passing Attempts]]&lt;15, "Y", "N")</f>
        <v>N</v>
      </c>
      <c r="AK544" s="3" t="str">
        <f>IF(Table1[[#This Row],[Opp Rushing Attempts]]&lt;15, "Y", "N")</f>
        <v>N</v>
      </c>
      <c r="AL5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111.74</v>
      </c>
      <c r="AM5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98.03</v>
      </c>
      <c r="AN5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59.19</v>
      </c>
      <c r="AO5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115.32</v>
      </c>
      <c r="AP544" s="3">
        <f>ABS(Table1[[#This Row],[Team Score]]-Table1[[#This Row],[Opp Team Score]])</f>
        <v>42</v>
      </c>
      <c r="AQ544" s="3">
        <f>SUM(Table1[[#This Row],[Team Score]], Table1[[#This Row],[Opp Team Score]])</f>
        <v>98</v>
      </c>
      <c r="AR5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77.789999999999964</v>
      </c>
      <c r="AS544" s="3">
        <f>IF(Table1[[#This Row],[Efficiency Difference]] = " ", " ", ROUND((Table1[[#This Row],[Winning Margin]]*100)/Table1[[#This Row],[Efficiency Difference]], 2))</f>
        <v>53.99</v>
      </c>
    </row>
    <row r="545" spans="1:45">
      <c r="A545" t="s">
        <v>87</v>
      </c>
      <c r="B545">
        <v>521</v>
      </c>
      <c r="C545">
        <v>38</v>
      </c>
      <c r="D545">
        <v>218</v>
      </c>
      <c r="E545">
        <v>41</v>
      </c>
      <c r="F545">
        <v>1</v>
      </c>
      <c r="G545">
        <v>23</v>
      </c>
      <c r="H545">
        <v>0</v>
      </c>
      <c r="I545">
        <v>202</v>
      </c>
      <c r="J545">
        <v>27</v>
      </c>
      <c r="K545">
        <v>3</v>
      </c>
      <c r="L545">
        <v>1</v>
      </c>
      <c r="M545" t="s">
        <v>123</v>
      </c>
      <c r="N545">
        <v>703</v>
      </c>
      <c r="O545">
        <v>26</v>
      </c>
      <c r="P545">
        <v>139</v>
      </c>
      <c r="Q545">
        <v>40</v>
      </c>
      <c r="R545">
        <v>0</v>
      </c>
      <c r="S545">
        <v>22</v>
      </c>
      <c r="T545">
        <v>2</v>
      </c>
      <c r="U545">
        <v>231</v>
      </c>
      <c r="V545">
        <v>49</v>
      </c>
      <c r="W545">
        <v>2</v>
      </c>
      <c r="X545">
        <v>1</v>
      </c>
      <c r="Y545" t="s">
        <v>16</v>
      </c>
      <c r="Z545">
        <v>7</v>
      </c>
      <c r="AA545">
        <f>IF(AND(Table1[[#This Row],[Throw Out Pass Eff]]="N", Table1[[#This Row],[Against FCS Team]]="N"), ROUND(((5.45 * D545) + (150 * F545) + (100 * G545) - (300 * H545)) / E545, 2), " ")</f>
        <v>88.73</v>
      </c>
      <c r="AB545">
        <f>IF(AND(Table1[[#This Row],[Throw Out Pass Def Eff]]="N", Table1[[#This Row],[Against FCS Team]]="N"),200 - ROUND(((5.45 * P545) + (150 * R545) + (100 * S545) - (300 * T545)) / Q545, 2), " ")</f>
        <v>141.06</v>
      </c>
      <c r="AC545">
        <f>IF(AND(Table1[[#This Row],[Throw Out Rush Eff]]="N", Table1[[#This Row],[Against FCS Team]]="N"), ROUND(((23.2 * I545) + (150 * K545) - (300 * L545)) / J545, 2), " ")</f>
        <v>179.13</v>
      </c>
      <c r="AD545" s="3">
        <f>IF(AND(Table1[[#This Row],[Throw Out Rush Def Eff]]="N", Table1[[#This Row],[Against FCS Team]]="N"), 200 - ROUND(((23.2 * U545) + (150 * W545) - (300 * X545)) / V545, 2), " ")</f>
        <v>90.63</v>
      </c>
      <c r="AE545" s="3">
        <f>ROUND(Table1[[#This Row],[Opp Passing Attempts]]/(Table1[[#This Row],[Opp Passing Attempts]]+Table1[[#This Row],[Opp Rushing Attempts]]), 2)</f>
        <v>0.45</v>
      </c>
      <c r="AF545" s="3">
        <f>1-Table1[[#This Row],[Passing Weight]]</f>
        <v>0.55000000000000004</v>
      </c>
      <c r="AG545" s="3" t="str">
        <f>IF(COUNTIF(A:A,Table1[[#This Row],[Opp Team Name]]) &gt; 0, "N", "Y")</f>
        <v>N</v>
      </c>
      <c r="AH545" s="3" t="str">
        <f>IF(Table1[[#This Row],[Passing Attempts]] &lt;15, "Y", "N")</f>
        <v>N</v>
      </c>
      <c r="AI545" s="3" t="str">
        <f>IF(Table1[[#This Row],[Rushing Attempts]] &lt; 15, "Y", "N")</f>
        <v>N</v>
      </c>
      <c r="AJ545" s="3" t="str">
        <f>IF(Table1[[#This Row],[Opp Passing Attempts]]&lt;15, "Y", "N")</f>
        <v>N</v>
      </c>
      <c r="AK545" s="3" t="str">
        <f>IF(Table1[[#This Row],[Opp Rushing Attempts]]&lt;15, "Y", "N")</f>
        <v>N</v>
      </c>
      <c r="AL54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109.51</v>
      </c>
      <c r="AM54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143.1</v>
      </c>
      <c r="AN54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190.09</v>
      </c>
      <c r="AO54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80.78</v>
      </c>
      <c r="AP545" s="3">
        <f>ABS(Table1[[#This Row],[Team Score]]-Table1[[#This Row],[Opp Team Score]])</f>
        <v>12</v>
      </c>
      <c r="AQ545" s="3">
        <f>SUM(Table1[[#This Row],[Team Score]], Table1[[#This Row],[Opp Team Score]])</f>
        <v>64</v>
      </c>
      <c r="AR54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99.550000000000011</v>
      </c>
      <c r="AS545" s="3">
        <f>IF(Table1[[#This Row],[Efficiency Difference]] = " ", " ", ROUND((Table1[[#This Row],[Winning Margin]]*100)/Table1[[#This Row],[Efficiency Difference]], 2))</f>
        <v>12.05</v>
      </c>
    </row>
    <row r="546" spans="1:45">
      <c r="A546" t="s">
        <v>87</v>
      </c>
      <c r="B546">
        <v>521</v>
      </c>
      <c r="C546">
        <v>45</v>
      </c>
      <c r="D546">
        <v>338</v>
      </c>
      <c r="E546">
        <v>50</v>
      </c>
      <c r="F546">
        <v>3</v>
      </c>
      <c r="G546">
        <v>33</v>
      </c>
      <c r="H546">
        <v>1</v>
      </c>
      <c r="I546">
        <v>195</v>
      </c>
      <c r="J546">
        <v>31</v>
      </c>
      <c r="K546">
        <v>3</v>
      </c>
      <c r="L546">
        <v>0</v>
      </c>
      <c r="M546" t="s">
        <v>97</v>
      </c>
      <c r="N546">
        <v>434</v>
      </c>
      <c r="O546">
        <v>24</v>
      </c>
      <c r="P546">
        <v>215</v>
      </c>
      <c r="Q546">
        <v>28</v>
      </c>
      <c r="R546">
        <v>1</v>
      </c>
      <c r="S546">
        <v>15</v>
      </c>
      <c r="T546">
        <v>3</v>
      </c>
      <c r="U546">
        <v>248</v>
      </c>
      <c r="V546">
        <v>52</v>
      </c>
      <c r="W546">
        <v>2</v>
      </c>
      <c r="X546">
        <v>1</v>
      </c>
      <c r="Y546" t="s">
        <v>16</v>
      </c>
      <c r="Z546">
        <v>8</v>
      </c>
      <c r="AA546" s="3">
        <f>IF(AND(Table1[[#This Row],[Throw Out Pass Eff]]="N", Table1[[#This Row],[Against FCS Team]]="N"), ROUND(((5.45 * D546) + (150 * F546) + (100 * G546) - (300 * H546)) / E546, 2), " ")</f>
        <v>105.84</v>
      </c>
      <c r="AB546" s="3">
        <f>IF(AND(Table1[[#This Row],[Throw Out Pass Def Eff]]="N", Table1[[#This Row],[Against FCS Team]]="N"),200 - ROUND(((5.45 * P546) + (150 * R546) + (100 * S546) - (300 * T546)) / Q546, 2), " ")</f>
        <v>131.37</v>
      </c>
      <c r="AC546" s="3">
        <f>IF(AND(Table1[[#This Row],[Throw Out Rush Eff]]="N", Table1[[#This Row],[Against FCS Team]]="N"), ROUND(((23.2 * I546) + (150 * K546) - (300 * L546)) / J546, 2), " ")</f>
        <v>160.44999999999999</v>
      </c>
      <c r="AD546" s="3">
        <f>IF(AND(Table1[[#This Row],[Throw Out Rush Def Eff]]="N", Table1[[#This Row],[Against FCS Team]]="N"), 200 - ROUND(((23.2 * U546) + (150 * W546) - (300 * X546)) / V546, 2), " ")</f>
        <v>89.35</v>
      </c>
      <c r="AE546" s="3">
        <f>ROUND(Table1[[#This Row],[Opp Passing Attempts]]/(Table1[[#This Row],[Opp Passing Attempts]]+Table1[[#This Row],[Opp Rushing Attempts]]), 2)</f>
        <v>0.35</v>
      </c>
      <c r="AF546" s="3">
        <f>1-Table1[[#This Row],[Passing Weight]]</f>
        <v>0.65</v>
      </c>
      <c r="AG546" s="3" t="str">
        <f>IF(COUNTIF(A:A,Table1[[#This Row],[Opp Team Name]]) &gt; 0, "N", "Y")</f>
        <v>N</v>
      </c>
      <c r="AH546" s="3" t="str">
        <f>IF(Table1[[#This Row],[Passing Attempts]] &lt;15, "Y", "N")</f>
        <v>N</v>
      </c>
      <c r="AI546" s="3" t="str">
        <f>IF(Table1[[#This Row],[Rushing Attempts]] &lt; 15, "Y", "N")</f>
        <v>N</v>
      </c>
      <c r="AJ546" s="3" t="str">
        <f>IF(Table1[[#This Row],[Opp Passing Attempts]]&lt;15, "Y", "N")</f>
        <v>N</v>
      </c>
      <c r="AK546" s="3" t="str">
        <f>IF(Table1[[#This Row],[Opp Rushing Attempts]]&lt;15, "Y", "N")</f>
        <v>N</v>
      </c>
      <c r="AL5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101.15</v>
      </c>
      <c r="AM5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123.48</v>
      </c>
      <c r="AN5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175.59</v>
      </c>
      <c r="AO54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103.43</v>
      </c>
      <c r="AP546" s="3">
        <f>ABS(Table1[[#This Row],[Team Score]]-Table1[[#This Row],[Opp Team Score]])</f>
        <v>21</v>
      </c>
      <c r="AQ546" s="3">
        <f>SUM(Table1[[#This Row],[Team Score]], Table1[[#This Row],[Opp Team Score]])</f>
        <v>69</v>
      </c>
      <c r="AR54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87.009999999999962</v>
      </c>
      <c r="AS546" s="3">
        <f>IF(Table1[[#This Row],[Efficiency Difference]] = " ", " ", ROUND((Table1[[#This Row],[Winning Margin]]*100)/Table1[[#This Row],[Efficiency Difference]], 2))</f>
        <v>24.14</v>
      </c>
    </row>
    <row r="547" spans="1:45">
      <c r="A547" t="s">
        <v>47</v>
      </c>
      <c r="B547">
        <v>433</v>
      </c>
      <c r="C547">
        <v>42</v>
      </c>
      <c r="D547">
        <v>136</v>
      </c>
      <c r="E547">
        <v>19</v>
      </c>
      <c r="F547">
        <v>1</v>
      </c>
      <c r="G547">
        <v>12</v>
      </c>
      <c r="H547">
        <v>0</v>
      </c>
      <c r="I547">
        <v>179</v>
      </c>
      <c r="J547">
        <v>40</v>
      </c>
      <c r="K547">
        <v>4</v>
      </c>
      <c r="L547">
        <v>1</v>
      </c>
      <c r="M547" t="s">
        <v>184</v>
      </c>
      <c r="N547">
        <v>659</v>
      </c>
      <c r="O547">
        <v>24</v>
      </c>
      <c r="P547">
        <v>197</v>
      </c>
      <c r="Q547">
        <v>30</v>
      </c>
      <c r="R547">
        <v>2</v>
      </c>
      <c r="S547">
        <v>14</v>
      </c>
      <c r="T547">
        <v>4</v>
      </c>
      <c r="U547">
        <v>223</v>
      </c>
      <c r="V547">
        <v>38</v>
      </c>
      <c r="W547">
        <v>1</v>
      </c>
      <c r="X547">
        <v>0</v>
      </c>
      <c r="Y547" t="s">
        <v>16</v>
      </c>
      <c r="Z547">
        <v>2</v>
      </c>
      <c r="AA547" t="str">
        <f>IF(AND(Table1[[#This Row],[Throw Out Pass Eff]]="N", Table1[[#This Row],[Against FCS Team]]="N"), ROUND(((5.45 * D547) + (150 * F547) + (100 * G547) - (300 * H547)) / E547, 2), " ")</f>
        <v xml:space="preserve"> </v>
      </c>
      <c r="AB547" t="str">
        <f>IF(AND(Table1[[#This Row],[Throw Out Pass Def Eff]]="N", Table1[[#This Row],[Against FCS Team]]="N"),200 - ROUND(((5.45 * P547) + (150 * R547) + (100 * S547) - (300 * T547)) / Q547, 2), " ")</f>
        <v xml:space="preserve"> </v>
      </c>
      <c r="AC547" t="str">
        <f>IF(AND(Table1[[#This Row],[Throw Out Rush Eff]]="N", Table1[[#This Row],[Against FCS Team]]="N"), ROUND(((23.2 * I547) + (150 * K547) - (300 * L547)) / J547, 2), " ")</f>
        <v xml:space="preserve"> </v>
      </c>
      <c r="AD547" s="3" t="str">
        <f>IF(AND(Table1[[#This Row],[Throw Out Rush Def Eff]]="N", Table1[[#This Row],[Against FCS Team]]="N"), 200 - ROUND(((23.2 * U547) + (150 * W547) - (300 * X547)) / V547, 2), " ")</f>
        <v xml:space="preserve"> </v>
      </c>
      <c r="AE547" s="3">
        <f>ROUND(Table1[[#This Row],[Opp Passing Attempts]]/(Table1[[#This Row],[Opp Passing Attempts]]+Table1[[#This Row],[Opp Rushing Attempts]]), 2)</f>
        <v>0.44</v>
      </c>
      <c r="AF547" s="3">
        <f>1-Table1[[#This Row],[Passing Weight]]</f>
        <v>0.56000000000000005</v>
      </c>
      <c r="AG547" s="3" t="str">
        <f>IF(COUNTIF(A:A,Table1[[#This Row],[Opp Team Name]]) &gt; 0, "N", "Y")</f>
        <v>Y</v>
      </c>
      <c r="AH547" s="3" t="str">
        <f>IF(Table1[[#This Row],[Passing Attempts]] &lt;15, "Y", "N")</f>
        <v>N</v>
      </c>
      <c r="AI547" s="3" t="str">
        <f>IF(Table1[[#This Row],[Rushing Attempts]] &lt; 15, "Y", "N")</f>
        <v>N</v>
      </c>
      <c r="AJ547" s="3" t="str">
        <f>IF(Table1[[#This Row],[Opp Passing Attempts]]&lt;15, "Y", "N")</f>
        <v>N</v>
      </c>
      <c r="AK547" s="3" t="str">
        <f>IF(Table1[[#This Row],[Opp Rushing Attempts]]&lt;15, "Y", "N")</f>
        <v>N</v>
      </c>
      <c r="AL54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4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4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47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547" s="3">
        <f>ABS(Table1[[#This Row],[Team Score]]-Table1[[#This Row],[Opp Team Score]])</f>
        <v>18</v>
      </c>
      <c r="AQ547" s="3">
        <f>SUM(Table1[[#This Row],[Team Score]], Table1[[#This Row],[Opp Team Score]])</f>
        <v>66</v>
      </c>
      <c r="AR54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47" s="3" t="str">
        <f>IF(Table1[[#This Row],[Efficiency Difference]] = " ", " ", ROUND((Table1[[#This Row],[Winning Margin]]*100)/Table1[[#This Row],[Efficiency Difference]], 2))</f>
        <v xml:space="preserve"> </v>
      </c>
    </row>
    <row r="548" spans="1:45">
      <c r="A548" t="s">
        <v>47</v>
      </c>
      <c r="B548">
        <v>433</v>
      </c>
      <c r="C548">
        <v>13</v>
      </c>
      <c r="D548">
        <v>144</v>
      </c>
      <c r="E548">
        <v>28</v>
      </c>
      <c r="F548">
        <v>0</v>
      </c>
      <c r="G548">
        <v>15</v>
      </c>
      <c r="H548">
        <v>0</v>
      </c>
      <c r="I548">
        <v>64</v>
      </c>
      <c r="J548">
        <v>29</v>
      </c>
      <c r="K548">
        <v>0</v>
      </c>
      <c r="L548">
        <v>2</v>
      </c>
      <c r="M548" t="s">
        <v>46</v>
      </c>
      <c r="N548">
        <v>77</v>
      </c>
      <c r="O548">
        <v>14</v>
      </c>
      <c r="P548">
        <v>225</v>
      </c>
      <c r="Q548">
        <v>38</v>
      </c>
      <c r="R548">
        <v>1</v>
      </c>
      <c r="S548">
        <v>24</v>
      </c>
      <c r="T548">
        <v>1</v>
      </c>
      <c r="U548">
        <v>91</v>
      </c>
      <c r="V548">
        <v>31</v>
      </c>
      <c r="W548">
        <v>0</v>
      </c>
      <c r="X548">
        <v>0</v>
      </c>
      <c r="Y548" t="s">
        <v>19</v>
      </c>
      <c r="Z548">
        <v>1</v>
      </c>
      <c r="AA548">
        <f>IF(AND(Table1[[#This Row],[Throw Out Pass Eff]]="N", Table1[[#This Row],[Against FCS Team]]="N"), ROUND(((5.45 * D548) + (150 * F548) + (100 * G548) - (300 * H548)) / E548, 2), " ")</f>
        <v>81.599999999999994</v>
      </c>
      <c r="AB548">
        <f>IF(AND(Table1[[#This Row],[Throw Out Pass Def Eff]]="N", Table1[[#This Row],[Against FCS Team]]="N"),200 - ROUND(((5.45 * P548) + (150 * R548) + (100 * S548) - (300 * T548)) / Q548, 2), " ")</f>
        <v>108.52</v>
      </c>
      <c r="AC548">
        <f>IF(AND(Table1[[#This Row],[Throw Out Rush Eff]]="N", Table1[[#This Row],[Against FCS Team]]="N"), ROUND(((23.2 * I548) + (150 * K548) - (300 * L548)) / J548, 2), " ")</f>
        <v>30.51</v>
      </c>
      <c r="AD548" s="3">
        <f>IF(AND(Table1[[#This Row],[Throw Out Rush Def Eff]]="N", Table1[[#This Row],[Against FCS Team]]="N"), 200 - ROUND(((23.2 * U548) + (150 * W548) - (300 * X548)) / V548, 2), " ")</f>
        <v>131.9</v>
      </c>
      <c r="AE548" s="3">
        <f>ROUND(Table1[[#This Row],[Opp Passing Attempts]]/(Table1[[#This Row],[Opp Passing Attempts]]+Table1[[#This Row],[Opp Rushing Attempts]]), 2)</f>
        <v>0.55000000000000004</v>
      </c>
      <c r="AF548" s="3">
        <f>1-Table1[[#This Row],[Passing Weight]]</f>
        <v>0.44999999999999996</v>
      </c>
      <c r="AG548" s="3" t="str">
        <f>IF(COUNTIF(A:A,Table1[[#This Row],[Opp Team Name]]) &gt; 0, "N", "Y")</f>
        <v>N</v>
      </c>
      <c r="AH548" s="3" t="str">
        <f>IF(Table1[[#This Row],[Passing Attempts]] &lt;15, "Y", "N")</f>
        <v>N</v>
      </c>
      <c r="AI548" s="3" t="str">
        <f>IF(Table1[[#This Row],[Rushing Attempts]] &lt; 15, "Y", "N")</f>
        <v>N</v>
      </c>
      <c r="AJ548" s="3" t="str">
        <f>IF(Table1[[#This Row],[Opp Passing Attempts]]&lt;15, "Y", "N")</f>
        <v>N</v>
      </c>
      <c r="AK548" s="3" t="str">
        <f>IF(Table1[[#This Row],[Opp Rushing Attempts]]&lt;15, "Y", "N")</f>
        <v>N</v>
      </c>
      <c r="AL5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90.35</v>
      </c>
      <c r="AM5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94.6</v>
      </c>
      <c r="AN5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33.909999999999997</v>
      </c>
      <c r="AO5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91.93</v>
      </c>
      <c r="AP548" s="3">
        <f>ABS(Table1[[#This Row],[Team Score]]-Table1[[#This Row],[Opp Team Score]])</f>
        <v>1</v>
      </c>
      <c r="AQ548" s="3">
        <f>SUM(Table1[[#This Row],[Team Score]], Table1[[#This Row],[Opp Team Score]])</f>
        <v>27</v>
      </c>
      <c r="AR5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47.469999999999985</v>
      </c>
      <c r="AS548" s="3">
        <f>IF(Table1[[#This Row],[Efficiency Difference]] = " ", " ", ROUND((Table1[[#This Row],[Winning Margin]]*100)/Table1[[#This Row],[Efficiency Difference]], 2))</f>
        <v>2.11</v>
      </c>
    </row>
    <row r="549" spans="1:45">
      <c r="A549" t="s">
        <v>47</v>
      </c>
      <c r="B549">
        <v>433</v>
      </c>
      <c r="C549">
        <v>7</v>
      </c>
      <c r="D549">
        <v>149</v>
      </c>
      <c r="E549">
        <v>30</v>
      </c>
      <c r="F549">
        <v>1</v>
      </c>
      <c r="G549">
        <v>15</v>
      </c>
      <c r="H549">
        <v>5</v>
      </c>
      <c r="I549">
        <v>85</v>
      </c>
      <c r="J549">
        <v>32</v>
      </c>
      <c r="K549">
        <v>0</v>
      </c>
      <c r="L549">
        <v>0</v>
      </c>
      <c r="M549" t="s">
        <v>152</v>
      </c>
      <c r="N549">
        <v>736</v>
      </c>
      <c r="O549">
        <v>30</v>
      </c>
      <c r="P549">
        <v>106</v>
      </c>
      <c r="Q549">
        <v>22</v>
      </c>
      <c r="R549">
        <v>0</v>
      </c>
      <c r="S549">
        <v>14</v>
      </c>
      <c r="T549">
        <v>1</v>
      </c>
      <c r="U549">
        <v>281</v>
      </c>
      <c r="V549">
        <v>49</v>
      </c>
      <c r="W549">
        <v>3</v>
      </c>
      <c r="X549">
        <v>2</v>
      </c>
      <c r="Y549" t="s">
        <v>19</v>
      </c>
      <c r="Z549">
        <v>3</v>
      </c>
      <c r="AA549">
        <f>IF(AND(Table1[[#This Row],[Throw Out Pass Eff]]="N", Table1[[#This Row],[Against FCS Team]]="N"), ROUND(((5.45 * D549) + (150 * F549) + (100 * G549) - (300 * H549)) / E549, 2), " ")</f>
        <v>32.07</v>
      </c>
      <c r="AB549">
        <f>IF(AND(Table1[[#This Row],[Throw Out Pass Def Eff]]="N", Table1[[#This Row],[Against FCS Team]]="N"),200 - ROUND(((5.45 * P549) + (150 * R549) + (100 * S549) - (300 * T549)) / Q549, 2), " ")</f>
        <v>123.74</v>
      </c>
      <c r="AC549">
        <f>IF(AND(Table1[[#This Row],[Throw Out Rush Eff]]="N", Table1[[#This Row],[Against FCS Team]]="N"), ROUND(((23.2 * I549) + (150 * K549) - (300 * L549)) / J549, 2), " ")</f>
        <v>61.63</v>
      </c>
      <c r="AD549" s="3">
        <f>IF(AND(Table1[[#This Row],[Throw Out Rush Def Eff]]="N", Table1[[#This Row],[Against FCS Team]]="N"), 200 - ROUND(((23.2 * U549) + (150 * W549) - (300 * X549)) / V549, 2), " ")</f>
        <v>70.02000000000001</v>
      </c>
      <c r="AE549" s="3">
        <f>ROUND(Table1[[#This Row],[Opp Passing Attempts]]/(Table1[[#This Row],[Opp Passing Attempts]]+Table1[[#This Row],[Opp Rushing Attempts]]), 2)</f>
        <v>0.31</v>
      </c>
      <c r="AF549" s="3">
        <f>1-Table1[[#This Row],[Passing Weight]]</f>
        <v>0.69</v>
      </c>
      <c r="AG549" s="3" t="str">
        <f>IF(COUNTIF(A:A,Table1[[#This Row],[Opp Team Name]]) &gt; 0, "N", "Y")</f>
        <v>N</v>
      </c>
      <c r="AH549" s="3" t="str">
        <f>IF(Table1[[#This Row],[Passing Attempts]] &lt;15, "Y", "N")</f>
        <v>N</v>
      </c>
      <c r="AI549" s="3" t="str">
        <f>IF(Table1[[#This Row],[Rushing Attempts]] &lt; 15, "Y", "N")</f>
        <v>N</v>
      </c>
      <c r="AJ549" s="3" t="str">
        <f>IF(Table1[[#This Row],[Opp Passing Attempts]]&lt;15, "Y", "N")</f>
        <v>N</v>
      </c>
      <c r="AK549" s="3" t="str">
        <f>IF(Table1[[#This Row],[Opp Rushing Attempts]]&lt;15, "Y", "N")</f>
        <v>N</v>
      </c>
      <c r="AL5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40.5</v>
      </c>
      <c r="AM5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77.7</v>
      </c>
      <c r="AN5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75.260000000000005</v>
      </c>
      <c r="AO5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61.91</v>
      </c>
      <c r="AP549" s="3">
        <f>ABS(Table1[[#This Row],[Team Score]]-Table1[[#This Row],[Opp Team Score]])</f>
        <v>23</v>
      </c>
      <c r="AQ549" s="3">
        <f>SUM(Table1[[#This Row],[Team Score]], Table1[[#This Row],[Opp Team Score]])</f>
        <v>37</v>
      </c>
      <c r="AR5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112.54</v>
      </c>
      <c r="AS549" s="3">
        <f>IF(Table1[[#This Row],[Efficiency Difference]] = " ", " ", ROUND((Table1[[#This Row],[Winning Margin]]*100)/Table1[[#This Row],[Efficiency Difference]], 2))</f>
        <v>20.440000000000001</v>
      </c>
    </row>
    <row r="550" spans="1:45">
      <c r="A550" t="s">
        <v>47</v>
      </c>
      <c r="B550">
        <v>433</v>
      </c>
      <c r="C550">
        <v>13</v>
      </c>
      <c r="D550">
        <v>149</v>
      </c>
      <c r="E550">
        <v>30</v>
      </c>
      <c r="F550">
        <v>1</v>
      </c>
      <c r="G550">
        <v>12</v>
      </c>
      <c r="H550">
        <v>2</v>
      </c>
      <c r="I550">
        <v>34</v>
      </c>
      <c r="J550">
        <v>26</v>
      </c>
      <c r="K550">
        <v>0</v>
      </c>
      <c r="L550">
        <v>0</v>
      </c>
      <c r="M550" t="s">
        <v>39</v>
      </c>
      <c r="N550">
        <v>257</v>
      </c>
      <c r="O550">
        <v>27</v>
      </c>
      <c r="P550">
        <v>268</v>
      </c>
      <c r="Q550">
        <v>26</v>
      </c>
      <c r="R550">
        <v>2</v>
      </c>
      <c r="S550">
        <v>17</v>
      </c>
      <c r="T550">
        <v>1</v>
      </c>
      <c r="U550">
        <v>207</v>
      </c>
      <c r="V550">
        <v>56</v>
      </c>
      <c r="W550">
        <v>1</v>
      </c>
      <c r="X550">
        <v>0</v>
      </c>
      <c r="Y550" t="s">
        <v>19</v>
      </c>
      <c r="Z550">
        <v>4</v>
      </c>
      <c r="AA550">
        <f>IF(AND(Table1[[#This Row],[Throw Out Pass Eff]]="N", Table1[[#This Row],[Against FCS Team]]="N"), ROUND(((5.45 * D550) + (150 * F550) + (100 * G550) - (300 * H550)) / E550, 2), " ")</f>
        <v>52.07</v>
      </c>
      <c r="AB550">
        <f>IF(AND(Table1[[#This Row],[Throw Out Pass Def Eff]]="N", Table1[[#This Row],[Against FCS Team]]="N"),200 - ROUND(((5.45 * P550) + (150 * R550) + (100 * S550) - (300 * T550)) / Q550, 2), " ")</f>
        <v>78.44</v>
      </c>
      <c r="AC550">
        <f>IF(AND(Table1[[#This Row],[Throw Out Rush Eff]]="N", Table1[[#This Row],[Against FCS Team]]="N"), ROUND(((23.2 * I550) + (150 * K550) - (300 * L550)) / J550, 2), " ")</f>
        <v>30.34</v>
      </c>
      <c r="AD550" s="3">
        <f>IF(AND(Table1[[#This Row],[Throw Out Rush Def Eff]]="N", Table1[[#This Row],[Against FCS Team]]="N"), 200 - ROUND(((23.2 * U550) + (150 * W550) - (300 * X550)) / V550, 2), " ")</f>
        <v>111.56</v>
      </c>
      <c r="AE550" s="3">
        <f>ROUND(Table1[[#This Row],[Opp Passing Attempts]]/(Table1[[#This Row],[Opp Passing Attempts]]+Table1[[#This Row],[Opp Rushing Attempts]]), 2)</f>
        <v>0.32</v>
      </c>
      <c r="AF550" s="3">
        <f>1-Table1[[#This Row],[Passing Weight]]</f>
        <v>0.67999999999999994</v>
      </c>
      <c r="AG550" s="3" t="str">
        <f>IF(COUNTIF(A:A,Table1[[#This Row],[Opp Team Name]]) &gt; 0, "N", "Y")</f>
        <v>N</v>
      </c>
      <c r="AH550" s="3" t="str">
        <f>IF(Table1[[#This Row],[Passing Attempts]] &lt;15, "Y", "N")</f>
        <v>N</v>
      </c>
      <c r="AI550" s="3" t="str">
        <f>IF(Table1[[#This Row],[Rushing Attempts]] &lt; 15, "Y", "N")</f>
        <v>N</v>
      </c>
      <c r="AJ550" s="3" t="str">
        <f>IF(Table1[[#This Row],[Opp Passing Attempts]]&lt;15, "Y", "N")</f>
        <v>N</v>
      </c>
      <c r="AK550" s="3" t="str">
        <f>IF(Table1[[#This Row],[Opp Rushing Attempts]]&lt;15, "Y", "N")</f>
        <v>N</v>
      </c>
      <c r="AL5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66.58</v>
      </c>
      <c r="AM5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81.650000000000006</v>
      </c>
      <c r="AN5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39.619999999999997</v>
      </c>
      <c r="AO5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101.85</v>
      </c>
      <c r="AP550" s="3">
        <f>ABS(Table1[[#This Row],[Team Score]]-Table1[[#This Row],[Opp Team Score]])</f>
        <v>14</v>
      </c>
      <c r="AQ550" s="3">
        <f>SUM(Table1[[#This Row],[Team Score]], Table1[[#This Row],[Opp Team Score]])</f>
        <v>40</v>
      </c>
      <c r="AR5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127.59</v>
      </c>
      <c r="AS550" s="3">
        <f>IF(Table1[[#This Row],[Efficiency Difference]] = " ", " ", ROUND((Table1[[#This Row],[Winning Margin]]*100)/Table1[[#This Row],[Efficiency Difference]], 2))</f>
        <v>10.97</v>
      </c>
    </row>
    <row r="551" spans="1:45">
      <c r="A551" t="s">
        <v>47</v>
      </c>
      <c r="B551">
        <v>433</v>
      </c>
      <c r="C551">
        <v>38</v>
      </c>
      <c r="D551">
        <v>214</v>
      </c>
      <c r="E551">
        <v>18</v>
      </c>
      <c r="F551">
        <v>1</v>
      </c>
      <c r="G551">
        <v>8</v>
      </c>
      <c r="H551">
        <v>0</v>
      </c>
      <c r="I551">
        <v>216</v>
      </c>
      <c r="J551">
        <v>44</v>
      </c>
      <c r="K551">
        <v>4</v>
      </c>
      <c r="L551">
        <v>0</v>
      </c>
      <c r="M551" t="s">
        <v>49</v>
      </c>
      <c r="N551">
        <v>96</v>
      </c>
      <c r="O551">
        <v>28</v>
      </c>
      <c r="P551">
        <v>281</v>
      </c>
      <c r="Q551">
        <v>38</v>
      </c>
      <c r="R551">
        <v>1</v>
      </c>
      <c r="S551">
        <v>25</v>
      </c>
      <c r="T551">
        <v>1</v>
      </c>
      <c r="U551">
        <v>163</v>
      </c>
      <c r="V551">
        <v>36</v>
      </c>
      <c r="W551">
        <v>3</v>
      </c>
      <c r="X551">
        <v>1</v>
      </c>
      <c r="Y551" t="s">
        <v>16</v>
      </c>
      <c r="Z551">
        <v>5</v>
      </c>
      <c r="AA551">
        <f>IF(AND(Table1[[#This Row],[Throw Out Pass Eff]]="N", Table1[[#This Row],[Against FCS Team]]="N"), ROUND(((5.45 * D551) + (150 * F551) + (100 * G551) - (300 * H551)) / E551, 2), " ")</f>
        <v>117.57</v>
      </c>
      <c r="AB551">
        <f>IF(AND(Table1[[#This Row],[Throw Out Pass Def Eff]]="N", Table1[[#This Row],[Against FCS Team]]="N"),200 - ROUND(((5.45 * P551) + (150 * R551) + (100 * S551) - (300 * T551)) / Q551, 2), " ")</f>
        <v>97.86</v>
      </c>
      <c r="AC551">
        <f>IF(AND(Table1[[#This Row],[Throw Out Rush Eff]]="N", Table1[[#This Row],[Against FCS Team]]="N"), ROUND(((23.2 * I551) + (150 * K551) - (300 * L551)) / J551, 2), " ")</f>
        <v>127.53</v>
      </c>
      <c r="AD551" s="3">
        <f>IF(AND(Table1[[#This Row],[Throw Out Rush Def Eff]]="N", Table1[[#This Row],[Against FCS Team]]="N"), 200 - ROUND(((23.2 * U551) + (150 * W551) - (300 * X551)) / V551, 2), " ")</f>
        <v>90.79</v>
      </c>
      <c r="AE551" s="3">
        <f>ROUND(Table1[[#This Row],[Opp Passing Attempts]]/(Table1[[#This Row],[Opp Passing Attempts]]+Table1[[#This Row],[Opp Rushing Attempts]]), 2)</f>
        <v>0.51</v>
      </c>
      <c r="AF551" s="3">
        <f>1-Table1[[#This Row],[Passing Weight]]</f>
        <v>0.49</v>
      </c>
      <c r="AG551" s="3" t="str">
        <f>IF(COUNTIF(A:A,Table1[[#This Row],[Opp Team Name]]) &gt; 0, "N", "Y")</f>
        <v>N</v>
      </c>
      <c r="AH551" s="3" t="str">
        <f>IF(Table1[[#This Row],[Passing Attempts]] &lt;15, "Y", "N")</f>
        <v>N</v>
      </c>
      <c r="AI551" s="3" t="str">
        <f>IF(Table1[[#This Row],[Rushing Attempts]] &lt; 15, "Y", "N")</f>
        <v>N</v>
      </c>
      <c r="AJ551" s="3" t="str">
        <f>IF(Table1[[#This Row],[Opp Passing Attempts]]&lt;15, "Y", "N")</f>
        <v>N</v>
      </c>
      <c r="AK551" s="3" t="str">
        <f>IF(Table1[[#This Row],[Opp Rushing Attempts]]&lt;15, "Y", "N")</f>
        <v>N</v>
      </c>
      <c r="AL5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112.39</v>
      </c>
      <c r="AM5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93.29</v>
      </c>
      <c r="AN5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102.95</v>
      </c>
      <c r="AO5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91.19</v>
      </c>
      <c r="AP551" s="3">
        <f>ABS(Table1[[#This Row],[Team Score]]-Table1[[#This Row],[Opp Team Score]])</f>
        <v>10</v>
      </c>
      <c r="AQ551" s="3">
        <f>SUM(Table1[[#This Row],[Team Score]], Table1[[#This Row],[Opp Team Score]])</f>
        <v>66</v>
      </c>
      <c r="AR5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33.75</v>
      </c>
      <c r="AS551" s="3">
        <f>IF(Table1[[#This Row],[Efficiency Difference]] = " ", " ", ROUND((Table1[[#This Row],[Winning Margin]]*100)/Table1[[#This Row],[Efficiency Difference]], 2))</f>
        <v>29.63</v>
      </c>
    </row>
    <row r="552" spans="1:45">
      <c r="A552" t="s">
        <v>47</v>
      </c>
      <c r="B552">
        <v>433</v>
      </c>
      <c r="C552">
        <v>7</v>
      </c>
      <c r="D552">
        <v>113</v>
      </c>
      <c r="E552">
        <v>21</v>
      </c>
      <c r="F552">
        <v>0</v>
      </c>
      <c r="G552">
        <v>10</v>
      </c>
      <c r="H552">
        <v>1</v>
      </c>
      <c r="I552">
        <v>28</v>
      </c>
      <c r="J552">
        <v>31</v>
      </c>
      <c r="K552">
        <v>1</v>
      </c>
      <c r="L552">
        <v>1</v>
      </c>
      <c r="M552" t="s">
        <v>20</v>
      </c>
      <c r="N552">
        <v>8</v>
      </c>
      <c r="O552">
        <v>52</v>
      </c>
      <c r="P552">
        <v>226</v>
      </c>
      <c r="Q552">
        <v>25</v>
      </c>
      <c r="R552">
        <v>1</v>
      </c>
      <c r="S552">
        <v>20</v>
      </c>
      <c r="T552">
        <v>0</v>
      </c>
      <c r="U552">
        <v>389</v>
      </c>
      <c r="V552">
        <v>42</v>
      </c>
      <c r="W552">
        <v>6</v>
      </c>
      <c r="X552">
        <v>0</v>
      </c>
      <c r="Y552" t="s">
        <v>19</v>
      </c>
      <c r="Z552">
        <v>7</v>
      </c>
      <c r="AA552">
        <f>IF(AND(Table1[[#This Row],[Throw Out Pass Eff]]="N", Table1[[#This Row],[Against FCS Team]]="N"), ROUND(((5.45 * D552) + (150 * F552) + (100 * G552) - (300 * H552)) / E552, 2), " ")</f>
        <v>62.66</v>
      </c>
      <c r="AB552">
        <f>IF(AND(Table1[[#This Row],[Throw Out Pass Def Eff]]="N", Table1[[#This Row],[Against FCS Team]]="N"),200 - ROUND(((5.45 * P552) + (150 * R552) + (100 * S552) - (300 * T552)) / Q552, 2), " ")</f>
        <v>64.72999999999999</v>
      </c>
      <c r="AC552">
        <f>IF(AND(Table1[[#This Row],[Throw Out Rush Eff]]="N", Table1[[#This Row],[Against FCS Team]]="N"), ROUND(((23.2 * I552) + (150 * K552) - (300 * L552)) / J552, 2), " ")</f>
        <v>16.12</v>
      </c>
      <c r="AD552" s="3">
        <f>IF(AND(Table1[[#This Row],[Throw Out Rush Def Eff]]="N", Table1[[#This Row],[Against FCS Team]]="N"), 200 - ROUND(((23.2 * U552) + (150 * W552) - (300 * X552)) / V552, 2), " ")</f>
        <v>-36.300000000000011</v>
      </c>
      <c r="AE552" s="3">
        <f>ROUND(Table1[[#This Row],[Opp Passing Attempts]]/(Table1[[#This Row],[Opp Passing Attempts]]+Table1[[#This Row],[Opp Rushing Attempts]]), 2)</f>
        <v>0.37</v>
      </c>
      <c r="AF552" s="3">
        <f>1-Table1[[#This Row],[Passing Weight]]</f>
        <v>0.63</v>
      </c>
      <c r="AG552" s="3" t="str">
        <f>IF(COUNTIF(A:A,Table1[[#This Row],[Opp Team Name]]) &gt; 0, "N", "Y")</f>
        <v>N</v>
      </c>
      <c r="AH552" s="3" t="str">
        <f>IF(Table1[[#This Row],[Passing Attempts]] &lt;15, "Y", "N")</f>
        <v>N</v>
      </c>
      <c r="AI552" s="3" t="str">
        <f>IF(Table1[[#This Row],[Rushing Attempts]] &lt; 15, "Y", "N")</f>
        <v>N</v>
      </c>
      <c r="AJ552" s="3" t="str">
        <f>IF(Table1[[#This Row],[Opp Passing Attempts]]&lt;15, "Y", "N")</f>
        <v>N</v>
      </c>
      <c r="AK552" s="3" t="str">
        <f>IF(Table1[[#This Row],[Opp Rushing Attempts]]&lt;15, "Y", "N")</f>
        <v>N</v>
      </c>
      <c r="AL5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84.24</v>
      </c>
      <c r="AM55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72.81</v>
      </c>
      <c r="AN5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27.12</v>
      </c>
      <c r="AO5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-53.51</v>
      </c>
      <c r="AP552" s="3">
        <f>ABS(Table1[[#This Row],[Team Score]]-Table1[[#This Row],[Opp Team Score]])</f>
        <v>45</v>
      </c>
      <c r="AQ552" s="3">
        <f>SUM(Table1[[#This Row],[Team Score]], Table1[[#This Row],[Opp Team Score]])</f>
        <v>59</v>
      </c>
      <c r="AR55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292.79000000000008</v>
      </c>
      <c r="AS552" s="3">
        <f>IF(Table1[[#This Row],[Efficiency Difference]] = " ", " ", ROUND((Table1[[#This Row],[Winning Margin]]*100)/Table1[[#This Row],[Efficiency Difference]], 2))</f>
        <v>15.37</v>
      </c>
    </row>
    <row r="553" spans="1:45">
      <c r="A553" t="s">
        <v>47</v>
      </c>
      <c r="B553">
        <v>433</v>
      </c>
      <c r="C553">
        <v>24</v>
      </c>
      <c r="D553">
        <v>219</v>
      </c>
      <c r="E553">
        <v>30</v>
      </c>
      <c r="F553">
        <v>2</v>
      </c>
      <c r="G553">
        <v>18</v>
      </c>
      <c r="H553">
        <v>1</v>
      </c>
      <c r="I553">
        <v>151</v>
      </c>
      <c r="J553">
        <v>46</v>
      </c>
      <c r="K553">
        <v>1</v>
      </c>
      <c r="L553">
        <v>0</v>
      </c>
      <c r="M553" t="s">
        <v>26</v>
      </c>
      <c r="N553">
        <v>31</v>
      </c>
      <c r="O553">
        <v>29</v>
      </c>
      <c r="P553">
        <v>232</v>
      </c>
      <c r="Q553">
        <v>28</v>
      </c>
      <c r="R553">
        <v>0</v>
      </c>
      <c r="S553">
        <v>13</v>
      </c>
      <c r="T553">
        <v>0</v>
      </c>
      <c r="U553">
        <v>206</v>
      </c>
      <c r="V553">
        <v>29</v>
      </c>
      <c r="W553">
        <v>3</v>
      </c>
      <c r="X553">
        <v>1</v>
      </c>
      <c r="Y553" t="s">
        <v>19</v>
      </c>
      <c r="Z553">
        <v>8</v>
      </c>
      <c r="AA553" s="3">
        <f>IF(AND(Table1[[#This Row],[Throw Out Pass Eff]]="N", Table1[[#This Row],[Against FCS Team]]="N"), ROUND(((5.45 * D553) + (150 * F553) + (100 * G553) - (300 * H553)) / E553, 2), " ")</f>
        <v>99.79</v>
      </c>
      <c r="AB553" s="3">
        <f>IF(AND(Table1[[#This Row],[Throw Out Pass Def Eff]]="N", Table1[[#This Row],[Against FCS Team]]="N"),200 - ROUND(((5.45 * P553) + (150 * R553) + (100 * S553) - (300 * T553)) / Q553, 2), " ")</f>
        <v>108.41</v>
      </c>
      <c r="AC553" s="3">
        <f>IF(AND(Table1[[#This Row],[Throw Out Rush Eff]]="N", Table1[[#This Row],[Against FCS Team]]="N"), ROUND(((23.2 * I553) + (150 * K553) - (300 * L553)) / J553, 2), " ")</f>
        <v>79.42</v>
      </c>
      <c r="AD553" s="3">
        <f>IF(AND(Table1[[#This Row],[Throw Out Rush Def Eff]]="N", Table1[[#This Row],[Against FCS Team]]="N"), 200 - ROUND(((23.2 * U553) + (150 * W553) - (300 * X553)) / V553, 2), " ")</f>
        <v>30.03</v>
      </c>
      <c r="AE553" s="3">
        <f>ROUND(Table1[[#This Row],[Opp Passing Attempts]]/(Table1[[#This Row],[Opp Passing Attempts]]+Table1[[#This Row],[Opp Rushing Attempts]]), 2)</f>
        <v>0.49</v>
      </c>
      <c r="AF553" s="3">
        <f>1-Table1[[#This Row],[Passing Weight]]</f>
        <v>0.51</v>
      </c>
      <c r="AG553" s="3" t="str">
        <f>IF(COUNTIF(A:A,Table1[[#This Row],[Opp Team Name]]) &gt; 0, "N", "Y")</f>
        <v>N</v>
      </c>
      <c r="AH553" s="3" t="str">
        <f>IF(Table1[[#This Row],[Passing Attempts]] &lt;15, "Y", "N")</f>
        <v>N</v>
      </c>
      <c r="AI553" s="3" t="str">
        <f>IF(Table1[[#This Row],[Rushing Attempts]] &lt; 15, "Y", "N")</f>
        <v>N</v>
      </c>
      <c r="AJ553" s="3" t="str">
        <f>IF(Table1[[#This Row],[Opp Passing Attempts]]&lt;15, "Y", "N")</f>
        <v>N</v>
      </c>
      <c r="AK553" s="3" t="str">
        <f>IF(Table1[[#This Row],[Opp Rushing Attempts]]&lt;15, "Y", "N")</f>
        <v>N</v>
      </c>
      <c r="AL5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108.61</v>
      </c>
      <c r="AM5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115.26</v>
      </c>
      <c r="AN5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68.27</v>
      </c>
      <c r="AO5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31.34</v>
      </c>
      <c r="AP553" s="3">
        <f>ABS(Table1[[#This Row],[Team Score]]-Table1[[#This Row],[Opp Team Score]])</f>
        <v>5</v>
      </c>
      <c r="AQ553" s="3">
        <f>SUM(Table1[[#This Row],[Team Score]], Table1[[#This Row],[Opp Team Score]])</f>
        <v>53</v>
      </c>
      <c r="AR5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82.35</v>
      </c>
      <c r="AS553" s="3">
        <f>IF(Table1[[#This Row],[Efficiency Difference]] = " ", " ", ROUND((Table1[[#This Row],[Winning Margin]]*100)/Table1[[#This Row],[Efficiency Difference]], 2))</f>
        <v>6.07</v>
      </c>
    </row>
    <row r="554" spans="1:45">
      <c r="A554" t="s">
        <v>93</v>
      </c>
      <c r="B554">
        <v>529</v>
      </c>
      <c r="C554">
        <v>56</v>
      </c>
      <c r="D554">
        <v>265</v>
      </c>
      <c r="E554">
        <v>21</v>
      </c>
      <c r="F554">
        <v>5</v>
      </c>
      <c r="G554">
        <v>16</v>
      </c>
      <c r="H554">
        <v>0</v>
      </c>
      <c r="I554">
        <v>416</v>
      </c>
      <c r="J554">
        <v>43</v>
      </c>
      <c r="K554">
        <v>3</v>
      </c>
      <c r="L554">
        <v>0</v>
      </c>
      <c r="M554" t="s">
        <v>27</v>
      </c>
      <c r="N554">
        <v>669</v>
      </c>
      <c r="O554">
        <v>7</v>
      </c>
      <c r="P554">
        <v>104</v>
      </c>
      <c r="Q554">
        <v>15</v>
      </c>
      <c r="R554">
        <v>0</v>
      </c>
      <c r="S554">
        <v>8</v>
      </c>
      <c r="T554">
        <v>0</v>
      </c>
      <c r="U554">
        <v>185</v>
      </c>
      <c r="V554">
        <v>55</v>
      </c>
      <c r="W554">
        <v>1</v>
      </c>
      <c r="X554">
        <v>0</v>
      </c>
      <c r="Y554" t="s">
        <v>16</v>
      </c>
      <c r="Z554">
        <v>3</v>
      </c>
      <c r="AA554" t="str">
        <f>IF(AND(Table1[[#This Row],[Throw Out Pass Eff]]="N", Table1[[#This Row],[Against FCS Team]]="N"), ROUND(((5.45 * D554) + (150 * F554) + (100 * G554) - (300 * H554)) / E554, 2), " ")</f>
        <v xml:space="preserve"> </v>
      </c>
      <c r="AB554" t="str">
        <f>IF(AND(Table1[[#This Row],[Throw Out Pass Def Eff]]="N", Table1[[#This Row],[Against FCS Team]]="N"),200 - ROUND(((5.45 * P554) + (150 * R554) + (100 * S554) - (300 * T554)) / Q554, 2), " ")</f>
        <v xml:space="preserve"> </v>
      </c>
      <c r="AC554" t="str">
        <f>IF(AND(Table1[[#This Row],[Throw Out Rush Eff]]="N", Table1[[#This Row],[Against FCS Team]]="N"), ROUND(((23.2 * I554) + (150 * K554) - (300 * L554)) / J554, 2), " ")</f>
        <v xml:space="preserve"> </v>
      </c>
      <c r="AD554" s="3" t="str">
        <f>IF(AND(Table1[[#This Row],[Throw Out Rush Def Eff]]="N", Table1[[#This Row],[Against FCS Team]]="N"), 200 - ROUND(((23.2 * U554) + (150 * W554) - (300 * X554)) / V554, 2), " ")</f>
        <v xml:space="preserve"> </v>
      </c>
      <c r="AE554" s="3">
        <f>ROUND(Table1[[#This Row],[Opp Passing Attempts]]/(Table1[[#This Row],[Opp Passing Attempts]]+Table1[[#This Row],[Opp Rushing Attempts]]), 2)</f>
        <v>0.21</v>
      </c>
      <c r="AF554" s="3">
        <f>1-Table1[[#This Row],[Passing Weight]]</f>
        <v>0.79</v>
      </c>
      <c r="AG554" s="3" t="str">
        <f>IF(COUNTIF(A:A,Table1[[#This Row],[Opp Team Name]]) &gt; 0, "N", "Y")</f>
        <v>Y</v>
      </c>
      <c r="AH554" s="3" t="str">
        <f>IF(Table1[[#This Row],[Passing Attempts]] &lt;15, "Y", "N")</f>
        <v>N</v>
      </c>
      <c r="AI554" s="3" t="str">
        <f>IF(Table1[[#This Row],[Rushing Attempts]] &lt; 15, "Y", "N")</f>
        <v>N</v>
      </c>
      <c r="AJ554" s="3" t="str">
        <f>IF(Table1[[#This Row],[Opp Passing Attempts]]&lt;15, "Y", "N")</f>
        <v>N</v>
      </c>
      <c r="AK554" s="3" t="str">
        <f>IF(Table1[[#This Row],[Opp Rushing Attempts]]&lt;15, "Y", "N")</f>
        <v>N</v>
      </c>
      <c r="AL55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5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5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5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554" s="3">
        <f>ABS(Table1[[#This Row],[Team Score]]-Table1[[#This Row],[Opp Team Score]])</f>
        <v>49</v>
      </c>
      <c r="AQ554" s="3">
        <f>SUM(Table1[[#This Row],[Team Score]], Table1[[#This Row],[Opp Team Score]])</f>
        <v>63</v>
      </c>
      <c r="AR55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54" s="3" t="str">
        <f>IF(Table1[[#This Row],[Efficiency Difference]] = " ", " ", ROUND((Table1[[#This Row],[Winning Margin]]*100)/Table1[[#This Row],[Efficiency Difference]], 2))</f>
        <v xml:space="preserve"> </v>
      </c>
    </row>
    <row r="555" spans="1:45">
      <c r="A555" t="s">
        <v>93</v>
      </c>
      <c r="B555">
        <v>529</v>
      </c>
      <c r="C555">
        <v>27</v>
      </c>
      <c r="D555">
        <v>240</v>
      </c>
      <c r="E555">
        <v>54</v>
      </c>
      <c r="F555">
        <v>1</v>
      </c>
      <c r="G555">
        <v>31</v>
      </c>
      <c r="H555">
        <v>1</v>
      </c>
      <c r="I555">
        <v>95</v>
      </c>
      <c r="J555">
        <v>28</v>
      </c>
      <c r="K555">
        <v>2</v>
      </c>
      <c r="L555">
        <v>3</v>
      </c>
      <c r="M555" t="s">
        <v>92</v>
      </c>
      <c r="N555">
        <v>365</v>
      </c>
      <c r="O555">
        <v>40</v>
      </c>
      <c r="P555">
        <v>98</v>
      </c>
      <c r="Q555">
        <v>22</v>
      </c>
      <c r="R555">
        <v>1</v>
      </c>
      <c r="S555">
        <v>10</v>
      </c>
      <c r="T555">
        <v>0</v>
      </c>
      <c r="U555">
        <v>175</v>
      </c>
      <c r="V555">
        <v>48</v>
      </c>
      <c r="W555">
        <v>3</v>
      </c>
      <c r="X555">
        <v>1</v>
      </c>
      <c r="Y555" t="s">
        <v>19</v>
      </c>
      <c r="Z555">
        <v>1</v>
      </c>
      <c r="AA555">
        <f>IF(AND(Table1[[#This Row],[Throw Out Pass Eff]]="N", Table1[[#This Row],[Against FCS Team]]="N"), ROUND(((5.45 * D555) + (150 * F555) + (100 * G555) - (300 * H555)) / E555, 2), " ")</f>
        <v>78.849999999999994</v>
      </c>
      <c r="AB555">
        <f>IF(AND(Table1[[#This Row],[Throw Out Pass Def Eff]]="N", Table1[[#This Row],[Against FCS Team]]="N"),200 - ROUND(((5.45 * P555) + (150 * R555) + (100 * S555) - (300 * T555)) / Q555, 2), " ")</f>
        <v>123.45</v>
      </c>
      <c r="AC555">
        <f>IF(AND(Table1[[#This Row],[Throw Out Rush Eff]]="N", Table1[[#This Row],[Against FCS Team]]="N"), ROUND(((23.2 * I555) + (150 * K555) - (300 * L555)) / J555, 2), " ")</f>
        <v>57.29</v>
      </c>
      <c r="AD555" s="3">
        <f>IF(AND(Table1[[#This Row],[Throw Out Rush Def Eff]]="N", Table1[[#This Row],[Against FCS Team]]="N"), 200 - ROUND(((23.2 * U555) + (150 * W555) - (300 * X555)) / V555, 2), " ")</f>
        <v>112.29</v>
      </c>
      <c r="AE555" s="3">
        <f>ROUND(Table1[[#This Row],[Opp Passing Attempts]]/(Table1[[#This Row],[Opp Passing Attempts]]+Table1[[#This Row],[Opp Rushing Attempts]]), 2)</f>
        <v>0.31</v>
      </c>
      <c r="AF555" s="3">
        <f>1-Table1[[#This Row],[Passing Weight]]</f>
        <v>0.69</v>
      </c>
      <c r="AG555" s="3" t="str">
        <f>IF(COUNTIF(A:A,Table1[[#This Row],[Opp Team Name]]) &gt; 0, "N", "Y")</f>
        <v>N</v>
      </c>
      <c r="AH555" s="3" t="str">
        <f>IF(Table1[[#This Row],[Passing Attempts]] &lt;15, "Y", "N")</f>
        <v>N</v>
      </c>
      <c r="AI555" s="3" t="str">
        <f>IF(Table1[[#This Row],[Rushing Attempts]] &lt; 15, "Y", "N")</f>
        <v>N</v>
      </c>
      <c r="AJ555" s="3" t="str">
        <f>IF(Table1[[#This Row],[Opp Passing Attempts]]&lt;15, "Y", "N")</f>
        <v>N</v>
      </c>
      <c r="AK555" s="3" t="str">
        <f>IF(Table1[[#This Row],[Opp Rushing Attempts]]&lt;15, "Y", "N")</f>
        <v>N</v>
      </c>
      <c r="AL55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105.2</v>
      </c>
      <c r="AM5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136.29</v>
      </c>
      <c r="AN5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80.02</v>
      </c>
      <c r="AO5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121.12</v>
      </c>
      <c r="AP555" s="3">
        <f>ABS(Table1[[#This Row],[Team Score]]-Table1[[#This Row],[Opp Team Score]])</f>
        <v>13</v>
      </c>
      <c r="AQ555" s="3">
        <f>SUM(Table1[[#This Row],[Team Score]], Table1[[#This Row],[Opp Team Score]])</f>
        <v>67</v>
      </c>
      <c r="AR55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28.120000000000005</v>
      </c>
      <c r="AS555" s="3">
        <f>IF(Table1[[#This Row],[Efficiency Difference]] = " ", " ", ROUND((Table1[[#This Row],[Winning Margin]]*100)/Table1[[#This Row],[Efficiency Difference]], 2))</f>
        <v>46.23</v>
      </c>
    </row>
    <row r="556" spans="1:45">
      <c r="A556" t="s">
        <v>93</v>
      </c>
      <c r="B556">
        <v>529</v>
      </c>
      <c r="C556">
        <v>69</v>
      </c>
      <c r="D556">
        <v>331</v>
      </c>
      <c r="E556">
        <v>26</v>
      </c>
      <c r="F556">
        <v>6</v>
      </c>
      <c r="G556">
        <v>15</v>
      </c>
      <c r="H556">
        <v>0</v>
      </c>
      <c r="I556">
        <v>272</v>
      </c>
      <c r="J556">
        <v>43</v>
      </c>
      <c r="K556">
        <v>2</v>
      </c>
      <c r="L556">
        <v>0</v>
      </c>
      <c r="M556" t="s">
        <v>181</v>
      </c>
      <c r="N556">
        <v>466</v>
      </c>
      <c r="O556">
        <v>20</v>
      </c>
      <c r="P556">
        <v>233</v>
      </c>
      <c r="Q556">
        <v>39</v>
      </c>
      <c r="R556">
        <v>1</v>
      </c>
      <c r="S556">
        <v>23</v>
      </c>
      <c r="T556">
        <v>3</v>
      </c>
      <c r="U556">
        <v>283</v>
      </c>
      <c r="V556">
        <v>51</v>
      </c>
      <c r="W556">
        <v>2</v>
      </c>
      <c r="X556">
        <v>0</v>
      </c>
      <c r="Y556" t="s">
        <v>16</v>
      </c>
      <c r="Z556">
        <v>2</v>
      </c>
      <c r="AA556">
        <f>IF(AND(Table1[[#This Row],[Throw Out Pass Eff]]="N", Table1[[#This Row],[Against FCS Team]]="N"), ROUND(((5.45 * D556) + (150 * F556) + (100 * G556) - (300 * H556)) / E556, 2), " ")</f>
        <v>161.69</v>
      </c>
      <c r="AB556">
        <f>IF(AND(Table1[[#This Row],[Throw Out Pass Def Eff]]="N", Table1[[#This Row],[Against FCS Team]]="N"),200 - ROUND(((5.45 * P556) + (150 * R556) + (100 * S556) - (300 * T556)) / Q556, 2), " ")</f>
        <v>127.7</v>
      </c>
      <c r="AC556">
        <f>IF(AND(Table1[[#This Row],[Throw Out Rush Eff]]="N", Table1[[#This Row],[Against FCS Team]]="N"), ROUND(((23.2 * I556) + (150 * K556) - (300 * L556)) / J556, 2), " ")</f>
        <v>153.72999999999999</v>
      </c>
      <c r="AD556" s="3">
        <f>IF(AND(Table1[[#This Row],[Throw Out Rush Def Eff]]="N", Table1[[#This Row],[Against FCS Team]]="N"), 200 - ROUND(((23.2 * U556) + (150 * W556) - (300 * X556)) / V556, 2), " ")</f>
        <v>65.38</v>
      </c>
      <c r="AE556" s="3">
        <f>ROUND(Table1[[#This Row],[Opp Passing Attempts]]/(Table1[[#This Row],[Opp Passing Attempts]]+Table1[[#This Row],[Opp Rushing Attempts]]), 2)</f>
        <v>0.43</v>
      </c>
      <c r="AF556" s="3">
        <f>1-Table1[[#This Row],[Passing Weight]]</f>
        <v>0.57000000000000006</v>
      </c>
      <c r="AG556" s="3" t="str">
        <f>IF(COUNTIF(A:A,Table1[[#This Row],[Opp Team Name]]) &gt; 0, "N", "Y")</f>
        <v>N</v>
      </c>
      <c r="AH556" s="3" t="str">
        <f>IF(Table1[[#This Row],[Passing Attempts]] &lt;15, "Y", "N")</f>
        <v>N</v>
      </c>
      <c r="AI556" s="3" t="str">
        <f>IF(Table1[[#This Row],[Rushing Attempts]] &lt; 15, "Y", "N")</f>
        <v>N</v>
      </c>
      <c r="AJ556" s="3" t="str">
        <f>IF(Table1[[#This Row],[Opp Passing Attempts]]&lt;15, "Y", "N")</f>
        <v>N</v>
      </c>
      <c r="AK556" s="3" t="str">
        <f>IF(Table1[[#This Row],[Opp Rushing Attempts]]&lt;15, "Y", "N")</f>
        <v>N</v>
      </c>
      <c r="AL5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171.81</v>
      </c>
      <c r="AM5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126.44</v>
      </c>
      <c r="AN5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132.69999999999999</v>
      </c>
      <c r="AO5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76.959999999999994</v>
      </c>
      <c r="AP556" s="3">
        <f>ABS(Table1[[#This Row],[Team Score]]-Table1[[#This Row],[Opp Team Score]])</f>
        <v>49</v>
      </c>
      <c r="AQ556" s="3">
        <f>SUM(Table1[[#This Row],[Team Score]], Table1[[#This Row],[Opp Team Score]])</f>
        <v>89</v>
      </c>
      <c r="AR55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108.49999999999994</v>
      </c>
      <c r="AS556" s="3">
        <f>IF(Table1[[#This Row],[Efficiency Difference]] = " ", " ", ROUND((Table1[[#This Row],[Winning Margin]]*100)/Table1[[#This Row],[Efficiency Difference]], 2))</f>
        <v>45.16</v>
      </c>
    </row>
    <row r="557" spans="1:45">
      <c r="A557" t="s">
        <v>93</v>
      </c>
      <c r="B557">
        <v>529</v>
      </c>
      <c r="C557">
        <v>56</v>
      </c>
      <c r="D557">
        <v>101</v>
      </c>
      <c r="E557">
        <v>20</v>
      </c>
      <c r="F557">
        <v>2</v>
      </c>
      <c r="G557">
        <v>11</v>
      </c>
      <c r="H557">
        <v>0</v>
      </c>
      <c r="I557">
        <v>415</v>
      </c>
      <c r="J557">
        <v>47</v>
      </c>
      <c r="K557">
        <v>6</v>
      </c>
      <c r="L557">
        <v>0</v>
      </c>
      <c r="M557" t="s">
        <v>22</v>
      </c>
      <c r="N557">
        <v>29</v>
      </c>
      <c r="O557">
        <v>31</v>
      </c>
      <c r="P557">
        <v>398</v>
      </c>
      <c r="Q557">
        <v>57</v>
      </c>
      <c r="R557">
        <v>3</v>
      </c>
      <c r="S557">
        <v>34</v>
      </c>
      <c r="T557">
        <v>0</v>
      </c>
      <c r="U557">
        <v>82</v>
      </c>
      <c r="V557">
        <v>35</v>
      </c>
      <c r="W557">
        <v>1</v>
      </c>
      <c r="X557">
        <v>0</v>
      </c>
      <c r="Y557" t="s">
        <v>16</v>
      </c>
      <c r="Z557">
        <v>4</v>
      </c>
      <c r="AA557">
        <f>IF(AND(Table1[[#This Row],[Throw Out Pass Eff]]="N", Table1[[#This Row],[Against FCS Team]]="N"), ROUND(((5.45 * D557) + (150 * F557) + (100 * G557) - (300 * H557)) / E557, 2), " ")</f>
        <v>97.52</v>
      </c>
      <c r="AB557">
        <f>IF(AND(Table1[[#This Row],[Throw Out Pass Def Eff]]="N", Table1[[#This Row],[Against FCS Team]]="N"),200 - ROUND(((5.45 * P557) + (150 * R557) + (100 * S557) - (300 * T557)) / Q557, 2), " ")</f>
        <v>94.4</v>
      </c>
      <c r="AC557">
        <f>IF(AND(Table1[[#This Row],[Throw Out Rush Eff]]="N", Table1[[#This Row],[Against FCS Team]]="N"), ROUND(((23.2 * I557) + (150 * K557) - (300 * L557)) / J557, 2), " ")</f>
        <v>224</v>
      </c>
      <c r="AD557" s="3">
        <f>IF(AND(Table1[[#This Row],[Throw Out Rush Def Eff]]="N", Table1[[#This Row],[Against FCS Team]]="N"), 200 - ROUND(((23.2 * U557) + (150 * W557) - (300 * X557)) / V557, 2), " ")</f>
        <v>141.36000000000001</v>
      </c>
      <c r="AE557" s="3">
        <f>ROUND(Table1[[#This Row],[Opp Passing Attempts]]/(Table1[[#This Row],[Opp Passing Attempts]]+Table1[[#This Row],[Opp Rushing Attempts]]), 2)</f>
        <v>0.62</v>
      </c>
      <c r="AF557" s="3">
        <f>1-Table1[[#This Row],[Passing Weight]]</f>
        <v>0.38</v>
      </c>
      <c r="AG557" s="3" t="str">
        <f>IF(COUNTIF(A:A,Table1[[#This Row],[Opp Team Name]]) &gt; 0, "N", "Y")</f>
        <v>N</v>
      </c>
      <c r="AH557" s="3" t="str">
        <f>IF(Table1[[#This Row],[Passing Attempts]] &lt;15, "Y", "N")</f>
        <v>N</v>
      </c>
      <c r="AI557" s="3" t="str">
        <f>IF(Table1[[#This Row],[Rushing Attempts]] &lt; 15, "Y", "N")</f>
        <v>N</v>
      </c>
      <c r="AJ557" s="3" t="str">
        <f>IF(Table1[[#This Row],[Opp Passing Attempts]]&lt;15, "Y", "N")</f>
        <v>N</v>
      </c>
      <c r="AK557" s="3" t="str">
        <f>IF(Table1[[#This Row],[Opp Rushing Attempts]]&lt;15, "Y", "N")</f>
        <v>N</v>
      </c>
      <c r="AL55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80.180000000000007</v>
      </c>
      <c r="AM55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105.56</v>
      </c>
      <c r="AN55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166.19</v>
      </c>
      <c r="AO55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102.45</v>
      </c>
      <c r="AP557" s="3">
        <f>ABS(Table1[[#This Row],[Team Score]]-Table1[[#This Row],[Opp Team Score]])</f>
        <v>25</v>
      </c>
      <c r="AQ557" s="3">
        <f>SUM(Table1[[#This Row],[Team Score]], Table1[[#This Row],[Opp Team Score]])</f>
        <v>87</v>
      </c>
      <c r="AR55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157.28</v>
      </c>
      <c r="AS557" s="3">
        <f>IF(Table1[[#This Row],[Efficiency Difference]] = " ", " ", ROUND((Table1[[#This Row],[Winning Margin]]*100)/Table1[[#This Row],[Efficiency Difference]], 2))</f>
        <v>15.9</v>
      </c>
    </row>
    <row r="558" spans="1:45">
      <c r="A558" t="s">
        <v>93</v>
      </c>
      <c r="B558">
        <v>529</v>
      </c>
      <c r="C558">
        <v>43</v>
      </c>
      <c r="D558">
        <v>198</v>
      </c>
      <c r="E558">
        <v>25</v>
      </c>
      <c r="F558">
        <v>3</v>
      </c>
      <c r="G558">
        <v>13</v>
      </c>
      <c r="H558">
        <v>1</v>
      </c>
      <c r="I558">
        <v>365</v>
      </c>
      <c r="J558">
        <v>51</v>
      </c>
      <c r="K558">
        <v>3</v>
      </c>
      <c r="L558">
        <v>0</v>
      </c>
      <c r="M558" t="s">
        <v>48</v>
      </c>
      <c r="N558">
        <v>107</v>
      </c>
      <c r="O558">
        <v>15</v>
      </c>
      <c r="P558">
        <v>321</v>
      </c>
      <c r="Q558">
        <v>60</v>
      </c>
      <c r="R558">
        <v>1</v>
      </c>
      <c r="S558">
        <v>28</v>
      </c>
      <c r="T558">
        <v>0</v>
      </c>
      <c r="U558">
        <v>144</v>
      </c>
      <c r="V558">
        <v>27</v>
      </c>
      <c r="W558">
        <v>0</v>
      </c>
      <c r="X558">
        <v>0</v>
      </c>
      <c r="Y558" t="s">
        <v>16</v>
      </c>
      <c r="Z558">
        <v>6</v>
      </c>
      <c r="AA558">
        <f>IF(AND(Table1[[#This Row],[Throw Out Pass Eff]]="N", Table1[[#This Row],[Against FCS Team]]="N"), ROUND(((5.45 * D558) + (150 * F558) + (100 * G558) - (300 * H558)) / E558, 2), " ")</f>
        <v>101.16</v>
      </c>
      <c r="AB558">
        <f>IF(AND(Table1[[#This Row],[Throw Out Pass Def Eff]]="N", Table1[[#This Row],[Against FCS Team]]="N"),200 - ROUND(((5.45 * P558) + (150 * R558) + (100 * S558) - (300 * T558)) / Q558, 2), " ")</f>
        <v>121.68</v>
      </c>
      <c r="AC558">
        <f>IF(AND(Table1[[#This Row],[Throw Out Rush Eff]]="N", Table1[[#This Row],[Against FCS Team]]="N"), ROUND(((23.2 * I558) + (150 * K558) - (300 * L558)) / J558, 2), " ")</f>
        <v>174.86</v>
      </c>
      <c r="AD558" s="3">
        <f>IF(AND(Table1[[#This Row],[Throw Out Rush Def Eff]]="N", Table1[[#This Row],[Against FCS Team]]="N"), 200 - ROUND(((23.2 * U558) + (150 * W558) - (300 * X558)) / V558, 2), " ")</f>
        <v>76.27</v>
      </c>
      <c r="AE558" s="3">
        <f>ROUND(Table1[[#This Row],[Opp Passing Attempts]]/(Table1[[#This Row],[Opp Passing Attempts]]+Table1[[#This Row],[Opp Rushing Attempts]]), 2)</f>
        <v>0.69</v>
      </c>
      <c r="AF558" s="3">
        <f>1-Table1[[#This Row],[Passing Weight]]</f>
        <v>0.31000000000000005</v>
      </c>
      <c r="AG558" s="3" t="str">
        <f>IF(COUNTIF(A:A,Table1[[#This Row],[Opp Team Name]]) &gt; 0, "N", "Y")</f>
        <v>N</v>
      </c>
      <c r="AH558" s="3" t="str">
        <f>IF(Table1[[#This Row],[Passing Attempts]] &lt;15, "Y", "N")</f>
        <v>N</v>
      </c>
      <c r="AI558" s="3" t="str">
        <f>IF(Table1[[#This Row],[Rushing Attempts]] &lt; 15, "Y", "N")</f>
        <v>N</v>
      </c>
      <c r="AJ558" s="3" t="str">
        <f>IF(Table1[[#This Row],[Opp Passing Attempts]]&lt;15, "Y", "N")</f>
        <v>N</v>
      </c>
      <c r="AK558" s="3" t="str">
        <f>IF(Table1[[#This Row],[Opp Rushing Attempts]]&lt;15, "Y", "N")</f>
        <v>N</v>
      </c>
      <c r="AL55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100.73</v>
      </c>
      <c r="AM5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113.92</v>
      </c>
      <c r="AN5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220.17</v>
      </c>
      <c r="AO5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60.54</v>
      </c>
      <c r="AP558" s="3">
        <f>ABS(Table1[[#This Row],[Team Score]]-Table1[[#This Row],[Opp Team Score]])</f>
        <v>28</v>
      </c>
      <c r="AQ558" s="3">
        <f>SUM(Table1[[#This Row],[Team Score]], Table1[[#This Row],[Opp Team Score]])</f>
        <v>58</v>
      </c>
      <c r="AR55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73.96999999999997</v>
      </c>
      <c r="AS558" s="3">
        <f>IF(Table1[[#This Row],[Efficiency Difference]] = " ", " ", ROUND((Table1[[#This Row],[Winning Margin]]*100)/Table1[[#This Row],[Efficiency Difference]], 2))</f>
        <v>37.85</v>
      </c>
    </row>
    <row r="559" spans="1:45">
      <c r="A559" t="s">
        <v>93</v>
      </c>
      <c r="B559">
        <v>529</v>
      </c>
      <c r="C559">
        <v>41</v>
      </c>
      <c r="D559">
        <v>209</v>
      </c>
      <c r="E559">
        <v>22</v>
      </c>
      <c r="F559">
        <v>2</v>
      </c>
      <c r="G559">
        <v>15</v>
      </c>
      <c r="H559">
        <v>1</v>
      </c>
      <c r="I559">
        <v>327</v>
      </c>
      <c r="J559">
        <v>49</v>
      </c>
      <c r="K559">
        <v>3</v>
      </c>
      <c r="L559">
        <v>1</v>
      </c>
      <c r="M559" t="s">
        <v>24</v>
      </c>
      <c r="N559">
        <v>28</v>
      </c>
      <c r="O559">
        <v>27</v>
      </c>
      <c r="P559">
        <v>291</v>
      </c>
      <c r="Q559">
        <v>46</v>
      </c>
      <c r="R559">
        <v>2</v>
      </c>
      <c r="S559">
        <v>29</v>
      </c>
      <c r="T559">
        <v>2</v>
      </c>
      <c r="U559">
        <v>169</v>
      </c>
      <c r="V559">
        <v>35</v>
      </c>
      <c r="W559">
        <v>1</v>
      </c>
      <c r="X559">
        <v>0</v>
      </c>
      <c r="Y559" t="s">
        <v>16</v>
      </c>
      <c r="Z559">
        <v>7</v>
      </c>
      <c r="AA559">
        <f>IF(AND(Table1[[#This Row],[Throw Out Pass Eff]]="N", Table1[[#This Row],[Against FCS Team]]="N"), ROUND(((5.45 * D559) + (150 * F559) + (100 * G559) - (300 * H559)) / E559, 2), " ")</f>
        <v>119.96</v>
      </c>
      <c r="AB559">
        <f>IF(AND(Table1[[#This Row],[Throw Out Pass Def Eff]]="N", Table1[[#This Row],[Against FCS Team]]="N"),200 - ROUND(((5.45 * P559) + (150 * R559) + (100 * S559) - (300 * T559)) / Q559, 2), " ")</f>
        <v>109</v>
      </c>
      <c r="AC559">
        <f>IF(AND(Table1[[#This Row],[Throw Out Rush Eff]]="N", Table1[[#This Row],[Against FCS Team]]="N"), ROUND(((23.2 * I559) + (150 * K559) - (300 * L559)) / J559, 2), " ")</f>
        <v>157.88999999999999</v>
      </c>
      <c r="AD559" s="3">
        <f>IF(AND(Table1[[#This Row],[Throw Out Rush Def Eff]]="N", Table1[[#This Row],[Against FCS Team]]="N"), 200 - ROUND(((23.2 * U559) + (150 * W559) - (300 * X559)) / V559, 2), " ")</f>
        <v>83.69</v>
      </c>
      <c r="AE559" s="3">
        <f>ROUND(Table1[[#This Row],[Opp Passing Attempts]]/(Table1[[#This Row],[Opp Passing Attempts]]+Table1[[#This Row],[Opp Rushing Attempts]]), 2)</f>
        <v>0.56999999999999995</v>
      </c>
      <c r="AF559" s="3">
        <f>1-Table1[[#This Row],[Passing Weight]]</f>
        <v>0.43000000000000005</v>
      </c>
      <c r="AG559" s="3" t="str">
        <f>IF(COUNTIF(A:A,Table1[[#This Row],[Opp Team Name]]) &gt; 0, "N", "Y")</f>
        <v>N</v>
      </c>
      <c r="AH559" s="3" t="str">
        <f>IF(Table1[[#This Row],[Passing Attempts]] &lt;15, "Y", "N")</f>
        <v>N</v>
      </c>
      <c r="AI559" s="3" t="str">
        <f>IF(Table1[[#This Row],[Rushing Attempts]] &lt; 15, "Y", "N")</f>
        <v>N</v>
      </c>
      <c r="AJ559" s="3" t="str">
        <f>IF(Table1[[#This Row],[Opp Passing Attempts]]&lt;15, "Y", "N")</f>
        <v>N</v>
      </c>
      <c r="AK559" s="3" t="str">
        <f>IF(Table1[[#This Row],[Opp Rushing Attempts]]&lt;15, "Y", "N")</f>
        <v>N</v>
      </c>
      <c r="AL5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126.4</v>
      </c>
      <c r="AM5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121.29</v>
      </c>
      <c r="AN5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161.4</v>
      </c>
      <c r="AO5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75.45</v>
      </c>
      <c r="AP559" s="3">
        <f>ABS(Table1[[#This Row],[Team Score]]-Table1[[#This Row],[Opp Team Score]])</f>
        <v>14</v>
      </c>
      <c r="AQ559" s="3">
        <f>SUM(Table1[[#This Row],[Team Score]], Table1[[#This Row],[Opp Team Score]])</f>
        <v>68</v>
      </c>
      <c r="AR5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70.539999999999964</v>
      </c>
      <c r="AS559" s="3">
        <f>IF(Table1[[#This Row],[Efficiency Difference]] = " ", " ", ROUND((Table1[[#This Row],[Winning Margin]]*100)/Table1[[#This Row],[Efficiency Difference]], 2))</f>
        <v>19.850000000000001</v>
      </c>
    </row>
    <row r="560" spans="1:45">
      <c r="A560" t="s">
        <v>93</v>
      </c>
      <c r="B560">
        <v>529</v>
      </c>
      <c r="C560">
        <v>45</v>
      </c>
      <c r="D560">
        <v>156</v>
      </c>
      <c r="E560">
        <v>21</v>
      </c>
      <c r="F560">
        <v>2</v>
      </c>
      <c r="G560">
        <v>11</v>
      </c>
      <c r="H560">
        <v>0</v>
      </c>
      <c r="I560">
        <v>371</v>
      </c>
      <c r="J560">
        <v>48</v>
      </c>
      <c r="K560">
        <v>3</v>
      </c>
      <c r="L560">
        <v>0</v>
      </c>
      <c r="M560" t="s">
        <v>56</v>
      </c>
      <c r="N560">
        <v>157</v>
      </c>
      <c r="O560">
        <v>2</v>
      </c>
      <c r="P560">
        <v>133</v>
      </c>
      <c r="Q560">
        <v>33</v>
      </c>
      <c r="R560">
        <v>0</v>
      </c>
      <c r="S560">
        <v>15</v>
      </c>
      <c r="T560">
        <v>1</v>
      </c>
      <c r="U560">
        <v>98</v>
      </c>
      <c r="V560">
        <v>39</v>
      </c>
      <c r="W560">
        <v>0</v>
      </c>
      <c r="X560">
        <v>0</v>
      </c>
      <c r="Y560" t="s">
        <v>16</v>
      </c>
      <c r="Z560">
        <v>8</v>
      </c>
      <c r="AA560" s="3">
        <f>IF(AND(Table1[[#This Row],[Throw Out Pass Eff]]="N", Table1[[#This Row],[Against FCS Team]]="N"), ROUND(((5.45 * D560) + (150 * F560) + (100 * G560) - (300 * H560)) / E560, 2), " ")</f>
        <v>107.15</v>
      </c>
      <c r="AB560" s="3">
        <f>IF(AND(Table1[[#This Row],[Throw Out Pass Def Eff]]="N", Table1[[#This Row],[Against FCS Team]]="N"),200 - ROUND(((5.45 * P560) + (150 * R560) + (100 * S560) - (300 * T560)) / Q560, 2), " ")</f>
        <v>141.67000000000002</v>
      </c>
      <c r="AC560" s="3">
        <f>IF(AND(Table1[[#This Row],[Throw Out Rush Eff]]="N", Table1[[#This Row],[Against FCS Team]]="N"), ROUND(((23.2 * I560) + (150 * K560) - (300 * L560)) / J560, 2), " ")</f>
        <v>188.69</v>
      </c>
      <c r="AD560" s="3">
        <f>IF(AND(Table1[[#This Row],[Throw Out Rush Def Eff]]="N", Table1[[#This Row],[Against FCS Team]]="N"), 200 - ROUND(((23.2 * U560) + (150 * W560) - (300 * X560)) / V560, 2), " ")</f>
        <v>141.69999999999999</v>
      </c>
      <c r="AE560" s="3">
        <f>ROUND(Table1[[#This Row],[Opp Passing Attempts]]/(Table1[[#This Row],[Opp Passing Attempts]]+Table1[[#This Row],[Opp Rushing Attempts]]), 2)</f>
        <v>0.46</v>
      </c>
      <c r="AF560" s="3">
        <f>1-Table1[[#This Row],[Passing Weight]]</f>
        <v>0.54</v>
      </c>
      <c r="AG560" s="3" t="str">
        <f>IF(COUNTIF(A:A,Table1[[#This Row],[Opp Team Name]]) &gt; 0, "N", "Y")</f>
        <v>N</v>
      </c>
      <c r="AH560" s="3" t="str">
        <f>IF(Table1[[#This Row],[Passing Attempts]] &lt;15, "Y", "N")</f>
        <v>N</v>
      </c>
      <c r="AI560" s="3" t="str">
        <f>IF(Table1[[#This Row],[Rushing Attempts]] &lt; 15, "Y", "N")</f>
        <v>N</v>
      </c>
      <c r="AJ560" s="3" t="str">
        <f>IF(Table1[[#This Row],[Opp Passing Attempts]]&lt;15, "Y", "N")</f>
        <v>N</v>
      </c>
      <c r="AK560" s="3" t="str">
        <f>IF(Table1[[#This Row],[Opp Rushing Attempts]]&lt;15, "Y", "N")</f>
        <v>N</v>
      </c>
      <c r="AL5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92.18</v>
      </c>
      <c r="AM5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131.84</v>
      </c>
      <c r="AN5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158.94999999999999</v>
      </c>
      <c r="AO5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95.9</v>
      </c>
      <c r="AP560" s="3">
        <f>ABS(Table1[[#This Row],[Team Score]]-Table1[[#This Row],[Opp Team Score]])</f>
        <v>43</v>
      </c>
      <c r="AQ560" s="3">
        <f>SUM(Table1[[#This Row],[Team Score]], Table1[[#This Row],[Opp Team Score]])</f>
        <v>47</v>
      </c>
      <c r="AR5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179.21000000000004</v>
      </c>
      <c r="AS560" s="3">
        <f>IF(Table1[[#This Row],[Efficiency Difference]] = " ", " ", ROUND((Table1[[#This Row],[Winning Margin]]*100)/Table1[[#This Row],[Efficiency Difference]], 2))</f>
        <v>23.99</v>
      </c>
    </row>
    <row r="561" spans="1:45">
      <c r="A561" t="s">
        <v>118</v>
      </c>
      <c r="B561">
        <v>528</v>
      </c>
      <c r="C561">
        <v>28</v>
      </c>
      <c r="D561">
        <v>230</v>
      </c>
      <c r="E561">
        <v>36</v>
      </c>
      <c r="F561">
        <v>0</v>
      </c>
      <c r="G561">
        <v>19</v>
      </c>
      <c r="H561">
        <v>1</v>
      </c>
      <c r="I561">
        <v>266</v>
      </c>
      <c r="J561">
        <v>43</v>
      </c>
      <c r="K561">
        <v>3</v>
      </c>
      <c r="L561">
        <v>1</v>
      </c>
      <c r="M561" t="s">
        <v>119</v>
      </c>
      <c r="N561">
        <v>102</v>
      </c>
      <c r="O561">
        <v>29</v>
      </c>
      <c r="P561">
        <v>296</v>
      </c>
      <c r="Q561">
        <v>36</v>
      </c>
      <c r="R561">
        <v>4</v>
      </c>
      <c r="S561">
        <v>23</v>
      </c>
      <c r="T561">
        <v>0</v>
      </c>
      <c r="U561">
        <v>71</v>
      </c>
      <c r="V561">
        <v>32</v>
      </c>
      <c r="W561">
        <v>0</v>
      </c>
      <c r="X561">
        <v>2</v>
      </c>
      <c r="Y561" t="s">
        <v>19</v>
      </c>
      <c r="Z561">
        <v>1</v>
      </c>
      <c r="AA561" t="str">
        <f>IF(AND(Table1[[#This Row],[Throw Out Pass Eff]]="N", Table1[[#This Row],[Against FCS Team]]="N"), ROUND(((5.45 * D561) + (150 * F561) + (100 * G561) - (300 * H561)) / E561, 2), " ")</f>
        <v xml:space="preserve"> </v>
      </c>
      <c r="AB561" t="str">
        <f>IF(AND(Table1[[#This Row],[Throw Out Pass Def Eff]]="N", Table1[[#This Row],[Against FCS Team]]="N"),200 - ROUND(((5.45 * P561) + (150 * R561) + (100 * S561) - (300 * T561)) / Q561, 2), " ")</f>
        <v xml:space="preserve"> </v>
      </c>
      <c r="AC561" t="str">
        <f>IF(AND(Table1[[#This Row],[Throw Out Rush Eff]]="N", Table1[[#This Row],[Against FCS Team]]="N"), ROUND(((23.2 * I561) + (150 * K561) - (300 * L561)) / J561, 2), " ")</f>
        <v xml:space="preserve"> </v>
      </c>
      <c r="AD561" s="3" t="str">
        <f>IF(AND(Table1[[#This Row],[Throw Out Rush Def Eff]]="N", Table1[[#This Row],[Against FCS Team]]="N"), 200 - ROUND(((23.2 * U561) + (150 * W561) - (300 * X561)) / V561, 2), " ")</f>
        <v xml:space="preserve"> </v>
      </c>
      <c r="AE561" s="3">
        <f>ROUND(Table1[[#This Row],[Opp Passing Attempts]]/(Table1[[#This Row],[Opp Passing Attempts]]+Table1[[#This Row],[Opp Rushing Attempts]]), 2)</f>
        <v>0.53</v>
      </c>
      <c r="AF561" s="3">
        <f>1-Table1[[#This Row],[Passing Weight]]</f>
        <v>0.47</v>
      </c>
      <c r="AG561" s="3" t="str">
        <f>IF(COUNTIF(A:A,Table1[[#This Row],[Opp Team Name]]) &gt; 0, "N", "Y")</f>
        <v>Y</v>
      </c>
      <c r="AH561" s="3" t="str">
        <f>IF(Table1[[#This Row],[Passing Attempts]] &lt;15, "Y", "N")</f>
        <v>N</v>
      </c>
      <c r="AI561" s="3" t="str">
        <f>IF(Table1[[#This Row],[Rushing Attempts]] &lt; 15, "Y", "N")</f>
        <v>N</v>
      </c>
      <c r="AJ561" s="3" t="str">
        <f>IF(Table1[[#This Row],[Opp Passing Attempts]]&lt;15, "Y", "N")</f>
        <v>N</v>
      </c>
      <c r="AK561" s="3" t="str">
        <f>IF(Table1[[#This Row],[Opp Rushing Attempts]]&lt;15, "Y", "N")</f>
        <v>N</v>
      </c>
      <c r="AL56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6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6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6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561" s="3">
        <f>ABS(Table1[[#This Row],[Team Score]]-Table1[[#This Row],[Opp Team Score]])</f>
        <v>1</v>
      </c>
      <c r="AQ561" s="3">
        <f>SUM(Table1[[#This Row],[Team Score]], Table1[[#This Row],[Opp Team Score]])</f>
        <v>57</v>
      </c>
      <c r="AR56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61" s="3" t="str">
        <f>IF(Table1[[#This Row],[Efficiency Difference]] = " ", " ", ROUND((Table1[[#This Row],[Winning Margin]]*100)/Table1[[#This Row],[Efficiency Difference]], 2))</f>
        <v xml:space="preserve"> </v>
      </c>
    </row>
    <row r="562" spans="1:45">
      <c r="A562" t="s">
        <v>118</v>
      </c>
      <c r="B562">
        <v>528</v>
      </c>
      <c r="C562">
        <v>0</v>
      </c>
      <c r="D562">
        <v>261</v>
      </c>
      <c r="E562">
        <v>41</v>
      </c>
      <c r="F562">
        <v>0</v>
      </c>
      <c r="G562">
        <v>27</v>
      </c>
      <c r="H562">
        <v>0</v>
      </c>
      <c r="I562">
        <v>23</v>
      </c>
      <c r="J562">
        <v>24</v>
      </c>
      <c r="K562">
        <v>0</v>
      </c>
      <c r="L562">
        <v>1</v>
      </c>
      <c r="M562" t="s">
        <v>145</v>
      </c>
      <c r="N562">
        <v>796</v>
      </c>
      <c r="O562">
        <v>35</v>
      </c>
      <c r="P562">
        <v>189</v>
      </c>
      <c r="Q562">
        <v>22</v>
      </c>
      <c r="R562">
        <v>3</v>
      </c>
      <c r="S562">
        <v>17</v>
      </c>
      <c r="T562">
        <v>0</v>
      </c>
      <c r="U562">
        <v>208</v>
      </c>
      <c r="V562">
        <v>43</v>
      </c>
      <c r="W562">
        <v>2</v>
      </c>
      <c r="X562">
        <v>0</v>
      </c>
      <c r="Y562" t="s">
        <v>19</v>
      </c>
      <c r="Z562">
        <v>2</v>
      </c>
      <c r="AA562">
        <f>IF(AND(Table1[[#This Row],[Throw Out Pass Eff]]="N", Table1[[#This Row],[Against FCS Team]]="N"), ROUND(((5.45 * D562) + (150 * F562) + (100 * G562) - (300 * H562)) / E562, 2), " ")</f>
        <v>100.55</v>
      </c>
      <c r="AB562">
        <f>IF(AND(Table1[[#This Row],[Throw Out Pass Def Eff]]="N", Table1[[#This Row],[Against FCS Team]]="N"),200 - ROUND(((5.45 * P562) + (150 * R562) + (100 * S562) - (300 * T562)) / Q562, 2), " ")</f>
        <v>55.449999999999989</v>
      </c>
      <c r="AC562">
        <f>IF(AND(Table1[[#This Row],[Throw Out Rush Eff]]="N", Table1[[#This Row],[Against FCS Team]]="N"), ROUND(((23.2 * I562) + (150 * K562) - (300 * L562)) / J562, 2), " ")</f>
        <v>9.73</v>
      </c>
      <c r="AD562" s="3">
        <f>IF(AND(Table1[[#This Row],[Throw Out Rush Def Eff]]="N", Table1[[#This Row],[Against FCS Team]]="N"), 200 - ROUND(((23.2 * U562) + (150 * W562) - (300 * X562)) / V562, 2), " ")</f>
        <v>80.8</v>
      </c>
      <c r="AE562" s="3">
        <f>ROUND(Table1[[#This Row],[Opp Passing Attempts]]/(Table1[[#This Row],[Opp Passing Attempts]]+Table1[[#This Row],[Opp Rushing Attempts]]), 2)</f>
        <v>0.34</v>
      </c>
      <c r="AF562" s="3">
        <f>1-Table1[[#This Row],[Passing Weight]]</f>
        <v>0.65999999999999992</v>
      </c>
      <c r="AG562" s="3" t="str">
        <f>IF(COUNTIF(A:A,Table1[[#This Row],[Opp Team Name]]) &gt; 0, "N", "Y")</f>
        <v>N</v>
      </c>
      <c r="AH562" s="3" t="str">
        <f>IF(Table1[[#This Row],[Passing Attempts]] &lt;15, "Y", "N")</f>
        <v>N</v>
      </c>
      <c r="AI562" s="3" t="str">
        <f>IF(Table1[[#This Row],[Rushing Attempts]] &lt; 15, "Y", "N")</f>
        <v>N</v>
      </c>
      <c r="AJ562" s="3" t="str">
        <f>IF(Table1[[#This Row],[Opp Passing Attempts]]&lt;15, "Y", "N")</f>
        <v>N</v>
      </c>
      <c r="AK562" s="3" t="str">
        <f>IF(Table1[[#This Row],[Opp Rushing Attempts]]&lt;15, "Y", "N")</f>
        <v>N</v>
      </c>
      <c r="AL5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113.57</v>
      </c>
      <c r="AM5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78.34</v>
      </c>
      <c r="AN56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12.28</v>
      </c>
      <c r="AO5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117.94</v>
      </c>
      <c r="AP562" s="3">
        <f>ABS(Table1[[#This Row],[Team Score]]-Table1[[#This Row],[Opp Team Score]])</f>
        <v>35</v>
      </c>
      <c r="AQ562" s="3">
        <f>SUM(Table1[[#This Row],[Team Score]], Table1[[#This Row],[Opp Team Score]])</f>
        <v>35</v>
      </c>
      <c r="AR56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153.47</v>
      </c>
      <c r="AS562" s="3">
        <f>IF(Table1[[#This Row],[Efficiency Difference]] = " ", " ", ROUND((Table1[[#This Row],[Winning Margin]]*100)/Table1[[#This Row],[Efficiency Difference]], 2))</f>
        <v>22.81</v>
      </c>
    </row>
    <row r="563" spans="1:45">
      <c r="A563" t="s">
        <v>118</v>
      </c>
      <c r="B563">
        <v>528</v>
      </c>
      <c r="C563">
        <v>19</v>
      </c>
      <c r="D563">
        <v>287</v>
      </c>
      <c r="E563">
        <v>40</v>
      </c>
      <c r="F563">
        <v>1</v>
      </c>
      <c r="G563">
        <v>24</v>
      </c>
      <c r="H563">
        <v>1</v>
      </c>
      <c r="I563">
        <v>88</v>
      </c>
      <c r="J563">
        <v>29</v>
      </c>
      <c r="K563">
        <v>0</v>
      </c>
      <c r="L563">
        <v>1</v>
      </c>
      <c r="M563" t="s">
        <v>75</v>
      </c>
      <c r="N563">
        <v>110</v>
      </c>
      <c r="O563">
        <v>27</v>
      </c>
      <c r="P563">
        <v>146</v>
      </c>
      <c r="Q563">
        <v>12</v>
      </c>
      <c r="R563">
        <v>1</v>
      </c>
      <c r="S563">
        <v>7</v>
      </c>
      <c r="T563">
        <v>0</v>
      </c>
      <c r="U563">
        <v>211</v>
      </c>
      <c r="V563">
        <v>49</v>
      </c>
      <c r="W563">
        <v>3</v>
      </c>
      <c r="X563">
        <v>0</v>
      </c>
      <c r="Y563" t="s">
        <v>19</v>
      </c>
      <c r="Z563">
        <v>4</v>
      </c>
      <c r="AA563">
        <f>IF(AND(Table1[[#This Row],[Throw Out Pass Eff]]="N", Table1[[#This Row],[Against FCS Team]]="N"), ROUND(((5.45 * D563) + (150 * F563) + (100 * G563) - (300 * H563)) / E563, 2), " ")</f>
        <v>95.35</v>
      </c>
      <c r="AB563" t="str">
        <f>IF(AND(Table1[[#This Row],[Throw Out Pass Def Eff]]="N", Table1[[#This Row],[Against FCS Team]]="N"),200 - ROUND(((5.45 * P563) + (150 * R563) + (100 * S563) - (300 * T563)) / Q563, 2), " ")</f>
        <v xml:space="preserve"> </v>
      </c>
      <c r="AC563">
        <f>IF(AND(Table1[[#This Row],[Throw Out Rush Eff]]="N", Table1[[#This Row],[Against FCS Team]]="N"), ROUND(((23.2 * I563) + (150 * K563) - (300 * L563)) / J563, 2), " ")</f>
        <v>60.06</v>
      </c>
      <c r="AD563" s="3">
        <f>IF(AND(Table1[[#This Row],[Throw Out Rush Def Eff]]="N", Table1[[#This Row],[Against FCS Team]]="N"), 200 - ROUND(((23.2 * U563) + (150 * W563) - (300 * X563)) / V563, 2), " ")</f>
        <v>90.91</v>
      </c>
      <c r="AE563" s="3">
        <f>ROUND(Table1[[#This Row],[Opp Passing Attempts]]/(Table1[[#This Row],[Opp Passing Attempts]]+Table1[[#This Row],[Opp Rushing Attempts]]), 2)</f>
        <v>0.2</v>
      </c>
      <c r="AF563" s="3">
        <f>1-Table1[[#This Row],[Passing Weight]]</f>
        <v>0.8</v>
      </c>
      <c r="AG563" s="3" t="str">
        <f>IF(COUNTIF(A:A,Table1[[#This Row],[Opp Team Name]]) &gt; 0, "N", "Y")</f>
        <v>N</v>
      </c>
      <c r="AH563" s="3" t="str">
        <f>IF(Table1[[#This Row],[Passing Attempts]] &lt;15, "Y", "N")</f>
        <v>N</v>
      </c>
      <c r="AI563" s="3" t="str">
        <f>IF(Table1[[#This Row],[Rushing Attempts]] &lt; 15, "Y", "N")</f>
        <v>N</v>
      </c>
      <c r="AJ563" s="3" t="str">
        <f>IF(Table1[[#This Row],[Opp Passing Attempts]]&lt;15, "Y", "N")</f>
        <v>Y</v>
      </c>
      <c r="AK563" s="3" t="str">
        <f>IF(Table1[[#This Row],[Opp Rushing Attempts]]&lt;15, "Y", "N")</f>
        <v>N</v>
      </c>
      <c r="AL5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84.03</v>
      </c>
      <c r="AM563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48.04</v>
      </c>
      <c r="AO56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92.08</v>
      </c>
      <c r="AP563" s="3">
        <f>ABS(Table1[[#This Row],[Team Score]]-Table1[[#This Row],[Opp Team Score]])</f>
        <v>8</v>
      </c>
      <c r="AQ563" s="3">
        <f>SUM(Table1[[#This Row],[Team Score]], Table1[[#This Row],[Opp Team Score]])</f>
        <v>46</v>
      </c>
      <c r="AR56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63" s="3" t="str">
        <f>IF(Table1[[#This Row],[Efficiency Difference]] = " ", " ", ROUND((Table1[[#This Row],[Winning Margin]]*100)/Table1[[#This Row],[Efficiency Difference]], 2))</f>
        <v xml:space="preserve"> </v>
      </c>
    </row>
    <row r="564" spans="1:45">
      <c r="A564" t="s">
        <v>118</v>
      </c>
      <c r="B564">
        <v>528</v>
      </c>
      <c r="C564">
        <v>20</v>
      </c>
      <c r="D564">
        <v>341</v>
      </c>
      <c r="E564">
        <v>66</v>
      </c>
      <c r="F564">
        <v>1</v>
      </c>
      <c r="G564">
        <v>40</v>
      </c>
      <c r="H564">
        <v>4</v>
      </c>
      <c r="I564">
        <v>47</v>
      </c>
      <c r="J564">
        <v>14</v>
      </c>
      <c r="K564">
        <v>1</v>
      </c>
      <c r="L564">
        <v>1</v>
      </c>
      <c r="M564" t="s">
        <v>24</v>
      </c>
      <c r="N564">
        <v>28</v>
      </c>
      <c r="O564">
        <v>35</v>
      </c>
      <c r="P564">
        <v>258</v>
      </c>
      <c r="Q564">
        <v>37</v>
      </c>
      <c r="R564">
        <v>2</v>
      </c>
      <c r="S564">
        <v>24</v>
      </c>
      <c r="T564">
        <v>3</v>
      </c>
      <c r="U564">
        <v>108</v>
      </c>
      <c r="V564">
        <v>34</v>
      </c>
      <c r="W564">
        <v>2</v>
      </c>
      <c r="X564">
        <v>1</v>
      </c>
      <c r="Y564" t="s">
        <v>19</v>
      </c>
      <c r="Z564">
        <v>5</v>
      </c>
      <c r="AA564">
        <f>IF(AND(Table1[[#This Row],[Throw Out Pass Eff]]="N", Table1[[#This Row],[Against FCS Team]]="N"), ROUND(((5.45 * D564) + (150 * F564) + (100 * G564) - (300 * H564)) / E564, 2), " ")</f>
        <v>72.86</v>
      </c>
      <c r="AB564">
        <f>IF(AND(Table1[[#This Row],[Throw Out Pass Def Eff]]="N", Table1[[#This Row],[Against FCS Team]]="N"),200 - ROUND(((5.45 * P564) + (150 * R564) + (100 * S564) - (300 * T564)) / Q564, 2), " ")</f>
        <v>113.35</v>
      </c>
      <c r="AC564" t="str">
        <f>IF(AND(Table1[[#This Row],[Throw Out Rush Eff]]="N", Table1[[#This Row],[Against FCS Team]]="N"), ROUND(((23.2 * I564) + (150 * K564) - (300 * L564)) / J564, 2), " ")</f>
        <v xml:space="preserve"> </v>
      </c>
      <c r="AD564" s="3">
        <f>IF(AND(Table1[[#This Row],[Throw Out Rush Def Eff]]="N", Table1[[#This Row],[Against FCS Team]]="N"), 200 - ROUND(((23.2 * U564) + (150 * W564) - (300 * X564)) / V564, 2), " ")</f>
        <v>126.31</v>
      </c>
      <c r="AE564" s="3">
        <f>ROUND(Table1[[#This Row],[Opp Passing Attempts]]/(Table1[[#This Row],[Opp Passing Attempts]]+Table1[[#This Row],[Opp Rushing Attempts]]), 2)</f>
        <v>0.52</v>
      </c>
      <c r="AF564" s="3">
        <f>1-Table1[[#This Row],[Passing Weight]]</f>
        <v>0.48</v>
      </c>
      <c r="AG564" s="3" t="str">
        <f>IF(COUNTIF(A:A,Table1[[#This Row],[Opp Team Name]]) &gt; 0, "N", "Y")</f>
        <v>N</v>
      </c>
      <c r="AH564" s="3" t="str">
        <f>IF(Table1[[#This Row],[Passing Attempts]] &lt;15, "Y", "N")</f>
        <v>N</v>
      </c>
      <c r="AI564" s="3" t="str">
        <f>IF(Table1[[#This Row],[Rushing Attempts]] &lt; 15, "Y", "N")</f>
        <v>Y</v>
      </c>
      <c r="AJ564" s="3" t="str">
        <f>IF(Table1[[#This Row],[Opp Passing Attempts]]&lt;15, "Y", "N")</f>
        <v>N</v>
      </c>
      <c r="AK564" s="3" t="str">
        <f>IF(Table1[[#This Row],[Opp Rushing Attempts]]&lt;15, "Y", "N")</f>
        <v>N</v>
      </c>
      <c r="AL5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76.77</v>
      </c>
      <c r="AM5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126.13</v>
      </c>
      <c r="AN56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113.87</v>
      </c>
      <c r="AP564" s="3">
        <f>ABS(Table1[[#This Row],[Team Score]]-Table1[[#This Row],[Opp Team Score]])</f>
        <v>15</v>
      </c>
      <c r="AQ564" s="3">
        <f>SUM(Table1[[#This Row],[Team Score]], Table1[[#This Row],[Opp Team Score]])</f>
        <v>55</v>
      </c>
      <c r="AR56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64" s="3" t="str">
        <f>IF(Table1[[#This Row],[Efficiency Difference]] = " ", " ", ROUND((Table1[[#This Row],[Winning Margin]]*100)/Table1[[#This Row],[Efficiency Difference]], 2))</f>
        <v xml:space="preserve"> </v>
      </c>
    </row>
    <row r="565" spans="1:45">
      <c r="A565" t="s">
        <v>118</v>
      </c>
      <c r="B565">
        <v>528</v>
      </c>
      <c r="C565">
        <v>37</v>
      </c>
      <c r="D565">
        <v>280</v>
      </c>
      <c r="E565">
        <v>43</v>
      </c>
      <c r="F565">
        <v>2</v>
      </c>
      <c r="G565">
        <v>33</v>
      </c>
      <c r="H565">
        <v>2</v>
      </c>
      <c r="I565">
        <v>128</v>
      </c>
      <c r="J565">
        <v>35</v>
      </c>
      <c r="K565">
        <v>1</v>
      </c>
      <c r="L565">
        <v>0</v>
      </c>
      <c r="M565" t="s">
        <v>22</v>
      </c>
      <c r="N565">
        <v>29</v>
      </c>
      <c r="O565">
        <v>27</v>
      </c>
      <c r="P565">
        <v>378</v>
      </c>
      <c r="Q565">
        <v>45</v>
      </c>
      <c r="R565">
        <v>1</v>
      </c>
      <c r="S565">
        <v>31</v>
      </c>
      <c r="T565">
        <v>2</v>
      </c>
      <c r="U565">
        <v>53</v>
      </c>
      <c r="V565">
        <v>19</v>
      </c>
      <c r="W565">
        <v>2</v>
      </c>
      <c r="X565">
        <v>2</v>
      </c>
      <c r="Y565" t="s">
        <v>16</v>
      </c>
      <c r="Z565">
        <v>6</v>
      </c>
      <c r="AA565">
        <f>IF(AND(Table1[[#This Row],[Throw Out Pass Eff]]="N", Table1[[#This Row],[Against FCS Team]]="N"), ROUND(((5.45 * D565) + (150 * F565) + (100 * G565) - (300 * H565)) / E565, 2), " ")</f>
        <v>105.26</v>
      </c>
      <c r="AB565">
        <f>IF(AND(Table1[[#This Row],[Throw Out Pass Def Eff]]="N", Table1[[#This Row],[Against FCS Team]]="N"),200 - ROUND(((5.45 * P565) + (150 * R565) + (100 * S565) - (300 * T565)) / Q565, 2), " ")</f>
        <v>95.33</v>
      </c>
      <c r="AC565">
        <f>IF(AND(Table1[[#This Row],[Throw Out Rush Eff]]="N", Table1[[#This Row],[Against FCS Team]]="N"), ROUND(((23.2 * I565) + (150 * K565) - (300 * L565)) / J565, 2), " ")</f>
        <v>89.13</v>
      </c>
      <c r="AD565" s="3">
        <f>IF(AND(Table1[[#This Row],[Throw Out Rush Def Eff]]="N", Table1[[#This Row],[Against FCS Team]]="N"), 200 - ROUND(((23.2 * U565) + (150 * W565) - (300 * X565)) / V565, 2), " ")</f>
        <v>151.07</v>
      </c>
      <c r="AE565" s="3">
        <f>ROUND(Table1[[#This Row],[Opp Passing Attempts]]/(Table1[[#This Row],[Opp Passing Attempts]]+Table1[[#This Row],[Opp Rushing Attempts]]), 2)</f>
        <v>0.7</v>
      </c>
      <c r="AF565" s="3">
        <f>1-Table1[[#This Row],[Passing Weight]]</f>
        <v>0.30000000000000004</v>
      </c>
      <c r="AG565" s="3" t="str">
        <f>IF(COUNTIF(A:A,Table1[[#This Row],[Opp Team Name]]) &gt; 0, "N", "Y")</f>
        <v>N</v>
      </c>
      <c r="AH565" s="3" t="str">
        <f>IF(Table1[[#This Row],[Passing Attempts]] &lt;15, "Y", "N")</f>
        <v>N</v>
      </c>
      <c r="AI565" s="3" t="str">
        <f>IF(Table1[[#This Row],[Rushing Attempts]] &lt; 15, "Y", "N")</f>
        <v>N</v>
      </c>
      <c r="AJ565" s="3" t="str">
        <f>IF(Table1[[#This Row],[Opp Passing Attempts]]&lt;15, "Y", "N")</f>
        <v>N</v>
      </c>
      <c r="AK565" s="3" t="str">
        <f>IF(Table1[[#This Row],[Opp Rushing Attempts]]&lt;15, "Y", "N")</f>
        <v>N</v>
      </c>
      <c r="AL56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86.54</v>
      </c>
      <c r="AM5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106.6</v>
      </c>
      <c r="AN5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66.13</v>
      </c>
      <c r="AO5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109.48</v>
      </c>
      <c r="AP565" s="3">
        <f>ABS(Table1[[#This Row],[Team Score]]-Table1[[#This Row],[Opp Team Score]])</f>
        <v>10</v>
      </c>
      <c r="AQ565" s="3">
        <f>SUM(Table1[[#This Row],[Team Score]], Table1[[#This Row],[Opp Team Score]])</f>
        <v>64</v>
      </c>
      <c r="AR56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40.789999999999964</v>
      </c>
      <c r="AS565" s="3">
        <f>IF(Table1[[#This Row],[Efficiency Difference]] = " ", " ", ROUND((Table1[[#This Row],[Winning Margin]]*100)/Table1[[#This Row],[Efficiency Difference]], 2))</f>
        <v>24.52</v>
      </c>
    </row>
    <row r="566" spans="1:45">
      <c r="A566" t="s">
        <v>118</v>
      </c>
      <c r="B566">
        <v>528</v>
      </c>
      <c r="C566">
        <v>28</v>
      </c>
      <c r="D566">
        <v>306</v>
      </c>
      <c r="E566">
        <v>43</v>
      </c>
      <c r="F566">
        <v>1</v>
      </c>
      <c r="G566">
        <v>27</v>
      </c>
      <c r="H566">
        <v>2</v>
      </c>
      <c r="I566">
        <v>59</v>
      </c>
      <c r="J566">
        <v>23</v>
      </c>
      <c r="K566">
        <v>2</v>
      </c>
      <c r="L566">
        <v>2</v>
      </c>
      <c r="M566" t="s">
        <v>46</v>
      </c>
      <c r="N566">
        <v>77</v>
      </c>
      <c r="O566">
        <v>38</v>
      </c>
      <c r="P566">
        <v>217</v>
      </c>
      <c r="Q566">
        <v>29</v>
      </c>
      <c r="R566">
        <v>3</v>
      </c>
      <c r="S566">
        <v>17</v>
      </c>
      <c r="T566">
        <v>1</v>
      </c>
      <c r="U566">
        <v>282</v>
      </c>
      <c r="V566">
        <v>48</v>
      </c>
      <c r="W566">
        <v>2</v>
      </c>
      <c r="X566">
        <v>1</v>
      </c>
      <c r="Y566" t="s">
        <v>19</v>
      </c>
      <c r="Z566">
        <v>7</v>
      </c>
      <c r="AA566">
        <f>IF(AND(Table1[[#This Row],[Throw Out Pass Eff]]="N", Table1[[#This Row],[Against FCS Team]]="N"), ROUND(((5.45 * D566) + (150 * F566) + (100 * G566) - (300 * H566)) / E566, 2), " ")</f>
        <v>91.11</v>
      </c>
      <c r="AB566">
        <f>IF(AND(Table1[[#This Row],[Throw Out Pass Def Eff]]="N", Table1[[#This Row],[Against FCS Team]]="N"),200 - ROUND(((5.45 * P566) + (150 * R566) + (100 * S566) - (300 * T566)) / Q566, 2), " ")</f>
        <v>95.43</v>
      </c>
      <c r="AC566">
        <f>IF(AND(Table1[[#This Row],[Throw Out Rush Eff]]="N", Table1[[#This Row],[Against FCS Team]]="N"), ROUND(((23.2 * I566) + (150 * K566) - (300 * L566)) / J566, 2), " ")</f>
        <v>46.47</v>
      </c>
      <c r="AD566" s="3">
        <f>IF(AND(Table1[[#This Row],[Throw Out Rush Def Eff]]="N", Table1[[#This Row],[Against FCS Team]]="N"), 200 - ROUND(((23.2 * U566) + (150 * W566) - (300 * X566)) / V566, 2), " ")</f>
        <v>63.699999999999989</v>
      </c>
      <c r="AE566" s="3">
        <f>ROUND(Table1[[#This Row],[Opp Passing Attempts]]/(Table1[[#This Row],[Opp Passing Attempts]]+Table1[[#This Row],[Opp Rushing Attempts]]), 2)</f>
        <v>0.38</v>
      </c>
      <c r="AF566" s="3">
        <f>1-Table1[[#This Row],[Passing Weight]]</f>
        <v>0.62</v>
      </c>
      <c r="AG566" s="3" t="str">
        <f>IF(COUNTIF(A:A,Table1[[#This Row],[Opp Team Name]]) &gt; 0, "N", "Y")</f>
        <v>N</v>
      </c>
      <c r="AH566" s="3" t="str">
        <f>IF(Table1[[#This Row],[Passing Attempts]] &lt;15, "Y", "N")</f>
        <v>N</v>
      </c>
      <c r="AI566" s="3" t="str">
        <f>IF(Table1[[#This Row],[Rushing Attempts]] &lt; 15, "Y", "N")</f>
        <v>N</v>
      </c>
      <c r="AJ566" s="3" t="str">
        <f>IF(Table1[[#This Row],[Opp Passing Attempts]]&lt;15, "Y", "N")</f>
        <v>N</v>
      </c>
      <c r="AK566" s="3" t="str">
        <f>IF(Table1[[#This Row],[Opp Rushing Attempts]]&lt;15, "Y", "N")</f>
        <v>N</v>
      </c>
      <c r="AL5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100.88</v>
      </c>
      <c r="AM5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83.18</v>
      </c>
      <c r="AN5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51.65</v>
      </c>
      <c r="AO5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44.4</v>
      </c>
      <c r="AP566" s="3">
        <f>ABS(Table1[[#This Row],[Team Score]]-Table1[[#This Row],[Opp Team Score]])</f>
        <v>10</v>
      </c>
      <c r="AQ566" s="3">
        <f>SUM(Table1[[#This Row],[Team Score]], Table1[[#This Row],[Opp Team Score]])</f>
        <v>66</v>
      </c>
      <c r="AR5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103.29000000000002</v>
      </c>
      <c r="AS566" s="3">
        <f>IF(Table1[[#This Row],[Efficiency Difference]] = " ", " ", ROUND((Table1[[#This Row],[Winning Margin]]*100)/Table1[[#This Row],[Efficiency Difference]], 2))</f>
        <v>9.68</v>
      </c>
    </row>
    <row r="567" spans="1:45">
      <c r="A567" t="s">
        <v>118</v>
      </c>
      <c r="B567">
        <v>528</v>
      </c>
      <c r="C567">
        <v>44</v>
      </c>
      <c r="D567">
        <v>376</v>
      </c>
      <c r="E567">
        <v>34</v>
      </c>
      <c r="F567">
        <v>4</v>
      </c>
      <c r="G567">
        <v>26</v>
      </c>
      <c r="H567">
        <v>1</v>
      </c>
      <c r="I567">
        <v>175</v>
      </c>
      <c r="J567">
        <v>34</v>
      </c>
      <c r="K567">
        <v>1</v>
      </c>
      <c r="L567">
        <v>0</v>
      </c>
      <c r="M567" t="s">
        <v>160</v>
      </c>
      <c r="N567">
        <v>754</v>
      </c>
      <c r="O567">
        <v>21</v>
      </c>
      <c r="P567">
        <v>232</v>
      </c>
      <c r="Q567">
        <v>33</v>
      </c>
      <c r="R567">
        <v>1</v>
      </c>
      <c r="S567">
        <v>21</v>
      </c>
      <c r="T567">
        <v>1</v>
      </c>
      <c r="U567">
        <v>83</v>
      </c>
      <c r="V567">
        <v>29</v>
      </c>
      <c r="W567">
        <v>2</v>
      </c>
      <c r="X567">
        <v>2</v>
      </c>
      <c r="Y567" t="s">
        <v>16</v>
      </c>
      <c r="Z567">
        <v>8</v>
      </c>
      <c r="AA567" s="3">
        <f>IF(AND(Table1[[#This Row],[Throw Out Pass Eff]]="N", Table1[[#This Row],[Against FCS Team]]="N"), ROUND(((5.45 * D567) + (150 * F567) + (100 * G567) - (300 * H567)) / E567, 2), " ")</f>
        <v>145.56</v>
      </c>
      <c r="AB567" s="3">
        <f>IF(AND(Table1[[#This Row],[Throw Out Pass Def Eff]]="N", Table1[[#This Row],[Against FCS Team]]="N"),200 - ROUND(((5.45 * P567) + (150 * R567) + (100 * S567) - (300 * T567)) / Q567, 2), " ")</f>
        <v>102.59</v>
      </c>
      <c r="AC567" s="3">
        <f>IF(AND(Table1[[#This Row],[Throw Out Rush Eff]]="N", Table1[[#This Row],[Against FCS Team]]="N"), ROUND(((23.2 * I567) + (150 * K567) - (300 * L567)) / J567, 2), " ")</f>
        <v>123.82</v>
      </c>
      <c r="AD567" s="3">
        <f>IF(AND(Table1[[#This Row],[Throw Out Rush Def Eff]]="N", Table1[[#This Row],[Against FCS Team]]="N"), 200 - ROUND(((23.2 * U567) + (150 * W567) - (300 * X567)) / V567, 2), " ")</f>
        <v>143.94</v>
      </c>
      <c r="AE567" s="3">
        <f>ROUND(Table1[[#This Row],[Opp Passing Attempts]]/(Table1[[#This Row],[Opp Passing Attempts]]+Table1[[#This Row],[Opp Rushing Attempts]]), 2)</f>
        <v>0.53</v>
      </c>
      <c r="AF567" s="3">
        <f>1-Table1[[#This Row],[Passing Weight]]</f>
        <v>0.47</v>
      </c>
      <c r="AG567" s="3" t="str">
        <f>IF(COUNTIF(A:A,Table1[[#This Row],[Opp Team Name]]) &gt; 0, "N", "Y")</f>
        <v>N</v>
      </c>
      <c r="AH567" s="3" t="str">
        <f>IF(Table1[[#This Row],[Passing Attempts]] &lt;15, "Y", "N")</f>
        <v>N</v>
      </c>
      <c r="AI567" s="3" t="str">
        <f>IF(Table1[[#This Row],[Rushing Attempts]] &lt; 15, "Y", "N")</f>
        <v>N</v>
      </c>
      <c r="AJ567" s="3" t="str">
        <f>IF(Table1[[#This Row],[Opp Passing Attempts]]&lt;15, "Y", "N")</f>
        <v>N</v>
      </c>
      <c r="AK567" s="3" t="str">
        <f>IF(Table1[[#This Row],[Opp Rushing Attempts]]&lt;15, "Y", "N")</f>
        <v>N</v>
      </c>
      <c r="AL5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132.46</v>
      </c>
      <c r="AM5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113.47</v>
      </c>
      <c r="AN5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118.36</v>
      </c>
      <c r="AO5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85.95</v>
      </c>
      <c r="AP567" s="3">
        <f>ABS(Table1[[#This Row],[Team Score]]-Table1[[#This Row],[Opp Team Score]])</f>
        <v>23</v>
      </c>
      <c r="AQ567" s="3">
        <f>SUM(Table1[[#This Row],[Team Score]], Table1[[#This Row],[Opp Team Score]])</f>
        <v>65</v>
      </c>
      <c r="AR5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115.91</v>
      </c>
      <c r="AS567" s="3">
        <f>IF(Table1[[#This Row],[Efficiency Difference]] = " ", " ", ROUND((Table1[[#This Row],[Winning Margin]]*100)/Table1[[#This Row],[Efficiency Difference]], 2))</f>
        <v>19.84</v>
      </c>
    </row>
    <row r="568" spans="1:45">
      <c r="A568" t="s">
        <v>120</v>
      </c>
      <c r="B568">
        <v>539</v>
      </c>
      <c r="C568">
        <v>41</v>
      </c>
      <c r="D568">
        <v>114</v>
      </c>
      <c r="E568">
        <v>20</v>
      </c>
      <c r="F568">
        <v>0</v>
      </c>
      <c r="G568">
        <v>12</v>
      </c>
      <c r="H568">
        <v>0</v>
      </c>
      <c r="I568">
        <v>245</v>
      </c>
      <c r="J568">
        <v>48</v>
      </c>
      <c r="K568">
        <v>5</v>
      </c>
      <c r="L568">
        <v>0</v>
      </c>
      <c r="M568" t="s">
        <v>121</v>
      </c>
      <c r="N568">
        <v>305</v>
      </c>
      <c r="O568">
        <v>7</v>
      </c>
      <c r="P568">
        <v>105</v>
      </c>
      <c r="Q568">
        <v>23</v>
      </c>
      <c r="R568">
        <v>1</v>
      </c>
      <c r="S568">
        <v>11</v>
      </c>
      <c r="T568">
        <v>2</v>
      </c>
      <c r="U568">
        <v>65</v>
      </c>
      <c r="V568">
        <v>30</v>
      </c>
      <c r="W568">
        <v>0</v>
      </c>
      <c r="X568">
        <v>1</v>
      </c>
      <c r="Y568" t="s">
        <v>16</v>
      </c>
      <c r="Z568">
        <v>1</v>
      </c>
      <c r="AA568" t="str">
        <f>IF(AND(Table1[[#This Row],[Throw Out Pass Eff]]="N", Table1[[#This Row],[Against FCS Team]]="N"), ROUND(((5.45 * D568) + (150 * F568) + (100 * G568) - (300 * H568)) / E568, 2), " ")</f>
        <v xml:space="preserve"> </v>
      </c>
      <c r="AB568" t="str">
        <f>IF(AND(Table1[[#This Row],[Throw Out Pass Def Eff]]="N", Table1[[#This Row],[Against FCS Team]]="N"),200 - ROUND(((5.45 * P568) + (150 * R568) + (100 * S568) - (300 * T568)) / Q568, 2), " ")</f>
        <v xml:space="preserve"> </v>
      </c>
      <c r="AC568" t="str">
        <f>IF(AND(Table1[[#This Row],[Throw Out Rush Eff]]="N", Table1[[#This Row],[Against FCS Team]]="N"), ROUND(((23.2 * I568) + (150 * K568) - (300 * L568)) / J568, 2), " ")</f>
        <v xml:space="preserve"> </v>
      </c>
      <c r="AD568" s="3" t="str">
        <f>IF(AND(Table1[[#This Row],[Throw Out Rush Def Eff]]="N", Table1[[#This Row],[Against FCS Team]]="N"), 200 - ROUND(((23.2 * U568) + (150 * W568) - (300 * X568)) / V568, 2), " ")</f>
        <v xml:space="preserve"> </v>
      </c>
      <c r="AE568" s="3">
        <f>ROUND(Table1[[#This Row],[Opp Passing Attempts]]/(Table1[[#This Row],[Opp Passing Attempts]]+Table1[[#This Row],[Opp Rushing Attempts]]), 2)</f>
        <v>0.43</v>
      </c>
      <c r="AF568" s="3">
        <f>1-Table1[[#This Row],[Passing Weight]]</f>
        <v>0.57000000000000006</v>
      </c>
      <c r="AG568" s="3" t="str">
        <f>IF(COUNTIF(A:A,Table1[[#This Row],[Opp Team Name]]) &gt; 0, "N", "Y")</f>
        <v>Y</v>
      </c>
      <c r="AH568" s="3" t="str">
        <f>IF(Table1[[#This Row],[Passing Attempts]] &lt;15, "Y", "N")</f>
        <v>N</v>
      </c>
      <c r="AI568" s="3" t="str">
        <f>IF(Table1[[#This Row],[Rushing Attempts]] &lt; 15, "Y", "N")</f>
        <v>N</v>
      </c>
      <c r="AJ568" s="3" t="str">
        <f>IF(Table1[[#This Row],[Opp Passing Attempts]]&lt;15, "Y", "N")</f>
        <v>N</v>
      </c>
      <c r="AK568" s="3" t="str">
        <f>IF(Table1[[#This Row],[Opp Rushing Attempts]]&lt;15, "Y", "N")</f>
        <v>N</v>
      </c>
      <c r="AL56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6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6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6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568" s="3">
        <f>ABS(Table1[[#This Row],[Team Score]]-Table1[[#This Row],[Opp Team Score]])</f>
        <v>34</v>
      </c>
      <c r="AQ568" s="3">
        <f>SUM(Table1[[#This Row],[Team Score]], Table1[[#This Row],[Opp Team Score]])</f>
        <v>48</v>
      </c>
      <c r="AR56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68" s="3" t="str">
        <f>IF(Table1[[#This Row],[Efficiency Difference]] = " ", " ", ROUND((Table1[[#This Row],[Winning Margin]]*100)/Table1[[#This Row],[Efficiency Difference]], 2))</f>
        <v xml:space="preserve"> </v>
      </c>
    </row>
    <row r="569" spans="1:45">
      <c r="A569" t="s">
        <v>120</v>
      </c>
      <c r="B569">
        <v>539</v>
      </c>
      <c r="C569">
        <v>11</v>
      </c>
      <c r="D569">
        <v>144</v>
      </c>
      <c r="E569">
        <v>39</v>
      </c>
      <c r="F569">
        <v>0</v>
      </c>
      <c r="G569">
        <v>12</v>
      </c>
      <c r="H569">
        <v>1</v>
      </c>
      <c r="I569">
        <v>107</v>
      </c>
      <c r="J569">
        <v>30</v>
      </c>
      <c r="K569">
        <v>1</v>
      </c>
      <c r="L569">
        <v>2</v>
      </c>
      <c r="M569" t="s">
        <v>20</v>
      </c>
      <c r="N569">
        <v>8</v>
      </c>
      <c r="O569">
        <v>27</v>
      </c>
      <c r="P569">
        <v>163</v>
      </c>
      <c r="Q569">
        <v>31</v>
      </c>
      <c r="R569">
        <v>1</v>
      </c>
      <c r="S569">
        <v>19</v>
      </c>
      <c r="T569">
        <v>0</v>
      </c>
      <c r="U569">
        <v>196</v>
      </c>
      <c r="V569">
        <v>41</v>
      </c>
      <c r="W569">
        <v>2</v>
      </c>
      <c r="X569">
        <v>0</v>
      </c>
      <c r="Y569" t="s">
        <v>19</v>
      </c>
      <c r="Z569">
        <v>2</v>
      </c>
      <c r="AA569">
        <f>IF(AND(Table1[[#This Row],[Throw Out Pass Eff]]="N", Table1[[#This Row],[Against FCS Team]]="N"), ROUND(((5.45 * D569) + (150 * F569) + (100 * G569) - (300 * H569)) / E569, 2), " ")</f>
        <v>43.2</v>
      </c>
      <c r="AB569">
        <f>IF(AND(Table1[[#This Row],[Throw Out Pass Def Eff]]="N", Table1[[#This Row],[Against FCS Team]]="N"),200 - ROUND(((5.45 * P569) + (150 * R569) + (100 * S569) - (300 * T569)) / Q569, 2), " ")</f>
        <v>105.21</v>
      </c>
      <c r="AC569">
        <f>IF(AND(Table1[[#This Row],[Throw Out Rush Eff]]="N", Table1[[#This Row],[Against FCS Team]]="N"), ROUND(((23.2 * I569) + (150 * K569) - (300 * L569)) / J569, 2), " ")</f>
        <v>67.75</v>
      </c>
      <c r="AD569" s="3">
        <f>IF(AND(Table1[[#This Row],[Throw Out Rush Def Eff]]="N", Table1[[#This Row],[Against FCS Team]]="N"), 200 - ROUND(((23.2 * U569) + (150 * W569) - (300 * X569)) / V569, 2), " ")</f>
        <v>81.78</v>
      </c>
      <c r="AE569" s="3">
        <f>ROUND(Table1[[#This Row],[Opp Passing Attempts]]/(Table1[[#This Row],[Opp Passing Attempts]]+Table1[[#This Row],[Opp Rushing Attempts]]), 2)</f>
        <v>0.43</v>
      </c>
      <c r="AF569" s="3">
        <f>1-Table1[[#This Row],[Passing Weight]]</f>
        <v>0.57000000000000006</v>
      </c>
      <c r="AG569" s="3" t="str">
        <f>IF(COUNTIF(A:A,Table1[[#This Row],[Opp Team Name]]) &gt; 0, "N", "Y")</f>
        <v>N</v>
      </c>
      <c r="AH569" s="3" t="str">
        <f>IF(Table1[[#This Row],[Passing Attempts]] &lt;15, "Y", "N")</f>
        <v>N</v>
      </c>
      <c r="AI569" s="3" t="str">
        <f>IF(Table1[[#This Row],[Rushing Attempts]] &lt; 15, "Y", "N")</f>
        <v>N</v>
      </c>
      <c r="AJ569" s="3" t="str">
        <f>IF(Table1[[#This Row],[Opp Passing Attempts]]&lt;15, "Y", "N")</f>
        <v>N</v>
      </c>
      <c r="AK569" s="3" t="str">
        <f>IF(Table1[[#This Row],[Opp Rushing Attempts]]&lt;15, "Y", "N")</f>
        <v>N</v>
      </c>
      <c r="AL5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58.08</v>
      </c>
      <c r="AM5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118.35</v>
      </c>
      <c r="AN5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114</v>
      </c>
      <c r="AO5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120.55</v>
      </c>
      <c r="AP569" s="3">
        <f>ABS(Table1[[#This Row],[Team Score]]-Table1[[#This Row],[Opp Team Score]])</f>
        <v>16</v>
      </c>
      <c r="AQ569" s="3">
        <f>SUM(Table1[[#This Row],[Team Score]], Table1[[#This Row],[Opp Team Score]])</f>
        <v>38</v>
      </c>
      <c r="AR5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102.05999999999999</v>
      </c>
      <c r="AS569" s="3">
        <f>IF(Table1[[#This Row],[Efficiency Difference]] = " ", " ", ROUND((Table1[[#This Row],[Winning Margin]]*100)/Table1[[#This Row],[Efficiency Difference]], 2))</f>
        <v>15.68</v>
      </c>
    </row>
    <row r="570" spans="1:45">
      <c r="A570" t="s">
        <v>120</v>
      </c>
      <c r="B570">
        <v>539</v>
      </c>
      <c r="C570">
        <v>14</v>
      </c>
      <c r="D570">
        <v>216</v>
      </c>
      <c r="E570">
        <v>37</v>
      </c>
      <c r="F570">
        <v>0</v>
      </c>
      <c r="G570">
        <v>22</v>
      </c>
      <c r="H570">
        <v>1</v>
      </c>
      <c r="I570">
        <v>92</v>
      </c>
      <c r="J570">
        <v>36</v>
      </c>
      <c r="K570">
        <v>2</v>
      </c>
      <c r="L570">
        <v>0</v>
      </c>
      <c r="M570" t="s">
        <v>132</v>
      </c>
      <c r="N570">
        <v>690</v>
      </c>
      <c r="O570">
        <v>10</v>
      </c>
      <c r="P570">
        <v>123</v>
      </c>
      <c r="Q570">
        <v>28</v>
      </c>
      <c r="R570">
        <v>0</v>
      </c>
      <c r="S570">
        <v>12</v>
      </c>
      <c r="T570">
        <v>2</v>
      </c>
      <c r="U570">
        <v>74</v>
      </c>
      <c r="V570">
        <v>30</v>
      </c>
      <c r="W570">
        <v>1</v>
      </c>
      <c r="X570">
        <v>1</v>
      </c>
      <c r="Y570" t="s">
        <v>16</v>
      </c>
      <c r="Z570">
        <v>3</v>
      </c>
      <c r="AA570">
        <f>IF(AND(Table1[[#This Row],[Throw Out Pass Eff]]="N", Table1[[#This Row],[Against FCS Team]]="N"), ROUND(((5.45 * D570) + (150 * F570) + (100 * G570) - (300 * H570)) / E570, 2), " ")</f>
        <v>83.17</v>
      </c>
      <c r="AB570">
        <f>IF(AND(Table1[[#This Row],[Throw Out Pass Def Eff]]="N", Table1[[#This Row],[Against FCS Team]]="N"),200 - ROUND(((5.45 * P570) + (150 * R570) + (100 * S570) - (300 * T570)) / Q570, 2), " ")</f>
        <v>154.63</v>
      </c>
      <c r="AC570">
        <f>IF(AND(Table1[[#This Row],[Throw Out Rush Eff]]="N", Table1[[#This Row],[Against FCS Team]]="N"), ROUND(((23.2 * I570) + (150 * K570) - (300 * L570)) / J570, 2), " ")</f>
        <v>67.62</v>
      </c>
      <c r="AD570" s="3">
        <f>IF(AND(Table1[[#This Row],[Throw Out Rush Def Eff]]="N", Table1[[#This Row],[Against FCS Team]]="N"), 200 - ROUND(((23.2 * U570) + (150 * W570) - (300 * X570)) / V570, 2), " ")</f>
        <v>147.77000000000001</v>
      </c>
      <c r="AE570" s="3">
        <f>ROUND(Table1[[#This Row],[Opp Passing Attempts]]/(Table1[[#This Row],[Opp Passing Attempts]]+Table1[[#This Row],[Opp Rushing Attempts]]), 2)</f>
        <v>0.48</v>
      </c>
      <c r="AF570" s="3">
        <f>1-Table1[[#This Row],[Passing Weight]]</f>
        <v>0.52</v>
      </c>
      <c r="AG570" s="3" t="str">
        <f>IF(COUNTIF(A:A,Table1[[#This Row],[Opp Team Name]]) &gt; 0, "N", "Y")</f>
        <v>N</v>
      </c>
      <c r="AH570" s="3" t="str">
        <f>IF(Table1[[#This Row],[Passing Attempts]] &lt;15, "Y", "N")</f>
        <v>N</v>
      </c>
      <c r="AI570" s="3" t="str">
        <f>IF(Table1[[#This Row],[Rushing Attempts]] &lt; 15, "Y", "N")</f>
        <v>N</v>
      </c>
      <c r="AJ570" s="3" t="str">
        <f>IF(Table1[[#This Row],[Opp Passing Attempts]]&lt;15, "Y", "N")</f>
        <v>N</v>
      </c>
      <c r="AK570" s="3" t="str">
        <f>IF(Table1[[#This Row],[Opp Rushing Attempts]]&lt;15, "Y", "N")</f>
        <v>N</v>
      </c>
      <c r="AL5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95.13</v>
      </c>
      <c r="AM57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104.04</v>
      </c>
      <c r="AN5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93.3</v>
      </c>
      <c r="AO5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164.25</v>
      </c>
      <c r="AP570" s="3">
        <f>ABS(Table1[[#This Row],[Team Score]]-Table1[[#This Row],[Opp Team Score]])</f>
        <v>4</v>
      </c>
      <c r="AQ570" s="3">
        <f>SUM(Table1[[#This Row],[Team Score]], Table1[[#This Row],[Opp Team Score]])</f>
        <v>24</v>
      </c>
      <c r="AR57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53.19</v>
      </c>
      <c r="AS570" s="3">
        <f>IF(Table1[[#This Row],[Efficiency Difference]] = " ", " ", ROUND((Table1[[#This Row],[Winning Margin]]*100)/Table1[[#This Row],[Efficiency Difference]], 2))</f>
        <v>7.52</v>
      </c>
    </row>
    <row r="571" spans="1:45">
      <c r="A571" t="s">
        <v>120</v>
      </c>
      <c r="B571">
        <v>539</v>
      </c>
      <c r="C571">
        <v>34</v>
      </c>
      <c r="D571">
        <v>364</v>
      </c>
      <c r="E571">
        <v>35</v>
      </c>
      <c r="F571">
        <v>4</v>
      </c>
      <c r="G571">
        <v>23</v>
      </c>
      <c r="H571">
        <v>1</v>
      </c>
      <c r="I571">
        <v>104</v>
      </c>
      <c r="J571">
        <v>25</v>
      </c>
      <c r="K571">
        <v>0</v>
      </c>
      <c r="L571">
        <v>2</v>
      </c>
      <c r="M571" t="s">
        <v>167</v>
      </c>
      <c r="N571">
        <v>204</v>
      </c>
      <c r="O571">
        <v>6</v>
      </c>
      <c r="P571">
        <v>202</v>
      </c>
      <c r="Q571">
        <v>31</v>
      </c>
      <c r="R571">
        <v>0</v>
      </c>
      <c r="S571">
        <v>18</v>
      </c>
      <c r="T571">
        <v>1</v>
      </c>
      <c r="U571">
        <v>68</v>
      </c>
      <c r="V571">
        <v>43</v>
      </c>
      <c r="W571">
        <v>0</v>
      </c>
      <c r="X571">
        <v>2</v>
      </c>
      <c r="Y571" t="s">
        <v>16</v>
      </c>
      <c r="Z571">
        <v>4</v>
      </c>
      <c r="AA571">
        <f>IF(AND(Table1[[#This Row],[Throw Out Pass Eff]]="N", Table1[[#This Row],[Against FCS Team]]="N"), ROUND(((5.45 * D571) + (150 * F571) + (100 * G571) - (300 * H571)) / E571, 2), " ")</f>
        <v>130.97</v>
      </c>
      <c r="AB571">
        <f>IF(AND(Table1[[#This Row],[Throw Out Pass Def Eff]]="N", Table1[[#This Row],[Against FCS Team]]="N"),200 - ROUND(((5.45 * P571) + (150 * R571) + (100 * S571) - (300 * T571)) / Q571, 2), " ")</f>
        <v>116.1</v>
      </c>
      <c r="AC571">
        <f>IF(AND(Table1[[#This Row],[Throw Out Rush Eff]]="N", Table1[[#This Row],[Against FCS Team]]="N"), ROUND(((23.2 * I571) + (150 * K571) - (300 * L571)) / J571, 2), " ")</f>
        <v>72.510000000000005</v>
      </c>
      <c r="AD571" s="3">
        <f>IF(AND(Table1[[#This Row],[Throw Out Rush Def Eff]]="N", Table1[[#This Row],[Against FCS Team]]="N"), 200 - ROUND(((23.2 * U571) + (150 * W571) - (300 * X571)) / V571, 2), " ")</f>
        <v>177.27</v>
      </c>
      <c r="AE571" s="3">
        <f>ROUND(Table1[[#This Row],[Opp Passing Attempts]]/(Table1[[#This Row],[Opp Passing Attempts]]+Table1[[#This Row],[Opp Rushing Attempts]]), 2)</f>
        <v>0.42</v>
      </c>
      <c r="AF571" s="3">
        <f>1-Table1[[#This Row],[Passing Weight]]</f>
        <v>0.58000000000000007</v>
      </c>
      <c r="AG571" s="3" t="str">
        <f>IF(COUNTIF(A:A,Table1[[#This Row],[Opp Team Name]]) &gt; 0, "N", "Y")</f>
        <v>N</v>
      </c>
      <c r="AH571" s="3" t="str">
        <f>IF(Table1[[#This Row],[Passing Attempts]] &lt;15, "Y", "N")</f>
        <v>N</v>
      </c>
      <c r="AI571" s="3" t="str">
        <f>IF(Table1[[#This Row],[Rushing Attempts]] &lt; 15, "Y", "N")</f>
        <v>N</v>
      </c>
      <c r="AJ571" s="3" t="str">
        <f>IF(Table1[[#This Row],[Opp Passing Attempts]]&lt;15, "Y", "N")</f>
        <v>N</v>
      </c>
      <c r="AK571" s="3" t="str">
        <f>IF(Table1[[#This Row],[Opp Rushing Attempts]]&lt;15, "Y", "N")</f>
        <v>N</v>
      </c>
      <c r="AL5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117.79</v>
      </c>
      <c r="AM57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87.45</v>
      </c>
      <c r="AN5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66.44</v>
      </c>
      <c r="AO5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162.43</v>
      </c>
      <c r="AP571" s="3">
        <f>ABS(Table1[[#This Row],[Team Score]]-Table1[[#This Row],[Opp Team Score]])</f>
        <v>28</v>
      </c>
      <c r="AQ571" s="3">
        <f>SUM(Table1[[#This Row],[Team Score]], Table1[[#This Row],[Opp Team Score]])</f>
        <v>40</v>
      </c>
      <c r="AR57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96.850000000000023</v>
      </c>
      <c r="AS571" s="3">
        <f>IF(Table1[[#This Row],[Efficiency Difference]] = " ", " ", ROUND((Table1[[#This Row],[Winning Margin]]*100)/Table1[[#This Row],[Efficiency Difference]], 2))</f>
        <v>28.91</v>
      </c>
    </row>
    <row r="572" spans="1:45">
      <c r="A572" t="s">
        <v>120</v>
      </c>
      <c r="B572">
        <v>539</v>
      </c>
      <c r="C572">
        <v>16</v>
      </c>
      <c r="D572">
        <v>271</v>
      </c>
      <c r="E572">
        <v>36</v>
      </c>
      <c r="F572">
        <v>1</v>
      </c>
      <c r="G572">
        <v>16</v>
      </c>
      <c r="H572">
        <v>1</v>
      </c>
      <c r="I572">
        <v>193</v>
      </c>
      <c r="J572">
        <v>50</v>
      </c>
      <c r="K572">
        <v>0</v>
      </c>
      <c r="L572">
        <v>2</v>
      </c>
      <c r="M572" t="s">
        <v>35</v>
      </c>
      <c r="N572">
        <v>306</v>
      </c>
      <c r="O572">
        <v>10</v>
      </c>
      <c r="P572">
        <v>184</v>
      </c>
      <c r="Q572">
        <v>45</v>
      </c>
      <c r="R572">
        <v>1</v>
      </c>
      <c r="S572">
        <v>22</v>
      </c>
      <c r="T572">
        <v>1</v>
      </c>
      <c r="U572">
        <v>72</v>
      </c>
      <c r="V572">
        <v>31</v>
      </c>
      <c r="W572">
        <v>0</v>
      </c>
      <c r="X572">
        <v>1</v>
      </c>
      <c r="Y572" t="s">
        <v>16</v>
      </c>
      <c r="Z572">
        <v>5</v>
      </c>
      <c r="AA572">
        <f>IF(AND(Table1[[#This Row],[Throw Out Pass Eff]]="N", Table1[[#This Row],[Against FCS Team]]="N"), ROUND(((5.45 * D572) + (150 * F572) + (100 * G572) - (300 * H572)) / E572, 2), " ")</f>
        <v>81.3</v>
      </c>
      <c r="AB572">
        <f>IF(AND(Table1[[#This Row],[Throw Out Pass Def Eff]]="N", Table1[[#This Row],[Against FCS Team]]="N"),200 - ROUND(((5.45 * P572) + (150 * R572) + (100 * S572) - (300 * T572)) / Q572, 2), " ")</f>
        <v>132.16</v>
      </c>
      <c r="AC572">
        <f>IF(AND(Table1[[#This Row],[Throw Out Rush Eff]]="N", Table1[[#This Row],[Against FCS Team]]="N"), ROUND(((23.2 * I572) + (150 * K572) - (300 * L572)) / J572, 2), " ")</f>
        <v>77.55</v>
      </c>
      <c r="AD572" s="3">
        <f>IF(AND(Table1[[#This Row],[Throw Out Rush Def Eff]]="N", Table1[[#This Row],[Against FCS Team]]="N"), 200 - ROUND(((23.2 * U572) + (150 * W572) - (300 * X572)) / V572, 2), " ")</f>
        <v>155.79</v>
      </c>
      <c r="AE572" s="3">
        <f>ROUND(Table1[[#This Row],[Opp Passing Attempts]]/(Table1[[#This Row],[Opp Passing Attempts]]+Table1[[#This Row],[Opp Rushing Attempts]]), 2)</f>
        <v>0.59</v>
      </c>
      <c r="AF572" s="3">
        <f>1-Table1[[#This Row],[Passing Weight]]</f>
        <v>0.41000000000000003</v>
      </c>
      <c r="AG572" s="3" t="str">
        <f>IF(COUNTIF(A:A,Table1[[#This Row],[Opp Team Name]]) &gt; 0, "N", "Y")</f>
        <v>N</v>
      </c>
      <c r="AH572" s="3" t="str">
        <f>IF(Table1[[#This Row],[Passing Attempts]] &lt;15, "Y", "N")</f>
        <v>N</v>
      </c>
      <c r="AI572" s="3" t="str">
        <f>IF(Table1[[#This Row],[Rushing Attempts]] &lt; 15, "Y", "N")</f>
        <v>N</v>
      </c>
      <c r="AJ572" s="3" t="str">
        <f>IF(Table1[[#This Row],[Opp Passing Attempts]]&lt;15, "Y", "N")</f>
        <v>N</v>
      </c>
      <c r="AK572" s="3" t="str">
        <f>IF(Table1[[#This Row],[Opp Rushing Attempts]]&lt;15, "Y", "N")</f>
        <v>N</v>
      </c>
      <c r="AL5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66.180000000000007</v>
      </c>
      <c r="AM5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107.64</v>
      </c>
      <c r="AN5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64.8</v>
      </c>
      <c r="AO5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111.12</v>
      </c>
      <c r="AP572" s="3">
        <f>ABS(Table1[[#This Row],[Team Score]]-Table1[[#This Row],[Opp Team Score]])</f>
        <v>6</v>
      </c>
      <c r="AQ572" s="3">
        <f>SUM(Table1[[#This Row],[Team Score]], Table1[[#This Row],[Opp Team Score]])</f>
        <v>26</v>
      </c>
      <c r="AR5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46.799999999999983</v>
      </c>
      <c r="AS572" s="3">
        <f>IF(Table1[[#This Row],[Efficiency Difference]] = " ", " ", ROUND((Table1[[#This Row],[Winning Margin]]*100)/Table1[[#This Row],[Efficiency Difference]], 2))</f>
        <v>12.82</v>
      </c>
    </row>
    <row r="573" spans="1:45">
      <c r="A573" t="s">
        <v>120</v>
      </c>
      <c r="B573">
        <v>539</v>
      </c>
      <c r="C573">
        <v>13</v>
      </c>
      <c r="D573">
        <v>164</v>
      </c>
      <c r="E573">
        <v>26</v>
      </c>
      <c r="F573">
        <v>1</v>
      </c>
      <c r="G573">
        <v>15</v>
      </c>
      <c r="H573">
        <v>1</v>
      </c>
      <c r="I573">
        <v>231</v>
      </c>
      <c r="J573">
        <v>46</v>
      </c>
      <c r="K573">
        <v>0</v>
      </c>
      <c r="L573">
        <v>0</v>
      </c>
      <c r="M573" t="s">
        <v>76</v>
      </c>
      <c r="N573">
        <v>312</v>
      </c>
      <c r="O573">
        <v>3</v>
      </c>
      <c r="P573">
        <v>169</v>
      </c>
      <c r="Q573">
        <v>34</v>
      </c>
      <c r="R573">
        <v>0</v>
      </c>
      <c r="S573">
        <v>17</v>
      </c>
      <c r="T573">
        <v>2</v>
      </c>
      <c r="U573">
        <v>84</v>
      </c>
      <c r="V573">
        <v>30</v>
      </c>
      <c r="W573">
        <v>0</v>
      </c>
      <c r="X573">
        <v>1</v>
      </c>
      <c r="Y573" t="s">
        <v>16</v>
      </c>
      <c r="Z573">
        <v>6</v>
      </c>
      <c r="AA573">
        <f>IF(AND(Table1[[#This Row],[Throw Out Pass Eff]]="N", Table1[[#This Row],[Against FCS Team]]="N"), ROUND(((5.45 * D573) + (150 * F573) + (100 * G573) - (300 * H573)) / E573, 2), " ")</f>
        <v>86.3</v>
      </c>
      <c r="AB573">
        <f>IF(AND(Table1[[#This Row],[Throw Out Pass Def Eff]]="N", Table1[[#This Row],[Against FCS Team]]="N"),200 - ROUND(((5.45 * P573) + (150 * R573) + (100 * S573) - (300 * T573)) / Q573, 2), " ")</f>
        <v>140.56</v>
      </c>
      <c r="AC573">
        <f>IF(AND(Table1[[#This Row],[Throw Out Rush Eff]]="N", Table1[[#This Row],[Against FCS Team]]="N"), ROUND(((23.2 * I573) + (150 * K573) - (300 * L573)) / J573, 2), " ")</f>
        <v>116.5</v>
      </c>
      <c r="AD573" s="3">
        <f>IF(AND(Table1[[#This Row],[Throw Out Rush Def Eff]]="N", Table1[[#This Row],[Against FCS Team]]="N"), 200 - ROUND(((23.2 * U573) + (150 * W573) - (300 * X573)) / V573, 2), " ")</f>
        <v>145.04</v>
      </c>
      <c r="AE573" s="3">
        <f>ROUND(Table1[[#This Row],[Opp Passing Attempts]]/(Table1[[#This Row],[Opp Passing Attempts]]+Table1[[#This Row],[Opp Rushing Attempts]]), 2)</f>
        <v>0.53</v>
      </c>
      <c r="AF573" s="3">
        <f>1-Table1[[#This Row],[Passing Weight]]</f>
        <v>0.47</v>
      </c>
      <c r="AG573" s="3" t="str">
        <f>IF(COUNTIF(A:A,Table1[[#This Row],[Opp Team Name]]) &gt; 0, "N", "Y")</f>
        <v>N</v>
      </c>
      <c r="AH573" s="3" t="str">
        <f>IF(Table1[[#This Row],[Passing Attempts]] &lt;15, "Y", "N")</f>
        <v>N</v>
      </c>
      <c r="AI573" s="3" t="str">
        <f>IF(Table1[[#This Row],[Rushing Attempts]] &lt; 15, "Y", "N")</f>
        <v>N</v>
      </c>
      <c r="AJ573" s="3" t="str">
        <f>IF(Table1[[#This Row],[Opp Passing Attempts]]&lt;15, "Y", "N")</f>
        <v>N</v>
      </c>
      <c r="AK573" s="3" t="str">
        <f>IF(Table1[[#This Row],[Opp Rushing Attempts]]&lt;15, "Y", "N")</f>
        <v>N</v>
      </c>
      <c r="AL57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78.87</v>
      </c>
      <c r="AM57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168.69</v>
      </c>
      <c r="AN57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131.77000000000001</v>
      </c>
      <c r="AO57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141.13999999999999</v>
      </c>
      <c r="AP573" s="3">
        <f>ABS(Table1[[#This Row],[Team Score]]-Table1[[#This Row],[Opp Team Score]])</f>
        <v>10</v>
      </c>
      <c r="AQ573" s="3">
        <f>SUM(Table1[[#This Row],[Team Score]], Table1[[#This Row],[Opp Team Score]])</f>
        <v>16</v>
      </c>
      <c r="AR57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88.400000000000034</v>
      </c>
      <c r="AS573" s="3">
        <f>IF(Table1[[#This Row],[Efficiency Difference]] = " ", " ", ROUND((Table1[[#This Row],[Winning Margin]]*100)/Table1[[#This Row],[Efficiency Difference]], 2))</f>
        <v>11.31</v>
      </c>
    </row>
    <row r="574" spans="1:45">
      <c r="A574" t="s">
        <v>120</v>
      </c>
      <c r="B574">
        <v>539</v>
      </c>
      <c r="C574">
        <v>23</v>
      </c>
      <c r="D574">
        <v>185</v>
      </c>
      <c r="E574">
        <v>23</v>
      </c>
      <c r="F574">
        <v>0</v>
      </c>
      <c r="G574">
        <v>10</v>
      </c>
      <c r="H574">
        <v>1</v>
      </c>
      <c r="I574">
        <v>182</v>
      </c>
      <c r="J574">
        <v>48</v>
      </c>
      <c r="K574">
        <v>2</v>
      </c>
      <c r="L574">
        <v>0</v>
      </c>
      <c r="M574" t="s">
        <v>101</v>
      </c>
      <c r="N574">
        <v>559</v>
      </c>
      <c r="O574">
        <v>18</v>
      </c>
      <c r="P574">
        <v>182</v>
      </c>
      <c r="Q574">
        <v>30</v>
      </c>
      <c r="R574">
        <v>1</v>
      </c>
      <c r="S574">
        <v>14</v>
      </c>
      <c r="T574">
        <v>3</v>
      </c>
      <c r="U574">
        <v>162</v>
      </c>
      <c r="V574">
        <v>33</v>
      </c>
      <c r="W574">
        <v>1</v>
      </c>
      <c r="X574">
        <v>0</v>
      </c>
      <c r="Y574" t="s">
        <v>16</v>
      </c>
      <c r="Z574">
        <v>7</v>
      </c>
      <c r="AA574">
        <f>IF(AND(Table1[[#This Row],[Throw Out Pass Eff]]="N", Table1[[#This Row],[Against FCS Team]]="N"), ROUND(((5.45 * D574) + (150 * F574) + (100 * G574) - (300 * H574)) / E574, 2), " ")</f>
        <v>74.27</v>
      </c>
      <c r="AB574">
        <f>IF(AND(Table1[[#This Row],[Throw Out Pass Def Eff]]="N", Table1[[#This Row],[Against FCS Team]]="N"),200 - ROUND(((5.45 * P574) + (150 * R574) + (100 * S574) - (300 * T574)) / Q574, 2), " ")</f>
        <v>145.27000000000001</v>
      </c>
      <c r="AC574">
        <f>IF(AND(Table1[[#This Row],[Throw Out Rush Eff]]="N", Table1[[#This Row],[Against FCS Team]]="N"), ROUND(((23.2 * I574) + (150 * K574) - (300 * L574)) / J574, 2), " ")</f>
        <v>94.22</v>
      </c>
      <c r="AD574" s="3">
        <f>IF(AND(Table1[[#This Row],[Throw Out Rush Def Eff]]="N", Table1[[#This Row],[Against FCS Team]]="N"), 200 - ROUND(((23.2 * U574) + (150 * W574) - (300 * X574)) / V574, 2), " ")</f>
        <v>81.56</v>
      </c>
      <c r="AE574" s="3">
        <f>ROUND(Table1[[#This Row],[Opp Passing Attempts]]/(Table1[[#This Row],[Opp Passing Attempts]]+Table1[[#This Row],[Opp Rushing Attempts]]), 2)</f>
        <v>0.48</v>
      </c>
      <c r="AF574" s="3">
        <f>1-Table1[[#This Row],[Passing Weight]]</f>
        <v>0.52</v>
      </c>
      <c r="AG574" s="3" t="str">
        <f>IF(COUNTIF(A:A,Table1[[#This Row],[Opp Team Name]]) &gt; 0, "N", "Y")</f>
        <v>N</v>
      </c>
      <c r="AH574" s="3" t="str">
        <f>IF(Table1[[#This Row],[Passing Attempts]] &lt;15, "Y", "N")</f>
        <v>N</v>
      </c>
      <c r="AI574" s="3" t="str">
        <f>IF(Table1[[#This Row],[Rushing Attempts]] &lt; 15, "Y", "N")</f>
        <v>N</v>
      </c>
      <c r="AJ574" s="3" t="str">
        <f>IF(Table1[[#This Row],[Opp Passing Attempts]]&lt;15, "Y", "N")</f>
        <v>N</v>
      </c>
      <c r="AK574" s="3" t="str">
        <f>IF(Table1[[#This Row],[Opp Rushing Attempts]]&lt;15, "Y", "N")</f>
        <v>N</v>
      </c>
      <c r="AL5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82.19</v>
      </c>
      <c r="AM5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129</v>
      </c>
      <c r="AN5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99.72</v>
      </c>
      <c r="AO5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78.959999999999994</v>
      </c>
      <c r="AP574" s="3">
        <f>ABS(Table1[[#This Row],[Team Score]]-Table1[[#This Row],[Opp Team Score]])</f>
        <v>5</v>
      </c>
      <c r="AQ574" s="3">
        <f>SUM(Table1[[#This Row],[Team Score]], Table1[[#This Row],[Opp Team Score]])</f>
        <v>41</v>
      </c>
      <c r="AR5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4.6799999999999784</v>
      </c>
      <c r="AS574" s="3">
        <f>IF(Table1[[#This Row],[Efficiency Difference]] = " ", " ", ROUND((Table1[[#This Row],[Winning Margin]]*100)/Table1[[#This Row],[Efficiency Difference]], 2))</f>
        <v>106.84</v>
      </c>
    </row>
    <row r="575" spans="1:45">
      <c r="A575" t="s">
        <v>120</v>
      </c>
      <c r="B575">
        <v>539</v>
      </c>
      <c r="C575">
        <v>34</v>
      </c>
      <c r="D575">
        <v>192</v>
      </c>
      <c r="E575">
        <v>27</v>
      </c>
      <c r="F575">
        <v>2</v>
      </c>
      <c r="G575">
        <v>17</v>
      </c>
      <c r="H575">
        <v>0</v>
      </c>
      <c r="I575">
        <v>197</v>
      </c>
      <c r="J575">
        <v>38</v>
      </c>
      <c r="K575">
        <v>2</v>
      </c>
      <c r="L575">
        <v>1</v>
      </c>
      <c r="M575" t="s">
        <v>41</v>
      </c>
      <c r="N575">
        <v>509</v>
      </c>
      <c r="O575">
        <v>24</v>
      </c>
      <c r="P575">
        <v>312</v>
      </c>
      <c r="Q575">
        <v>39</v>
      </c>
      <c r="R575">
        <v>1</v>
      </c>
      <c r="S575">
        <v>28</v>
      </c>
      <c r="T575">
        <v>1</v>
      </c>
      <c r="U575">
        <v>94</v>
      </c>
      <c r="V575">
        <v>37</v>
      </c>
      <c r="W575">
        <v>2</v>
      </c>
      <c r="X575">
        <v>0</v>
      </c>
      <c r="Y575" t="s">
        <v>16</v>
      </c>
      <c r="Z575">
        <v>8</v>
      </c>
      <c r="AA575" s="3">
        <f>IF(AND(Table1[[#This Row],[Throw Out Pass Eff]]="N", Table1[[#This Row],[Against FCS Team]]="N"), ROUND(((5.45 * D575) + (150 * F575) + (100 * G575) - (300 * H575)) / E575, 2), " ")</f>
        <v>112.83</v>
      </c>
      <c r="AB575" s="3">
        <f>IF(AND(Table1[[#This Row],[Throw Out Pass Def Eff]]="N", Table1[[#This Row],[Against FCS Team]]="N"),200 - ROUND(((5.45 * P575) + (150 * R575) + (100 * S575) - (300 * T575)) / Q575, 2), " ")</f>
        <v>88.45</v>
      </c>
      <c r="AC575" s="3">
        <f>IF(AND(Table1[[#This Row],[Throw Out Rush Eff]]="N", Table1[[#This Row],[Against FCS Team]]="N"), ROUND(((23.2 * I575) + (150 * K575) - (300 * L575)) / J575, 2), " ")</f>
        <v>120.27</v>
      </c>
      <c r="AD575" s="3">
        <f>IF(AND(Table1[[#This Row],[Throw Out Rush Def Eff]]="N", Table1[[#This Row],[Against FCS Team]]="N"), 200 - ROUND(((23.2 * U575) + (150 * W575) - (300 * X575)) / V575, 2), " ")</f>
        <v>132.94999999999999</v>
      </c>
      <c r="AE575" s="3">
        <f>ROUND(Table1[[#This Row],[Opp Passing Attempts]]/(Table1[[#This Row],[Opp Passing Attempts]]+Table1[[#This Row],[Opp Rushing Attempts]]), 2)</f>
        <v>0.51</v>
      </c>
      <c r="AF575" s="3">
        <f>1-Table1[[#This Row],[Passing Weight]]</f>
        <v>0.49</v>
      </c>
      <c r="AG575" s="3" t="str">
        <f>IF(COUNTIF(A:A,Table1[[#This Row],[Opp Team Name]]) &gt; 0, "N", "Y")</f>
        <v>N</v>
      </c>
      <c r="AH575" s="3" t="str">
        <f>IF(Table1[[#This Row],[Passing Attempts]] &lt;15, "Y", "N")</f>
        <v>N</v>
      </c>
      <c r="AI575" s="3" t="str">
        <f>IF(Table1[[#This Row],[Rushing Attempts]] &lt; 15, "Y", "N")</f>
        <v>N</v>
      </c>
      <c r="AJ575" s="3" t="str">
        <f>IF(Table1[[#This Row],[Opp Passing Attempts]]&lt;15, "Y", "N")</f>
        <v>N</v>
      </c>
      <c r="AK575" s="3" t="str">
        <f>IF(Table1[[#This Row],[Opp Rushing Attempts]]&lt;15, "Y", "N")</f>
        <v>N</v>
      </c>
      <c r="AL5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95.47</v>
      </c>
      <c r="AM5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103.21</v>
      </c>
      <c r="AN5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118.88</v>
      </c>
      <c r="AO5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118.3</v>
      </c>
      <c r="AP575" s="3">
        <f>ABS(Table1[[#This Row],[Team Score]]-Table1[[#This Row],[Opp Team Score]])</f>
        <v>10</v>
      </c>
      <c r="AQ575" s="3">
        <f>SUM(Table1[[#This Row],[Team Score]], Table1[[#This Row],[Opp Team Score]])</f>
        <v>58</v>
      </c>
      <c r="AR57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54.499999999999972</v>
      </c>
      <c r="AS575" s="3">
        <f>IF(Table1[[#This Row],[Efficiency Difference]] = " ", " ", ROUND((Table1[[#This Row],[Winning Margin]]*100)/Table1[[#This Row],[Efficiency Difference]], 2))</f>
        <v>18.350000000000001</v>
      </c>
    </row>
    <row r="576" spans="1:45">
      <c r="A576" t="s">
        <v>45</v>
      </c>
      <c r="B576">
        <v>545</v>
      </c>
      <c r="C576">
        <v>35</v>
      </c>
      <c r="D576">
        <v>257</v>
      </c>
      <c r="E576">
        <v>42</v>
      </c>
      <c r="F576">
        <v>0</v>
      </c>
      <c r="G576">
        <v>26</v>
      </c>
      <c r="H576">
        <v>2</v>
      </c>
      <c r="I576">
        <v>124</v>
      </c>
      <c r="J576">
        <v>48</v>
      </c>
      <c r="K576">
        <v>4</v>
      </c>
      <c r="L576">
        <v>0</v>
      </c>
      <c r="M576" t="s">
        <v>185</v>
      </c>
      <c r="N576">
        <v>380</v>
      </c>
      <c r="O576">
        <v>29</v>
      </c>
      <c r="P576">
        <v>334</v>
      </c>
      <c r="Q576">
        <v>46</v>
      </c>
      <c r="R576">
        <v>3</v>
      </c>
      <c r="S576">
        <v>27</v>
      </c>
      <c r="T576">
        <v>0</v>
      </c>
      <c r="U576">
        <v>37</v>
      </c>
      <c r="V576">
        <v>25</v>
      </c>
      <c r="W576">
        <v>1</v>
      </c>
      <c r="X576">
        <v>0</v>
      </c>
      <c r="Y576" t="s">
        <v>16</v>
      </c>
      <c r="Z576">
        <v>2</v>
      </c>
      <c r="AA576" t="str">
        <f>IF(AND(Table1[[#This Row],[Throw Out Pass Eff]]="N", Table1[[#This Row],[Against FCS Team]]="N"), ROUND(((5.45 * D576) + (150 * F576) + (100 * G576) - (300 * H576)) / E576, 2), " ")</f>
        <v xml:space="preserve"> </v>
      </c>
      <c r="AB576" t="str">
        <f>IF(AND(Table1[[#This Row],[Throw Out Pass Def Eff]]="N", Table1[[#This Row],[Against FCS Team]]="N"),200 - ROUND(((5.45 * P576) + (150 * R576) + (100 * S576) - (300 * T576)) / Q576, 2), " ")</f>
        <v xml:space="preserve"> </v>
      </c>
      <c r="AC576" t="str">
        <f>IF(AND(Table1[[#This Row],[Throw Out Rush Eff]]="N", Table1[[#This Row],[Against FCS Team]]="N"), ROUND(((23.2 * I576) + (150 * K576) - (300 * L576)) / J576, 2), " ")</f>
        <v xml:space="preserve"> </v>
      </c>
      <c r="AD576" s="3" t="str">
        <f>IF(AND(Table1[[#This Row],[Throw Out Rush Def Eff]]="N", Table1[[#This Row],[Against FCS Team]]="N"), 200 - ROUND(((23.2 * U576) + (150 * W576) - (300 * X576)) / V576, 2), " ")</f>
        <v xml:space="preserve"> </v>
      </c>
      <c r="AE576" s="3">
        <f>ROUND(Table1[[#This Row],[Opp Passing Attempts]]/(Table1[[#This Row],[Opp Passing Attempts]]+Table1[[#This Row],[Opp Rushing Attempts]]), 2)</f>
        <v>0.65</v>
      </c>
      <c r="AF576" s="3">
        <f>1-Table1[[#This Row],[Passing Weight]]</f>
        <v>0.35</v>
      </c>
      <c r="AG576" s="3" t="str">
        <f>IF(COUNTIF(A:A,Table1[[#This Row],[Opp Team Name]]) &gt; 0, "N", "Y")</f>
        <v>Y</v>
      </c>
      <c r="AH576" s="3" t="str">
        <f>IF(Table1[[#This Row],[Passing Attempts]] &lt;15, "Y", "N")</f>
        <v>N</v>
      </c>
      <c r="AI576" s="3" t="str">
        <f>IF(Table1[[#This Row],[Rushing Attempts]] &lt; 15, "Y", "N")</f>
        <v>N</v>
      </c>
      <c r="AJ576" s="3" t="str">
        <f>IF(Table1[[#This Row],[Opp Passing Attempts]]&lt;15, "Y", "N")</f>
        <v>N</v>
      </c>
      <c r="AK576" s="3" t="str">
        <f>IF(Table1[[#This Row],[Opp Rushing Attempts]]&lt;15, "Y", "N")</f>
        <v>N</v>
      </c>
      <c r="AL576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7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76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7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576" s="3">
        <f>ABS(Table1[[#This Row],[Team Score]]-Table1[[#This Row],[Opp Team Score]])</f>
        <v>6</v>
      </c>
      <c r="AQ576" s="3">
        <f>SUM(Table1[[#This Row],[Team Score]], Table1[[#This Row],[Opp Team Score]])</f>
        <v>64</v>
      </c>
      <c r="AR57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76" s="3" t="str">
        <f>IF(Table1[[#This Row],[Efficiency Difference]] = " ", " ", ROUND((Table1[[#This Row],[Winning Margin]]*100)/Table1[[#This Row],[Efficiency Difference]], 2))</f>
        <v xml:space="preserve"> </v>
      </c>
    </row>
    <row r="577" spans="1:45">
      <c r="A577" t="s">
        <v>45</v>
      </c>
      <c r="B577">
        <v>545</v>
      </c>
      <c r="C577">
        <v>35</v>
      </c>
      <c r="D577">
        <v>179</v>
      </c>
      <c r="E577">
        <v>28</v>
      </c>
      <c r="F577">
        <v>1</v>
      </c>
      <c r="G577">
        <v>16</v>
      </c>
      <c r="H577">
        <v>0</v>
      </c>
      <c r="I577">
        <v>231</v>
      </c>
      <c r="J577">
        <v>38</v>
      </c>
      <c r="K577">
        <v>4</v>
      </c>
      <c r="L577">
        <v>1</v>
      </c>
      <c r="M577" t="s">
        <v>44</v>
      </c>
      <c r="N577">
        <v>86</v>
      </c>
      <c r="O577">
        <v>16</v>
      </c>
      <c r="P577">
        <v>276</v>
      </c>
      <c r="Q577">
        <v>49</v>
      </c>
      <c r="R577">
        <v>0</v>
      </c>
      <c r="S577">
        <v>32</v>
      </c>
      <c r="T577">
        <v>1</v>
      </c>
      <c r="U577">
        <v>127</v>
      </c>
      <c r="V577">
        <v>44</v>
      </c>
      <c r="W577">
        <v>2</v>
      </c>
      <c r="X577">
        <v>0</v>
      </c>
      <c r="Y577" t="s">
        <v>16</v>
      </c>
      <c r="Z577">
        <v>1</v>
      </c>
      <c r="AA577">
        <f>IF(AND(Table1[[#This Row],[Throw Out Pass Eff]]="N", Table1[[#This Row],[Against FCS Team]]="N"), ROUND(((5.45 * D577) + (150 * F577) + (100 * G577) - (300 * H577)) / E577, 2), " ")</f>
        <v>97.34</v>
      </c>
      <c r="AB577">
        <f>IF(AND(Table1[[#This Row],[Throw Out Pass Def Eff]]="N", Table1[[#This Row],[Against FCS Team]]="N"),200 - ROUND(((5.45 * P577) + (150 * R577) + (100 * S577) - (300 * T577)) / Q577, 2), " ")</f>
        <v>110.12</v>
      </c>
      <c r="AC577">
        <f>IF(AND(Table1[[#This Row],[Throw Out Rush Eff]]="N", Table1[[#This Row],[Against FCS Team]]="N"), ROUND(((23.2 * I577) + (150 * K577) - (300 * L577)) / J577, 2), " ")</f>
        <v>148.93</v>
      </c>
      <c r="AD577" s="3">
        <f>IF(AND(Table1[[#This Row],[Throw Out Rush Def Eff]]="N", Table1[[#This Row],[Against FCS Team]]="N"), 200 - ROUND(((23.2 * U577) + (150 * W577) - (300 * X577)) / V577, 2), " ")</f>
        <v>126.22</v>
      </c>
      <c r="AE577" s="3">
        <f>ROUND(Table1[[#This Row],[Opp Passing Attempts]]/(Table1[[#This Row],[Opp Passing Attempts]]+Table1[[#This Row],[Opp Rushing Attempts]]), 2)</f>
        <v>0.53</v>
      </c>
      <c r="AF577" s="3">
        <f>1-Table1[[#This Row],[Passing Weight]]</f>
        <v>0.47</v>
      </c>
      <c r="AG577" s="3" t="str">
        <f>IF(COUNTIF(A:A,Table1[[#This Row],[Opp Team Name]]) &gt; 0, "N", "Y")</f>
        <v>N</v>
      </c>
      <c r="AH577" s="3" t="str">
        <f>IF(Table1[[#This Row],[Passing Attempts]] &lt;15, "Y", "N")</f>
        <v>N</v>
      </c>
      <c r="AI577" s="3" t="str">
        <f>IF(Table1[[#This Row],[Rushing Attempts]] &lt; 15, "Y", "N")</f>
        <v>N</v>
      </c>
      <c r="AJ577" s="3" t="str">
        <f>IF(Table1[[#This Row],[Opp Passing Attempts]]&lt;15, "Y", "N")</f>
        <v>N</v>
      </c>
      <c r="AK577" s="3" t="str">
        <f>IF(Table1[[#This Row],[Opp Rushing Attempts]]&lt;15, "Y", "N")</f>
        <v>N</v>
      </c>
      <c r="AL57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91.42</v>
      </c>
      <c r="AM57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92.48</v>
      </c>
      <c r="AN57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122.78</v>
      </c>
      <c r="AO57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117.49</v>
      </c>
      <c r="AP577" s="3">
        <f>ABS(Table1[[#This Row],[Team Score]]-Table1[[#This Row],[Opp Team Score]])</f>
        <v>19</v>
      </c>
      <c r="AQ577" s="3">
        <f>SUM(Table1[[#This Row],[Team Score]], Table1[[#This Row],[Opp Team Score]])</f>
        <v>51</v>
      </c>
      <c r="AR57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82.610000000000014</v>
      </c>
      <c r="AS577" s="3">
        <f>IF(Table1[[#This Row],[Efficiency Difference]] = " ", " ", ROUND((Table1[[#This Row],[Winning Margin]]*100)/Table1[[#This Row],[Efficiency Difference]], 2))</f>
        <v>23</v>
      </c>
    </row>
    <row r="578" spans="1:45">
      <c r="A578" t="s">
        <v>45</v>
      </c>
      <c r="B578">
        <v>545</v>
      </c>
      <c r="C578">
        <v>27</v>
      </c>
      <c r="D578">
        <v>285</v>
      </c>
      <c r="E578">
        <v>34</v>
      </c>
      <c r="F578">
        <v>3</v>
      </c>
      <c r="G578">
        <v>24</v>
      </c>
      <c r="H578">
        <v>2</v>
      </c>
      <c r="I578">
        <v>137</v>
      </c>
      <c r="J578">
        <v>37</v>
      </c>
      <c r="K578">
        <v>0</v>
      </c>
      <c r="L578">
        <v>1</v>
      </c>
      <c r="M578" t="s">
        <v>76</v>
      </c>
      <c r="N578">
        <v>312</v>
      </c>
      <c r="O578">
        <v>31</v>
      </c>
      <c r="P578">
        <v>399</v>
      </c>
      <c r="Q578">
        <v>48</v>
      </c>
      <c r="R578">
        <v>3</v>
      </c>
      <c r="S578">
        <v>31</v>
      </c>
      <c r="T578">
        <v>1</v>
      </c>
      <c r="U578">
        <v>76</v>
      </c>
      <c r="V578">
        <v>33</v>
      </c>
      <c r="W578">
        <v>1</v>
      </c>
      <c r="X578">
        <v>0</v>
      </c>
      <c r="Y578" t="s">
        <v>19</v>
      </c>
      <c r="Z578">
        <v>3</v>
      </c>
      <c r="AA578">
        <f>IF(AND(Table1[[#This Row],[Throw Out Pass Eff]]="N", Table1[[#This Row],[Against FCS Team]]="N"), ROUND(((5.45 * D578) + (150 * F578) + (100 * G578) - (300 * H578)) / E578, 2), " ")</f>
        <v>111.86</v>
      </c>
      <c r="AB578">
        <f>IF(AND(Table1[[#This Row],[Throw Out Pass Def Eff]]="N", Table1[[#This Row],[Against FCS Team]]="N"),200 - ROUND(((5.45 * P578) + (150 * R578) + (100 * S578) - (300 * T578)) / Q578, 2), " ")</f>
        <v>86.99</v>
      </c>
      <c r="AC578">
        <f>IF(AND(Table1[[#This Row],[Throw Out Rush Eff]]="N", Table1[[#This Row],[Against FCS Team]]="N"), ROUND(((23.2 * I578) + (150 * K578) - (300 * L578)) / J578, 2), " ")</f>
        <v>77.790000000000006</v>
      </c>
      <c r="AD578" s="3">
        <f>IF(AND(Table1[[#This Row],[Throw Out Rush Def Eff]]="N", Table1[[#This Row],[Against FCS Team]]="N"), 200 - ROUND(((23.2 * U578) + (150 * W578) - (300 * X578)) / V578, 2), " ")</f>
        <v>142.02000000000001</v>
      </c>
      <c r="AE578" s="3">
        <f>ROUND(Table1[[#This Row],[Opp Passing Attempts]]/(Table1[[#This Row],[Opp Passing Attempts]]+Table1[[#This Row],[Opp Rushing Attempts]]), 2)</f>
        <v>0.59</v>
      </c>
      <c r="AF578" s="3">
        <f>1-Table1[[#This Row],[Passing Weight]]</f>
        <v>0.41000000000000003</v>
      </c>
      <c r="AG578" s="3" t="str">
        <f>IF(COUNTIF(A:A,Table1[[#This Row],[Opp Team Name]]) &gt; 0, "N", "Y")</f>
        <v>N</v>
      </c>
      <c r="AH578" s="3" t="str">
        <f>IF(Table1[[#This Row],[Passing Attempts]] &lt;15, "Y", "N")</f>
        <v>N</v>
      </c>
      <c r="AI578" s="3" t="str">
        <f>IF(Table1[[#This Row],[Rushing Attempts]] &lt; 15, "Y", "N")</f>
        <v>N</v>
      </c>
      <c r="AJ578" s="3" t="str">
        <f>IF(Table1[[#This Row],[Opp Passing Attempts]]&lt;15, "Y", "N")</f>
        <v>N</v>
      </c>
      <c r="AK578" s="3" t="str">
        <f>IF(Table1[[#This Row],[Opp Rushing Attempts]]&lt;15, "Y", "N")</f>
        <v>N</v>
      </c>
      <c r="AL5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102.23</v>
      </c>
      <c r="AM5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104.4</v>
      </c>
      <c r="AN5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87.99</v>
      </c>
      <c r="AO5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138.19999999999999</v>
      </c>
      <c r="AP578" s="3">
        <f>ABS(Table1[[#This Row],[Team Score]]-Table1[[#This Row],[Opp Team Score]])</f>
        <v>4</v>
      </c>
      <c r="AQ578" s="3">
        <f>SUM(Table1[[#This Row],[Team Score]], Table1[[#This Row],[Opp Team Score]])</f>
        <v>58</v>
      </c>
      <c r="AR5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18.659999999999997</v>
      </c>
      <c r="AS578" s="3">
        <f>IF(Table1[[#This Row],[Efficiency Difference]] = " ", " ", ROUND((Table1[[#This Row],[Winning Margin]]*100)/Table1[[#This Row],[Efficiency Difference]], 2))</f>
        <v>21.44</v>
      </c>
    </row>
    <row r="579" spans="1:45">
      <c r="A579" t="s">
        <v>45</v>
      </c>
      <c r="B579">
        <v>545</v>
      </c>
      <c r="C579">
        <v>12</v>
      </c>
      <c r="D579">
        <v>165</v>
      </c>
      <c r="E579">
        <v>32</v>
      </c>
      <c r="F579">
        <v>1</v>
      </c>
      <c r="G579">
        <v>22</v>
      </c>
      <c r="H579">
        <v>0</v>
      </c>
      <c r="I579">
        <v>103</v>
      </c>
      <c r="J579">
        <v>38</v>
      </c>
      <c r="K579">
        <v>0</v>
      </c>
      <c r="L579">
        <v>0</v>
      </c>
      <c r="M579" t="s">
        <v>114</v>
      </c>
      <c r="N579">
        <v>513</v>
      </c>
      <c r="O579">
        <v>15</v>
      </c>
      <c r="P579">
        <v>216</v>
      </c>
      <c r="Q579">
        <v>41</v>
      </c>
      <c r="R579">
        <v>1</v>
      </c>
      <c r="S579">
        <v>24</v>
      </c>
      <c r="T579">
        <v>1</v>
      </c>
      <c r="U579">
        <v>182</v>
      </c>
      <c r="V579">
        <v>32</v>
      </c>
      <c r="W579">
        <v>1</v>
      </c>
      <c r="X579">
        <v>1</v>
      </c>
      <c r="Y579" t="s">
        <v>19</v>
      </c>
      <c r="Z579">
        <v>4</v>
      </c>
      <c r="AA579">
        <f>IF(AND(Table1[[#This Row],[Throw Out Pass Eff]]="N", Table1[[#This Row],[Against FCS Team]]="N"), ROUND(((5.45 * D579) + (150 * F579) + (100 * G579) - (300 * H579)) / E579, 2), " ")</f>
        <v>101.54</v>
      </c>
      <c r="AB579">
        <f>IF(AND(Table1[[#This Row],[Throw Out Pass Def Eff]]="N", Table1[[#This Row],[Against FCS Team]]="N"),200 - ROUND(((5.45 * P579) + (150 * R579) + (100 * S579) - (300 * T579)) / Q579, 2), " ")</f>
        <v>116.41</v>
      </c>
      <c r="AC579">
        <f>IF(AND(Table1[[#This Row],[Throw Out Rush Eff]]="N", Table1[[#This Row],[Against FCS Team]]="N"), ROUND(((23.2 * I579) + (150 * K579) - (300 * L579)) / J579, 2), " ")</f>
        <v>62.88</v>
      </c>
      <c r="AD579" s="3">
        <f>IF(AND(Table1[[#This Row],[Throw Out Rush Def Eff]]="N", Table1[[#This Row],[Against FCS Team]]="N"), 200 - ROUND(((23.2 * U579) + (150 * W579) - (300 * X579)) / V579, 2), " ")</f>
        <v>72.739999999999995</v>
      </c>
      <c r="AE579" s="3">
        <f>ROUND(Table1[[#This Row],[Opp Passing Attempts]]/(Table1[[#This Row],[Opp Passing Attempts]]+Table1[[#This Row],[Opp Rushing Attempts]]), 2)</f>
        <v>0.56000000000000005</v>
      </c>
      <c r="AF579" s="3">
        <f>1-Table1[[#This Row],[Passing Weight]]</f>
        <v>0.43999999999999995</v>
      </c>
      <c r="AG579" s="3" t="str">
        <f>IF(COUNTIF(A:A,Table1[[#This Row],[Opp Team Name]]) &gt; 0, "N", "Y")</f>
        <v>N</v>
      </c>
      <c r="AH579" s="3" t="str">
        <f>IF(Table1[[#This Row],[Passing Attempts]] &lt;15, "Y", "N")</f>
        <v>N</v>
      </c>
      <c r="AI579" s="3" t="str">
        <f>IF(Table1[[#This Row],[Rushing Attempts]] &lt; 15, "Y", "N")</f>
        <v>N</v>
      </c>
      <c r="AJ579" s="3" t="str">
        <f>IF(Table1[[#This Row],[Opp Passing Attempts]]&lt;15, "Y", "N")</f>
        <v>N</v>
      </c>
      <c r="AK579" s="3" t="str">
        <f>IF(Table1[[#This Row],[Opp Rushing Attempts]]&lt;15, "Y", "N")</f>
        <v>N</v>
      </c>
      <c r="AL5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104.49</v>
      </c>
      <c r="AM5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118.47</v>
      </c>
      <c r="AN5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73.28</v>
      </c>
      <c r="AO5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97.29</v>
      </c>
      <c r="AP579" s="3">
        <f>ABS(Table1[[#This Row],[Team Score]]-Table1[[#This Row],[Opp Team Score]])</f>
        <v>3</v>
      </c>
      <c r="AQ579" s="3">
        <f>SUM(Table1[[#This Row],[Team Score]], Table1[[#This Row],[Opp Team Score]])</f>
        <v>27</v>
      </c>
      <c r="AR5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46.430000000000007</v>
      </c>
      <c r="AS579" s="3">
        <f>IF(Table1[[#This Row],[Efficiency Difference]] = " ", " ", ROUND((Table1[[#This Row],[Winning Margin]]*100)/Table1[[#This Row],[Efficiency Difference]], 2))</f>
        <v>6.46</v>
      </c>
    </row>
    <row r="580" spans="1:45">
      <c r="A580" t="s">
        <v>45</v>
      </c>
      <c r="B580">
        <v>545</v>
      </c>
      <c r="C580">
        <v>44</v>
      </c>
      <c r="D580">
        <v>216</v>
      </c>
      <c r="E580">
        <v>33</v>
      </c>
      <c r="F580">
        <v>1</v>
      </c>
      <c r="G580">
        <v>22</v>
      </c>
      <c r="H580">
        <v>0</v>
      </c>
      <c r="I580">
        <v>307</v>
      </c>
      <c r="J580">
        <v>58</v>
      </c>
      <c r="K580">
        <v>4</v>
      </c>
      <c r="L580">
        <v>1</v>
      </c>
      <c r="M580" t="s">
        <v>115</v>
      </c>
      <c r="N580">
        <v>651</v>
      </c>
      <c r="O580">
        <v>17</v>
      </c>
      <c r="P580">
        <v>223</v>
      </c>
      <c r="Q580">
        <v>36</v>
      </c>
      <c r="R580">
        <v>0</v>
      </c>
      <c r="S580">
        <v>18</v>
      </c>
      <c r="T580">
        <v>0</v>
      </c>
      <c r="U580">
        <v>202</v>
      </c>
      <c r="V580">
        <v>38</v>
      </c>
      <c r="W580">
        <v>2</v>
      </c>
      <c r="X580">
        <v>2</v>
      </c>
      <c r="Y580" t="s">
        <v>16</v>
      </c>
      <c r="Z580">
        <v>5</v>
      </c>
      <c r="AA580">
        <f>IF(AND(Table1[[#This Row],[Throw Out Pass Eff]]="N", Table1[[#This Row],[Against FCS Team]]="N"), ROUND(((5.45 * D580) + (150 * F580) + (100 * G580) - (300 * H580)) / E580, 2), " ")</f>
        <v>106.88</v>
      </c>
      <c r="AB580">
        <f>IF(AND(Table1[[#This Row],[Throw Out Pass Def Eff]]="N", Table1[[#This Row],[Against FCS Team]]="N"),200 - ROUND(((5.45 * P580) + (150 * R580) + (100 * S580) - (300 * T580)) / Q580, 2), " ")</f>
        <v>116.24</v>
      </c>
      <c r="AC580">
        <f>IF(AND(Table1[[#This Row],[Throw Out Rush Eff]]="N", Table1[[#This Row],[Against FCS Team]]="N"), ROUND(((23.2 * I580) + (150 * K580) - (300 * L580)) / J580, 2), " ")</f>
        <v>127.97</v>
      </c>
      <c r="AD580" s="3">
        <f>IF(AND(Table1[[#This Row],[Throw Out Rush Def Eff]]="N", Table1[[#This Row],[Against FCS Team]]="N"), 200 - ROUND(((23.2 * U580) + (150 * W580) - (300 * X580)) / V580, 2), " ")</f>
        <v>84.57</v>
      </c>
      <c r="AE580" s="3">
        <f>ROUND(Table1[[#This Row],[Opp Passing Attempts]]/(Table1[[#This Row],[Opp Passing Attempts]]+Table1[[#This Row],[Opp Rushing Attempts]]), 2)</f>
        <v>0.49</v>
      </c>
      <c r="AF580" s="3">
        <f>1-Table1[[#This Row],[Passing Weight]]</f>
        <v>0.51</v>
      </c>
      <c r="AG580" s="3" t="str">
        <f>IF(COUNTIF(A:A,Table1[[#This Row],[Opp Team Name]]) &gt; 0, "N", "Y")</f>
        <v>N</v>
      </c>
      <c r="AH580" s="3" t="str">
        <f>IF(Table1[[#This Row],[Passing Attempts]] &lt;15, "Y", "N")</f>
        <v>N</v>
      </c>
      <c r="AI580" s="3" t="str">
        <f>IF(Table1[[#This Row],[Rushing Attempts]] &lt; 15, "Y", "N")</f>
        <v>N</v>
      </c>
      <c r="AJ580" s="3" t="str">
        <f>IF(Table1[[#This Row],[Opp Passing Attempts]]&lt;15, "Y", "N")</f>
        <v>N</v>
      </c>
      <c r="AK580" s="3" t="str">
        <f>IF(Table1[[#This Row],[Opp Rushing Attempts]]&lt;15, "Y", "N")</f>
        <v>N</v>
      </c>
      <c r="AL5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111.95</v>
      </c>
      <c r="AM5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109.85</v>
      </c>
      <c r="AN5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162.93</v>
      </c>
      <c r="AO5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87.84</v>
      </c>
      <c r="AP580" s="3">
        <f>ABS(Table1[[#This Row],[Team Score]]-Table1[[#This Row],[Opp Team Score]])</f>
        <v>27</v>
      </c>
      <c r="AQ580" s="3">
        <f>SUM(Table1[[#This Row],[Team Score]], Table1[[#This Row],[Opp Team Score]])</f>
        <v>61</v>
      </c>
      <c r="AR5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35.659999999999997</v>
      </c>
      <c r="AS580" s="3">
        <f>IF(Table1[[#This Row],[Efficiency Difference]] = " ", " ", ROUND((Table1[[#This Row],[Winning Margin]]*100)/Table1[[#This Row],[Efficiency Difference]], 2))</f>
        <v>75.72</v>
      </c>
    </row>
    <row r="581" spans="1:45">
      <c r="A581" t="s">
        <v>45</v>
      </c>
      <c r="B581">
        <v>545</v>
      </c>
      <c r="C581">
        <v>10</v>
      </c>
      <c r="D581">
        <v>137</v>
      </c>
      <c r="E581">
        <v>33</v>
      </c>
      <c r="F581">
        <v>0</v>
      </c>
      <c r="G581">
        <v>16</v>
      </c>
      <c r="H581">
        <v>4</v>
      </c>
      <c r="I581">
        <v>134</v>
      </c>
      <c r="J581">
        <v>35</v>
      </c>
      <c r="K581">
        <v>1</v>
      </c>
      <c r="L581">
        <v>0</v>
      </c>
      <c r="M581" t="s">
        <v>124</v>
      </c>
      <c r="N581">
        <v>587</v>
      </c>
      <c r="O581">
        <v>34</v>
      </c>
      <c r="P581">
        <v>174</v>
      </c>
      <c r="Q581">
        <v>24</v>
      </c>
      <c r="R581">
        <v>2</v>
      </c>
      <c r="S581">
        <v>11</v>
      </c>
      <c r="T581">
        <v>0</v>
      </c>
      <c r="U581">
        <v>97</v>
      </c>
      <c r="V581">
        <v>42</v>
      </c>
      <c r="W581">
        <v>1</v>
      </c>
      <c r="X581">
        <v>1</v>
      </c>
      <c r="Y581" t="s">
        <v>19</v>
      </c>
      <c r="Z581">
        <v>6</v>
      </c>
      <c r="AA581">
        <f>IF(AND(Table1[[#This Row],[Throw Out Pass Eff]]="N", Table1[[#This Row],[Against FCS Team]]="N"), ROUND(((5.45 * D581) + (150 * F581) + (100 * G581) - (300 * H581)) / E581, 2), " ")</f>
        <v>34.75</v>
      </c>
      <c r="AB581">
        <f>IF(AND(Table1[[#This Row],[Throw Out Pass Def Eff]]="N", Table1[[#This Row],[Against FCS Team]]="N"),200 - ROUND(((5.45 * P581) + (150 * R581) + (100 * S581) - (300 * T581)) / Q581, 2), " ")</f>
        <v>102.15</v>
      </c>
      <c r="AC581">
        <f>IF(AND(Table1[[#This Row],[Throw Out Rush Eff]]="N", Table1[[#This Row],[Against FCS Team]]="N"), ROUND(((23.2 * I581) + (150 * K581) - (300 * L581)) / J581, 2), " ")</f>
        <v>93.11</v>
      </c>
      <c r="AD581" s="3">
        <f>IF(AND(Table1[[#This Row],[Throw Out Rush Def Eff]]="N", Table1[[#This Row],[Against FCS Team]]="N"), 200 - ROUND(((23.2 * U581) + (150 * W581) - (300 * X581)) / V581, 2), " ")</f>
        <v>149.99</v>
      </c>
      <c r="AE581" s="3">
        <f>ROUND(Table1[[#This Row],[Opp Passing Attempts]]/(Table1[[#This Row],[Opp Passing Attempts]]+Table1[[#This Row],[Opp Rushing Attempts]]), 2)</f>
        <v>0.36</v>
      </c>
      <c r="AF581" s="3">
        <f>1-Table1[[#This Row],[Passing Weight]]</f>
        <v>0.64</v>
      </c>
      <c r="AG581" s="3" t="str">
        <f>IF(COUNTIF(A:A,Table1[[#This Row],[Opp Team Name]]) &gt; 0, "N", "Y")</f>
        <v>N</v>
      </c>
      <c r="AH581" s="3" t="str">
        <f>IF(Table1[[#This Row],[Passing Attempts]] &lt;15, "Y", "N")</f>
        <v>N</v>
      </c>
      <c r="AI581" s="3" t="str">
        <f>IF(Table1[[#This Row],[Rushing Attempts]] &lt; 15, "Y", "N")</f>
        <v>N</v>
      </c>
      <c r="AJ581" s="3" t="str">
        <f>IF(Table1[[#This Row],[Opp Passing Attempts]]&lt;15, "Y", "N")</f>
        <v>N</v>
      </c>
      <c r="AK581" s="3" t="str">
        <f>IF(Table1[[#This Row],[Opp Rushing Attempts]]&lt;15, "Y", "N")</f>
        <v>N</v>
      </c>
      <c r="AL58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41.74</v>
      </c>
      <c r="AM58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93.06</v>
      </c>
      <c r="AN58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103.76</v>
      </c>
      <c r="AO58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70.44</v>
      </c>
      <c r="AP581" s="3">
        <f>ABS(Table1[[#This Row],[Team Score]]-Table1[[#This Row],[Opp Team Score]])</f>
        <v>24</v>
      </c>
      <c r="AQ581" s="3">
        <f>SUM(Table1[[#This Row],[Team Score]], Table1[[#This Row],[Opp Team Score]])</f>
        <v>44</v>
      </c>
      <c r="AR58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19.999999999999986</v>
      </c>
      <c r="AS581" s="3">
        <f>IF(Table1[[#This Row],[Efficiency Difference]] = " ", " ", ROUND((Table1[[#This Row],[Winning Margin]]*100)/Table1[[#This Row],[Efficiency Difference]], 2))</f>
        <v>120</v>
      </c>
    </row>
    <row r="582" spans="1:45">
      <c r="A582" t="s">
        <v>45</v>
      </c>
      <c r="B582">
        <v>545</v>
      </c>
      <c r="C582">
        <v>14</v>
      </c>
      <c r="D582">
        <v>50</v>
      </c>
      <c r="E582">
        <v>30</v>
      </c>
      <c r="F582">
        <v>0</v>
      </c>
      <c r="G582">
        <v>9</v>
      </c>
      <c r="H582">
        <v>2</v>
      </c>
      <c r="I582">
        <v>70</v>
      </c>
      <c r="J582">
        <v>31</v>
      </c>
      <c r="K582">
        <v>0</v>
      </c>
      <c r="L582">
        <v>1</v>
      </c>
      <c r="M582" t="s">
        <v>146</v>
      </c>
      <c r="N582">
        <v>732</v>
      </c>
      <c r="O582">
        <v>26</v>
      </c>
      <c r="P582">
        <v>127</v>
      </c>
      <c r="Q582">
        <v>23</v>
      </c>
      <c r="R582">
        <v>1</v>
      </c>
      <c r="S582">
        <v>14</v>
      </c>
      <c r="T582">
        <v>0</v>
      </c>
      <c r="U582">
        <v>124</v>
      </c>
      <c r="V582">
        <v>52</v>
      </c>
      <c r="W582">
        <v>0</v>
      </c>
      <c r="X582">
        <v>0</v>
      </c>
      <c r="Y582" t="s">
        <v>19</v>
      </c>
      <c r="Z582">
        <v>7</v>
      </c>
      <c r="AA582">
        <f>IF(AND(Table1[[#This Row],[Throw Out Pass Eff]]="N", Table1[[#This Row],[Against FCS Team]]="N"), ROUND(((5.45 * D582) + (150 * F582) + (100 * G582) - (300 * H582)) / E582, 2), " ")</f>
        <v>19.079999999999998</v>
      </c>
      <c r="AB582">
        <f>IF(AND(Table1[[#This Row],[Throw Out Pass Def Eff]]="N", Table1[[#This Row],[Against FCS Team]]="N"),200 - ROUND(((5.45 * P582) + (150 * R582) + (100 * S582) - (300 * T582)) / Q582, 2), " ")</f>
        <v>102.52</v>
      </c>
      <c r="AC582">
        <f>IF(AND(Table1[[#This Row],[Throw Out Rush Eff]]="N", Table1[[#This Row],[Against FCS Team]]="N"), ROUND(((23.2 * I582) + (150 * K582) - (300 * L582)) / J582, 2), " ")</f>
        <v>42.71</v>
      </c>
      <c r="AD582" s="3">
        <f>IF(AND(Table1[[#This Row],[Throw Out Rush Def Eff]]="N", Table1[[#This Row],[Against FCS Team]]="N"), 200 - ROUND(((23.2 * U582) + (150 * W582) - (300 * X582)) / V582, 2), " ")</f>
        <v>144.68</v>
      </c>
      <c r="AE582" s="3">
        <f>ROUND(Table1[[#This Row],[Opp Passing Attempts]]/(Table1[[#This Row],[Opp Passing Attempts]]+Table1[[#This Row],[Opp Rushing Attempts]]), 2)</f>
        <v>0.31</v>
      </c>
      <c r="AF582" s="3">
        <f>1-Table1[[#This Row],[Passing Weight]]</f>
        <v>0.69</v>
      </c>
      <c r="AG582" s="3" t="str">
        <f>IF(COUNTIF(A:A,Table1[[#This Row],[Opp Team Name]]) &gt; 0, "N", "Y")</f>
        <v>N</v>
      </c>
      <c r="AH582" s="3" t="str">
        <f>IF(Table1[[#This Row],[Passing Attempts]] &lt;15, "Y", "N")</f>
        <v>N</v>
      </c>
      <c r="AI582" s="3" t="str">
        <f>IF(Table1[[#This Row],[Rushing Attempts]] &lt; 15, "Y", "N")</f>
        <v>N</v>
      </c>
      <c r="AJ582" s="3" t="str">
        <f>IF(Table1[[#This Row],[Opp Passing Attempts]]&lt;15, "Y", "N")</f>
        <v>N</v>
      </c>
      <c r="AK582" s="3" t="str">
        <f>IF(Table1[[#This Row],[Opp Rushing Attempts]]&lt;15, "Y", "N")</f>
        <v>N</v>
      </c>
      <c r="AL58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20.37</v>
      </c>
      <c r="AM58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85.71</v>
      </c>
      <c r="AN58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65.41</v>
      </c>
      <c r="AO58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81.650000000000006</v>
      </c>
      <c r="AP582" s="3">
        <f>ABS(Table1[[#This Row],[Team Score]]-Table1[[#This Row],[Opp Team Score]])</f>
        <v>12</v>
      </c>
      <c r="AQ582" s="3">
        <f>SUM(Table1[[#This Row],[Team Score]], Table1[[#This Row],[Opp Team Score]])</f>
        <v>40</v>
      </c>
      <c r="AR58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91.010000000000019</v>
      </c>
      <c r="AS582" s="3">
        <f>IF(Table1[[#This Row],[Efficiency Difference]] = " ", " ", ROUND((Table1[[#This Row],[Winning Margin]]*100)/Table1[[#This Row],[Efficiency Difference]], 2))</f>
        <v>13.19</v>
      </c>
    </row>
    <row r="583" spans="1:45">
      <c r="A583" t="s">
        <v>101</v>
      </c>
      <c r="B583">
        <v>559</v>
      </c>
      <c r="C583">
        <v>59</v>
      </c>
      <c r="D583">
        <v>234</v>
      </c>
      <c r="E583">
        <v>25</v>
      </c>
      <c r="F583">
        <v>1</v>
      </c>
      <c r="G583">
        <v>21</v>
      </c>
      <c r="H583">
        <v>0</v>
      </c>
      <c r="I583">
        <v>393</v>
      </c>
      <c r="J583">
        <v>53</v>
      </c>
      <c r="K583">
        <v>7</v>
      </c>
      <c r="L583">
        <v>1</v>
      </c>
      <c r="M583" t="s">
        <v>198</v>
      </c>
      <c r="N583">
        <v>654</v>
      </c>
      <c r="O583">
        <v>0</v>
      </c>
      <c r="P583">
        <v>66</v>
      </c>
      <c r="Q583">
        <v>19</v>
      </c>
      <c r="R583">
        <v>0</v>
      </c>
      <c r="S583">
        <v>8</v>
      </c>
      <c r="T583">
        <v>1</v>
      </c>
      <c r="U583">
        <v>87</v>
      </c>
      <c r="V583">
        <v>41</v>
      </c>
      <c r="W583">
        <v>0</v>
      </c>
      <c r="X583">
        <v>0</v>
      </c>
      <c r="Y583" t="s">
        <v>16</v>
      </c>
      <c r="Z583">
        <v>3</v>
      </c>
      <c r="AA583" t="str">
        <f>IF(AND(Table1[[#This Row],[Throw Out Pass Eff]]="N", Table1[[#This Row],[Against FCS Team]]="N"), ROUND(((5.45 * D583) + (150 * F583) + (100 * G583) - (300 * H583)) / E583, 2), " ")</f>
        <v xml:space="preserve"> </v>
      </c>
      <c r="AB583" t="str">
        <f>IF(AND(Table1[[#This Row],[Throw Out Pass Def Eff]]="N", Table1[[#This Row],[Against FCS Team]]="N"),200 - ROUND(((5.45 * P583) + (150 * R583) + (100 * S583) - (300 * T583)) / Q583, 2), " ")</f>
        <v xml:space="preserve"> </v>
      </c>
      <c r="AC583" t="str">
        <f>IF(AND(Table1[[#This Row],[Throw Out Rush Eff]]="N", Table1[[#This Row],[Against FCS Team]]="N"), ROUND(((23.2 * I583) + (150 * K583) - (300 * L583)) / J583, 2), " ")</f>
        <v xml:space="preserve"> </v>
      </c>
      <c r="AD583" s="3" t="str">
        <f>IF(AND(Table1[[#This Row],[Throw Out Rush Def Eff]]="N", Table1[[#This Row],[Against FCS Team]]="N"), 200 - ROUND(((23.2 * U583) + (150 * W583) - (300 * X583)) / V583, 2), " ")</f>
        <v xml:space="preserve"> </v>
      </c>
      <c r="AE583" s="3">
        <f>ROUND(Table1[[#This Row],[Opp Passing Attempts]]/(Table1[[#This Row],[Opp Passing Attempts]]+Table1[[#This Row],[Opp Rushing Attempts]]), 2)</f>
        <v>0.32</v>
      </c>
      <c r="AF583" s="3">
        <f>1-Table1[[#This Row],[Passing Weight]]</f>
        <v>0.67999999999999994</v>
      </c>
      <c r="AG583" s="3" t="str">
        <f>IF(COUNTIF(A:A,Table1[[#This Row],[Opp Team Name]]) &gt; 0, "N", "Y")</f>
        <v>Y</v>
      </c>
      <c r="AH583" s="3" t="str">
        <f>IF(Table1[[#This Row],[Passing Attempts]] &lt;15, "Y", "N")</f>
        <v>N</v>
      </c>
      <c r="AI583" s="3" t="str">
        <f>IF(Table1[[#This Row],[Rushing Attempts]] &lt; 15, "Y", "N")</f>
        <v>N</v>
      </c>
      <c r="AJ583" s="3" t="str">
        <f>IF(Table1[[#This Row],[Opp Passing Attempts]]&lt;15, "Y", "N")</f>
        <v>N</v>
      </c>
      <c r="AK583" s="3" t="str">
        <f>IF(Table1[[#This Row],[Opp Rushing Attempts]]&lt;15, "Y", "N")</f>
        <v>N</v>
      </c>
      <c r="AL58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83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83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83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583" s="3">
        <f>ABS(Table1[[#This Row],[Team Score]]-Table1[[#This Row],[Opp Team Score]])</f>
        <v>59</v>
      </c>
      <c r="AQ583" s="3">
        <f>SUM(Table1[[#This Row],[Team Score]], Table1[[#This Row],[Opp Team Score]])</f>
        <v>59</v>
      </c>
      <c r="AR58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83" s="3" t="str">
        <f>IF(Table1[[#This Row],[Efficiency Difference]] = " ", " ", ROUND((Table1[[#This Row],[Winning Margin]]*100)/Table1[[#This Row],[Efficiency Difference]], 2))</f>
        <v xml:space="preserve"> </v>
      </c>
    </row>
    <row r="584" spans="1:45">
      <c r="A584" t="s">
        <v>101</v>
      </c>
      <c r="B584">
        <v>559</v>
      </c>
      <c r="C584">
        <v>27</v>
      </c>
      <c r="D584">
        <v>220</v>
      </c>
      <c r="E584">
        <v>35</v>
      </c>
      <c r="F584">
        <v>2</v>
      </c>
      <c r="G584">
        <v>19</v>
      </c>
      <c r="H584">
        <v>1</v>
      </c>
      <c r="I584">
        <v>200</v>
      </c>
      <c r="J584">
        <v>46</v>
      </c>
      <c r="K584">
        <v>1</v>
      </c>
      <c r="L584">
        <v>1</v>
      </c>
      <c r="M584" t="s">
        <v>100</v>
      </c>
      <c r="N584">
        <v>419</v>
      </c>
      <c r="O584">
        <v>24</v>
      </c>
      <c r="P584">
        <v>330</v>
      </c>
      <c r="Q584">
        <v>47</v>
      </c>
      <c r="R584">
        <v>2</v>
      </c>
      <c r="S584">
        <v>27</v>
      </c>
      <c r="T584">
        <v>1</v>
      </c>
      <c r="U584">
        <v>130</v>
      </c>
      <c r="V584">
        <v>33</v>
      </c>
      <c r="W584">
        <v>1</v>
      </c>
      <c r="X584">
        <v>0</v>
      </c>
      <c r="Y584" t="s">
        <v>16</v>
      </c>
      <c r="Z584">
        <v>1</v>
      </c>
      <c r="AA584">
        <f>IF(AND(Table1[[#This Row],[Throw Out Pass Eff]]="N", Table1[[#This Row],[Against FCS Team]]="N"), ROUND(((5.45 * D584) + (150 * F584) + (100 * G584) - (300 * H584)) / E584, 2), " ")</f>
        <v>88.54</v>
      </c>
      <c r="AB584">
        <f>IF(AND(Table1[[#This Row],[Throw Out Pass Def Eff]]="N", Table1[[#This Row],[Against FCS Team]]="N"),200 - ROUND(((5.45 * P584) + (150 * R584) + (100 * S584) - (300 * T584)) / Q584, 2), " ")</f>
        <v>104.29</v>
      </c>
      <c r="AC584">
        <f>IF(AND(Table1[[#This Row],[Throw Out Rush Eff]]="N", Table1[[#This Row],[Against FCS Team]]="N"), ROUND(((23.2 * I584) + (150 * K584) - (300 * L584)) / J584, 2), " ")</f>
        <v>97.61</v>
      </c>
      <c r="AD584" s="3">
        <f>IF(AND(Table1[[#This Row],[Throw Out Rush Def Eff]]="N", Table1[[#This Row],[Against FCS Team]]="N"), 200 - ROUND(((23.2 * U584) + (150 * W584) - (300 * X584)) / V584, 2), " ")</f>
        <v>104.06</v>
      </c>
      <c r="AE584" s="3">
        <f>ROUND(Table1[[#This Row],[Opp Passing Attempts]]/(Table1[[#This Row],[Opp Passing Attempts]]+Table1[[#This Row],[Opp Rushing Attempts]]), 2)</f>
        <v>0.59</v>
      </c>
      <c r="AF584" s="3">
        <f>1-Table1[[#This Row],[Passing Weight]]</f>
        <v>0.41000000000000003</v>
      </c>
      <c r="AG584" s="3" t="str">
        <f>IF(COUNTIF(A:A,Table1[[#This Row],[Opp Team Name]]) &gt; 0, "N", "Y")</f>
        <v>N</v>
      </c>
      <c r="AH584" s="3" t="str">
        <f>IF(Table1[[#This Row],[Passing Attempts]] &lt;15, "Y", "N")</f>
        <v>N</v>
      </c>
      <c r="AI584" s="3" t="str">
        <f>IF(Table1[[#This Row],[Rushing Attempts]] &lt; 15, "Y", "N")</f>
        <v>N</v>
      </c>
      <c r="AJ584" s="3" t="str">
        <f>IF(Table1[[#This Row],[Opp Passing Attempts]]&lt;15, "Y", "N")</f>
        <v>N</v>
      </c>
      <c r="AK584" s="3" t="str">
        <f>IF(Table1[[#This Row],[Opp Rushing Attempts]]&lt;15, "Y", "N")</f>
        <v>N</v>
      </c>
      <c r="AL58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92.21</v>
      </c>
      <c r="AM58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101.9</v>
      </c>
      <c r="AN58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107.12</v>
      </c>
      <c r="AO58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113.12</v>
      </c>
      <c r="AP584" s="3">
        <f>ABS(Table1[[#This Row],[Team Score]]-Table1[[#This Row],[Opp Team Score]])</f>
        <v>3</v>
      </c>
      <c r="AQ584" s="3">
        <f>SUM(Table1[[#This Row],[Team Score]], Table1[[#This Row],[Opp Team Score]])</f>
        <v>51</v>
      </c>
      <c r="AR58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5.4999999999999716</v>
      </c>
      <c r="AS584" s="3">
        <f>IF(Table1[[#This Row],[Efficiency Difference]] = " ", " ", ROUND((Table1[[#This Row],[Winning Margin]]*100)/Table1[[#This Row],[Efficiency Difference]], 2))</f>
        <v>54.55</v>
      </c>
    </row>
    <row r="585" spans="1:45">
      <c r="A585" t="s">
        <v>101</v>
      </c>
      <c r="B585">
        <v>559</v>
      </c>
      <c r="C585">
        <v>22</v>
      </c>
      <c r="D585">
        <v>183</v>
      </c>
      <c r="E585">
        <v>32</v>
      </c>
      <c r="F585">
        <v>1</v>
      </c>
      <c r="G585">
        <v>18</v>
      </c>
      <c r="H585">
        <v>0</v>
      </c>
      <c r="I585">
        <v>183</v>
      </c>
      <c r="J585">
        <v>40</v>
      </c>
      <c r="K585">
        <v>1</v>
      </c>
      <c r="L585">
        <v>0</v>
      </c>
      <c r="M585" t="s">
        <v>122</v>
      </c>
      <c r="N585">
        <v>574</v>
      </c>
      <c r="O585">
        <v>24</v>
      </c>
      <c r="P585">
        <v>242</v>
      </c>
      <c r="Q585">
        <v>32</v>
      </c>
      <c r="R585">
        <v>2</v>
      </c>
      <c r="S585">
        <v>20</v>
      </c>
      <c r="T585">
        <v>0</v>
      </c>
      <c r="U585">
        <v>110</v>
      </c>
      <c r="V585">
        <v>48</v>
      </c>
      <c r="W585">
        <v>1</v>
      </c>
      <c r="X585">
        <v>1</v>
      </c>
      <c r="Y585" t="s">
        <v>19</v>
      </c>
      <c r="Z585">
        <v>2</v>
      </c>
      <c r="AA585">
        <f>IF(AND(Table1[[#This Row],[Throw Out Pass Eff]]="N", Table1[[#This Row],[Against FCS Team]]="N"), ROUND(((5.45 * D585) + (150 * F585) + (100 * G585) - (300 * H585)) / E585, 2), " ")</f>
        <v>92.1</v>
      </c>
      <c r="AB585">
        <f>IF(AND(Table1[[#This Row],[Throw Out Pass Def Eff]]="N", Table1[[#This Row],[Against FCS Team]]="N"),200 - ROUND(((5.45 * P585) + (150 * R585) + (100 * S585) - (300 * T585)) / Q585, 2), " ")</f>
        <v>86.91</v>
      </c>
      <c r="AC585">
        <f>IF(AND(Table1[[#This Row],[Throw Out Rush Eff]]="N", Table1[[#This Row],[Against FCS Team]]="N"), ROUND(((23.2 * I585) + (150 * K585) - (300 * L585)) / J585, 2), " ")</f>
        <v>109.89</v>
      </c>
      <c r="AD585" s="3">
        <f>IF(AND(Table1[[#This Row],[Throw Out Rush Def Eff]]="N", Table1[[#This Row],[Against FCS Team]]="N"), 200 - ROUND(((23.2 * U585) + (150 * W585) - (300 * X585)) / V585, 2), " ")</f>
        <v>149.96</v>
      </c>
      <c r="AE585" s="3">
        <f>ROUND(Table1[[#This Row],[Opp Passing Attempts]]/(Table1[[#This Row],[Opp Passing Attempts]]+Table1[[#This Row],[Opp Rushing Attempts]]), 2)</f>
        <v>0.4</v>
      </c>
      <c r="AF585" s="3">
        <f>1-Table1[[#This Row],[Passing Weight]]</f>
        <v>0.6</v>
      </c>
      <c r="AG585" s="3" t="str">
        <f>IF(COUNTIF(A:A,Table1[[#This Row],[Opp Team Name]]) &gt; 0, "N", "Y")</f>
        <v>N</v>
      </c>
      <c r="AH585" s="3" t="str">
        <f>IF(Table1[[#This Row],[Passing Attempts]] &lt;15, "Y", "N")</f>
        <v>N</v>
      </c>
      <c r="AI585" s="3" t="str">
        <f>IF(Table1[[#This Row],[Rushing Attempts]] &lt; 15, "Y", "N")</f>
        <v>N</v>
      </c>
      <c r="AJ585" s="3" t="str">
        <f>IF(Table1[[#This Row],[Opp Passing Attempts]]&lt;15, "Y", "N")</f>
        <v>N</v>
      </c>
      <c r="AK585" s="3" t="str">
        <f>IF(Table1[[#This Row],[Opp Rushing Attempts]]&lt;15, "Y", "N")</f>
        <v>N</v>
      </c>
      <c r="AL58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86.08</v>
      </c>
      <c r="AM58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78.45</v>
      </c>
      <c r="AN58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97.21</v>
      </c>
      <c r="AO58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101.63</v>
      </c>
      <c r="AP585" s="3">
        <f>ABS(Table1[[#This Row],[Team Score]]-Table1[[#This Row],[Opp Team Score]])</f>
        <v>2</v>
      </c>
      <c r="AQ585" s="3">
        <f>SUM(Table1[[#This Row],[Team Score]], Table1[[#This Row],[Opp Team Score]])</f>
        <v>46</v>
      </c>
      <c r="AR58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38.860000000000014</v>
      </c>
      <c r="AS585" s="3">
        <f>IF(Table1[[#This Row],[Efficiency Difference]] = " ", " ", ROUND((Table1[[#This Row],[Winning Margin]]*100)/Table1[[#This Row],[Efficiency Difference]], 2))</f>
        <v>5.15</v>
      </c>
    </row>
    <row r="586" spans="1:45">
      <c r="A586" t="s">
        <v>101</v>
      </c>
      <c r="B586">
        <v>559</v>
      </c>
      <c r="C586">
        <v>10</v>
      </c>
      <c r="D586">
        <v>192</v>
      </c>
      <c r="E586">
        <v>38</v>
      </c>
      <c r="F586">
        <v>1</v>
      </c>
      <c r="G586">
        <v>19</v>
      </c>
      <c r="H586">
        <v>1</v>
      </c>
      <c r="I586">
        <v>84</v>
      </c>
      <c r="J586">
        <v>27</v>
      </c>
      <c r="K586">
        <v>0</v>
      </c>
      <c r="L586">
        <v>0</v>
      </c>
      <c r="M586" t="s">
        <v>114</v>
      </c>
      <c r="N586">
        <v>513</v>
      </c>
      <c r="O586">
        <v>38</v>
      </c>
      <c r="P586">
        <v>264</v>
      </c>
      <c r="Q586">
        <v>41</v>
      </c>
      <c r="R586">
        <v>3</v>
      </c>
      <c r="S586">
        <v>25</v>
      </c>
      <c r="T586">
        <v>0</v>
      </c>
      <c r="U586">
        <v>287</v>
      </c>
      <c r="V586">
        <v>40</v>
      </c>
      <c r="W586">
        <v>2</v>
      </c>
      <c r="X586">
        <v>0</v>
      </c>
      <c r="Y586" t="s">
        <v>19</v>
      </c>
      <c r="Z586">
        <v>5</v>
      </c>
      <c r="AA586">
        <f>IF(AND(Table1[[#This Row],[Throw Out Pass Eff]]="N", Table1[[#This Row],[Against FCS Team]]="N"), ROUND(((5.45 * D586) + (150 * F586) + (100 * G586) - (300 * H586)) / E586, 2), " ")</f>
        <v>73.59</v>
      </c>
      <c r="AB586">
        <f>IF(AND(Table1[[#This Row],[Throw Out Pass Def Eff]]="N", Table1[[#This Row],[Against FCS Team]]="N"),200 - ROUND(((5.45 * P586) + (150 * R586) + (100 * S586) - (300 * T586)) / Q586, 2), " ")</f>
        <v>92.96</v>
      </c>
      <c r="AC586">
        <f>IF(AND(Table1[[#This Row],[Throw Out Rush Eff]]="N", Table1[[#This Row],[Against FCS Team]]="N"), ROUND(((23.2 * I586) + (150 * K586) - (300 * L586)) / J586, 2), " ")</f>
        <v>72.180000000000007</v>
      </c>
      <c r="AD586" s="3">
        <f>IF(AND(Table1[[#This Row],[Throw Out Rush Def Eff]]="N", Table1[[#This Row],[Against FCS Team]]="N"), 200 - ROUND(((23.2 * U586) + (150 * W586) - (300 * X586)) / V586, 2), " ")</f>
        <v>26.039999999999992</v>
      </c>
      <c r="AE586" s="3">
        <f>ROUND(Table1[[#This Row],[Opp Passing Attempts]]/(Table1[[#This Row],[Opp Passing Attempts]]+Table1[[#This Row],[Opp Rushing Attempts]]), 2)</f>
        <v>0.51</v>
      </c>
      <c r="AF586" s="3">
        <f>1-Table1[[#This Row],[Passing Weight]]</f>
        <v>0.49</v>
      </c>
      <c r="AG586" s="3" t="str">
        <f>IF(COUNTIF(A:A,Table1[[#This Row],[Opp Team Name]]) &gt; 0, "N", "Y")</f>
        <v>N</v>
      </c>
      <c r="AH586" s="3" t="str">
        <f>IF(Table1[[#This Row],[Passing Attempts]] &lt;15, "Y", "N")</f>
        <v>N</v>
      </c>
      <c r="AI586" s="3" t="str">
        <f>IF(Table1[[#This Row],[Rushing Attempts]] &lt; 15, "Y", "N")</f>
        <v>N</v>
      </c>
      <c r="AJ586" s="3" t="str">
        <f>IF(Table1[[#This Row],[Opp Passing Attempts]]&lt;15, "Y", "N")</f>
        <v>N</v>
      </c>
      <c r="AK586" s="3" t="str">
        <f>IF(Table1[[#This Row],[Opp Rushing Attempts]]&lt;15, "Y", "N")</f>
        <v>N</v>
      </c>
      <c r="AL58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75.73</v>
      </c>
      <c r="AM58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94.61</v>
      </c>
      <c r="AN58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84.12</v>
      </c>
      <c r="AO58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34.83</v>
      </c>
      <c r="AP586" s="3">
        <f>ABS(Table1[[#This Row],[Team Score]]-Table1[[#This Row],[Opp Team Score]])</f>
        <v>28</v>
      </c>
      <c r="AQ586" s="3">
        <f>SUM(Table1[[#This Row],[Team Score]], Table1[[#This Row],[Opp Team Score]])</f>
        <v>48</v>
      </c>
      <c r="AR58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135.22999999999999</v>
      </c>
      <c r="AS586" s="3">
        <f>IF(Table1[[#This Row],[Efficiency Difference]] = " ", " ", ROUND((Table1[[#This Row],[Winning Margin]]*100)/Table1[[#This Row],[Efficiency Difference]], 2))</f>
        <v>20.71</v>
      </c>
    </row>
    <row r="587" spans="1:45">
      <c r="A587" t="s">
        <v>101</v>
      </c>
      <c r="B587">
        <v>559</v>
      </c>
      <c r="C587">
        <v>45</v>
      </c>
      <c r="D587">
        <v>155</v>
      </c>
      <c r="E587">
        <v>27</v>
      </c>
      <c r="F587">
        <v>2</v>
      </c>
      <c r="G587">
        <v>18</v>
      </c>
      <c r="H587">
        <v>0</v>
      </c>
      <c r="I587">
        <v>217</v>
      </c>
      <c r="J587">
        <v>47</v>
      </c>
      <c r="K587">
        <v>3</v>
      </c>
      <c r="L587">
        <v>0</v>
      </c>
      <c r="M587" t="s">
        <v>102</v>
      </c>
      <c r="N587">
        <v>428</v>
      </c>
      <c r="O587">
        <v>17</v>
      </c>
      <c r="P587">
        <v>113</v>
      </c>
      <c r="Q587">
        <v>23</v>
      </c>
      <c r="R587">
        <v>0</v>
      </c>
      <c r="S587">
        <v>10</v>
      </c>
      <c r="T587">
        <v>1</v>
      </c>
      <c r="U587">
        <v>100</v>
      </c>
      <c r="V587">
        <v>33</v>
      </c>
      <c r="W587">
        <v>1</v>
      </c>
      <c r="X587">
        <v>2</v>
      </c>
      <c r="Y587" t="s">
        <v>16</v>
      </c>
      <c r="Z587">
        <v>6</v>
      </c>
      <c r="AA587">
        <f>IF(AND(Table1[[#This Row],[Throw Out Pass Eff]]="N", Table1[[#This Row],[Against FCS Team]]="N"), ROUND(((5.45 * D587) + (150 * F587) + (100 * G587) - (300 * H587)) / E587, 2), " ")</f>
        <v>109.06</v>
      </c>
      <c r="AB587">
        <f>IF(AND(Table1[[#This Row],[Throw Out Pass Def Eff]]="N", Table1[[#This Row],[Against FCS Team]]="N"),200 - ROUND(((5.45 * P587) + (150 * R587) + (100 * S587) - (300 * T587)) / Q587, 2), " ")</f>
        <v>142.79</v>
      </c>
      <c r="AC587">
        <f>IF(AND(Table1[[#This Row],[Throw Out Rush Eff]]="N", Table1[[#This Row],[Against FCS Team]]="N"), ROUND(((23.2 * I587) + (150 * K587) - (300 * L587)) / J587, 2), " ")</f>
        <v>116.69</v>
      </c>
      <c r="AD587" s="3">
        <f>IF(AND(Table1[[#This Row],[Throw Out Rush Def Eff]]="N", Table1[[#This Row],[Against FCS Team]]="N"), 200 - ROUND(((23.2 * U587) + (150 * W587) - (300 * X587)) / V587, 2), " ")</f>
        <v>143.32999999999998</v>
      </c>
      <c r="AE587" s="3">
        <f>ROUND(Table1[[#This Row],[Opp Passing Attempts]]/(Table1[[#This Row],[Opp Passing Attempts]]+Table1[[#This Row],[Opp Rushing Attempts]]), 2)</f>
        <v>0.41</v>
      </c>
      <c r="AF587" s="3">
        <f>1-Table1[[#This Row],[Passing Weight]]</f>
        <v>0.59000000000000008</v>
      </c>
      <c r="AG587" s="3" t="str">
        <f>IF(COUNTIF(A:A,Table1[[#This Row],[Opp Team Name]]) &gt; 0, "N", "Y")</f>
        <v>N</v>
      </c>
      <c r="AH587" s="3" t="str">
        <f>IF(Table1[[#This Row],[Passing Attempts]] &lt;15, "Y", "N")</f>
        <v>N</v>
      </c>
      <c r="AI587" s="3" t="str">
        <f>IF(Table1[[#This Row],[Rushing Attempts]] &lt; 15, "Y", "N")</f>
        <v>N</v>
      </c>
      <c r="AJ587" s="3" t="str">
        <f>IF(Table1[[#This Row],[Opp Passing Attempts]]&lt;15, "Y", "N")</f>
        <v>N</v>
      </c>
      <c r="AK587" s="3" t="str">
        <f>IF(Table1[[#This Row],[Opp Rushing Attempts]]&lt;15, "Y", "N")</f>
        <v>N</v>
      </c>
      <c r="AL58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94.58</v>
      </c>
      <c r="AM5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114.23</v>
      </c>
      <c r="AN5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</v>
      </c>
      <c r="AO5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120</v>
      </c>
      <c r="AP587" s="3">
        <f>ABS(Table1[[#This Row],[Team Score]]-Table1[[#This Row],[Opp Team Score]])</f>
        <v>28</v>
      </c>
      <c r="AQ587" s="3">
        <f>SUM(Table1[[#This Row],[Team Score]], Table1[[#This Row],[Opp Team Score]])</f>
        <v>62</v>
      </c>
      <c r="AR58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111.87</v>
      </c>
      <c r="AS587" s="3">
        <f>IF(Table1[[#This Row],[Efficiency Difference]] = " ", " ", ROUND((Table1[[#This Row],[Winning Margin]]*100)/Table1[[#This Row],[Efficiency Difference]], 2))</f>
        <v>25.03</v>
      </c>
    </row>
    <row r="588" spans="1:45">
      <c r="A588" t="s">
        <v>101</v>
      </c>
      <c r="B588">
        <v>559</v>
      </c>
      <c r="C588">
        <v>18</v>
      </c>
      <c r="D588">
        <v>182</v>
      </c>
      <c r="E588">
        <v>30</v>
      </c>
      <c r="F588">
        <v>1</v>
      </c>
      <c r="G588">
        <v>14</v>
      </c>
      <c r="H588">
        <v>3</v>
      </c>
      <c r="I588">
        <v>162</v>
      </c>
      <c r="J588">
        <v>33</v>
      </c>
      <c r="K588">
        <v>1</v>
      </c>
      <c r="L588">
        <v>0</v>
      </c>
      <c r="M588" t="s">
        <v>120</v>
      </c>
      <c r="N588">
        <v>539</v>
      </c>
      <c r="O588">
        <v>23</v>
      </c>
      <c r="P588">
        <v>185</v>
      </c>
      <c r="Q588">
        <v>23</v>
      </c>
      <c r="R588">
        <v>0</v>
      </c>
      <c r="S588">
        <v>10</v>
      </c>
      <c r="T588">
        <v>1</v>
      </c>
      <c r="U588">
        <v>182</v>
      </c>
      <c r="V588">
        <v>48</v>
      </c>
      <c r="W588">
        <v>2</v>
      </c>
      <c r="X588">
        <v>0</v>
      </c>
      <c r="Y588" t="s">
        <v>19</v>
      </c>
      <c r="Z588">
        <v>7</v>
      </c>
      <c r="AA588">
        <f>IF(AND(Table1[[#This Row],[Throw Out Pass Eff]]="N", Table1[[#This Row],[Against FCS Team]]="N"), ROUND(((5.45 * D588) + (150 * F588) + (100 * G588) - (300 * H588)) / E588, 2), " ")</f>
        <v>54.73</v>
      </c>
      <c r="AB588">
        <f>IF(AND(Table1[[#This Row],[Throw Out Pass Def Eff]]="N", Table1[[#This Row],[Against FCS Team]]="N"),200 - ROUND(((5.45 * P588) + (150 * R588) + (100 * S588) - (300 * T588)) / Q588, 2), " ")</f>
        <v>125.73</v>
      </c>
      <c r="AC588">
        <f>IF(AND(Table1[[#This Row],[Throw Out Rush Eff]]="N", Table1[[#This Row],[Against FCS Team]]="N"), ROUND(((23.2 * I588) + (150 * K588) - (300 * L588)) / J588, 2), " ")</f>
        <v>118.44</v>
      </c>
      <c r="AD588" s="3">
        <f>IF(AND(Table1[[#This Row],[Throw Out Rush Def Eff]]="N", Table1[[#This Row],[Against FCS Team]]="N"), 200 - ROUND(((23.2 * U588) + (150 * W588) - (300 * X588)) / V588, 2), " ")</f>
        <v>105.78</v>
      </c>
      <c r="AE588" s="3">
        <f>ROUND(Table1[[#This Row],[Opp Passing Attempts]]/(Table1[[#This Row],[Opp Passing Attempts]]+Table1[[#This Row],[Opp Rushing Attempts]]), 2)</f>
        <v>0.32</v>
      </c>
      <c r="AF588" s="3">
        <f>1-Table1[[#This Row],[Passing Weight]]</f>
        <v>0.67999999999999994</v>
      </c>
      <c r="AG588" s="3" t="str">
        <f>IF(COUNTIF(A:A,Table1[[#This Row],[Opp Team Name]]) &gt; 0, "N", "Y")</f>
        <v>N</v>
      </c>
      <c r="AH588" s="3" t="str">
        <f>IF(Table1[[#This Row],[Passing Attempts]] &lt;15, "Y", "N")</f>
        <v>N</v>
      </c>
      <c r="AI588" s="3" t="str">
        <f>IF(Table1[[#This Row],[Rushing Attempts]] &lt; 15, "Y", "N")</f>
        <v>N</v>
      </c>
      <c r="AJ588" s="3" t="str">
        <f>IF(Table1[[#This Row],[Opp Passing Attempts]]&lt;15, "Y", "N")</f>
        <v>N</v>
      </c>
      <c r="AK588" s="3" t="str">
        <f>IF(Table1[[#This Row],[Opp Rushing Attempts]]&lt;15, "Y", "N")</f>
        <v>N</v>
      </c>
      <c r="AL58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68.989999999999995</v>
      </c>
      <c r="AM58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109.93</v>
      </c>
      <c r="AN58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156.03</v>
      </c>
      <c r="AO58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93.15</v>
      </c>
      <c r="AP588" s="3">
        <f>ABS(Table1[[#This Row],[Team Score]]-Table1[[#This Row],[Opp Team Score]])</f>
        <v>5</v>
      </c>
      <c r="AQ588" s="3">
        <f>SUM(Table1[[#This Row],[Team Score]], Table1[[#This Row],[Opp Team Score]])</f>
        <v>41</v>
      </c>
      <c r="AR58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4.6799999999999784</v>
      </c>
      <c r="AS588" s="3">
        <f>IF(Table1[[#This Row],[Efficiency Difference]] = " ", " ", ROUND((Table1[[#This Row],[Winning Margin]]*100)/Table1[[#This Row],[Efficiency Difference]], 2))</f>
        <v>106.84</v>
      </c>
    </row>
    <row r="589" spans="1:45">
      <c r="A589" t="s">
        <v>101</v>
      </c>
      <c r="B589">
        <v>559</v>
      </c>
      <c r="C589">
        <v>21</v>
      </c>
      <c r="D589">
        <v>178</v>
      </c>
      <c r="E589">
        <v>25</v>
      </c>
      <c r="F589">
        <v>2</v>
      </c>
      <c r="G589">
        <v>16</v>
      </c>
      <c r="H589">
        <v>0</v>
      </c>
      <c r="I589">
        <v>126</v>
      </c>
      <c r="J589">
        <v>42</v>
      </c>
      <c r="K589">
        <v>1</v>
      </c>
      <c r="L589">
        <v>1</v>
      </c>
      <c r="M589" t="s">
        <v>29</v>
      </c>
      <c r="N589">
        <v>301</v>
      </c>
      <c r="O589">
        <v>14</v>
      </c>
      <c r="P589">
        <v>245</v>
      </c>
      <c r="Q589">
        <v>41</v>
      </c>
      <c r="R589">
        <v>0</v>
      </c>
      <c r="S589">
        <v>26</v>
      </c>
      <c r="T589">
        <v>1</v>
      </c>
      <c r="U589">
        <v>121</v>
      </c>
      <c r="V589">
        <v>33</v>
      </c>
      <c r="W589">
        <v>2</v>
      </c>
      <c r="X589">
        <v>0</v>
      </c>
      <c r="Y589" t="s">
        <v>16</v>
      </c>
      <c r="Z589">
        <v>8</v>
      </c>
      <c r="AA589" s="3">
        <f>IF(AND(Table1[[#This Row],[Throw Out Pass Eff]]="N", Table1[[#This Row],[Against FCS Team]]="N"), ROUND(((5.45 * D589) + (150 * F589) + (100 * G589) - (300 * H589)) / E589, 2), " ")</f>
        <v>114.8</v>
      </c>
      <c r="AB589" s="3">
        <f>IF(AND(Table1[[#This Row],[Throw Out Pass Def Eff]]="N", Table1[[#This Row],[Against FCS Team]]="N"),200 - ROUND(((5.45 * P589) + (150 * R589) + (100 * S589) - (300 * T589)) / Q589, 2), " ")</f>
        <v>111.34</v>
      </c>
      <c r="AC589" s="3">
        <f>IF(AND(Table1[[#This Row],[Throw Out Rush Eff]]="N", Table1[[#This Row],[Against FCS Team]]="N"), ROUND(((23.2 * I589) + (150 * K589) - (300 * L589)) / J589, 2), " ")</f>
        <v>66.03</v>
      </c>
      <c r="AD589" s="3">
        <f>IF(AND(Table1[[#This Row],[Throw Out Rush Def Eff]]="N", Table1[[#This Row],[Against FCS Team]]="N"), 200 - ROUND(((23.2 * U589) + (150 * W589) - (300 * X589)) / V589, 2), " ")</f>
        <v>105.84</v>
      </c>
      <c r="AE589" s="3">
        <f>ROUND(Table1[[#This Row],[Opp Passing Attempts]]/(Table1[[#This Row],[Opp Passing Attempts]]+Table1[[#This Row],[Opp Rushing Attempts]]), 2)</f>
        <v>0.55000000000000004</v>
      </c>
      <c r="AF589" s="3">
        <f>1-Table1[[#This Row],[Passing Weight]]</f>
        <v>0.44999999999999996</v>
      </c>
      <c r="AG589" s="3" t="str">
        <f>IF(COUNTIF(A:A,Table1[[#This Row],[Opp Team Name]]) &gt; 0, "N", "Y")</f>
        <v>N</v>
      </c>
      <c r="AH589" s="3" t="str">
        <f>IF(Table1[[#This Row],[Passing Attempts]] &lt;15, "Y", "N")</f>
        <v>N</v>
      </c>
      <c r="AI589" s="3" t="str">
        <f>IF(Table1[[#This Row],[Rushing Attempts]] &lt; 15, "Y", "N")</f>
        <v>N</v>
      </c>
      <c r="AJ589" s="3" t="str">
        <f>IF(Table1[[#This Row],[Opp Passing Attempts]]&lt;15, "Y", "N")</f>
        <v>N</v>
      </c>
      <c r="AK589" s="3" t="str">
        <f>IF(Table1[[#This Row],[Opp Rushing Attempts]]&lt;15, "Y", "N")</f>
        <v>N</v>
      </c>
      <c r="AL58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109.03</v>
      </c>
      <c r="AM5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122.69</v>
      </c>
      <c r="AN5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92.71</v>
      </c>
      <c r="AO5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90.14</v>
      </c>
      <c r="AP589" s="3">
        <f>ABS(Table1[[#This Row],[Team Score]]-Table1[[#This Row],[Opp Team Score]])</f>
        <v>7</v>
      </c>
      <c r="AQ589" s="3">
        <f>SUM(Table1[[#This Row],[Team Score]], Table1[[#This Row],[Opp Team Score]])</f>
        <v>35</v>
      </c>
      <c r="AR58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1.9900000000000091</v>
      </c>
      <c r="AS589" s="3">
        <f>IF(Table1[[#This Row],[Efficiency Difference]] = " ", " ", ROUND((Table1[[#This Row],[Winning Margin]]*100)/Table1[[#This Row],[Efficiency Difference]], 2))</f>
        <v>351.76</v>
      </c>
    </row>
    <row r="590" spans="1:45">
      <c r="A590" t="s">
        <v>122</v>
      </c>
      <c r="B590">
        <v>574</v>
      </c>
      <c r="C590">
        <v>9</v>
      </c>
      <c r="D590">
        <v>94</v>
      </c>
      <c r="E590">
        <v>30</v>
      </c>
      <c r="F590">
        <v>0</v>
      </c>
      <c r="G590">
        <v>15</v>
      </c>
      <c r="H590">
        <v>0</v>
      </c>
      <c r="I590">
        <v>130</v>
      </c>
      <c r="J590">
        <v>30</v>
      </c>
      <c r="K590">
        <v>0</v>
      </c>
      <c r="L590">
        <v>2</v>
      </c>
      <c r="M590" t="s">
        <v>123</v>
      </c>
      <c r="N590">
        <v>703</v>
      </c>
      <c r="O590">
        <v>34</v>
      </c>
      <c r="P590">
        <v>277</v>
      </c>
      <c r="Q590">
        <v>27</v>
      </c>
      <c r="R590">
        <v>2</v>
      </c>
      <c r="S590">
        <v>15</v>
      </c>
      <c r="T590">
        <v>0</v>
      </c>
      <c r="U590">
        <v>229</v>
      </c>
      <c r="V590">
        <v>48</v>
      </c>
      <c r="W590">
        <v>2</v>
      </c>
      <c r="X590">
        <v>1</v>
      </c>
      <c r="Y590" t="s">
        <v>19</v>
      </c>
      <c r="Z590">
        <v>1</v>
      </c>
      <c r="AA590">
        <f>IF(AND(Table1[[#This Row],[Throw Out Pass Eff]]="N", Table1[[#This Row],[Against FCS Team]]="N"), ROUND(((5.45 * D590) + (150 * F590) + (100 * G590) - (300 * H590)) / E590, 2), " ")</f>
        <v>67.08</v>
      </c>
      <c r="AB590">
        <f>IF(AND(Table1[[#This Row],[Throw Out Pass Def Eff]]="N", Table1[[#This Row],[Against FCS Team]]="N"),200 - ROUND(((5.45 * P590) + (150 * R590) + (100 * S590) - (300 * T590)) / Q590, 2), " ")</f>
        <v>77.42</v>
      </c>
      <c r="AC590">
        <f>IF(AND(Table1[[#This Row],[Throw Out Rush Eff]]="N", Table1[[#This Row],[Against FCS Team]]="N"), ROUND(((23.2 * I590) + (150 * K590) - (300 * L590)) / J590, 2), " ")</f>
        <v>80.53</v>
      </c>
      <c r="AD590" s="3">
        <f>IF(AND(Table1[[#This Row],[Throw Out Rush Def Eff]]="N", Table1[[#This Row],[Against FCS Team]]="N"), 200 - ROUND(((23.2 * U590) + (150 * W590) - (300 * X590)) / V590, 2), " ")</f>
        <v>89.32</v>
      </c>
      <c r="AE590" s="3">
        <f>ROUND(Table1[[#This Row],[Opp Passing Attempts]]/(Table1[[#This Row],[Opp Passing Attempts]]+Table1[[#This Row],[Opp Rushing Attempts]]), 2)</f>
        <v>0.36</v>
      </c>
      <c r="AF590" s="3">
        <f>1-Table1[[#This Row],[Passing Weight]]</f>
        <v>0.64</v>
      </c>
      <c r="AG590" s="3" t="str">
        <f>IF(COUNTIF(A:A,Table1[[#This Row],[Opp Team Name]]) &gt; 0, "N", "Y")</f>
        <v>N</v>
      </c>
      <c r="AH590" s="3" t="str">
        <f>IF(Table1[[#This Row],[Passing Attempts]] &lt;15, "Y", "N")</f>
        <v>N</v>
      </c>
      <c r="AI590" s="3" t="str">
        <f>IF(Table1[[#This Row],[Rushing Attempts]] &lt; 15, "Y", "N")</f>
        <v>N</v>
      </c>
      <c r="AJ590" s="3" t="str">
        <f>IF(Table1[[#This Row],[Opp Passing Attempts]]&lt;15, "Y", "N")</f>
        <v>N</v>
      </c>
      <c r="AK590" s="3" t="str">
        <f>IF(Table1[[#This Row],[Opp Rushing Attempts]]&lt;15, "Y", "N")</f>
        <v>N</v>
      </c>
      <c r="AL5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82.79</v>
      </c>
      <c r="AM59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78.540000000000006</v>
      </c>
      <c r="AN59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85.46</v>
      </c>
      <c r="AO5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79.61</v>
      </c>
      <c r="AP590" s="3">
        <f>ABS(Table1[[#This Row],[Team Score]]-Table1[[#This Row],[Opp Team Score]])</f>
        <v>25</v>
      </c>
      <c r="AQ590" s="3">
        <f>SUM(Table1[[#This Row],[Team Score]], Table1[[#This Row],[Opp Team Score]])</f>
        <v>43</v>
      </c>
      <c r="AR59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85.649999999999977</v>
      </c>
      <c r="AS590" s="3">
        <f>IF(Table1[[#This Row],[Efficiency Difference]] = " ", " ", ROUND((Table1[[#This Row],[Winning Margin]]*100)/Table1[[#This Row],[Efficiency Difference]], 2))</f>
        <v>29.19</v>
      </c>
    </row>
    <row r="591" spans="1:45">
      <c r="A591" t="s">
        <v>122</v>
      </c>
      <c r="B591">
        <v>574</v>
      </c>
      <c r="C591">
        <v>24</v>
      </c>
      <c r="D591">
        <v>242</v>
      </c>
      <c r="E591">
        <v>32</v>
      </c>
      <c r="F591">
        <v>2</v>
      </c>
      <c r="G591">
        <v>20</v>
      </c>
      <c r="H591">
        <v>0</v>
      </c>
      <c r="I591">
        <v>110</v>
      </c>
      <c r="J591">
        <v>48</v>
      </c>
      <c r="K591">
        <v>1</v>
      </c>
      <c r="L591">
        <v>1</v>
      </c>
      <c r="M591" t="s">
        <v>101</v>
      </c>
      <c r="N591">
        <v>559</v>
      </c>
      <c r="O591">
        <v>22</v>
      </c>
      <c r="P591">
        <v>183</v>
      </c>
      <c r="Q591">
        <v>32</v>
      </c>
      <c r="R591">
        <v>1</v>
      </c>
      <c r="S591">
        <v>18</v>
      </c>
      <c r="T591">
        <v>0</v>
      </c>
      <c r="U591">
        <v>183</v>
      </c>
      <c r="V591">
        <v>40</v>
      </c>
      <c r="W591">
        <v>1</v>
      </c>
      <c r="X591">
        <v>0</v>
      </c>
      <c r="Y591" t="s">
        <v>16</v>
      </c>
      <c r="Z591">
        <v>2</v>
      </c>
      <c r="AA591">
        <f>IF(AND(Table1[[#This Row],[Throw Out Pass Eff]]="N", Table1[[#This Row],[Against FCS Team]]="N"), ROUND(((5.45 * D591) + (150 * F591) + (100 * G591) - (300 * H591)) / E591, 2), " ")</f>
        <v>113.09</v>
      </c>
      <c r="AB591">
        <f>IF(AND(Table1[[#This Row],[Throw Out Pass Def Eff]]="N", Table1[[#This Row],[Against FCS Team]]="N"),200 - ROUND(((5.45 * P591) + (150 * R591) + (100 * S591) - (300 * T591)) / Q591, 2), " ")</f>
        <v>107.9</v>
      </c>
      <c r="AC591">
        <f>IF(AND(Table1[[#This Row],[Throw Out Rush Eff]]="N", Table1[[#This Row],[Against FCS Team]]="N"), ROUND(((23.2 * I591) + (150 * K591) - (300 * L591)) / J591, 2), " ")</f>
        <v>50.04</v>
      </c>
      <c r="AD591" s="3">
        <f>IF(AND(Table1[[#This Row],[Throw Out Rush Def Eff]]="N", Table1[[#This Row],[Against FCS Team]]="N"), 200 - ROUND(((23.2 * U591) + (150 * W591) - (300 * X591)) / V591, 2), " ")</f>
        <v>90.11</v>
      </c>
      <c r="AE591" s="3">
        <f>ROUND(Table1[[#This Row],[Opp Passing Attempts]]/(Table1[[#This Row],[Opp Passing Attempts]]+Table1[[#This Row],[Opp Rushing Attempts]]), 2)</f>
        <v>0.44</v>
      </c>
      <c r="AF591" s="3">
        <f>1-Table1[[#This Row],[Passing Weight]]</f>
        <v>0.56000000000000005</v>
      </c>
      <c r="AG591" s="3" t="str">
        <f>IF(COUNTIF(A:A,Table1[[#This Row],[Opp Team Name]]) &gt; 0, "N", "Y")</f>
        <v>N</v>
      </c>
      <c r="AH591" s="3" t="str">
        <f>IF(Table1[[#This Row],[Passing Attempts]] &lt;15, "Y", "N")</f>
        <v>N</v>
      </c>
      <c r="AI591" s="3" t="str">
        <f>IF(Table1[[#This Row],[Rushing Attempts]] &lt; 15, "Y", "N")</f>
        <v>N</v>
      </c>
      <c r="AJ591" s="3" t="str">
        <f>IF(Table1[[#This Row],[Opp Passing Attempts]]&lt;15, "Y", "N")</f>
        <v>N</v>
      </c>
      <c r="AK591" s="3" t="str">
        <f>IF(Table1[[#This Row],[Opp Rushing Attempts]]&lt;15, "Y", "N")</f>
        <v>N</v>
      </c>
      <c r="AL59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125.16</v>
      </c>
      <c r="AM59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95.82</v>
      </c>
      <c r="AN59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52.96</v>
      </c>
      <c r="AO59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87.23</v>
      </c>
      <c r="AP591" s="3">
        <f>ABS(Table1[[#This Row],[Team Score]]-Table1[[#This Row],[Opp Team Score]])</f>
        <v>2</v>
      </c>
      <c r="AQ591" s="3">
        <f>SUM(Table1[[#This Row],[Team Score]], Table1[[#This Row],[Opp Team Score]])</f>
        <v>46</v>
      </c>
      <c r="AR59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38.860000000000014</v>
      </c>
      <c r="AS591" s="3">
        <f>IF(Table1[[#This Row],[Efficiency Difference]] = " ", " ", ROUND((Table1[[#This Row],[Winning Margin]]*100)/Table1[[#This Row],[Efficiency Difference]], 2))</f>
        <v>5.15</v>
      </c>
    </row>
    <row r="592" spans="1:45">
      <c r="A592" t="s">
        <v>122</v>
      </c>
      <c r="B592">
        <v>574</v>
      </c>
      <c r="C592">
        <v>31</v>
      </c>
      <c r="D592">
        <v>260</v>
      </c>
      <c r="E592">
        <v>39</v>
      </c>
      <c r="F592">
        <v>3</v>
      </c>
      <c r="G592">
        <v>23</v>
      </c>
      <c r="H592">
        <v>1</v>
      </c>
      <c r="I592">
        <v>156</v>
      </c>
      <c r="J592">
        <v>38</v>
      </c>
      <c r="K592">
        <v>1</v>
      </c>
      <c r="L592">
        <v>1</v>
      </c>
      <c r="M592" t="s">
        <v>36</v>
      </c>
      <c r="N592">
        <v>51</v>
      </c>
      <c r="O592">
        <v>56</v>
      </c>
      <c r="P592">
        <v>367</v>
      </c>
      <c r="Q592">
        <v>35</v>
      </c>
      <c r="R592">
        <v>5</v>
      </c>
      <c r="S592">
        <v>31</v>
      </c>
      <c r="T592">
        <v>0</v>
      </c>
      <c r="U592">
        <v>306</v>
      </c>
      <c r="V592">
        <v>50</v>
      </c>
      <c r="W592">
        <v>2</v>
      </c>
      <c r="X592">
        <v>2</v>
      </c>
      <c r="Y592" t="s">
        <v>19</v>
      </c>
      <c r="Z592">
        <v>4</v>
      </c>
      <c r="AA592">
        <f>IF(AND(Table1[[#This Row],[Throw Out Pass Eff]]="N", Table1[[#This Row],[Against FCS Team]]="N"), ROUND(((5.45 * D592) + (150 * F592) + (100 * G592) - (300 * H592)) / E592, 2), " ")</f>
        <v>99.15</v>
      </c>
      <c r="AB592">
        <f>IF(AND(Table1[[#This Row],[Throw Out Pass Def Eff]]="N", Table1[[#This Row],[Against FCS Team]]="N"),200 - ROUND(((5.45 * P592) + (150 * R592) + (100 * S592) - (300 * T592)) / Q592, 2), " ")</f>
        <v>32.849999999999994</v>
      </c>
      <c r="AC592">
        <f>IF(AND(Table1[[#This Row],[Throw Out Rush Eff]]="N", Table1[[#This Row],[Against FCS Team]]="N"), ROUND(((23.2 * I592) + (150 * K592) - (300 * L592)) / J592, 2), " ")</f>
        <v>91.29</v>
      </c>
      <c r="AD592" s="3">
        <f>IF(AND(Table1[[#This Row],[Throw Out Rush Def Eff]]="N", Table1[[#This Row],[Against FCS Team]]="N"), 200 - ROUND(((23.2 * U592) + (150 * W592) - (300 * X592)) / V592, 2), " ")</f>
        <v>64.02000000000001</v>
      </c>
      <c r="AE592" s="3">
        <f>ROUND(Table1[[#This Row],[Opp Passing Attempts]]/(Table1[[#This Row],[Opp Passing Attempts]]+Table1[[#This Row],[Opp Rushing Attempts]]), 2)</f>
        <v>0.41</v>
      </c>
      <c r="AF592" s="3">
        <f>1-Table1[[#This Row],[Passing Weight]]</f>
        <v>0.59000000000000008</v>
      </c>
      <c r="AG592" s="3" t="str">
        <f>IF(COUNTIF(A:A,Table1[[#This Row],[Opp Team Name]]) &gt; 0, "N", "Y")</f>
        <v>N</v>
      </c>
      <c r="AH592" s="3" t="str">
        <f>IF(Table1[[#This Row],[Passing Attempts]] &lt;15, "Y", "N")</f>
        <v>N</v>
      </c>
      <c r="AI592" s="3" t="str">
        <f>IF(Table1[[#This Row],[Rushing Attempts]] &lt; 15, "Y", "N")</f>
        <v>N</v>
      </c>
      <c r="AJ592" s="3" t="str">
        <f>IF(Table1[[#This Row],[Opp Passing Attempts]]&lt;15, "Y", "N")</f>
        <v>N</v>
      </c>
      <c r="AK592" s="3" t="str">
        <f>IF(Table1[[#This Row],[Opp Rushing Attempts]]&lt;15, "Y", "N")</f>
        <v>N</v>
      </c>
      <c r="AL59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101.49</v>
      </c>
      <c r="AM5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50.48</v>
      </c>
      <c r="AN5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82.26</v>
      </c>
      <c r="AO5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70.19</v>
      </c>
      <c r="AP592" s="3">
        <f>ABS(Table1[[#This Row],[Team Score]]-Table1[[#This Row],[Opp Team Score]])</f>
        <v>25</v>
      </c>
      <c r="AQ592" s="3">
        <f>SUM(Table1[[#This Row],[Team Score]], Table1[[#This Row],[Opp Team Score]])</f>
        <v>87</v>
      </c>
      <c r="AR59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112.69</v>
      </c>
      <c r="AS592" s="3">
        <f>IF(Table1[[#This Row],[Efficiency Difference]] = " ", " ", ROUND((Table1[[#This Row],[Winning Margin]]*100)/Table1[[#This Row],[Efficiency Difference]], 2))</f>
        <v>22.18</v>
      </c>
    </row>
    <row r="593" spans="1:45">
      <c r="A593" t="s">
        <v>122</v>
      </c>
      <c r="B593">
        <v>574</v>
      </c>
      <c r="C593">
        <v>24</v>
      </c>
      <c r="D593">
        <v>196</v>
      </c>
      <c r="E593">
        <v>41</v>
      </c>
      <c r="F593">
        <v>1</v>
      </c>
      <c r="G593">
        <v>21</v>
      </c>
      <c r="H593">
        <v>0</v>
      </c>
      <c r="I593">
        <v>33</v>
      </c>
      <c r="J593">
        <v>30</v>
      </c>
      <c r="K593">
        <v>0</v>
      </c>
      <c r="L593">
        <v>2</v>
      </c>
      <c r="M593" t="s">
        <v>89</v>
      </c>
      <c r="N593">
        <v>664</v>
      </c>
      <c r="O593">
        <v>48</v>
      </c>
      <c r="P593">
        <v>284</v>
      </c>
      <c r="Q593">
        <v>34</v>
      </c>
      <c r="R593">
        <v>3</v>
      </c>
      <c r="S593">
        <v>21</v>
      </c>
      <c r="T593">
        <v>2</v>
      </c>
      <c r="U593">
        <v>370</v>
      </c>
      <c r="V593">
        <v>51</v>
      </c>
      <c r="W593">
        <v>3</v>
      </c>
      <c r="X593">
        <v>2</v>
      </c>
      <c r="Y593" t="s">
        <v>19</v>
      </c>
      <c r="Z593">
        <v>5</v>
      </c>
      <c r="AA593">
        <f>IF(AND(Table1[[#This Row],[Throw Out Pass Eff]]="N", Table1[[#This Row],[Against FCS Team]]="N"), ROUND(((5.45 * D593) + (150 * F593) + (100 * G593) - (300 * H593)) / E593, 2), " ")</f>
        <v>80.930000000000007</v>
      </c>
      <c r="AB593">
        <f>IF(AND(Table1[[#This Row],[Throw Out Pass Def Eff]]="N", Table1[[#This Row],[Against FCS Team]]="N"),200 - ROUND(((5.45 * P593) + (150 * R593) + (100 * S593) - (300 * T593)) / Q593, 2), " ")</f>
        <v>97.12</v>
      </c>
      <c r="AC593">
        <f>IF(AND(Table1[[#This Row],[Throw Out Rush Eff]]="N", Table1[[#This Row],[Against FCS Team]]="N"), ROUND(((23.2 * I593) + (150 * K593) - (300 * L593)) / J593, 2), " ")</f>
        <v>5.52</v>
      </c>
      <c r="AD593" s="3">
        <f>IF(AND(Table1[[#This Row],[Throw Out Rush Def Eff]]="N", Table1[[#This Row],[Against FCS Team]]="N"), 200 - ROUND(((23.2 * U593) + (150 * W593) - (300 * X593)) / V593, 2), " ")</f>
        <v>34.629999999999995</v>
      </c>
      <c r="AE593" s="3">
        <f>ROUND(Table1[[#This Row],[Opp Passing Attempts]]/(Table1[[#This Row],[Opp Passing Attempts]]+Table1[[#This Row],[Opp Rushing Attempts]]), 2)</f>
        <v>0.4</v>
      </c>
      <c r="AF593" s="3">
        <f>1-Table1[[#This Row],[Passing Weight]]</f>
        <v>0.6</v>
      </c>
      <c r="AG593" s="3" t="str">
        <f>IF(COUNTIF(A:A,Table1[[#This Row],[Opp Team Name]]) &gt; 0, "N", "Y")</f>
        <v>N</v>
      </c>
      <c r="AH593" s="3" t="str">
        <f>IF(Table1[[#This Row],[Passing Attempts]] &lt;15, "Y", "N")</f>
        <v>N</v>
      </c>
      <c r="AI593" s="3" t="str">
        <f>IF(Table1[[#This Row],[Rushing Attempts]] &lt; 15, "Y", "N")</f>
        <v>N</v>
      </c>
      <c r="AJ593" s="3" t="str">
        <f>IF(Table1[[#This Row],[Opp Passing Attempts]]&lt;15, "Y", "N")</f>
        <v>N</v>
      </c>
      <c r="AK593" s="3" t="str">
        <f>IF(Table1[[#This Row],[Opp Rushing Attempts]]&lt;15, "Y", "N")</f>
        <v>N</v>
      </c>
      <c r="AL5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101.49</v>
      </c>
      <c r="AM5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107.34</v>
      </c>
      <c r="AN5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6.52</v>
      </c>
      <c r="AO5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34.79</v>
      </c>
      <c r="AP593" s="3">
        <f>ABS(Table1[[#This Row],[Team Score]]-Table1[[#This Row],[Opp Team Score]])</f>
        <v>24</v>
      </c>
      <c r="AQ593" s="3">
        <f>SUM(Table1[[#This Row],[Team Score]], Table1[[#This Row],[Opp Team Score]])</f>
        <v>72</v>
      </c>
      <c r="AR5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181.8</v>
      </c>
      <c r="AS593" s="3">
        <f>IF(Table1[[#This Row],[Efficiency Difference]] = " ", " ", ROUND((Table1[[#This Row],[Winning Margin]]*100)/Table1[[#This Row],[Efficiency Difference]], 2))</f>
        <v>13.2</v>
      </c>
    </row>
    <row r="594" spans="1:45">
      <c r="A594" t="s">
        <v>122</v>
      </c>
      <c r="B594">
        <v>574</v>
      </c>
      <c r="C594">
        <v>28</v>
      </c>
      <c r="D594">
        <v>170</v>
      </c>
      <c r="E594">
        <v>22</v>
      </c>
      <c r="F594">
        <v>1</v>
      </c>
      <c r="G594">
        <v>15</v>
      </c>
      <c r="H594">
        <v>2</v>
      </c>
      <c r="I594">
        <v>180</v>
      </c>
      <c r="J594">
        <v>45</v>
      </c>
      <c r="K594">
        <v>2</v>
      </c>
      <c r="L594">
        <v>1</v>
      </c>
      <c r="M594" t="s">
        <v>94</v>
      </c>
      <c r="N594">
        <v>404</v>
      </c>
      <c r="O594">
        <v>6</v>
      </c>
      <c r="P594">
        <v>237</v>
      </c>
      <c r="Q594">
        <v>43</v>
      </c>
      <c r="R594">
        <v>0</v>
      </c>
      <c r="S594">
        <v>24</v>
      </c>
      <c r="T594">
        <v>2</v>
      </c>
      <c r="U594">
        <v>70</v>
      </c>
      <c r="V594">
        <v>29</v>
      </c>
      <c r="W594">
        <v>0</v>
      </c>
      <c r="X594">
        <v>1</v>
      </c>
      <c r="Y594" t="s">
        <v>16</v>
      </c>
      <c r="Z594">
        <v>6</v>
      </c>
      <c r="AA594">
        <f>IF(AND(Table1[[#This Row],[Throw Out Pass Eff]]="N", Table1[[#This Row],[Against FCS Team]]="N"), ROUND(((5.45 * D594) + (150 * F594) + (100 * G594) - (300 * H594)) / E594, 2), " ")</f>
        <v>89.84</v>
      </c>
      <c r="AB594">
        <f>IF(AND(Table1[[#This Row],[Throw Out Pass Def Eff]]="N", Table1[[#This Row],[Against FCS Team]]="N"),200 - ROUND(((5.45 * P594) + (150 * R594) + (100 * S594) - (300 * T594)) / Q594, 2), " ")</f>
        <v>128.1</v>
      </c>
      <c r="AC594">
        <f>IF(AND(Table1[[#This Row],[Throw Out Rush Eff]]="N", Table1[[#This Row],[Against FCS Team]]="N"), ROUND(((23.2 * I594) + (150 * K594) - (300 * L594)) / J594, 2), " ")</f>
        <v>92.8</v>
      </c>
      <c r="AD594" s="3">
        <f>IF(AND(Table1[[#This Row],[Throw Out Rush Def Eff]]="N", Table1[[#This Row],[Against FCS Team]]="N"), 200 - ROUND(((23.2 * U594) + (150 * W594) - (300 * X594)) / V594, 2), " ")</f>
        <v>154.34</v>
      </c>
      <c r="AE594" s="3">
        <f>ROUND(Table1[[#This Row],[Opp Passing Attempts]]/(Table1[[#This Row],[Opp Passing Attempts]]+Table1[[#This Row],[Opp Rushing Attempts]]), 2)</f>
        <v>0.6</v>
      </c>
      <c r="AF594" s="3">
        <f>1-Table1[[#This Row],[Passing Weight]]</f>
        <v>0.4</v>
      </c>
      <c r="AG594" s="3" t="str">
        <f>IF(COUNTIF(A:A,Table1[[#This Row],[Opp Team Name]]) &gt; 0, "N", "Y")</f>
        <v>N</v>
      </c>
      <c r="AH594" s="3" t="str">
        <f>IF(Table1[[#This Row],[Passing Attempts]] &lt;15, "Y", "N")</f>
        <v>N</v>
      </c>
      <c r="AI594" s="3" t="str">
        <f>IF(Table1[[#This Row],[Rushing Attempts]] &lt; 15, "Y", "N")</f>
        <v>N</v>
      </c>
      <c r="AJ594" s="3" t="str">
        <f>IF(Table1[[#This Row],[Opp Passing Attempts]]&lt;15, "Y", "N")</f>
        <v>N</v>
      </c>
      <c r="AK594" s="3" t="str">
        <f>IF(Table1[[#This Row],[Opp Rushing Attempts]]&lt;15, "Y", "N")</f>
        <v>N</v>
      </c>
      <c r="AL5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72.83</v>
      </c>
      <c r="AM5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107.03</v>
      </c>
      <c r="AN5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76.67</v>
      </c>
      <c r="AO5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71.88</v>
      </c>
      <c r="AP594" s="3">
        <f>ABS(Table1[[#This Row],[Team Score]]-Table1[[#This Row],[Opp Team Score]])</f>
        <v>22</v>
      </c>
      <c r="AQ594" s="3">
        <f>SUM(Table1[[#This Row],[Team Score]], Table1[[#This Row],[Opp Team Score]])</f>
        <v>34</v>
      </c>
      <c r="AR5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65.079999999999984</v>
      </c>
      <c r="AS594" s="3">
        <f>IF(Table1[[#This Row],[Efficiency Difference]] = " ", " ", ROUND((Table1[[#This Row],[Winning Margin]]*100)/Table1[[#This Row],[Efficiency Difference]], 2))</f>
        <v>33.799999999999997</v>
      </c>
    </row>
    <row r="595" spans="1:45">
      <c r="A595" t="s">
        <v>122</v>
      </c>
      <c r="B595">
        <v>574</v>
      </c>
      <c r="C595">
        <v>20</v>
      </c>
      <c r="D595">
        <v>167</v>
      </c>
      <c r="E595">
        <v>21</v>
      </c>
      <c r="F595">
        <v>1</v>
      </c>
      <c r="G595">
        <v>12</v>
      </c>
      <c r="H595">
        <v>0</v>
      </c>
      <c r="I595">
        <v>194</v>
      </c>
      <c r="J595">
        <v>41</v>
      </c>
      <c r="K595">
        <v>1</v>
      </c>
      <c r="L595">
        <v>2</v>
      </c>
      <c r="M595" t="s">
        <v>176</v>
      </c>
      <c r="N595">
        <v>388</v>
      </c>
      <c r="O595">
        <v>24</v>
      </c>
      <c r="P595">
        <v>111</v>
      </c>
      <c r="Q595">
        <v>27</v>
      </c>
      <c r="R595">
        <v>0</v>
      </c>
      <c r="S595">
        <v>14</v>
      </c>
      <c r="T595">
        <v>1</v>
      </c>
      <c r="U595">
        <v>217</v>
      </c>
      <c r="V595">
        <v>43</v>
      </c>
      <c r="W595">
        <v>3</v>
      </c>
      <c r="X595">
        <v>0</v>
      </c>
      <c r="Y595" t="s">
        <v>19</v>
      </c>
      <c r="Z595">
        <v>7</v>
      </c>
      <c r="AA595">
        <f>IF(AND(Table1[[#This Row],[Throw Out Pass Eff]]="N", Table1[[#This Row],[Against FCS Team]]="N"), ROUND(((5.45 * D595) + (150 * F595) + (100 * G595) - (300 * H595)) / E595, 2), " ")</f>
        <v>107.63</v>
      </c>
      <c r="AB595">
        <f>IF(AND(Table1[[#This Row],[Throw Out Pass Def Eff]]="N", Table1[[#This Row],[Against FCS Team]]="N"),200 - ROUND(((5.45 * P595) + (150 * R595) + (100 * S595) - (300 * T595)) / Q595, 2), " ")</f>
        <v>136.85</v>
      </c>
      <c r="AC595">
        <f>IF(AND(Table1[[#This Row],[Throw Out Rush Eff]]="N", Table1[[#This Row],[Against FCS Team]]="N"), ROUND(((23.2 * I595) + (150 * K595) - (300 * L595)) / J595, 2), " ")</f>
        <v>98.8</v>
      </c>
      <c r="AD595" s="3">
        <f>IF(AND(Table1[[#This Row],[Throw Out Rush Def Eff]]="N", Table1[[#This Row],[Against FCS Team]]="N"), 200 - ROUND(((23.2 * U595) + (150 * W595) - (300 * X595)) / V595, 2), " ")</f>
        <v>72.459999999999994</v>
      </c>
      <c r="AE595" s="3">
        <f>ROUND(Table1[[#This Row],[Opp Passing Attempts]]/(Table1[[#This Row],[Opp Passing Attempts]]+Table1[[#This Row],[Opp Rushing Attempts]]), 2)</f>
        <v>0.39</v>
      </c>
      <c r="AF595" s="3">
        <f>1-Table1[[#This Row],[Passing Weight]]</f>
        <v>0.61</v>
      </c>
      <c r="AG595" s="3" t="str">
        <f>IF(COUNTIF(A:A,Table1[[#This Row],[Opp Team Name]]) &gt; 0, "N", "Y")</f>
        <v>N</v>
      </c>
      <c r="AH595" s="3" t="str">
        <f>IF(Table1[[#This Row],[Passing Attempts]] &lt;15, "Y", "N")</f>
        <v>N</v>
      </c>
      <c r="AI595" s="3" t="str">
        <f>IF(Table1[[#This Row],[Rushing Attempts]] &lt; 15, "Y", "N")</f>
        <v>N</v>
      </c>
      <c r="AJ595" s="3" t="str">
        <f>IF(Table1[[#This Row],[Opp Passing Attempts]]&lt;15, "Y", "N")</f>
        <v>N</v>
      </c>
      <c r="AK595" s="3" t="str">
        <f>IF(Table1[[#This Row],[Opp Rushing Attempts]]&lt;15, "Y", "N")</f>
        <v>N</v>
      </c>
      <c r="AL59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94.7</v>
      </c>
      <c r="AM59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113.02</v>
      </c>
      <c r="AN59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106.75</v>
      </c>
      <c r="AO59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49.97</v>
      </c>
      <c r="AP595" s="3">
        <f>ABS(Table1[[#This Row],[Team Score]]-Table1[[#This Row],[Opp Team Score]])</f>
        <v>4</v>
      </c>
      <c r="AQ595" s="3">
        <f>SUM(Table1[[#This Row],[Team Score]], Table1[[#This Row],[Opp Team Score]])</f>
        <v>44</v>
      </c>
      <c r="AR59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15.740000000000009</v>
      </c>
      <c r="AS595" s="3">
        <f>IF(Table1[[#This Row],[Efficiency Difference]] = " ", " ", ROUND((Table1[[#This Row],[Winning Margin]]*100)/Table1[[#This Row],[Efficiency Difference]], 2))</f>
        <v>25.41</v>
      </c>
    </row>
    <row r="596" spans="1:45">
      <c r="A596" t="s">
        <v>122</v>
      </c>
      <c r="B596">
        <v>574</v>
      </c>
      <c r="C596">
        <v>20</v>
      </c>
      <c r="D596">
        <v>250</v>
      </c>
      <c r="E596">
        <v>42</v>
      </c>
      <c r="F596">
        <v>1</v>
      </c>
      <c r="G596">
        <v>22</v>
      </c>
      <c r="H596">
        <v>2</v>
      </c>
      <c r="I596">
        <v>103</v>
      </c>
      <c r="J596">
        <v>35</v>
      </c>
      <c r="K596">
        <v>1</v>
      </c>
      <c r="L596">
        <v>2</v>
      </c>
      <c r="M596" t="s">
        <v>117</v>
      </c>
      <c r="N596">
        <v>719</v>
      </c>
      <c r="O596">
        <v>38</v>
      </c>
      <c r="P596">
        <v>318</v>
      </c>
      <c r="Q596">
        <v>34</v>
      </c>
      <c r="R596">
        <v>3</v>
      </c>
      <c r="S596">
        <v>21</v>
      </c>
      <c r="T596">
        <v>0</v>
      </c>
      <c r="U596">
        <v>155</v>
      </c>
      <c r="V596">
        <v>42</v>
      </c>
      <c r="W596">
        <v>2</v>
      </c>
      <c r="X596">
        <v>1</v>
      </c>
      <c r="Y596" t="s">
        <v>19</v>
      </c>
      <c r="Z596">
        <v>8</v>
      </c>
      <c r="AA596" s="3">
        <f>IF(AND(Table1[[#This Row],[Throw Out Pass Eff]]="N", Table1[[#This Row],[Against FCS Team]]="N"), ROUND(((5.45 * D596) + (150 * F596) + (100 * G596) - (300 * H596)) / E596, 2), " ")</f>
        <v>74.11</v>
      </c>
      <c r="AB596" s="3">
        <f>IF(AND(Table1[[#This Row],[Throw Out Pass Def Eff]]="N", Table1[[#This Row],[Against FCS Team]]="N"),200 - ROUND(((5.45 * P596) + (150 * R596) + (100 * S596) - (300 * T596)) / Q596, 2), " ")</f>
        <v>74.03</v>
      </c>
      <c r="AC596" s="3">
        <f>IF(AND(Table1[[#This Row],[Throw Out Rush Eff]]="N", Table1[[#This Row],[Against FCS Team]]="N"), ROUND(((23.2 * I596) + (150 * K596) - (300 * L596)) / J596, 2), " ")</f>
        <v>55.42</v>
      </c>
      <c r="AD596" s="3">
        <f>IF(AND(Table1[[#This Row],[Throw Out Rush Def Eff]]="N", Table1[[#This Row],[Against FCS Team]]="N"), 200 - ROUND(((23.2 * U596) + (150 * W596) - (300 * X596)) / V596, 2), " ")</f>
        <v>114.38</v>
      </c>
      <c r="AE596" s="3">
        <f>ROUND(Table1[[#This Row],[Opp Passing Attempts]]/(Table1[[#This Row],[Opp Passing Attempts]]+Table1[[#This Row],[Opp Rushing Attempts]]), 2)</f>
        <v>0.45</v>
      </c>
      <c r="AF596" s="3">
        <f>1-Table1[[#This Row],[Passing Weight]]</f>
        <v>0.55000000000000004</v>
      </c>
      <c r="AG596" s="3" t="str">
        <f>IF(COUNTIF(A:A,Table1[[#This Row],[Opp Team Name]]) &gt; 0, "N", "Y")</f>
        <v>N</v>
      </c>
      <c r="AH596" s="3" t="str">
        <f>IF(Table1[[#This Row],[Passing Attempts]] &lt;15, "Y", "N")</f>
        <v>N</v>
      </c>
      <c r="AI596" s="3" t="str">
        <f>IF(Table1[[#This Row],[Rushing Attempts]] &lt; 15, "Y", "N")</f>
        <v>N</v>
      </c>
      <c r="AJ596" s="3" t="str">
        <f>IF(Table1[[#This Row],[Opp Passing Attempts]]&lt;15, "Y", "N")</f>
        <v>N</v>
      </c>
      <c r="AK596" s="3" t="str">
        <f>IF(Table1[[#This Row],[Opp Rushing Attempts]]&lt;15, "Y", "N")</f>
        <v>N</v>
      </c>
      <c r="AL59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73.53</v>
      </c>
      <c r="AM59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68.989999999999995</v>
      </c>
      <c r="AN59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71.400000000000006</v>
      </c>
      <c r="AO59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116.43</v>
      </c>
      <c r="AP596" s="3">
        <f>ABS(Table1[[#This Row],[Team Score]]-Table1[[#This Row],[Opp Team Score]])</f>
        <v>18</v>
      </c>
      <c r="AQ596" s="3">
        <f>SUM(Table1[[#This Row],[Team Score]], Table1[[#This Row],[Opp Team Score]])</f>
        <v>58</v>
      </c>
      <c r="AR59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82.06</v>
      </c>
      <c r="AS596" s="3">
        <f>IF(Table1[[#This Row],[Efficiency Difference]] = " ", " ", ROUND((Table1[[#This Row],[Winning Margin]]*100)/Table1[[#This Row],[Efficiency Difference]], 2))</f>
        <v>21.94</v>
      </c>
    </row>
    <row r="597" spans="1:45">
      <c r="A597" t="s">
        <v>124</v>
      </c>
      <c r="B597">
        <v>587</v>
      </c>
      <c r="C597">
        <v>48</v>
      </c>
      <c r="D597">
        <v>210</v>
      </c>
      <c r="E597">
        <v>34</v>
      </c>
      <c r="F597">
        <v>2</v>
      </c>
      <c r="G597">
        <v>15</v>
      </c>
      <c r="H597">
        <v>1</v>
      </c>
      <c r="I597">
        <v>137</v>
      </c>
      <c r="J597">
        <v>41</v>
      </c>
      <c r="K597">
        <v>2</v>
      </c>
      <c r="L597">
        <v>0</v>
      </c>
      <c r="M597" t="s">
        <v>125</v>
      </c>
      <c r="N597">
        <v>489</v>
      </c>
      <c r="O597">
        <v>0</v>
      </c>
      <c r="P597">
        <v>112</v>
      </c>
      <c r="Q597">
        <v>30</v>
      </c>
      <c r="R597">
        <v>0</v>
      </c>
      <c r="S597">
        <v>14</v>
      </c>
      <c r="T597">
        <v>2</v>
      </c>
      <c r="U597">
        <v>8</v>
      </c>
      <c r="V597">
        <v>30</v>
      </c>
      <c r="W597">
        <v>0</v>
      </c>
      <c r="X597">
        <v>2</v>
      </c>
      <c r="Y597" t="s">
        <v>16</v>
      </c>
      <c r="Z597">
        <v>1</v>
      </c>
      <c r="AA597" t="str">
        <f>IF(AND(Table1[[#This Row],[Throw Out Pass Eff]]="N", Table1[[#This Row],[Against FCS Team]]="N"), ROUND(((5.45 * D597) + (150 * F597) + (100 * G597) - (300 * H597)) / E597, 2), " ")</f>
        <v xml:space="preserve"> </v>
      </c>
      <c r="AB597" t="str">
        <f>IF(AND(Table1[[#This Row],[Throw Out Pass Def Eff]]="N", Table1[[#This Row],[Against FCS Team]]="N"),200 - ROUND(((5.45 * P597) + (150 * R597) + (100 * S597) - (300 * T597)) / Q597, 2), " ")</f>
        <v xml:space="preserve"> </v>
      </c>
      <c r="AC597" t="str">
        <f>IF(AND(Table1[[#This Row],[Throw Out Rush Eff]]="N", Table1[[#This Row],[Against FCS Team]]="N"), ROUND(((23.2 * I597) + (150 * K597) - (300 * L597)) / J597, 2), " ")</f>
        <v xml:space="preserve"> </v>
      </c>
      <c r="AD597" s="3" t="str">
        <f>IF(AND(Table1[[#This Row],[Throw Out Rush Def Eff]]="N", Table1[[#This Row],[Against FCS Team]]="N"), 200 - ROUND(((23.2 * U597) + (150 * W597) - (300 * X597)) / V597, 2), " ")</f>
        <v xml:space="preserve"> </v>
      </c>
      <c r="AE597" s="3">
        <f>ROUND(Table1[[#This Row],[Opp Passing Attempts]]/(Table1[[#This Row],[Opp Passing Attempts]]+Table1[[#This Row],[Opp Rushing Attempts]]), 2)</f>
        <v>0.5</v>
      </c>
      <c r="AF597" s="3">
        <f>1-Table1[[#This Row],[Passing Weight]]</f>
        <v>0.5</v>
      </c>
      <c r="AG597" s="3" t="str">
        <f>IF(COUNTIF(A:A,Table1[[#This Row],[Opp Team Name]]) &gt; 0, "N", "Y")</f>
        <v>Y</v>
      </c>
      <c r="AH597" s="3" t="str">
        <f>IF(Table1[[#This Row],[Passing Attempts]] &lt;15, "Y", "N")</f>
        <v>N</v>
      </c>
      <c r="AI597" s="3" t="str">
        <f>IF(Table1[[#This Row],[Rushing Attempts]] &lt; 15, "Y", "N")</f>
        <v>N</v>
      </c>
      <c r="AJ597" s="3" t="str">
        <f>IF(Table1[[#This Row],[Opp Passing Attempts]]&lt;15, "Y", "N")</f>
        <v>N</v>
      </c>
      <c r="AK597" s="3" t="str">
        <f>IF(Table1[[#This Row],[Opp Rushing Attempts]]&lt;15, "Y", "N")</f>
        <v>N</v>
      </c>
      <c r="AL59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59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59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597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597" s="3">
        <f>ABS(Table1[[#This Row],[Team Score]]-Table1[[#This Row],[Opp Team Score]])</f>
        <v>48</v>
      </c>
      <c r="AQ597" s="3">
        <f>SUM(Table1[[#This Row],[Team Score]], Table1[[#This Row],[Opp Team Score]])</f>
        <v>48</v>
      </c>
      <c r="AR59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597" s="3" t="str">
        <f>IF(Table1[[#This Row],[Efficiency Difference]] = " ", " ", ROUND((Table1[[#This Row],[Winning Margin]]*100)/Table1[[#This Row],[Efficiency Difference]], 2))</f>
        <v xml:space="preserve"> </v>
      </c>
    </row>
    <row r="598" spans="1:45">
      <c r="A598" t="s">
        <v>124</v>
      </c>
      <c r="B598">
        <v>587</v>
      </c>
      <c r="C598">
        <v>22</v>
      </c>
      <c r="D598">
        <v>243</v>
      </c>
      <c r="E598">
        <v>47</v>
      </c>
      <c r="F598">
        <v>2</v>
      </c>
      <c r="G598">
        <v>25</v>
      </c>
      <c r="H598">
        <v>0</v>
      </c>
      <c r="I598">
        <v>1</v>
      </c>
      <c r="J598">
        <v>25</v>
      </c>
      <c r="K598">
        <v>0</v>
      </c>
      <c r="L598">
        <v>0</v>
      </c>
      <c r="M598" t="s">
        <v>110</v>
      </c>
      <c r="N598">
        <v>457</v>
      </c>
      <c r="O598">
        <v>24</v>
      </c>
      <c r="P598">
        <v>273</v>
      </c>
      <c r="Q598">
        <v>26</v>
      </c>
      <c r="R598">
        <v>1</v>
      </c>
      <c r="S598">
        <v>20</v>
      </c>
      <c r="T598">
        <v>3</v>
      </c>
      <c r="U598">
        <v>132</v>
      </c>
      <c r="V598">
        <v>29</v>
      </c>
      <c r="W598">
        <v>2</v>
      </c>
      <c r="X598">
        <v>2</v>
      </c>
      <c r="Y598" t="s">
        <v>19</v>
      </c>
      <c r="Z598">
        <v>2</v>
      </c>
      <c r="AA598">
        <f>IF(AND(Table1[[#This Row],[Throw Out Pass Eff]]="N", Table1[[#This Row],[Against FCS Team]]="N"), ROUND(((5.45 * D598) + (150 * F598) + (100 * G598) - (300 * H598)) / E598, 2), " ")</f>
        <v>87.75</v>
      </c>
      <c r="AB598">
        <f>IF(AND(Table1[[#This Row],[Throw Out Pass Def Eff]]="N", Table1[[#This Row],[Against FCS Team]]="N"),200 - ROUND(((5.45 * P598) + (150 * R598) + (100 * S598) - (300 * T598)) / Q598, 2), " ")</f>
        <v>94.7</v>
      </c>
      <c r="AC598">
        <f>IF(AND(Table1[[#This Row],[Throw Out Rush Eff]]="N", Table1[[#This Row],[Against FCS Team]]="N"), ROUND(((23.2 * I598) + (150 * K598) - (300 * L598)) / J598, 2), " ")</f>
        <v>0.93</v>
      </c>
      <c r="AD598" s="3">
        <f>IF(AND(Table1[[#This Row],[Throw Out Rush Def Eff]]="N", Table1[[#This Row],[Against FCS Team]]="N"), 200 - ROUND(((23.2 * U598) + (150 * W598) - (300 * X598)) / V598, 2), " ")</f>
        <v>104.74</v>
      </c>
      <c r="AE598" s="3">
        <f>ROUND(Table1[[#This Row],[Opp Passing Attempts]]/(Table1[[#This Row],[Opp Passing Attempts]]+Table1[[#This Row],[Opp Rushing Attempts]]), 2)</f>
        <v>0.47</v>
      </c>
      <c r="AF598" s="3">
        <f>1-Table1[[#This Row],[Passing Weight]]</f>
        <v>0.53</v>
      </c>
      <c r="AG598" s="3" t="str">
        <f>IF(COUNTIF(A:A,Table1[[#This Row],[Opp Team Name]]) &gt; 0, "N", "Y")</f>
        <v>N</v>
      </c>
      <c r="AH598" s="3" t="str">
        <f>IF(Table1[[#This Row],[Passing Attempts]] &lt;15, "Y", "N")</f>
        <v>N</v>
      </c>
      <c r="AI598" s="3" t="str">
        <f>IF(Table1[[#This Row],[Rushing Attempts]] &lt; 15, "Y", "N")</f>
        <v>N</v>
      </c>
      <c r="AJ598" s="3" t="str">
        <f>IF(Table1[[#This Row],[Opp Passing Attempts]]&lt;15, "Y", "N")</f>
        <v>N</v>
      </c>
      <c r="AK598" s="3" t="str">
        <f>IF(Table1[[#This Row],[Opp Rushing Attempts]]&lt;15, "Y", "N")</f>
        <v>N</v>
      </c>
      <c r="AL59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86.21</v>
      </c>
      <c r="AM59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111.65</v>
      </c>
      <c r="AN59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1.3</v>
      </c>
      <c r="AO59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99.46</v>
      </c>
      <c r="AP598" s="3">
        <f>ABS(Table1[[#This Row],[Team Score]]-Table1[[#This Row],[Opp Team Score]])</f>
        <v>2</v>
      </c>
      <c r="AQ598" s="3">
        <f>SUM(Table1[[#This Row],[Team Score]], Table1[[#This Row],[Opp Team Score]])</f>
        <v>46</v>
      </c>
      <c r="AR59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111.88</v>
      </c>
      <c r="AS598" s="3">
        <f>IF(Table1[[#This Row],[Efficiency Difference]] = " ", " ", ROUND((Table1[[#This Row],[Winning Margin]]*100)/Table1[[#This Row],[Efficiency Difference]], 2))</f>
        <v>1.79</v>
      </c>
    </row>
    <row r="599" spans="1:45">
      <c r="A599" t="s">
        <v>124</v>
      </c>
      <c r="B599">
        <v>587</v>
      </c>
      <c r="C599">
        <v>38</v>
      </c>
      <c r="D599">
        <v>251</v>
      </c>
      <c r="E599">
        <v>35</v>
      </c>
      <c r="F599">
        <v>3</v>
      </c>
      <c r="G599">
        <v>22</v>
      </c>
      <c r="H599">
        <v>1</v>
      </c>
      <c r="I599">
        <v>159</v>
      </c>
      <c r="J599">
        <v>43</v>
      </c>
      <c r="K599">
        <v>1</v>
      </c>
      <c r="L599">
        <v>1</v>
      </c>
      <c r="M599" t="s">
        <v>109</v>
      </c>
      <c r="N599">
        <v>519</v>
      </c>
      <c r="O599">
        <v>26</v>
      </c>
      <c r="P599">
        <v>339</v>
      </c>
      <c r="Q599">
        <v>36</v>
      </c>
      <c r="R599">
        <v>3</v>
      </c>
      <c r="S599">
        <v>23</v>
      </c>
      <c r="T599">
        <v>0</v>
      </c>
      <c r="U599">
        <v>100</v>
      </c>
      <c r="V599">
        <v>23</v>
      </c>
      <c r="W599">
        <v>0</v>
      </c>
      <c r="X599">
        <v>4</v>
      </c>
      <c r="Y599" t="s">
        <v>16</v>
      </c>
      <c r="Z599">
        <v>4</v>
      </c>
      <c r="AA599">
        <f>IF(AND(Table1[[#This Row],[Throw Out Pass Eff]]="N", Table1[[#This Row],[Against FCS Team]]="N"), ROUND(((5.45 * D599) + (150 * F599) + (100 * G599) - (300 * H599)) / E599, 2), " ")</f>
        <v>106.23</v>
      </c>
      <c r="AB599">
        <f>IF(AND(Table1[[#This Row],[Throw Out Pass Def Eff]]="N", Table1[[#This Row],[Against FCS Team]]="N"),200 - ROUND(((5.45 * P599) + (150 * R599) + (100 * S599) - (300 * T599)) / Q599, 2), " ")</f>
        <v>72.290000000000006</v>
      </c>
      <c r="AC599">
        <f>IF(AND(Table1[[#This Row],[Throw Out Rush Eff]]="N", Table1[[#This Row],[Against FCS Team]]="N"), ROUND(((23.2 * I599) + (150 * K599) - (300 * L599)) / J599, 2), " ")</f>
        <v>82.3</v>
      </c>
      <c r="AD599" s="3">
        <f>IF(AND(Table1[[#This Row],[Throw Out Rush Def Eff]]="N", Table1[[#This Row],[Against FCS Team]]="N"), 200 - ROUND(((23.2 * U599) + (150 * W599) - (300 * X599)) / V599, 2), " ")</f>
        <v>151.30000000000001</v>
      </c>
      <c r="AE599" s="3">
        <f>ROUND(Table1[[#This Row],[Opp Passing Attempts]]/(Table1[[#This Row],[Opp Passing Attempts]]+Table1[[#This Row],[Opp Rushing Attempts]]), 2)</f>
        <v>0.61</v>
      </c>
      <c r="AF599" s="3">
        <f>1-Table1[[#This Row],[Passing Weight]]</f>
        <v>0.39</v>
      </c>
      <c r="AG599" s="3" t="str">
        <f>IF(COUNTIF(A:A,Table1[[#This Row],[Opp Team Name]]) &gt; 0, "N", "Y")</f>
        <v>N</v>
      </c>
      <c r="AH599" s="3" t="str">
        <f>IF(Table1[[#This Row],[Passing Attempts]] &lt;15, "Y", "N")</f>
        <v>N</v>
      </c>
      <c r="AI599" s="3" t="str">
        <f>IF(Table1[[#This Row],[Rushing Attempts]] &lt; 15, "Y", "N")</f>
        <v>N</v>
      </c>
      <c r="AJ599" s="3" t="str">
        <f>IF(Table1[[#This Row],[Opp Passing Attempts]]&lt;15, "Y", "N")</f>
        <v>N</v>
      </c>
      <c r="AK599" s="3" t="str">
        <f>IF(Table1[[#This Row],[Opp Rushing Attempts]]&lt;15, "Y", "N")</f>
        <v>N</v>
      </c>
      <c r="AL59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126.86</v>
      </c>
      <c r="AM59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82.47</v>
      </c>
      <c r="AN59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106.36</v>
      </c>
      <c r="AO59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150.54</v>
      </c>
      <c r="AP599" s="3">
        <f>ABS(Table1[[#This Row],[Team Score]]-Table1[[#This Row],[Opp Team Score]])</f>
        <v>12</v>
      </c>
      <c r="AQ599" s="3">
        <f>SUM(Table1[[#This Row],[Team Score]], Table1[[#This Row],[Opp Team Score]])</f>
        <v>64</v>
      </c>
      <c r="AR59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12.120000000000033</v>
      </c>
      <c r="AS599" s="3">
        <f>IF(Table1[[#This Row],[Efficiency Difference]] = " ", " ", ROUND((Table1[[#This Row],[Winning Margin]]*100)/Table1[[#This Row],[Efficiency Difference]], 2))</f>
        <v>99.01</v>
      </c>
    </row>
    <row r="600" spans="1:45">
      <c r="A600" t="s">
        <v>124</v>
      </c>
      <c r="B600">
        <v>587</v>
      </c>
      <c r="C600">
        <v>19</v>
      </c>
      <c r="D600">
        <v>297</v>
      </c>
      <c r="E600">
        <v>57</v>
      </c>
      <c r="F600">
        <v>1</v>
      </c>
      <c r="G600">
        <v>29</v>
      </c>
      <c r="H600">
        <v>1</v>
      </c>
      <c r="I600">
        <v>5</v>
      </c>
      <c r="J600">
        <v>38</v>
      </c>
      <c r="K600">
        <v>0</v>
      </c>
      <c r="L600">
        <v>3</v>
      </c>
      <c r="M600" t="s">
        <v>130</v>
      </c>
      <c r="N600">
        <v>688</v>
      </c>
      <c r="O600">
        <v>16</v>
      </c>
      <c r="P600">
        <v>169</v>
      </c>
      <c r="Q600">
        <v>32</v>
      </c>
      <c r="R600">
        <v>0</v>
      </c>
      <c r="S600">
        <v>15</v>
      </c>
      <c r="T600">
        <v>3</v>
      </c>
      <c r="U600">
        <v>126</v>
      </c>
      <c r="V600">
        <v>32</v>
      </c>
      <c r="W600">
        <v>1</v>
      </c>
      <c r="X600">
        <v>2</v>
      </c>
      <c r="Y600" t="s">
        <v>16</v>
      </c>
      <c r="Z600">
        <v>5</v>
      </c>
      <c r="AA600">
        <f>IF(AND(Table1[[#This Row],[Throw Out Pass Eff]]="N", Table1[[#This Row],[Against FCS Team]]="N"), ROUND(((5.45 * D600) + (150 * F600) + (100 * G600) - (300 * H600)) / E600, 2), " ")</f>
        <v>76.64</v>
      </c>
      <c r="AB600">
        <f>IF(AND(Table1[[#This Row],[Throw Out Pass Def Eff]]="N", Table1[[#This Row],[Against FCS Team]]="N"),200 - ROUND(((5.45 * P600) + (150 * R600) + (100 * S600) - (300 * T600)) / Q600, 2), " ")</f>
        <v>152.47</v>
      </c>
      <c r="AC600">
        <f>IF(AND(Table1[[#This Row],[Throw Out Rush Eff]]="N", Table1[[#This Row],[Against FCS Team]]="N"), ROUND(((23.2 * I600) + (150 * K600) - (300 * L600)) / J600, 2), " ")</f>
        <v>-20.63</v>
      </c>
      <c r="AD600" s="3">
        <f>IF(AND(Table1[[#This Row],[Throw Out Rush Def Eff]]="N", Table1[[#This Row],[Against FCS Team]]="N"), 200 - ROUND(((23.2 * U600) + (150 * W600) - (300 * X600)) / V600, 2), " ")</f>
        <v>122.71</v>
      </c>
      <c r="AE600" s="3">
        <f>ROUND(Table1[[#This Row],[Opp Passing Attempts]]/(Table1[[#This Row],[Opp Passing Attempts]]+Table1[[#This Row],[Opp Rushing Attempts]]), 2)</f>
        <v>0.5</v>
      </c>
      <c r="AF600" s="3">
        <f>1-Table1[[#This Row],[Passing Weight]]</f>
        <v>0.5</v>
      </c>
      <c r="AG600" s="3" t="str">
        <f>IF(COUNTIF(A:A,Table1[[#This Row],[Opp Team Name]]) &gt; 0, "N", "Y")</f>
        <v>N</v>
      </c>
      <c r="AH600" s="3" t="str">
        <f>IF(Table1[[#This Row],[Passing Attempts]] &lt;15, "Y", "N")</f>
        <v>N</v>
      </c>
      <c r="AI600" s="3" t="str">
        <f>IF(Table1[[#This Row],[Rushing Attempts]] &lt; 15, "Y", "N")</f>
        <v>N</v>
      </c>
      <c r="AJ600" s="3" t="str">
        <f>IF(Table1[[#This Row],[Opp Passing Attempts]]&lt;15, "Y", "N")</f>
        <v>N</v>
      </c>
      <c r="AK600" s="3" t="str">
        <f>IF(Table1[[#This Row],[Opp Rushing Attempts]]&lt;15, "Y", "N")</f>
        <v>N</v>
      </c>
      <c r="AL60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68.5</v>
      </c>
      <c r="AM60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161.37</v>
      </c>
      <c r="AN60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-27.73</v>
      </c>
      <c r="AO60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111.12</v>
      </c>
      <c r="AP600" s="3">
        <f>ABS(Table1[[#This Row],[Team Score]]-Table1[[#This Row],[Opp Team Score]])</f>
        <v>3</v>
      </c>
      <c r="AQ600" s="3">
        <f>SUM(Table1[[#This Row],[Team Score]], Table1[[#This Row],[Opp Team Score]])</f>
        <v>35</v>
      </c>
      <c r="AR60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68.809999999999988</v>
      </c>
      <c r="AS600" s="3">
        <f>IF(Table1[[#This Row],[Efficiency Difference]] = " ", " ", ROUND((Table1[[#This Row],[Winning Margin]]*100)/Table1[[#This Row],[Efficiency Difference]], 2))</f>
        <v>4.3600000000000003</v>
      </c>
    </row>
    <row r="601" spans="1:45">
      <c r="A601" t="s">
        <v>124</v>
      </c>
      <c r="B601">
        <v>587</v>
      </c>
      <c r="C601">
        <v>34</v>
      </c>
      <c r="D601">
        <v>174</v>
      </c>
      <c r="E601">
        <v>24</v>
      </c>
      <c r="F601">
        <v>2</v>
      </c>
      <c r="G601">
        <v>11</v>
      </c>
      <c r="H601">
        <v>0</v>
      </c>
      <c r="I601">
        <v>97</v>
      </c>
      <c r="J601">
        <v>42</v>
      </c>
      <c r="K601">
        <v>1</v>
      </c>
      <c r="L601">
        <v>1</v>
      </c>
      <c r="M601" t="s">
        <v>45</v>
      </c>
      <c r="N601">
        <v>545</v>
      </c>
      <c r="O601">
        <v>10</v>
      </c>
      <c r="P601">
        <v>137</v>
      </c>
      <c r="Q601">
        <v>33</v>
      </c>
      <c r="R601">
        <v>0</v>
      </c>
      <c r="S601">
        <v>16</v>
      </c>
      <c r="T601">
        <v>4</v>
      </c>
      <c r="U601">
        <v>134</v>
      </c>
      <c r="V601">
        <v>35</v>
      </c>
      <c r="W601">
        <v>1</v>
      </c>
      <c r="X601">
        <v>0</v>
      </c>
      <c r="Y601" t="s">
        <v>16</v>
      </c>
      <c r="Z601">
        <v>6</v>
      </c>
      <c r="AA601">
        <f>IF(AND(Table1[[#This Row],[Throw Out Pass Eff]]="N", Table1[[#This Row],[Against FCS Team]]="N"), ROUND(((5.45 * D601) + (150 * F601) + (100 * G601) - (300 * H601)) / E601, 2), " ")</f>
        <v>97.85</v>
      </c>
      <c r="AB601">
        <f>IF(AND(Table1[[#This Row],[Throw Out Pass Def Eff]]="N", Table1[[#This Row],[Against FCS Team]]="N"),200 - ROUND(((5.45 * P601) + (150 * R601) + (100 * S601) - (300 * T601)) / Q601, 2), " ")</f>
        <v>165.25</v>
      </c>
      <c r="AC601">
        <f>IF(AND(Table1[[#This Row],[Throw Out Rush Eff]]="N", Table1[[#This Row],[Against FCS Team]]="N"), ROUND(((23.2 * I601) + (150 * K601) - (300 * L601)) / J601, 2), " ")</f>
        <v>50.01</v>
      </c>
      <c r="AD601" s="3">
        <f>IF(AND(Table1[[#This Row],[Throw Out Rush Def Eff]]="N", Table1[[#This Row],[Against FCS Team]]="N"), 200 - ROUND(((23.2 * U601) + (150 * W601) - (300 * X601)) / V601, 2), " ")</f>
        <v>106.89</v>
      </c>
      <c r="AE601" s="3">
        <f>ROUND(Table1[[#This Row],[Opp Passing Attempts]]/(Table1[[#This Row],[Opp Passing Attempts]]+Table1[[#This Row],[Opp Rushing Attempts]]), 2)</f>
        <v>0.49</v>
      </c>
      <c r="AF601" s="3">
        <f>1-Table1[[#This Row],[Passing Weight]]</f>
        <v>0.51</v>
      </c>
      <c r="AG601" s="3" t="str">
        <f>IF(COUNTIF(A:A,Table1[[#This Row],[Opp Team Name]]) &gt; 0, "N", "Y")</f>
        <v>N</v>
      </c>
      <c r="AH601" s="3" t="str">
        <f>IF(Table1[[#This Row],[Passing Attempts]] &lt;15, "Y", "N")</f>
        <v>N</v>
      </c>
      <c r="AI601" s="3" t="str">
        <f>IF(Table1[[#This Row],[Rushing Attempts]] &lt; 15, "Y", "N")</f>
        <v>N</v>
      </c>
      <c r="AJ601" s="3" t="str">
        <f>IF(Table1[[#This Row],[Opp Passing Attempts]]&lt;15, "Y", "N")</f>
        <v>N</v>
      </c>
      <c r="AK601" s="3" t="str">
        <f>IF(Table1[[#This Row],[Opp Rushing Attempts]]&lt;15, "Y", "N")</f>
        <v>N</v>
      </c>
      <c r="AL60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103.46</v>
      </c>
      <c r="AM60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129.85</v>
      </c>
      <c r="AN60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60.03</v>
      </c>
      <c r="AO60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98.59</v>
      </c>
      <c r="AP601" s="3">
        <f>ABS(Table1[[#This Row],[Team Score]]-Table1[[#This Row],[Opp Team Score]])</f>
        <v>24</v>
      </c>
      <c r="AQ601" s="3">
        <f>SUM(Table1[[#This Row],[Team Score]], Table1[[#This Row],[Opp Team Score]])</f>
        <v>44</v>
      </c>
      <c r="AR60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19.999999999999972</v>
      </c>
      <c r="AS601" s="3">
        <f>IF(Table1[[#This Row],[Efficiency Difference]] = " ", " ", ROUND((Table1[[#This Row],[Winning Margin]]*100)/Table1[[#This Row],[Efficiency Difference]], 2))</f>
        <v>120</v>
      </c>
    </row>
    <row r="602" spans="1:45">
      <c r="A602" t="s">
        <v>124</v>
      </c>
      <c r="B602">
        <v>587</v>
      </c>
      <c r="C602">
        <v>21</v>
      </c>
      <c r="D602">
        <v>271</v>
      </c>
      <c r="E602">
        <v>31</v>
      </c>
      <c r="F602">
        <v>2</v>
      </c>
      <c r="G602">
        <v>23</v>
      </c>
      <c r="H602">
        <v>2</v>
      </c>
      <c r="I602">
        <v>152</v>
      </c>
      <c r="J602">
        <v>36</v>
      </c>
      <c r="K602">
        <v>1</v>
      </c>
      <c r="L602">
        <v>1</v>
      </c>
      <c r="M602" t="s">
        <v>104</v>
      </c>
      <c r="N602">
        <v>726</v>
      </c>
      <c r="O602">
        <v>20</v>
      </c>
      <c r="P602">
        <v>143</v>
      </c>
      <c r="Q602">
        <v>13</v>
      </c>
      <c r="R602">
        <v>0</v>
      </c>
      <c r="S602">
        <v>6</v>
      </c>
      <c r="T602">
        <v>2</v>
      </c>
      <c r="U602">
        <v>162</v>
      </c>
      <c r="V602">
        <v>46</v>
      </c>
      <c r="W602">
        <v>1</v>
      </c>
      <c r="X602">
        <v>0</v>
      </c>
      <c r="Y602" t="s">
        <v>16</v>
      </c>
      <c r="Z602">
        <v>7</v>
      </c>
      <c r="AA602">
        <f>IF(AND(Table1[[#This Row],[Throw Out Pass Eff]]="N", Table1[[#This Row],[Against FCS Team]]="N"), ROUND(((5.45 * D602) + (150 * F602) + (100 * G602) - (300 * H602)) / E602, 2), " ")</f>
        <v>112.16</v>
      </c>
      <c r="AB602" t="str">
        <f>IF(AND(Table1[[#This Row],[Throw Out Pass Def Eff]]="N", Table1[[#This Row],[Against FCS Team]]="N"),200 - ROUND(((5.45 * P602) + (150 * R602) + (100 * S602) - (300 * T602)) / Q602, 2), " ")</f>
        <v xml:space="preserve"> </v>
      </c>
      <c r="AC602">
        <f>IF(AND(Table1[[#This Row],[Throw Out Rush Eff]]="N", Table1[[#This Row],[Against FCS Team]]="N"), ROUND(((23.2 * I602) + (150 * K602) - (300 * L602)) / J602, 2), " ")</f>
        <v>93.79</v>
      </c>
      <c r="AD602" s="3">
        <f>IF(AND(Table1[[#This Row],[Throw Out Rush Def Eff]]="N", Table1[[#This Row],[Against FCS Team]]="N"), 200 - ROUND(((23.2 * U602) + (150 * W602) - (300 * X602)) / V602, 2), " ")</f>
        <v>115.03</v>
      </c>
      <c r="AE602" s="3">
        <f>ROUND(Table1[[#This Row],[Opp Passing Attempts]]/(Table1[[#This Row],[Opp Passing Attempts]]+Table1[[#This Row],[Opp Rushing Attempts]]), 2)</f>
        <v>0.22</v>
      </c>
      <c r="AF602" s="3">
        <f>1-Table1[[#This Row],[Passing Weight]]</f>
        <v>0.78</v>
      </c>
      <c r="AG602" s="3" t="str">
        <f>IF(COUNTIF(A:A,Table1[[#This Row],[Opp Team Name]]) &gt; 0, "N", "Y")</f>
        <v>N</v>
      </c>
      <c r="AH602" s="3" t="str">
        <f>IF(Table1[[#This Row],[Passing Attempts]] &lt;15, "Y", "N")</f>
        <v>N</v>
      </c>
      <c r="AI602" s="3" t="str">
        <f>IF(Table1[[#This Row],[Rushing Attempts]] &lt; 15, "Y", "N")</f>
        <v>N</v>
      </c>
      <c r="AJ602" s="3" t="str">
        <f>IF(Table1[[#This Row],[Opp Passing Attempts]]&lt;15, "Y", "N")</f>
        <v>Y</v>
      </c>
      <c r="AK602" s="3" t="str">
        <f>IF(Table1[[#This Row],[Opp Rushing Attempts]]&lt;15, "Y", "N")</f>
        <v>N</v>
      </c>
      <c r="AL60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89.84</v>
      </c>
      <c r="AM60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0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84.45</v>
      </c>
      <c r="AO60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151.07</v>
      </c>
      <c r="AP602" s="3">
        <f>ABS(Table1[[#This Row],[Team Score]]-Table1[[#This Row],[Opp Team Score]])</f>
        <v>1</v>
      </c>
      <c r="AQ602" s="3">
        <f>SUM(Table1[[#This Row],[Team Score]], Table1[[#This Row],[Opp Team Score]])</f>
        <v>41</v>
      </c>
      <c r="AR60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02" s="3" t="str">
        <f>IF(Table1[[#This Row],[Efficiency Difference]] = " ", " ", ROUND((Table1[[#This Row],[Winning Margin]]*100)/Table1[[#This Row],[Efficiency Difference]], 2))</f>
        <v xml:space="preserve"> </v>
      </c>
    </row>
    <row r="603" spans="1:45">
      <c r="A603" t="s">
        <v>124</v>
      </c>
      <c r="B603">
        <v>587</v>
      </c>
      <c r="C603">
        <v>14</v>
      </c>
      <c r="D603">
        <v>207</v>
      </c>
      <c r="E603">
        <v>33</v>
      </c>
      <c r="F603">
        <v>1</v>
      </c>
      <c r="G603">
        <v>18</v>
      </c>
      <c r="H603">
        <v>3</v>
      </c>
      <c r="I603">
        <v>91</v>
      </c>
      <c r="J603">
        <v>30</v>
      </c>
      <c r="K603">
        <v>1</v>
      </c>
      <c r="L603">
        <v>0</v>
      </c>
      <c r="M603" t="s">
        <v>90</v>
      </c>
      <c r="N603">
        <v>367</v>
      </c>
      <c r="O603">
        <v>16</v>
      </c>
      <c r="P603">
        <v>122</v>
      </c>
      <c r="Q603">
        <v>18</v>
      </c>
      <c r="R603">
        <v>1</v>
      </c>
      <c r="S603">
        <v>10</v>
      </c>
      <c r="T603">
        <v>1</v>
      </c>
      <c r="U603">
        <v>187</v>
      </c>
      <c r="V603">
        <v>34</v>
      </c>
      <c r="W603">
        <v>1</v>
      </c>
      <c r="X603">
        <v>0</v>
      </c>
      <c r="Y603" t="s">
        <v>19</v>
      </c>
      <c r="Z603">
        <v>8</v>
      </c>
      <c r="AA603" s="3">
        <f>IF(AND(Table1[[#This Row],[Throw Out Pass Eff]]="N", Table1[[#This Row],[Against FCS Team]]="N"), ROUND(((5.45 * D603) + (150 * F603) + (100 * G603) - (300 * H603)) / E603, 2), " ")</f>
        <v>66</v>
      </c>
      <c r="AB603" s="3">
        <f>IF(AND(Table1[[#This Row],[Throw Out Pass Def Eff]]="N", Table1[[#This Row],[Against FCS Team]]="N"),200 - ROUND(((5.45 * P603) + (150 * R603) + (100 * S603) - (300 * T603)) / Q603, 2), " ")</f>
        <v>115.84</v>
      </c>
      <c r="AC603" s="3">
        <f>IF(AND(Table1[[#This Row],[Throw Out Rush Eff]]="N", Table1[[#This Row],[Against FCS Team]]="N"), ROUND(((23.2 * I603) + (150 * K603) - (300 * L603)) / J603, 2), " ")</f>
        <v>75.37</v>
      </c>
      <c r="AD603" s="3">
        <f>IF(AND(Table1[[#This Row],[Throw Out Rush Def Eff]]="N", Table1[[#This Row],[Against FCS Team]]="N"), 200 - ROUND(((23.2 * U603) + (150 * W603) - (300 * X603)) / V603, 2), " ")</f>
        <v>67.990000000000009</v>
      </c>
      <c r="AE603" s="3">
        <f>ROUND(Table1[[#This Row],[Opp Passing Attempts]]/(Table1[[#This Row],[Opp Passing Attempts]]+Table1[[#This Row],[Opp Rushing Attempts]]), 2)</f>
        <v>0.35</v>
      </c>
      <c r="AF603" s="3">
        <f>1-Table1[[#This Row],[Passing Weight]]</f>
        <v>0.65</v>
      </c>
      <c r="AG603" s="3" t="str">
        <f>IF(COUNTIF(A:A,Table1[[#This Row],[Opp Team Name]]) &gt; 0, "N", "Y")</f>
        <v>N</v>
      </c>
      <c r="AH603" s="3" t="str">
        <f>IF(Table1[[#This Row],[Passing Attempts]] &lt;15, "Y", "N")</f>
        <v>N</v>
      </c>
      <c r="AI603" s="3" t="str">
        <f>IF(Table1[[#This Row],[Rushing Attempts]] &lt; 15, "Y", "N")</f>
        <v>N</v>
      </c>
      <c r="AJ603" s="3" t="str">
        <f>IF(Table1[[#This Row],[Opp Passing Attempts]]&lt;15, "Y", "N")</f>
        <v>N</v>
      </c>
      <c r="AK603" s="3" t="str">
        <f>IF(Table1[[#This Row],[Opp Rushing Attempts]]&lt;15, "Y", "N")</f>
        <v>N</v>
      </c>
      <c r="AL60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60.93</v>
      </c>
      <c r="AM60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111.3</v>
      </c>
      <c r="AN60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103.94</v>
      </c>
      <c r="AO60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49.87</v>
      </c>
      <c r="AP603" s="3">
        <f>ABS(Table1[[#This Row],[Team Score]]-Table1[[#This Row],[Opp Team Score]])</f>
        <v>2</v>
      </c>
      <c r="AQ603" s="3">
        <f>SUM(Table1[[#This Row],[Team Score]], Table1[[#This Row],[Opp Team Score]])</f>
        <v>30</v>
      </c>
      <c r="AR60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74.799999999999983</v>
      </c>
      <c r="AS603" s="3">
        <f>IF(Table1[[#This Row],[Efficiency Difference]] = " ", " ", ROUND((Table1[[#This Row],[Winning Margin]]*100)/Table1[[#This Row],[Efficiency Difference]], 2))</f>
        <v>2.67</v>
      </c>
    </row>
    <row r="604" spans="1:45">
      <c r="A604" t="s">
        <v>207</v>
      </c>
      <c r="B604">
        <v>624</v>
      </c>
      <c r="C604">
        <v>22</v>
      </c>
      <c r="D604">
        <v>126</v>
      </c>
      <c r="E604">
        <v>21</v>
      </c>
      <c r="F604">
        <v>1</v>
      </c>
      <c r="G604">
        <v>8</v>
      </c>
      <c r="H604">
        <v>1</v>
      </c>
      <c r="I604">
        <v>222</v>
      </c>
      <c r="J604">
        <v>43</v>
      </c>
      <c r="K604">
        <v>2</v>
      </c>
      <c r="L604">
        <v>1</v>
      </c>
      <c r="M604" t="s">
        <v>150</v>
      </c>
      <c r="N604">
        <v>706</v>
      </c>
      <c r="O604">
        <v>7</v>
      </c>
      <c r="P604">
        <v>217</v>
      </c>
      <c r="Q604">
        <v>52</v>
      </c>
      <c r="R604">
        <v>0</v>
      </c>
      <c r="S604">
        <v>26</v>
      </c>
      <c r="T604">
        <v>3</v>
      </c>
      <c r="U604">
        <v>29</v>
      </c>
      <c r="V604">
        <v>19</v>
      </c>
      <c r="W604">
        <v>1</v>
      </c>
      <c r="X604">
        <v>2</v>
      </c>
      <c r="Y604" t="s">
        <v>16</v>
      </c>
      <c r="Z604">
        <v>5</v>
      </c>
      <c r="AA604">
        <f>IF(AND(Table1[[#This Row],[Throw Out Pass Eff]]="N", Table1[[#This Row],[Against FCS Team]]="N"), ROUND(((5.45 * D604) + (150 * F604) + (100 * G604) - (300 * H604)) / E604, 2), " ")</f>
        <v>63.65</v>
      </c>
      <c r="AB604">
        <f>IF(AND(Table1[[#This Row],[Throw Out Pass Def Eff]]="N", Table1[[#This Row],[Against FCS Team]]="N"),200 - ROUND(((5.45 * P604) + (150 * R604) + (100 * S604) - (300 * T604)) / Q604, 2), " ")</f>
        <v>144.56</v>
      </c>
      <c r="AC604">
        <f>IF(AND(Table1[[#This Row],[Throw Out Rush Eff]]="N", Table1[[#This Row],[Against FCS Team]]="N"), ROUND(((23.2 * I604) + (150 * K604) - (300 * L604)) / J604, 2), " ")</f>
        <v>119.78</v>
      </c>
      <c r="AD604" s="3">
        <f>IF(AND(Table1[[#This Row],[Throw Out Rush Def Eff]]="N", Table1[[#This Row],[Against FCS Team]]="N"), 200 - ROUND(((23.2 * U604) + (150 * W604) - (300 * X604)) / V604, 2), " ")</f>
        <v>188.27</v>
      </c>
      <c r="AE604" s="3">
        <f>ROUND(Table1[[#This Row],[Opp Passing Attempts]]/(Table1[[#This Row],[Opp Passing Attempts]]+Table1[[#This Row],[Opp Rushing Attempts]]), 2)</f>
        <v>0.73</v>
      </c>
      <c r="AF604" s="3">
        <f>1-Table1[[#This Row],[Passing Weight]]</f>
        <v>0.27</v>
      </c>
      <c r="AG604" s="3" t="str">
        <f>IF(COUNTIF(A:A,Table1[[#This Row],[Opp Team Name]]) &gt; 0, "N", "Y")</f>
        <v>N</v>
      </c>
      <c r="AH604" s="3" t="str">
        <f>IF(Table1[[#This Row],[Passing Attempts]] &lt;15, "Y", "N")</f>
        <v>N</v>
      </c>
      <c r="AI604" s="3" t="str">
        <f>IF(Table1[[#This Row],[Rushing Attempts]] &lt; 15, "Y", "N")</f>
        <v>N</v>
      </c>
      <c r="AJ604" s="3" t="str">
        <f>IF(Table1[[#This Row],[Opp Passing Attempts]]&lt;15, "Y", "N")</f>
        <v>N</v>
      </c>
      <c r="AK604" s="3" t="str">
        <f>IF(Table1[[#This Row],[Opp Rushing Attempts]]&lt;15, "Y", "N")</f>
        <v>N</v>
      </c>
      <c r="AL60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58.96</v>
      </c>
      <c r="AM60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123.09</v>
      </c>
      <c r="AN60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129.81</v>
      </c>
      <c r="AO60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103.68</v>
      </c>
      <c r="AP604" s="3">
        <f>ABS(Table1[[#This Row],[Team Score]]-Table1[[#This Row],[Opp Team Score]])</f>
        <v>15</v>
      </c>
      <c r="AQ604" s="3">
        <f>SUM(Table1[[#This Row],[Team Score]], Table1[[#This Row],[Opp Team Score]])</f>
        <v>29</v>
      </c>
      <c r="AR60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116.26000000000005</v>
      </c>
      <c r="AS604" s="3">
        <f>IF(Table1[[#This Row],[Efficiency Difference]] = " ", " ", ROUND((Table1[[#This Row],[Winning Margin]]*100)/Table1[[#This Row],[Efficiency Difference]], 2))</f>
        <v>12.9</v>
      </c>
    </row>
    <row r="605" spans="1:45">
      <c r="A605" t="s">
        <v>126</v>
      </c>
      <c r="B605">
        <v>626</v>
      </c>
      <c r="C605">
        <v>49</v>
      </c>
      <c r="D605">
        <v>203</v>
      </c>
      <c r="E605">
        <v>28</v>
      </c>
      <c r="F605">
        <v>4</v>
      </c>
      <c r="G605">
        <v>15</v>
      </c>
      <c r="H605">
        <v>0</v>
      </c>
      <c r="I605">
        <v>289</v>
      </c>
      <c r="J605">
        <v>49</v>
      </c>
      <c r="K605">
        <v>2</v>
      </c>
      <c r="L605">
        <v>0</v>
      </c>
      <c r="M605" t="s">
        <v>127</v>
      </c>
      <c r="N605">
        <v>90</v>
      </c>
      <c r="O605">
        <v>21</v>
      </c>
      <c r="P605">
        <v>147</v>
      </c>
      <c r="Q605">
        <v>14</v>
      </c>
      <c r="R605">
        <v>0</v>
      </c>
      <c r="S605">
        <v>7</v>
      </c>
      <c r="T605">
        <v>0</v>
      </c>
      <c r="U605">
        <v>137</v>
      </c>
      <c r="V605">
        <v>46</v>
      </c>
      <c r="W605">
        <v>3</v>
      </c>
      <c r="X605">
        <v>1</v>
      </c>
      <c r="Y605" t="s">
        <v>16</v>
      </c>
      <c r="Z605">
        <v>1</v>
      </c>
      <c r="AA605" t="str">
        <f>IF(AND(Table1[[#This Row],[Throw Out Pass Eff]]="N", Table1[[#This Row],[Against FCS Team]]="N"), ROUND(((5.45 * D605) + (150 * F605) + (100 * G605) - (300 * H605)) / E605, 2), " ")</f>
        <v xml:space="preserve"> </v>
      </c>
      <c r="AB605" t="str">
        <f>IF(AND(Table1[[#This Row],[Throw Out Pass Def Eff]]="N", Table1[[#This Row],[Against FCS Team]]="N"),200 - ROUND(((5.45 * P605) + (150 * R605) + (100 * S605) - (300 * T605)) / Q605, 2), " ")</f>
        <v xml:space="preserve"> </v>
      </c>
      <c r="AC605" t="str">
        <f>IF(AND(Table1[[#This Row],[Throw Out Rush Eff]]="N", Table1[[#This Row],[Against FCS Team]]="N"), ROUND(((23.2 * I605) + (150 * K605) - (300 * L605)) / J605, 2), " ")</f>
        <v xml:space="preserve"> </v>
      </c>
      <c r="AD605" s="3" t="str">
        <f>IF(AND(Table1[[#This Row],[Throw Out Rush Def Eff]]="N", Table1[[#This Row],[Against FCS Team]]="N"), 200 - ROUND(((23.2 * U605) + (150 * W605) - (300 * X605)) / V605, 2), " ")</f>
        <v xml:space="preserve"> </v>
      </c>
      <c r="AE605" s="3">
        <f>ROUND(Table1[[#This Row],[Opp Passing Attempts]]/(Table1[[#This Row],[Opp Passing Attempts]]+Table1[[#This Row],[Opp Rushing Attempts]]), 2)</f>
        <v>0.23</v>
      </c>
      <c r="AF605" s="3">
        <f>1-Table1[[#This Row],[Passing Weight]]</f>
        <v>0.77</v>
      </c>
      <c r="AG605" s="3" t="str">
        <f>IF(COUNTIF(A:A,Table1[[#This Row],[Opp Team Name]]) &gt; 0, "N", "Y")</f>
        <v>Y</v>
      </c>
      <c r="AH605" s="3" t="str">
        <f>IF(Table1[[#This Row],[Passing Attempts]] &lt;15, "Y", "N")</f>
        <v>N</v>
      </c>
      <c r="AI605" s="3" t="str">
        <f>IF(Table1[[#This Row],[Rushing Attempts]] &lt; 15, "Y", "N")</f>
        <v>N</v>
      </c>
      <c r="AJ605" s="3" t="str">
        <f>IF(Table1[[#This Row],[Opp Passing Attempts]]&lt;15, "Y", "N")</f>
        <v>Y</v>
      </c>
      <c r="AK605" s="3" t="str">
        <f>IF(Table1[[#This Row],[Opp Rushing Attempts]]&lt;15, "Y", "N")</f>
        <v>N</v>
      </c>
      <c r="AL60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0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0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60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605" s="3">
        <f>ABS(Table1[[#This Row],[Team Score]]-Table1[[#This Row],[Opp Team Score]])</f>
        <v>28</v>
      </c>
      <c r="AQ605" s="3">
        <f>SUM(Table1[[#This Row],[Team Score]], Table1[[#This Row],[Opp Team Score]])</f>
        <v>70</v>
      </c>
      <c r="AR60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05" s="3" t="str">
        <f>IF(Table1[[#This Row],[Efficiency Difference]] = " ", " ", ROUND((Table1[[#This Row],[Winning Margin]]*100)/Table1[[#This Row],[Efficiency Difference]], 2))</f>
        <v xml:space="preserve"> </v>
      </c>
    </row>
    <row r="606" spans="1:45">
      <c r="A606" t="s">
        <v>126</v>
      </c>
      <c r="B606">
        <v>626</v>
      </c>
      <c r="C606">
        <v>23</v>
      </c>
      <c r="D606">
        <v>146</v>
      </c>
      <c r="E606">
        <v>18</v>
      </c>
      <c r="F606">
        <v>1</v>
      </c>
      <c r="G606">
        <v>8</v>
      </c>
      <c r="H606">
        <v>0</v>
      </c>
      <c r="I606">
        <v>146</v>
      </c>
      <c r="J606">
        <v>25</v>
      </c>
      <c r="K606">
        <v>2</v>
      </c>
      <c r="L606">
        <v>0</v>
      </c>
      <c r="M606" t="s">
        <v>30</v>
      </c>
      <c r="N606">
        <v>725</v>
      </c>
      <c r="O606">
        <v>20</v>
      </c>
      <c r="P606">
        <v>43</v>
      </c>
      <c r="Q606">
        <v>7</v>
      </c>
      <c r="R606">
        <v>0</v>
      </c>
      <c r="S606">
        <v>2</v>
      </c>
      <c r="T606">
        <v>0</v>
      </c>
      <c r="U606">
        <v>403</v>
      </c>
      <c r="V606">
        <v>77</v>
      </c>
      <c r="W606">
        <v>3</v>
      </c>
      <c r="X606">
        <v>3</v>
      </c>
      <c r="Y606" t="s">
        <v>16</v>
      </c>
      <c r="Z606">
        <v>2</v>
      </c>
      <c r="AA606">
        <f>IF(AND(Table1[[#This Row],[Throw Out Pass Eff]]="N", Table1[[#This Row],[Against FCS Team]]="N"), ROUND(((5.45 * D606) + (150 * F606) + (100 * G606) - (300 * H606)) / E606, 2), " ")</f>
        <v>96.98</v>
      </c>
      <c r="AB606" t="str">
        <f>IF(AND(Table1[[#This Row],[Throw Out Pass Def Eff]]="N", Table1[[#This Row],[Against FCS Team]]="N"),200 - ROUND(((5.45 * P606) + (150 * R606) + (100 * S606) - (300 * T606)) / Q606, 2), " ")</f>
        <v xml:space="preserve"> </v>
      </c>
      <c r="AC606">
        <f>IF(AND(Table1[[#This Row],[Throw Out Rush Eff]]="N", Table1[[#This Row],[Against FCS Team]]="N"), ROUND(((23.2 * I606) + (150 * K606) - (300 * L606)) / J606, 2), " ")</f>
        <v>147.49</v>
      </c>
      <c r="AD606" s="3">
        <f>IF(AND(Table1[[#This Row],[Throw Out Rush Def Eff]]="N", Table1[[#This Row],[Against FCS Team]]="N"), 200 - ROUND(((23.2 * U606) + (150 * W606) - (300 * X606)) / V606, 2), " ")</f>
        <v>84.42</v>
      </c>
      <c r="AE606" s="3">
        <f>ROUND(Table1[[#This Row],[Opp Passing Attempts]]/(Table1[[#This Row],[Opp Passing Attempts]]+Table1[[#This Row],[Opp Rushing Attempts]]), 2)</f>
        <v>0.08</v>
      </c>
      <c r="AF606" s="3">
        <f>1-Table1[[#This Row],[Passing Weight]]</f>
        <v>0.92</v>
      </c>
      <c r="AG606" s="3" t="str">
        <f>IF(COUNTIF(A:A,Table1[[#This Row],[Opp Team Name]]) &gt; 0, "N", "Y")</f>
        <v>N</v>
      </c>
      <c r="AH606" s="3" t="str">
        <f>IF(Table1[[#This Row],[Passing Attempts]] &lt;15, "Y", "N")</f>
        <v>N</v>
      </c>
      <c r="AI606" s="3" t="str">
        <f>IF(Table1[[#This Row],[Rushing Attempts]] &lt; 15, "Y", "N")</f>
        <v>N</v>
      </c>
      <c r="AJ606" s="3" t="str">
        <f>IF(Table1[[#This Row],[Opp Passing Attempts]]&lt;15, "Y", "N")</f>
        <v>Y</v>
      </c>
      <c r="AK606" s="3" t="str">
        <f>IF(Table1[[#This Row],[Opp Rushing Attempts]]&lt;15, "Y", "N")</f>
        <v>N</v>
      </c>
      <c r="AL60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94.86</v>
      </c>
      <c r="AM60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0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117.2</v>
      </c>
      <c r="AO60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104.92</v>
      </c>
      <c r="AP606" s="3">
        <f>ABS(Table1[[#This Row],[Team Score]]-Table1[[#This Row],[Opp Team Score]])</f>
        <v>3</v>
      </c>
      <c r="AQ606" s="3">
        <f>SUM(Table1[[#This Row],[Team Score]], Table1[[#This Row],[Opp Team Score]])</f>
        <v>43</v>
      </c>
      <c r="AR60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06" s="3" t="str">
        <f>IF(Table1[[#This Row],[Efficiency Difference]] = " ", " ", ROUND((Table1[[#This Row],[Winning Margin]]*100)/Table1[[#This Row],[Efficiency Difference]], 2))</f>
        <v xml:space="preserve"> </v>
      </c>
    </row>
    <row r="607" spans="1:45">
      <c r="A607" t="s">
        <v>126</v>
      </c>
      <c r="B607">
        <v>626</v>
      </c>
      <c r="C607">
        <v>42</v>
      </c>
      <c r="D607">
        <v>273</v>
      </c>
      <c r="E607">
        <v>37</v>
      </c>
      <c r="F607">
        <v>2</v>
      </c>
      <c r="G607">
        <v>21</v>
      </c>
      <c r="H607">
        <v>1</v>
      </c>
      <c r="I607">
        <v>227</v>
      </c>
      <c r="J607">
        <v>44</v>
      </c>
      <c r="K607">
        <v>4</v>
      </c>
      <c r="L607">
        <v>1</v>
      </c>
      <c r="M607" t="s">
        <v>160</v>
      </c>
      <c r="N607">
        <v>754</v>
      </c>
      <c r="O607">
        <v>24</v>
      </c>
      <c r="P607">
        <v>368</v>
      </c>
      <c r="Q607">
        <v>42</v>
      </c>
      <c r="R607">
        <v>3</v>
      </c>
      <c r="S607">
        <v>20</v>
      </c>
      <c r="T607">
        <v>2</v>
      </c>
      <c r="U607">
        <v>51</v>
      </c>
      <c r="V607">
        <v>28</v>
      </c>
      <c r="W607">
        <v>0</v>
      </c>
      <c r="X607">
        <v>2</v>
      </c>
      <c r="Y607" t="s">
        <v>16</v>
      </c>
      <c r="Z607">
        <v>3</v>
      </c>
      <c r="AA607">
        <f>IF(AND(Table1[[#This Row],[Throw Out Pass Eff]]="N", Table1[[#This Row],[Against FCS Team]]="N"), ROUND(((5.45 * D607) + (150 * F607) + (100 * G607) - (300 * H607)) / E607, 2), " ")</f>
        <v>96.97</v>
      </c>
      <c r="AB607">
        <f>IF(AND(Table1[[#This Row],[Throw Out Pass Def Eff]]="N", Table1[[#This Row],[Against FCS Team]]="N"),200 - ROUND(((5.45 * P607) + (150 * R607) + (100 * S607) - (300 * T607)) / Q607, 2), " ")</f>
        <v>108.2</v>
      </c>
      <c r="AC607">
        <f>IF(AND(Table1[[#This Row],[Throw Out Rush Eff]]="N", Table1[[#This Row],[Against FCS Team]]="N"), ROUND(((23.2 * I607) + (150 * K607) - (300 * L607)) / J607, 2), " ")</f>
        <v>126.51</v>
      </c>
      <c r="AD607" s="3">
        <f>IF(AND(Table1[[#This Row],[Throw Out Rush Def Eff]]="N", Table1[[#This Row],[Against FCS Team]]="N"), 200 - ROUND(((23.2 * U607) + (150 * W607) - (300 * X607)) / V607, 2), " ")</f>
        <v>179.17000000000002</v>
      </c>
      <c r="AE607" s="3">
        <f>ROUND(Table1[[#This Row],[Opp Passing Attempts]]/(Table1[[#This Row],[Opp Passing Attempts]]+Table1[[#This Row],[Opp Rushing Attempts]]), 2)</f>
        <v>0.6</v>
      </c>
      <c r="AF607" s="3">
        <f>1-Table1[[#This Row],[Passing Weight]]</f>
        <v>0.4</v>
      </c>
      <c r="AG607" s="3" t="str">
        <f>IF(COUNTIF(A:A,Table1[[#This Row],[Opp Team Name]]) &gt; 0, "N", "Y")</f>
        <v>N</v>
      </c>
      <c r="AH607" s="3" t="str">
        <f>IF(Table1[[#This Row],[Passing Attempts]] &lt;15, "Y", "N")</f>
        <v>N</v>
      </c>
      <c r="AI607" s="3" t="str">
        <f>IF(Table1[[#This Row],[Rushing Attempts]] &lt; 15, "Y", "N")</f>
        <v>N</v>
      </c>
      <c r="AJ607" s="3" t="str">
        <f>IF(Table1[[#This Row],[Opp Passing Attempts]]&lt;15, "Y", "N")</f>
        <v>N</v>
      </c>
      <c r="AK607" s="3" t="str">
        <f>IF(Table1[[#This Row],[Opp Rushing Attempts]]&lt;15, "Y", "N")</f>
        <v>N</v>
      </c>
      <c r="AL60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88.25</v>
      </c>
      <c r="AM60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119.68</v>
      </c>
      <c r="AN60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120.93</v>
      </c>
      <c r="AO60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106.98</v>
      </c>
      <c r="AP607" s="3">
        <f>ABS(Table1[[#This Row],[Team Score]]-Table1[[#This Row],[Opp Team Score]])</f>
        <v>18</v>
      </c>
      <c r="AQ607" s="3">
        <f>SUM(Table1[[#This Row],[Team Score]], Table1[[#This Row],[Opp Team Score]])</f>
        <v>66</v>
      </c>
      <c r="AR60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110.85000000000002</v>
      </c>
      <c r="AS607" s="3">
        <f>IF(Table1[[#This Row],[Efficiency Difference]] = " ", " ", ROUND((Table1[[#This Row],[Winning Margin]]*100)/Table1[[#This Row],[Efficiency Difference]], 2))</f>
        <v>16.239999999999998</v>
      </c>
    </row>
    <row r="608" spans="1:45">
      <c r="A608" t="s">
        <v>126</v>
      </c>
      <c r="B608">
        <v>626</v>
      </c>
      <c r="C608">
        <v>7</v>
      </c>
      <c r="D608">
        <v>253</v>
      </c>
      <c r="E608">
        <v>48</v>
      </c>
      <c r="F608">
        <v>1</v>
      </c>
      <c r="G608">
        <v>23</v>
      </c>
      <c r="H608">
        <v>0</v>
      </c>
      <c r="I608">
        <v>123</v>
      </c>
      <c r="J608">
        <v>29</v>
      </c>
      <c r="K608">
        <v>0</v>
      </c>
      <c r="L608">
        <v>3</v>
      </c>
      <c r="M608" t="s">
        <v>180</v>
      </c>
      <c r="N608">
        <v>418</v>
      </c>
      <c r="O608">
        <v>28</v>
      </c>
      <c r="P608">
        <v>93</v>
      </c>
      <c r="Q608">
        <v>17</v>
      </c>
      <c r="R608">
        <v>0</v>
      </c>
      <c r="S608">
        <v>8</v>
      </c>
      <c r="T608">
        <v>2</v>
      </c>
      <c r="U608">
        <v>320</v>
      </c>
      <c r="V608">
        <v>45</v>
      </c>
      <c r="W608">
        <v>4</v>
      </c>
      <c r="X608">
        <v>2</v>
      </c>
      <c r="Y608" t="s">
        <v>19</v>
      </c>
      <c r="Z608">
        <v>4</v>
      </c>
      <c r="AA608">
        <f>IF(AND(Table1[[#This Row],[Throw Out Pass Eff]]="N", Table1[[#This Row],[Against FCS Team]]="N"), ROUND(((5.45 * D608) + (150 * F608) + (100 * G608) - (300 * H608)) / E608, 2), " ")</f>
        <v>79.77</v>
      </c>
      <c r="AB608">
        <f>IF(AND(Table1[[#This Row],[Throw Out Pass Def Eff]]="N", Table1[[#This Row],[Against FCS Team]]="N"),200 - ROUND(((5.45 * P608) + (150 * R608) + (100 * S608) - (300 * T608)) / Q608, 2), " ")</f>
        <v>158.42000000000002</v>
      </c>
      <c r="AC608">
        <f>IF(AND(Table1[[#This Row],[Throw Out Rush Eff]]="N", Table1[[#This Row],[Against FCS Team]]="N"), ROUND(((23.2 * I608) + (150 * K608) - (300 * L608)) / J608, 2), " ")</f>
        <v>67.37</v>
      </c>
      <c r="AD608" s="3">
        <f>IF(AND(Table1[[#This Row],[Throw Out Rush Def Eff]]="N", Table1[[#This Row],[Against FCS Team]]="N"), 200 - ROUND(((23.2 * U608) + (150 * W608) - (300 * X608)) / V608, 2), " ")</f>
        <v>35.02000000000001</v>
      </c>
      <c r="AE608" s="3">
        <f>ROUND(Table1[[#This Row],[Opp Passing Attempts]]/(Table1[[#This Row],[Opp Passing Attempts]]+Table1[[#This Row],[Opp Rushing Attempts]]), 2)</f>
        <v>0.27</v>
      </c>
      <c r="AF608" s="3">
        <f>1-Table1[[#This Row],[Passing Weight]]</f>
        <v>0.73</v>
      </c>
      <c r="AG608" s="3" t="str">
        <f>IF(COUNTIF(A:A,Table1[[#This Row],[Opp Team Name]]) &gt; 0, "N", "Y")</f>
        <v>N</v>
      </c>
      <c r="AH608" s="3" t="str">
        <f>IF(Table1[[#This Row],[Passing Attempts]] &lt;15, "Y", "N")</f>
        <v>N</v>
      </c>
      <c r="AI608" s="3" t="str">
        <f>IF(Table1[[#This Row],[Rushing Attempts]] &lt; 15, "Y", "N")</f>
        <v>N</v>
      </c>
      <c r="AJ608" s="3" t="str">
        <f>IF(Table1[[#This Row],[Opp Passing Attempts]]&lt;15, "Y", "N")</f>
        <v>N</v>
      </c>
      <c r="AK608" s="3" t="str">
        <f>IF(Table1[[#This Row],[Opp Rushing Attempts]]&lt;15, "Y", "N")</f>
        <v>N</v>
      </c>
      <c r="AL60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85.61</v>
      </c>
      <c r="AM60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141.77000000000001</v>
      </c>
      <c r="AN60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73.44</v>
      </c>
      <c r="AO60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46.1</v>
      </c>
      <c r="AP608" s="3">
        <f>ABS(Table1[[#This Row],[Team Score]]-Table1[[#This Row],[Opp Team Score]])</f>
        <v>21</v>
      </c>
      <c r="AQ608" s="3">
        <f>SUM(Table1[[#This Row],[Team Score]], Table1[[#This Row],[Opp Team Score]])</f>
        <v>35</v>
      </c>
      <c r="AR60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59.419999999999987</v>
      </c>
      <c r="AS608" s="3">
        <f>IF(Table1[[#This Row],[Efficiency Difference]] = " ", " ", ROUND((Table1[[#This Row],[Winning Margin]]*100)/Table1[[#This Row],[Efficiency Difference]], 2))</f>
        <v>35.340000000000003</v>
      </c>
    </row>
    <row r="609" spans="1:45">
      <c r="A609" t="s">
        <v>126</v>
      </c>
      <c r="B609">
        <v>626</v>
      </c>
      <c r="C609">
        <v>14</v>
      </c>
      <c r="D609">
        <v>206</v>
      </c>
      <c r="E609">
        <v>42</v>
      </c>
      <c r="F609">
        <v>2</v>
      </c>
      <c r="G609">
        <v>16</v>
      </c>
      <c r="H609">
        <v>3</v>
      </c>
      <c r="I609">
        <v>90</v>
      </c>
      <c r="J609">
        <v>30</v>
      </c>
      <c r="K609">
        <v>0</v>
      </c>
      <c r="L609">
        <v>1</v>
      </c>
      <c r="M609" t="s">
        <v>37</v>
      </c>
      <c r="N609">
        <v>698</v>
      </c>
      <c r="O609">
        <v>27</v>
      </c>
      <c r="P609">
        <v>212</v>
      </c>
      <c r="Q609">
        <v>22</v>
      </c>
      <c r="R609">
        <v>2</v>
      </c>
      <c r="S609">
        <v>14</v>
      </c>
      <c r="T609">
        <v>2</v>
      </c>
      <c r="U609">
        <v>234</v>
      </c>
      <c r="V609">
        <v>52</v>
      </c>
      <c r="W609">
        <v>1</v>
      </c>
      <c r="X609">
        <v>2</v>
      </c>
      <c r="Y609" t="s">
        <v>19</v>
      </c>
      <c r="Z609">
        <v>6</v>
      </c>
      <c r="AA609">
        <f>IF(AND(Table1[[#This Row],[Throw Out Pass Eff]]="N", Table1[[#This Row],[Against FCS Team]]="N"), ROUND(((5.45 * D609) + (150 * F609) + (100 * G609) - (300 * H609)) / E609, 2), " ")</f>
        <v>50.54</v>
      </c>
      <c r="AB609">
        <f>IF(AND(Table1[[#This Row],[Throw Out Pass Def Eff]]="N", Table1[[#This Row],[Against FCS Team]]="N"),200 - ROUND(((5.45 * P609) + (150 * R609) + (100 * S609) - (300 * T609)) / Q609, 2), " ")</f>
        <v>97.48</v>
      </c>
      <c r="AC609">
        <f>IF(AND(Table1[[#This Row],[Throw Out Rush Eff]]="N", Table1[[#This Row],[Against FCS Team]]="N"), ROUND(((23.2 * I609) + (150 * K609) - (300 * L609)) / J609, 2), " ")</f>
        <v>59.6</v>
      </c>
      <c r="AD609" s="3">
        <f>IF(AND(Table1[[#This Row],[Throw Out Rush Def Eff]]="N", Table1[[#This Row],[Against FCS Team]]="N"), 200 - ROUND(((23.2 * U609) + (150 * W609) - (300 * X609)) / V609, 2), " ")</f>
        <v>104.25</v>
      </c>
      <c r="AE609" s="3">
        <f>ROUND(Table1[[#This Row],[Opp Passing Attempts]]/(Table1[[#This Row],[Opp Passing Attempts]]+Table1[[#This Row],[Opp Rushing Attempts]]), 2)</f>
        <v>0.3</v>
      </c>
      <c r="AF609" s="3">
        <f>1-Table1[[#This Row],[Passing Weight]]</f>
        <v>0.7</v>
      </c>
      <c r="AG609" s="3" t="str">
        <f>IF(COUNTIF(A:A,Table1[[#This Row],[Opp Team Name]]) &gt; 0, "N", "Y")</f>
        <v>N</v>
      </c>
      <c r="AH609" s="3" t="str">
        <f>IF(Table1[[#This Row],[Passing Attempts]] &lt;15, "Y", "N")</f>
        <v>N</v>
      </c>
      <c r="AI609" s="3" t="str">
        <f>IF(Table1[[#This Row],[Rushing Attempts]] &lt; 15, "Y", "N")</f>
        <v>N</v>
      </c>
      <c r="AJ609" s="3" t="str">
        <f>IF(Table1[[#This Row],[Opp Passing Attempts]]&lt;15, "Y", "N")</f>
        <v>N</v>
      </c>
      <c r="AK609" s="3" t="str">
        <f>IF(Table1[[#This Row],[Opp Rushing Attempts]]&lt;15, "Y", "N")</f>
        <v>N</v>
      </c>
      <c r="AL60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45.22</v>
      </c>
      <c r="AM60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119.14</v>
      </c>
      <c r="AN60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73.34</v>
      </c>
      <c r="AO60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125.06</v>
      </c>
      <c r="AP609" s="3">
        <f>ABS(Table1[[#This Row],[Team Score]]-Table1[[#This Row],[Opp Team Score]])</f>
        <v>13</v>
      </c>
      <c r="AQ609" s="3">
        <f>SUM(Table1[[#This Row],[Team Score]], Table1[[#This Row],[Opp Team Score]])</f>
        <v>41</v>
      </c>
      <c r="AR60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88.129999999999981</v>
      </c>
      <c r="AS609" s="3">
        <f>IF(Table1[[#This Row],[Efficiency Difference]] = " ", " ", ROUND((Table1[[#This Row],[Winning Margin]]*100)/Table1[[#This Row],[Efficiency Difference]], 2))</f>
        <v>14.75</v>
      </c>
    </row>
    <row r="610" spans="1:45">
      <c r="A610" t="s">
        <v>126</v>
      </c>
      <c r="B610">
        <v>626</v>
      </c>
      <c r="C610">
        <v>41</v>
      </c>
      <c r="D610">
        <v>209</v>
      </c>
      <c r="E610">
        <v>21</v>
      </c>
      <c r="F610">
        <v>2</v>
      </c>
      <c r="G610">
        <v>15</v>
      </c>
      <c r="H610">
        <v>0</v>
      </c>
      <c r="I610">
        <v>201</v>
      </c>
      <c r="J610">
        <v>35</v>
      </c>
      <c r="K610">
        <v>2</v>
      </c>
      <c r="L610">
        <v>1</v>
      </c>
      <c r="M610" t="s">
        <v>14</v>
      </c>
      <c r="N610">
        <v>721</v>
      </c>
      <c r="O610">
        <v>27</v>
      </c>
      <c r="P610">
        <v>224</v>
      </c>
      <c r="Q610">
        <v>37</v>
      </c>
      <c r="R610">
        <v>2</v>
      </c>
      <c r="S610">
        <v>22</v>
      </c>
      <c r="T610">
        <v>2</v>
      </c>
      <c r="U610">
        <v>195</v>
      </c>
      <c r="V610">
        <v>47</v>
      </c>
      <c r="W610">
        <v>1</v>
      </c>
      <c r="X610">
        <v>1</v>
      </c>
      <c r="Y610" t="s">
        <v>16</v>
      </c>
      <c r="Z610">
        <v>7</v>
      </c>
      <c r="AA610">
        <f>IF(AND(Table1[[#This Row],[Throw Out Pass Eff]]="N", Table1[[#This Row],[Against FCS Team]]="N"), ROUND(((5.45 * D610) + (150 * F610) + (100 * G610) - (300 * H610)) / E610, 2), " ")</f>
        <v>139.94999999999999</v>
      </c>
      <c r="AB610">
        <f>IF(AND(Table1[[#This Row],[Throw Out Pass Def Eff]]="N", Table1[[#This Row],[Against FCS Team]]="N"),200 - ROUND(((5.45 * P610) + (150 * R610) + (100 * S610) - (300 * T610)) / Q610, 2), " ")</f>
        <v>115.65</v>
      </c>
      <c r="AC610">
        <f>IF(AND(Table1[[#This Row],[Throw Out Rush Eff]]="N", Table1[[#This Row],[Against FCS Team]]="N"), ROUND(((23.2 * I610) + (150 * K610) - (300 * L610)) / J610, 2), " ")</f>
        <v>133.22999999999999</v>
      </c>
      <c r="AD610" s="3">
        <f>IF(AND(Table1[[#This Row],[Throw Out Rush Def Eff]]="N", Table1[[#This Row],[Against FCS Team]]="N"), 200 - ROUND(((23.2 * U610) + (150 * W610) - (300 * X610)) / V610, 2), " ")</f>
        <v>106.94</v>
      </c>
      <c r="AE610" s="3">
        <f>ROUND(Table1[[#This Row],[Opp Passing Attempts]]/(Table1[[#This Row],[Opp Passing Attempts]]+Table1[[#This Row],[Opp Rushing Attempts]]), 2)</f>
        <v>0.44</v>
      </c>
      <c r="AF610" s="3">
        <f>1-Table1[[#This Row],[Passing Weight]]</f>
        <v>0.56000000000000005</v>
      </c>
      <c r="AG610" s="3" t="str">
        <f>IF(COUNTIF(A:A,Table1[[#This Row],[Opp Team Name]]) &gt; 0, "N", "Y")</f>
        <v>N</v>
      </c>
      <c r="AH610" s="3" t="str">
        <f>IF(Table1[[#This Row],[Passing Attempts]] &lt;15, "Y", "N")</f>
        <v>N</v>
      </c>
      <c r="AI610" s="3" t="str">
        <f>IF(Table1[[#This Row],[Rushing Attempts]] &lt; 15, "Y", "N")</f>
        <v>N</v>
      </c>
      <c r="AJ610" s="3" t="str">
        <f>IF(Table1[[#This Row],[Opp Passing Attempts]]&lt;15, "Y", "N")</f>
        <v>N</v>
      </c>
      <c r="AK610" s="3" t="str">
        <f>IF(Table1[[#This Row],[Opp Rushing Attempts]]&lt;15, "Y", "N")</f>
        <v>N</v>
      </c>
      <c r="AL6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103.81</v>
      </c>
      <c r="AM6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105.25</v>
      </c>
      <c r="AN6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79.64</v>
      </c>
      <c r="AO6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125.62</v>
      </c>
      <c r="AP610" s="3">
        <f>ABS(Table1[[#This Row],[Team Score]]-Table1[[#This Row],[Opp Team Score]])</f>
        <v>14</v>
      </c>
      <c r="AQ610" s="3">
        <f>SUM(Table1[[#This Row],[Team Score]], Table1[[#This Row],[Opp Team Score]])</f>
        <v>68</v>
      </c>
      <c r="AR6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95.769999999999953</v>
      </c>
      <c r="AS610" s="3">
        <f>IF(Table1[[#This Row],[Efficiency Difference]] = " ", " ", ROUND((Table1[[#This Row],[Winning Margin]]*100)/Table1[[#This Row],[Efficiency Difference]], 2))</f>
        <v>14.62</v>
      </c>
    </row>
    <row r="611" spans="1:45">
      <c r="A611" t="s">
        <v>128</v>
      </c>
      <c r="B611">
        <v>630</v>
      </c>
      <c r="C611">
        <v>3</v>
      </c>
      <c r="D611">
        <v>210</v>
      </c>
      <c r="E611">
        <v>33</v>
      </c>
      <c r="F611">
        <v>0</v>
      </c>
      <c r="G611">
        <v>17</v>
      </c>
      <c r="H611">
        <v>0</v>
      </c>
      <c r="I611">
        <v>27</v>
      </c>
      <c r="J611">
        <v>32</v>
      </c>
      <c r="K611">
        <v>0</v>
      </c>
      <c r="L611">
        <v>3</v>
      </c>
      <c r="M611" t="s">
        <v>129</v>
      </c>
      <c r="N611">
        <v>674</v>
      </c>
      <c r="O611">
        <v>57</v>
      </c>
      <c r="P611">
        <v>232</v>
      </c>
      <c r="Q611">
        <v>31</v>
      </c>
      <c r="R611">
        <v>3</v>
      </c>
      <c r="S611">
        <v>22</v>
      </c>
      <c r="T611">
        <v>0</v>
      </c>
      <c r="U611">
        <v>141</v>
      </c>
      <c r="V611">
        <v>40</v>
      </c>
      <c r="W611">
        <v>4</v>
      </c>
      <c r="X611">
        <v>0</v>
      </c>
      <c r="Y611" t="s">
        <v>19</v>
      </c>
      <c r="Z611">
        <v>1</v>
      </c>
      <c r="AA611">
        <f>IF(AND(Table1[[#This Row],[Throw Out Pass Eff]]="N", Table1[[#This Row],[Against FCS Team]]="N"), ROUND(((5.45 * D611) + (150 * F611) + (100 * G611) - (300 * H611)) / E611, 2), " ")</f>
        <v>86.2</v>
      </c>
      <c r="AB611">
        <f>IF(AND(Table1[[#This Row],[Throw Out Pass Def Eff]]="N", Table1[[#This Row],[Against FCS Team]]="N"),200 - ROUND(((5.45 * P611) + (150 * R611) + (100 * S611) - (300 * T611)) / Q611, 2), " ")</f>
        <v>73.73</v>
      </c>
      <c r="AC611">
        <f>IF(AND(Table1[[#This Row],[Throw Out Rush Eff]]="N", Table1[[#This Row],[Against FCS Team]]="N"), ROUND(((23.2 * I611) + (150 * K611) - (300 * L611)) / J611, 2), " ")</f>
        <v>-8.5500000000000007</v>
      </c>
      <c r="AD611" s="3">
        <f>IF(AND(Table1[[#This Row],[Throw Out Rush Def Eff]]="N", Table1[[#This Row],[Against FCS Team]]="N"), 200 - ROUND(((23.2 * U611) + (150 * W611) - (300 * X611)) / V611, 2), " ")</f>
        <v>103.22</v>
      </c>
      <c r="AE611" s="3">
        <f>ROUND(Table1[[#This Row],[Opp Passing Attempts]]/(Table1[[#This Row],[Opp Passing Attempts]]+Table1[[#This Row],[Opp Rushing Attempts]]), 2)</f>
        <v>0.44</v>
      </c>
      <c r="AF611" s="3">
        <f>1-Table1[[#This Row],[Passing Weight]]</f>
        <v>0.56000000000000005</v>
      </c>
      <c r="AG611" s="3" t="str">
        <f>IF(COUNTIF(A:A,Table1[[#This Row],[Opp Team Name]]) &gt; 0, "N", "Y")</f>
        <v>N</v>
      </c>
      <c r="AH611" s="3" t="str">
        <f>IF(Table1[[#This Row],[Passing Attempts]] &lt;15, "Y", "N")</f>
        <v>N</v>
      </c>
      <c r="AI611" s="3" t="str">
        <f>IF(Table1[[#This Row],[Rushing Attempts]] &lt; 15, "Y", "N")</f>
        <v>N</v>
      </c>
      <c r="AJ611" s="3" t="str">
        <f>IF(Table1[[#This Row],[Opp Passing Attempts]]&lt;15, "Y", "N")</f>
        <v>N</v>
      </c>
      <c r="AK611" s="3" t="str">
        <f>IF(Table1[[#This Row],[Opp Rushing Attempts]]&lt;15, "Y", "N")</f>
        <v>N</v>
      </c>
      <c r="AL61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89.02</v>
      </c>
      <c r="AM61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98.4</v>
      </c>
      <c r="AN61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-12.2</v>
      </c>
      <c r="AO6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148.63</v>
      </c>
      <c r="AP611" s="3">
        <f>ABS(Table1[[#This Row],[Team Score]]-Table1[[#This Row],[Opp Team Score]])</f>
        <v>54</v>
      </c>
      <c r="AQ611" s="3">
        <f>SUM(Table1[[#This Row],[Team Score]], Table1[[#This Row],[Opp Team Score]])</f>
        <v>60</v>
      </c>
      <c r="AR61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145.4</v>
      </c>
      <c r="AS611" s="3">
        <f>IF(Table1[[#This Row],[Efficiency Difference]] = " ", " ", ROUND((Table1[[#This Row],[Winning Margin]]*100)/Table1[[#This Row],[Efficiency Difference]], 2))</f>
        <v>37.14</v>
      </c>
    </row>
    <row r="612" spans="1:45">
      <c r="A612" t="s">
        <v>128</v>
      </c>
      <c r="B612">
        <v>630</v>
      </c>
      <c r="C612">
        <v>17</v>
      </c>
      <c r="D612">
        <v>115</v>
      </c>
      <c r="E612">
        <v>34</v>
      </c>
      <c r="F612">
        <v>0</v>
      </c>
      <c r="G612">
        <v>16</v>
      </c>
      <c r="H612">
        <v>2</v>
      </c>
      <c r="I612">
        <v>202</v>
      </c>
      <c r="J612">
        <v>29</v>
      </c>
      <c r="K612">
        <v>2</v>
      </c>
      <c r="L612">
        <v>0</v>
      </c>
      <c r="M612" t="s">
        <v>75</v>
      </c>
      <c r="N612">
        <v>110</v>
      </c>
      <c r="O612">
        <v>27</v>
      </c>
      <c r="P612">
        <v>145</v>
      </c>
      <c r="Q612">
        <v>23</v>
      </c>
      <c r="R612">
        <v>1</v>
      </c>
      <c r="S612">
        <v>12</v>
      </c>
      <c r="T612">
        <v>0</v>
      </c>
      <c r="U612">
        <v>272</v>
      </c>
      <c r="V612">
        <v>42</v>
      </c>
      <c r="W612">
        <v>2</v>
      </c>
      <c r="X612">
        <v>2</v>
      </c>
      <c r="Y612" t="s">
        <v>19</v>
      </c>
      <c r="Z612">
        <v>2</v>
      </c>
      <c r="AA612">
        <f>IF(AND(Table1[[#This Row],[Throw Out Pass Eff]]="N", Table1[[#This Row],[Against FCS Team]]="N"), ROUND(((5.45 * D612) + (150 * F612) + (100 * G612) - (300 * H612)) / E612, 2), " ")</f>
        <v>47.85</v>
      </c>
      <c r="AB612">
        <f>IF(AND(Table1[[#This Row],[Throw Out Pass Def Eff]]="N", Table1[[#This Row],[Against FCS Team]]="N"),200 - ROUND(((5.45 * P612) + (150 * R612) + (100 * S612) - (300 * T612)) / Q612, 2), " ")</f>
        <v>106.95</v>
      </c>
      <c r="AC612">
        <f>IF(AND(Table1[[#This Row],[Throw Out Rush Eff]]="N", Table1[[#This Row],[Against FCS Team]]="N"), ROUND(((23.2 * I612) + (150 * K612) - (300 * L612)) / J612, 2), " ")</f>
        <v>171.94</v>
      </c>
      <c r="AD612" s="3">
        <f>IF(AND(Table1[[#This Row],[Throw Out Rush Def Eff]]="N", Table1[[#This Row],[Against FCS Team]]="N"), 200 - ROUND(((23.2 * U612) + (150 * W612) - (300 * X612)) / V612, 2), " ")</f>
        <v>56.900000000000006</v>
      </c>
      <c r="AE612" s="3">
        <f>ROUND(Table1[[#This Row],[Opp Passing Attempts]]/(Table1[[#This Row],[Opp Passing Attempts]]+Table1[[#This Row],[Opp Rushing Attempts]]), 2)</f>
        <v>0.35</v>
      </c>
      <c r="AF612" s="3">
        <f>1-Table1[[#This Row],[Passing Weight]]</f>
        <v>0.65</v>
      </c>
      <c r="AG612" s="3" t="str">
        <f>IF(COUNTIF(A:A,Table1[[#This Row],[Opp Team Name]]) &gt; 0, "N", "Y")</f>
        <v>N</v>
      </c>
      <c r="AH612" s="3" t="str">
        <f>IF(Table1[[#This Row],[Passing Attempts]] &lt;15, "Y", "N")</f>
        <v>N</v>
      </c>
      <c r="AI612" s="3" t="str">
        <f>IF(Table1[[#This Row],[Rushing Attempts]] &lt; 15, "Y", "N")</f>
        <v>N</v>
      </c>
      <c r="AJ612" s="3" t="str">
        <f>IF(Table1[[#This Row],[Opp Passing Attempts]]&lt;15, "Y", "N")</f>
        <v>N</v>
      </c>
      <c r="AK612" s="3" t="str">
        <f>IF(Table1[[#This Row],[Opp Rushing Attempts]]&lt;15, "Y", "N")</f>
        <v>N</v>
      </c>
      <c r="AL6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42.17</v>
      </c>
      <c r="AM61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104.56</v>
      </c>
      <c r="AN6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137.53</v>
      </c>
      <c r="AO6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57.63</v>
      </c>
      <c r="AP612" s="3">
        <f>ABS(Table1[[#This Row],[Team Score]]-Table1[[#This Row],[Opp Team Score]])</f>
        <v>10</v>
      </c>
      <c r="AQ612" s="3">
        <f>SUM(Table1[[#This Row],[Team Score]], Table1[[#This Row],[Opp Team Score]])</f>
        <v>44</v>
      </c>
      <c r="AR61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16.359999999999985</v>
      </c>
      <c r="AS612" s="3">
        <f>IF(Table1[[#This Row],[Efficiency Difference]] = " ", " ", ROUND((Table1[[#This Row],[Winning Margin]]*100)/Table1[[#This Row],[Efficiency Difference]], 2))</f>
        <v>61.12</v>
      </c>
    </row>
    <row r="613" spans="1:45">
      <c r="A613" t="s">
        <v>128</v>
      </c>
      <c r="B613">
        <v>630</v>
      </c>
      <c r="C613">
        <v>14</v>
      </c>
      <c r="D613">
        <v>152</v>
      </c>
      <c r="E613">
        <v>33</v>
      </c>
      <c r="F613">
        <v>0</v>
      </c>
      <c r="G613">
        <v>13</v>
      </c>
      <c r="H613">
        <v>1</v>
      </c>
      <c r="I613">
        <v>138</v>
      </c>
      <c r="J613">
        <v>30</v>
      </c>
      <c r="K613">
        <v>2</v>
      </c>
      <c r="L613">
        <v>3</v>
      </c>
      <c r="M613" t="s">
        <v>181</v>
      </c>
      <c r="N613">
        <v>466</v>
      </c>
      <c r="O613">
        <v>17</v>
      </c>
      <c r="P613">
        <v>112</v>
      </c>
      <c r="Q613">
        <v>21</v>
      </c>
      <c r="R613">
        <v>0</v>
      </c>
      <c r="S613">
        <v>11</v>
      </c>
      <c r="T613">
        <v>2</v>
      </c>
      <c r="U613">
        <v>261</v>
      </c>
      <c r="V613">
        <v>60</v>
      </c>
      <c r="W613">
        <v>2</v>
      </c>
      <c r="X613">
        <v>2</v>
      </c>
      <c r="Y613" t="s">
        <v>19</v>
      </c>
      <c r="Z613">
        <v>3</v>
      </c>
      <c r="AA613">
        <f>IF(AND(Table1[[#This Row],[Throw Out Pass Eff]]="N", Table1[[#This Row],[Against FCS Team]]="N"), ROUND(((5.45 * D613) + (150 * F613) + (100 * G613) - (300 * H613)) / E613, 2), " ")</f>
        <v>55.41</v>
      </c>
      <c r="AB613">
        <f>IF(AND(Table1[[#This Row],[Throw Out Pass Def Eff]]="N", Table1[[#This Row],[Against FCS Team]]="N"),200 - ROUND(((5.45 * P613) + (150 * R613) + (100 * S613) - (300 * T613)) / Q613, 2), " ")</f>
        <v>147.12</v>
      </c>
      <c r="AC613">
        <f>IF(AND(Table1[[#This Row],[Throw Out Rush Eff]]="N", Table1[[#This Row],[Against FCS Team]]="N"), ROUND(((23.2 * I613) + (150 * K613) - (300 * L613)) / J613, 2), " ")</f>
        <v>86.72</v>
      </c>
      <c r="AD613" s="3">
        <f>IF(AND(Table1[[#This Row],[Throw Out Rush Def Eff]]="N", Table1[[#This Row],[Against FCS Team]]="N"), 200 - ROUND(((23.2 * U613) + (150 * W613) - (300 * X613)) / V613, 2), " ")</f>
        <v>104.08</v>
      </c>
      <c r="AE613" s="3">
        <f>ROUND(Table1[[#This Row],[Opp Passing Attempts]]/(Table1[[#This Row],[Opp Passing Attempts]]+Table1[[#This Row],[Opp Rushing Attempts]]), 2)</f>
        <v>0.26</v>
      </c>
      <c r="AF613" s="3">
        <f>1-Table1[[#This Row],[Passing Weight]]</f>
        <v>0.74</v>
      </c>
      <c r="AG613" s="3" t="str">
        <f>IF(COUNTIF(A:A,Table1[[#This Row],[Opp Team Name]]) &gt; 0, "N", "Y")</f>
        <v>N</v>
      </c>
      <c r="AH613" s="3" t="str">
        <f>IF(Table1[[#This Row],[Passing Attempts]] &lt;15, "Y", "N")</f>
        <v>N</v>
      </c>
      <c r="AI613" s="3" t="str">
        <f>IF(Table1[[#This Row],[Rushing Attempts]] &lt; 15, "Y", "N")</f>
        <v>N</v>
      </c>
      <c r="AJ613" s="3" t="str">
        <f>IF(Table1[[#This Row],[Opp Passing Attempts]]&lt;15, "Y", "N")</f>
        <v>N</v>
      </c>
      <c r="AK613" s="3" t="str">
        <f>IF(Table1[[#This Row],[Opp Rushing Attempts]]&lt;15, "Y", "N")</f>
        <v>N</v>
      </c>
      <c r="AL6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58.88</v>
      </c>
      <c r="AM6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145.66</v>
      </c>
      <c r="AN6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74.849999999999994</v>
      </c>
      <c r="AO6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122.51</v>
      </c>
      <c r="AP613" s="3">
        <f>ABS(Table1[[#This Row],[Team Score]]-Table1[[#This Row],[Opp Team Score]])</f>
        <v>3</v>
      </c>
      <c r="AQ613" s="3">
        <f>SUM(Table1[[#This Row],[Team Score]], Table1[[#This Row],[Opp Team Score]])</f>
        <v>31</v>
      </c>
      <c r="AR6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6.6700000000000159</v>
      </c>
      <c r="AS613" s="3">
        <f>IF(Table1[[#This Row],[Efficiency Difference]] = " ", " ", ROUND((Table1[[#This Row],[Winning Margin]]*100)/Table1[[#This Row],[Efficiency Difference]], 2))</f>
        <v>44.98</v>
      </c>
    </row>
    <row r="614" spans="1:45">
      <c r="A614" t="s">
        <v>128</v>
      </c>
      <c r="B614">
        <v>630</v>
      </c>
      <c r="C614">
        <v>34</v>
      </c>
      <c r="D614">
        <v>236</v>
      </c>
      <c r="E614">
        <v>38</v>
      </c>
      <c r="F614">
        <v>2</v>
      </c>
      <c r="G614">
        <v>24</v>
      </c>
      <c r="H614">
        <v>0</v>
      </c>
      <c r="I614">
        <v>230</v>
      </c>
      <c r="J614">
        <v>39</v>
      </c>
      <c r="K614">
        <v>2</v>
      </c>
      <c r="L614">
        <v>1</v>
      </c>
      <c r="M614" t="s">
        <v>108</v>
      </c>
      <c r="N614">
        <v>472</v>
      </c>
      <c r="O614">
        <v>24</v>
      </c>
      <c r="P614">
        <v>238</v>
      </c>
      <c r="Q614">
        <v>30</v>
      </c>
      <c r="R614">
        <v>1</v>
      </c>
      <c r="S614">
        <v>17</v>
      </c>
      <c r="T614">
        <v>1</v>
      </c>
      <c r="U614">
        <v>185</v>
      </c>
      <c r="V614">
        <v>32</v>
      </c>
      <c r="W614">
        <v>2</v>
      </c>
      <c r="X614">
        <v>0</v>
      </c>
      <c r="Y614" t="s">
        <v>16</v>
      </c>
      <c r="Z614">
        <v>4</v>
      </c>
      <c r="AA614">
        <f>IF(AND(Table1[[#This Row],[Throw Out Pass Eff]]="N", Table1[[#This Row],[Against FCS Team]]="N"), ROUND(((5.45 * D614) + (150 * F614) + (100 * G614) - (300 * H614)) / E614, 2), " ")</f>
        <v>104.9</v>
      </c>
      <c r="AB614">
        <f>IF(AND(Table1[[#This Row],[Throw Out Pass Def Eff]]="N", Table1[[#This Row],[Against FCS Team]]="N"),200 - ROUND(((5.45 * P614) + (150 * R614) + (100 * S614) - (300 * T614)) / Q614, 2), " ")</f>
        <v>105.1</v>
      </c>
      <c r="AC614">
        <f>IF(AND(Table1[[#This Row],[Throw Out Rush Eff]]="N", Table1[[#This Row],[Against FCS Team]]="N"), ROUND(((23.2 * I614) + (150 * K614) - (300 * L614)) / J614, 2), " ")</f>
        <v>136.82</v>
      </c>
      <c r="AD614" s="3">
        <f>IF(AND(Table1[[#This Row],[Throw Out Rush Def Eff]]="N", Table1[[#This Row],[Against FCS Team]]="N"), 200 - ROUND(((23.2 * U614) + (150 * W614) - (300 * X614)) / V614, 2), " ")</f>
        <v>56.5</v>
      </c>
      <c r="AE614" s="3">
        <f>ROUND(Table1[[#This Row],[Opp Passing Attempts]]/(Table1[[#This Row],[Opp Passing Attempts]]+Table1[[#This Row],[Opp Rushing Attempts]]), 2)</f>
        <v>0.48</v>
      </c>
      <c r="AF614" s="3">
        <f>1-Table1[[#This Row],[Passing Weight]]</f>
        <v>0.52</v>
      </c>
      <c r="AG614" s="3" t="str">
        <f>IF(COUNTIF(A:A,Table1[[#This Row],[Opp Team Name]]) &gt; 0, "N", "Y")</f>
        <v>N</v>
      </c>
      <c r="AH614" s="3" t="str">
        <f>IF(Table1[[#This Row],[Passing Attempts]] &lt;15, "Y", "N")</f>
        <v>N</v>
      </c>
      <c r="AI614" s="3" t="str">
        <f>IF(Table1[[#This Row],[Rushing Attempts]] &lt; 15, "Y", "N")</f>
        <v>N</v>
      </c>
      <c r="AJ614" s="3" t="str">
        <f>IF(Table1[[#This Row],[Opp Passing Attempts]]&lt;15, "Y", "N")</f>
        <v>N</v>
      </c>
      <c r="AK614" s="3" t="str">
        <f>IF(Table1[[#This Row],[Opp Rushing Attempts]]&lt;15, "Y", "N")</f>
        <v>N</v>
      </c>
      <c r="AL6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119.86</v>
      </c>
      <c r="AM6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116.53</v>
      </c>
      <c r="AN6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113.65</v>
      </c>
      <c r="AO6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45.07</v>
      </c>
      <c r="AP614" s="3">
        <f>ABS(Table1[[#This Row],[Team Score]]-Table1[[#This Row],[Opp Team Score]])</f>
        <v>10</v>
      </c>
      <c r="AQ614" s="3">
        <f>SUM(Table1[[#This Row],[Team Score]], Table1[[#This Row],[Opp Team Score]])</f>
        <v>58</v>
      </c>
      <c r="AR6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3.3199999999999932</v>
      </c>
      <c r="AS614" s="3">
        <f>IF(Table1[[#This Row],[Efficiency Difference]] = " ", " ", ROUND((Table1[[#This Row],[Winning Margin]]*100)/Table1[[#This Row],[Efficiency Difference]], 2))</f>
        <v>301.2</v>
      </c>
    </row>
    <row r="615" spans="1:45">
      <c r="A615" t="s">
        <v>128</v>
      </c>
      <c r="B615">
        <v>630</v>
      </c>
      <c r="C615">
        <v>38</v>
      </c>
      <c r="D615">
        <v>313</v>
      </c>
      <c r="E615">
        <v>38</v>
      </c>
      <c r="F615">
        <v>2</v>
      </c>
      <c r="G615">
        <v>25</v>
      </c>
      <c r="H615">
        <v>1</v>
      </c>
      <c r="I615">
        <v>137</v>
      </c>
      <c r="J615">
        <v>39</v>
      </c>
      <c r="K615">
        <v>2</v>
      </c>
      <c r="L615">
        <v>2</v>
      </c>
      <c r="M615" t="s">
        <v>58</v>
      </c>
      <c r="N615">
        <v>156</v>
      </c>
      <c r="O615">
        <v>31</v>
      </c>
      <c r="P615">
        <v>387</v>
      </c>
      <c r="Q615">
        <v>43</v>
      </c>
      <c r="R615">
        <v>3</v>
      </c>
      <c r="S615">
        <v>28</v>
      </c>
      <c r="T615">
        <v>2</v>
      </c>
      <c r="U615">
        <v>71</v>
      </c>
      <c r="V615">
        <v>26</v>
      </c>
      <c r="W615">
        <v>1</v>
      </c>
      <c r="X615">
        <v>1</v>
      </c>
      <c r="Y615" t="s">
        <v>16</v>
      </c>
      <c r="Z615">
        <v>5</v>
      </c>
      <c r="AA615">
        <f>IF(AND(Table1[[#This Row],[Throw Out Pass Eff]]="N", Table1[[#This Row],[Against FCS Team]]="N"), ROUND(((5.45 * D615) + (150 * F615) + (100 * G615) - (300 * H615)) / E615, 2), " ")</f>
        <v>110.68</v>
      </c>
      <c r="AB615">
        <f>IF(AND(Table1[[#This Row],[Throw Out Pass Def Eff]]="N", Table1[[#This Row],[Against FCS Team]]="N"),200 - ROUND(((5.45 * P615) + (150 * R615) + (100 * S615) - (300 * T615)) / Q615, 2), " ")</f>
        <v>89.32</v>
      </c>
      <c r="AC615">
        <f>IF(AND(Table1[[#This Row],[Throw Out Rush Eff]]="N", Table1[[#This Row],[Against FCS Team]]="N"), ROUND(((23.2 * I615) + (150 * K615) - (300 * L615)) / J615, 2), " ")</f>
        <v>73.81</v>
      </c>
      <c r="AD615" s="3">
        <f>IF(AND(Table1[[#This Row],[Throw Out Rush Def Eff]]="N", Table1[[#This Row],[Against FCS Team]]="N"), 200 - ROUND(((23.2 * U615) + (150 * W615) - (300 * X615)) / V615, 2), " ")</f>
        <v>142.42000000000002</v>
      </c>
      <c r="AE615" s="3">
        <f>ROUND(Table1[[#This Row],[Opp Passing Attempts]]/(Table1[[#This Row],[Opp Passing Attempts]]+Table1[[#This Row],[Opp Rushing Attempts]]), 2)</f>
        <v>0.62</v>
      </c>
      <c r="AF615" s="3">
        <f>1-Table1[[#This Row],[Passing Weight]]</f>
        <v>0.38</v>
      </c>
      <c r="AG615" s="3" t="str">
        <f>IF(COUNTIF(A:A,Table1[[#This Row],[Opp Team Name]]) &gt; 0, "N", "Y")</f>
        <v>N</v>
      </c>
      <c r="AH615" s="3" t="str">
        <f>IF(Table1[[#This Row],[Passing Attempts]] &lt;15, "Y", "N")</f>
        <v>N</v>
      </c>
      <c r="AI615" s="3" t="str">
        <f>IF(Table1[[#This Row],[Rushing Attempts]] &lt; 15, "Y", "N")</f>
        <v>N</v>
      </c>
      <c r="AJ615" s="3" t="str">
        <f>IF(Table1[[#This Row],[Opp Passing Attempts]]&lt;15, "Y", "N")</f>
        <v>N</v>
      </c>
      <c r="AK615" s="3" t="str">
        <f>IF(Table1[[#This Row],[Opp Rushing Attempts]]&lt;15, "Y", "N")</f>
        <v>N</v>
      </c>
      <c r="AL6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101.47</v>
      </c>
      <c r="AM6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86.01</v>
      </c>
      <c r="AN6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53.88</v>
      </c>
      <c r="AO6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83.93</v>
      </c>
      <c r="AP615" s="3">
        <f>ABS(Table1[[#This Row],[Team Score]]-Table1[[#This Row],[Opp Team Score]])</f>
        <v>7</v>
      </c>
      <c r="AQ615" s="3">
        <f>SUM(Table1[[#This Row],[Team Score]], Table1[[#This Row],[Opp Team Score]])</f>
        <v>69</v>
      </c>
      <c r="AR6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16.230000000000018</v>
      </c>
      <c r="AS615" s="3">
        <f>IF(Table1[[#This Row],[Efficiency Difference]] = " ", " ", ROUND((Table1[[#This Row],[Winning Margin]]*100)/Table1[[#This Row],[Efficiency Difference]], 2))</f>
        <v>43.13</v>
      </c>
    </row>
    <row r="616" spans="1:45">
      <c r="A616" t="s">
        <v>128</v>
      </c>
      <c r="B616">
        <v>630</v>
      </c>
      <c r="C616">
        <v>16</v>
      </c>
      <c r="D616">
        <v>255</v>
      </c>
      <c r="E616">
        <v>35</v>
      </c>
      <c r="F616">
        <v>0</v>
      </c>
      <c r="G616">
        <v>25</v>
      </c>
      <c r="H616">
        <v>2</v>
      </c>
      <c r="I616">
        <v>70</v>
      </c>
      <c r="J616">
        <v>26</v>
      </c>
      <c r="K616">
        <v>1</v>
      </c>
      <c r="L616">
        <v>0</v>
      </c>
      <c r="M616" t="s">
        <v>46</v>
      </c>
      <c r="N616">
        <v>77</v>
      </c>
      <c r="O616">
        <v>29</v>
      </c>
      <c r="P616">
        <v>219</v>
      </c>
      <c r="Q616">
        <v>24</v>
      </c>
      <c r="R616">
        <v>3</v>
      </c>
      <c r="S616">
        <v>14</v>
      </c>
      <c r="T616">
        <v>2</v>
      </c>
      <c r="U616">
        <v>224</v>
      </c>
      <c r="V616">
        <v>44</v>
      </c>
      <c r="W616">
        <v>0</v>
      </c>
      <c r="X616">
        <v>1</v>
      </c>
      <c r="Y616" t="s">
        <v>19</v>
      </c>
      <c r="Z616">
        <v>6</v>
      </c>
      <c r="AA616">
        <f>IF(AND(Table1[[#This Row],[Throw Out Pass Eff]]="N", Table1[[#This Row],[Against FCS Team]]="N"), ROUND(((5.45 * D616) + (150 * F616) + (100 * G616) - (300 * H616)) / E616, 2), " ")</f>
        <v>93.99</v>
      </c>
      <c r="AB616">
        <f>IF(AND(Table1[[#This Row],[Throw Out Pass Def Eff]]="N", Table1[[#This Row],[Against FCS Team]]="N"),200 - ROUND(((5.45 * P616) + (150 * R616) + (100 * S616) - (300 * T616)) / Q616, 2), " ")</f>
        <v>98.19</v>
      </c>
      <c r="AC616">
        <f>IF(AND(Table1[[#This Row],[Throw Out Rush Eff]]="N", Table1[[#This Row],[Against FCS Team]]="N"), ROUND(((23.2 * I616) + (150 * K616) - (300 * L616)) / J616, 2), " ")</f>
        <v>68.23</v>
      </c>
      <c r="AD616" s="3">
        <f>IF(AND(Table1[[#This Row],[Throw Out Rush Def Eff]]="N", Table1[[#This Row],[Against FCS Team]]="N"), 200 - ROUND(((23.2 * U616) + (150 * W616) - (300 * X616)) / V616, 2), " ")</f>
        <v>88.71</v>
      </c>
      <c r="AE616" s="3">
        <f>ROUND(Table1[[#This Row],[Opp Passing Attempts]]/(Table1[[#This Row],[Opp Passing Attempts]]+Table1[[#This Row],[Opp Rushing Attempts]]), 2)</f>
        <v>0.35</v>
      </c>
      <c r="AF616" s="3">
        <f>1-Table1[[#This Row],[Passing Weight]]</f>
        <v>0.65</v>
      </c>
      <c r="AG616" s="3" t="str">
        <f>IF(COUNTIF(A:A,Table1[[#This Row],[Opp Team Name]]) &gt; 0, "N", "Y")</f>
        <v>N</v>
      </c>
      <c r="AH616" s="3" t="str">
        <f>IF(Table1[[#This Row],[Passing Attempts]] &lt;15, "Y", "N")</f>
        <v>N</v>
      </c>
      <c r="AI616" s="3" t="str">
        <f>IF(Table1[[#This Row],[Rushing Attempts]] &lt; 15, "Y", "N")</f>
        <v>N</v>
      </c>
      <c r="AJ616" s="3" t="str">
        <f>IF(Table1[[#This Row],[Opp Passing Attempts]]&lt;15, "Y", "N")</f>
        <v>N</v>
      </c>
      <c r="AK616" s="3" t="str">
        <f>IF(Table1[[#This Row],[Opp Rushing Attempts]]&lt;15, "Y", "N")</f>
        <v>N</v>
      </c>
      <c r="AL6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104.07</v>
      </c>
      <c r="AM6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85.59</v>
      </c>
      <c r="AN6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75.83</v>
      </c>
      <c r="AO6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61.83</v>
      </c>
      <c r="AP616" s="3">
        <f>ABS(Table1[[#This Row],[Team Score]]-Table1[[#This Row],[Opp Team Score]])</f>
        <v>13</v>
      </c>
      <c r="AQ616" s="3">
        <f>SUM(Table1[[#This Row],[Team Score]], Table1[[#This Row],[Opp Team Score]])</f>
        <v>45</v>
      </c>
      <c r="AR6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50.880000000000024</v>
      </c>
      <c r="AS616" s="3">
        <f>IF(Table1[[#This Row],[Efficiency Difference]] = " ", " ", ROUND((Table1[[#This Row],[Winning Margin]]*100)/Table1[[#This Row],[Efficiency Difference]], 2))</f>
        <v>25.55</v>
      </c>
    </row>
    <row r="617" spans="1:45">
      <c r="A617" t="s">
        <v>128</v>
      </c>
      <c r="B617">
        <v>630</v>
      </c>
      <c r="C617">
        <v>28</v>
      </c>
      <c r="D617">
        <v>366</v>
      </c>
      <c r="E617">
        <v>41</v>
      </c>
      <c r="F617">
        <v>1</v>
      </c>
      <c r="G617">
        <v>27</v>
      </c>
      <c r="H617">
        <v>3</v>
      </c>
      <c r="I617">
        <v>103</v>
      </c>
      <c r="J617">
        <v>40</v>
      </c>
      <c r="K617">
        <v>1</v>
      </c>
      <c r="L617">
        <v>3</v>
      </c>
      <c r="M617" t="s">
        <v>57</v>
      </c>
      <c r="N617">
        <v>277</v>
      </c>
      <c r="O617">
        <v>27</v>
      </c>
      <c r="P617">
        <v>303</v>
      </c>
      <c r="Q617">
        <v>46</v>
      </c>
      <c r="R617">
        <v>2</v>
      </c>
      <c r="S617">
        <v>27</v>
      </c>
      <c r="T617">
        <v>3</v>
      </c>
      <c r="U617">
        <v>142</v>
      </c>
      <c r="V617">
        <v>17</v>
      </c>
      <c r="W617">
        <v>2</v>
      </c>
      <c r="X617">
        <v>3</v>
      </c>
      <c r="Y617" t="s">
        <v>16</v>
      </c>
      <c r="Z617">
        <v>7</v>
      </c>
      <c r="AA617">
        <f>IF(AND(Table1[[#This Row],[Throw Out Pass Eff]]="N", Table1[[#This Row],[Against FCS Team]]="N"), ROUND(((5.45 * D617) + (150 * F617) + (100 * G617) - (300 * H617)) / E617, 2), " ")</f>
        <v>96.21</v>
      </c>
      <c r="AB617">
        <f>IF(AND(Table1[[#This Row],[Throw Out Pass Def Eff]]="N", Table1[[#This Row],[Against FCS Team]]="N"),200 - ROUND(((5.45 * P617) + (150 * R617) + (100 * S617) - (300 * T617)) / Q617, 2), " ")</f>
        <v>118.45</v>
      </c>
      <c r="AC617">
        <f>IF(AND(Table1[[#This Row],[Throw Out Rush Eff]]="N", Table1[[#This Row],[Against FCS Team]]="N"), ROUND(((23.2 * I617) + (150 * K617) - (300 * L617)) / J617, 2), " ")</f>
        <v>40.99</v>
      </c>
      <c r="AD617" s="3">
        <f>IF(AND(Table1[[#This Row],[Throw Out Rush Def Eff]]="N", Table1[[#This Row],[Against FCS Team]]="N"), 200 - ROUND(((23.2 * U617) + (150 * W617) - (300 * X617)) / V617, 2), " ")</f>
        <v>41.509999999999991</v>
      </c>
      <c r="AE617" s="3">
        <f>ROUND(Table1[[#This Row],[Opp Passing Attempts]]/(Table1[[#This Row],[Opp Passing Attempts]]+Table1[[#This Row],[Opp Rushing Attempts]]), 2)</f>
        <v>0.73</v>
      </c>
      <c r="AF617" s="3">
        <f>1-Table1[[#This Row],[Passing Weight]]</f>
        <v>0.27</v>
      </c>
      <c r="AG617" s="3" t="str">
        <f>IF(COUNTIF(A:A,Table1[[#This Row],[Opp Team Name]]) &gt; 0, "N", "Y")</f>
        <v>N</v>
      </c>
      <c r="AH617" s="3" t="str">
        <f>IF(Table1[[#This Row],[Passing Attempts]] &lt;15, "Y", "N")</f>
        <v>N</v>
      </c>
      <c r="AI617" s="3" t="str">
        <f>IF(Table1[[#This Row],[Rushing Attempts]] &lt; 15, "Y", "N")</f>
        <v>N</v>
      </c>
      <c r="AJ617" s="3" t="str">
        <f>IF(Table1[[#This Row],[Opp Passing Attempts]]&lt;15, "Y", "N")</f>
        <v>N</v>
      </c>
      <c r="AK617" s="3" t="str">
        <f>IF(Table1[[#This Row],[Opp Rushing Attempts]]&lt;15, "Y", "N")</f>
        <v>N</v>
      </c>
      <c r="AL6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97.24</v>
      </c>
      <c r="AM61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125.97</v>
      </c>
      <c r="AN61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54.91</v>
      </c>
      <c r="AO6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37.58</v>
      </c>
      <c r="AP617" s="3">
        <f>ABS(Table1[[#This Row],[Team Score]]-Table1[[#This Row],[Opp Team Score]])</f>
        <v>1</v>
      </c>
      <c r="AQ617" s="3">
        <f>SUM(Table1[[#This Row],[Team Score]], Table1[[#This Row],[Opp Team Score]])</f>
        <v>55</v>
      </c>
      <c r="AR61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102.84000000000003</v>
      </c>
      <c r="AS617" s="3">
        <f>IF(Table1[[#This Row],[Efficiency Difference]] = " ", " ", ROUND((Table1[[#This Row],[Winning Margin]]*100)/Table1[[#This Row],[Efficiency Difference]], 2))</f>
        <v>0.97</v>
      </c>
    </row>
    <row r="618" spans="1:45">
      <c r="A618" t="s">
        <v>186</v>
      </c>
      <c r="B618">
        <v>663</v>
      </c>
      <c r="C618">
        <v>40</v>
      </c>
      <c r="D618">
        <v>416</v>
      </c>
      <c r="E618">
        <v>51</v>
      </c>
      <c r="F618">
        <v>0</v>
      </c>
      <c r="G618">
        <v>26</v>
      </c>
      <c r="H618">
        <v>2</v>
      </c>
      <c r="I618">
        <v>114</v>
      </c>
      <c r="J618">
        <v>26</v>
      </c>
      <c r="K618">
        <v>5</v>
      </c>
      <c r="L618">
        <v>1</v>
      </c>
      <c r="M618" t="s">
        <v>175</v>
      </c>
      <c r="N618">
        <v>508</v>
      </c>
      <c r="O618">
        <v>7</v>
      </c>
      <c r="P618">
        <v>77</v>
      </c>
      <c r="Q618">
        <v>21</v>
      </c>
      <c r="R618">
        <v>0</v>
      </c>
      <c r="S618">
        <v>13</v>
      </c>
      <c r="T618">
        <v>0</v>
      </c>
      <c r="U618">
        <v>49</v>
      </c>
      <c r="V618">
        <v>29</v>
      </c>
      <c r="W618">
        <v>0</v>
      </c>
      <c r="X618">
        <v>1</v>
      </c>
      <c r="Y618" t="s">
        <v>16</v>
      </c>
      <c r="Z618">
        <v>3</v>
      </c>
      <c r="AA618" t="str">
        <f>IF(AND(Table1[[#This Row],[Throw Out Pass Eff]]="N", Table1[[#This Row],[Against FCS Team]]="N"), ROUND(((5.45 * D618) + (150 * F618) + (100 * G618) - (300 * H618)) / E618, 2), " ")</f>
        <v xml:space="preserve"> </v>
      </c>
      <c r="AB618" t="str">
        <f>IF(AND(Table1[[#This Row],[Throw Out Pass Def Eff]]="N", Table1[[#This Row],[Against FCS Team]]="N"),200 - ROUND(((5.45 * P618) + (150 * R618) + (100 * S618) - (300 * T618)) / Q618, 2), " ")</f>
        <v xml:space="preserve"> </v>
      </c>
      <c r="AC618" t="str">
        <f>IF(AND(Table1[[#This Row],[Throw Out Rush Eff]]="N", Table1[[#This Row],[Against FCS Team]]="N"), ROUND(((23.2 * I618) + (150 * K618) - (300 * L618)) / J618, 2), " ")</f>
        <v xml:space="preserve"> </v>
      </c>
      <c r="AD618" s="3" t="str">
        <f>IF(AND(Table1[[#This Row],[Throw Out Rush Def Eff]]="N", Table1[[#This Row],[Against FCS Team]]="N"), 200 - ROUND(((23.2 * U618) + (150 * W618) - (300 * X618)) / V618, 2), " ")</f>
        <v xml:space="preserve"> </v>
      </c>
      <c r="AE618" s="3">
        <f>ROUND(Table1[[#This Row],[Opp Passing Attempts]]/(Table1[[#This Row],[Opp Passing Attempts]]+Table1[[#This Row],[Opp Rushing Attempts]]), 2)</f>
        <v>0.42</v>
      </c>
      <c r="AF618" s="3">
        <f>1-Table1[[#This Row],[Passing Weight]]</f>
        <v>0.58000000000000007</v>
      </c>
      <c r="AG618" s="3" t="str">
        <f>IF(COUNTIF(A:A,Table1[[#This Row],[Opp Team Name]]) &gt; 0, "N", "Y")</f>
        <v>Y</v>
      </c>
      <c r="AH618" s="3" t="str">
        <f>IF(Table1[[#This Row],[Passing Attempts]] &lt;15, "Y", "N")</f>
        <v>N</v>
      </c>
      <c r="AI618" s="3" t="str">
        <f>IF(Table1[[#This Row],[Rushing Attempts]] &lt; 15, "Y", "N")</f>
        <v>N</v>
      </c>
      <c r="AJ618" s="3" t="str">
        <f>IF(Table1[[#This Row],[Opp Passing Attempts]]&lt;15, "Y", "N")</f>
        <v>N</v>
      </c>
      <c r="AK618" s="3" t="str">
        <f>IF(Table1[[#This Row],[Opp Rushing Attempts]]&lt;15, "Y", "N")</f>
        <v>N</v>
      </c>
      <c r="AL61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1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1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61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618" s="3">
        <f>ABS(Table1[[#This Row],[Team Score]]-Table1[[#This Row],[Opp Team Score]])</f>
        <v>33</v>
      </c>
      <c r="AQ618" s="3">
        <f>SUM(Table1[[#This Row],[Team Score]], Table1[[#This Row],[Opp Team Score]])</f>
        <v>47</v>
      </c>
      <c r="AR61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18" s="3" t="str">
        <f>IF(Table1[[#This Row],[Efficiency Difference]] = " ", " ", ROUND((Table1[[#This Row],[Winning Margin]]*100)/Table1[[#This Row],[Efficiency Difference]], 2))</f>
        <v xml:space="preserve"> </v>
      </c>
    </row>
    <row r="619" spans="1:45">
      <c r="A619" t="s">
        <v>186</v>
      </c>
      <c r="B619">
        <v>663</v>
      </c>
      <c r="C619">
        <v>14</v>
      </c>
      <c r="D619">
        <v>268</v>
      </c>
      <c r="E619">
        <v>38</v>
      </c>
      <c r="F619">
        <v>1</v>
      </c>
      <c r="G619">
        <v>23</v>
      </c>
      <c r="H619">
        <v>2</v>
      </c>
      <c r="I619">
        <v>79</v>
      </c>
      <c r="J619">
        <v>32</v>
      </c>
      <c r="K619">
        <v>1</v>
      </c>
      <c r="L619">
        <v>0</v>
      </c>
      <c r="M619" t="s">
        <v>187</v>
      </c>
      <c r="N619">
        <v>697</v>
      </c>
      <c r="O619">
        <v>46</v>
      </c>
      <c r="P619">
        <v>246</v>
      </c>
      <c r="Q619">
        <v>26</v>
      </c>
      <c r="R619">
        <v>2</v>
      </c>
      <c r="S619">
        <v>21</v>
      </c>
      <c r="T619">
        <v>0</v>
      </c>
      <c r="U619">
        <v>212</v>
      </c>
      <c r="V619">
        <v>39</v>
      </c>
      <c r="W619">
        <v>4</v>
      </c>
      <c r="X619">
        <v>0</v>
      </c>
      <c r="Y619" t="s">
        <v>19</v>
      </c>
      <c r="Z619">
        <v>2</v>
      </c>
      <c r="AA619">
        <f>IF(AND(Table1[[#This Row],[Throw Out Pass Eff]]="N", Table1[[#This Row],[Against FCS Team]]="N"), ROUND(((5.45 * D619) + (150 * F619) + (100 * G619) - (300 * H619)) / E619, 2), " ")</f>
        <v>87.12</v>
      </c>
      <c r="AB619">
        <f>IF(AND(Table1[[#This Row],[Throw Out Pass Def Eff]]="N", Table1[[#This Row],[Against FCS Team]]="N"),200 - ROUND(((5.45 * P619) + (150 * R619) + (100 * S619) - (300 * T619)) / Q619, 2), " ")</f>
        <v>56.129999999999995</v>
      </c>
      <c r="AC619">
        <f>IF(AND(Table1[[#This Row],[Throw Out Rush Eff]]="N", Table1[[#This Row],[Against FCS Team]]="N"), ROUND(((23.2 * I619) + (150 * K619) - (300 * L619)) / J619, 2), " ")</f>
        <v>61.96</v>
      </c>
      <c r="AD619" s="3">
        <f>IF(AND(Table1[[#This Row],[Throw Out Rush Def Eff]]="N", Table1[[#This Row],[Against FCS Team]]="N"), 200 - ROUND(((23.2 * U619) + (150 * W619) - (300 * X619)) / V619, 2), " ")</f>
        <v>58.5</v>
      </c>
      <c r="AE619" s="3">
        <f>ROUND(Table1[[#This Row],[Opp Passing Attempts]]/(Table1[[#This Row],[Opp Passing Attempts]]+Table1[[#This Row],[Opp Rushing Attempts]]), 2)</f>
        <v>0.4</v>
      </c>
      <c r="AF619" s="3">
        <f>1-Table1[[#This Row],[Passing Weight]]</f>
        <v>0.6</v>
      </c>
      <c r="AG619" s="3" t="str">
        <f>IF(COUNTIF(A:A,Table1[[#This Row],[Opp Team Name]]) &gt; 0, "N", "Y")</f>
        <v>N</v>
      </c>
      <c r="AH619" s="3" t="str">
        <f>IF(Table1[[#This Row],[Passing Attempts]] &lt;15, "Y", "N")</f>
        <v>N</v>
      </c>
      <c r="AI619" s="3" t="str">
        <f>IF(Table1[[#This Row],[Rushing Attempts]] &lt; 15, "Y", "N")</f>
        <v>N</v>
      </c>
      <c r="AJ619" s="3" t="str">
        <f>IF(Table1[[#This Row],[Opp Passing Attempts]]&lt;15, "Y", "N")</f>
        <v>N</v>
      </c>
      <c r="AK619" s="3" t="str">
        <f>IF(Table1[[#This Row],[Opp Rushing Attempts]]&lt;15, "Y", "N")</f>
        <v>N</v>
      </c>
      <c r="AL61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85.78</v>
      </c>
      <c r="AM61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63.29</v>
      </c>
      <c r="AN61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86.33</v>
      </c>
      <c r="AO61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75.900000000000006</v>
      </c>
      <c r="AP619" s="3">
        <f>ABS(Table1[[#This Row],[Team Score]]-Table1[[#This Row],[Opp Team Score]])</f>
        <v>32</v>
      </c>
      <c r="AQ619" s="3">
        <f>SUM(Table1[[#This Row],[Team Score]], Table1[[#This Row],[Opp Team Score]])</f>
        <v>60</v>
      </c>
      <c r="AR61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136.29</v>
      </c>
      <c r="AS619" s="3">
        <f>IF(Table1[[#This Row],[Efficiency Difference]] = " ", " ", ROUND((Table1[[#This Row],[Winning Margin]]*100)/Table1[[#This Row],[Efficiency Difference]], 2))</f>
        <v>23.48</v>
      </c>
    </row>
    <row r="620" spans="1:45">
      <c r="A620" t="s">
        <v>186</v>
      </c>
      <c r="B620">
        <v>663</v>
      </c>
      <c r="C620">
        <v>28</v>
      </c>
      <c r="D620">
        <v>244</v>
      </c>
      <c r="E620">
        <v>31</v>
      </c>
      <c r="F620">
        <v>0</v>
      </c>
      <c r="G620">
        <v>18</v>
      </c>
      <c r="H620">
        <v>1</v>
      </c>
      <c r="I620">
        <v>146</v>
      </c>
      <c r="J620">
        <v>27</v>
      </c>
      <c r="K620">
        <v>3</v>
      </c>
      <c r="L620">
        <v>2</v>
      </c>
      <c r="M620" t="s">
        <v>148</v>
      </c>
      <c r="N620">
        <v>704</v>
      </c>
      <c r="O620">
        <v>17</v>
      </c>
      <c r="P620">
        <v>276</v>
      </c>
      <c r="Q620">
        <v>47</v>
      </c>
      <c r="R620">
        <v>0</v>
      </c>
      <c r="S620">
        <v>24</v>
      </c>
      <c r="T620">
        <v>1</v>
      </c>
      <c r="U620">
        <v>30</v>
      </c>
      <c r="V620">
        <v>26</v>
      </c>
      <c r="W620">
        <v>2</v>
      </c>
      <c r="X620">
        <v>1</v>
      </c>
      <c r="Y620" t="s">
        <v>16</v>
      </c>
      <c r="Z620">
        <v>2</v>
      </c>
      <c r="AA620">
        <f>IF(AND(Table1[[#This Row],[Throw Out Pass Eff]]="N", Table1[[#This Row],[Against FCS Team]]="N"), ROUND(((5.45 * D620) + (150 * F620) + (100 * G620) - (300 * H620)) / E620, 2), " ")</f>
        <v>91.28</v>
      </c>
      <c r="AB620">
        <f>IF(AND(Table1[[#This Row],[Throw Out Pass Def Eff]]="N", Table1[[#This Row],[Against FCS Team]]="N"),200 - ROUND(((5.45 * P620) + (150 * R620) + (100 * S620) - (300 * T620)) / Q620, 2), " ")</f>
        <v>123.31</v>
      </c>
      <c r="AC620">
        <f>IF(AND(Table1[[#This Row],[Throw Out Rush Eff]]="N", Table1[[#This Row],[Against FCS Team]]="N"), ROUND(((23.2 * I620) + (150 * K620) - (300 * L620)) / J620, 2), " ")</f>
        <v>119.9</v>
      </c>
      <c r="AD620" s="3">
        <f>IF(AND(Table1[[#This Row],[Throw Out Rush Def Eff]]="N", Table1[[#This Row],[Against FCS Team]]="N"), 200 - ROUND(((23.2 * U620) + (150 * W620) - (300 * X620)) / V620, 2), " ")</f>
        <v>173.23</v>
      </c>
      <c r="AE620" s="3">
        <f>ROUND(Table1[[#This Row],[Opp Passing Attempts]]/(Table1[[#This Row],[Opp Passing Attempts]]+Table1[[#This Row],[Opp Rushing Attempts]]), 2)</f>
        <v>0.64</v>
      </c>
      <c r="AF620" s="3">
        <f>1-Table1[[#This Row],[Passing Weight]]</f>
        <v>0.36</v>
      </c>
      <c r="AG620" s="3" t="str">
        <f>IF(COUNTIF(A:A,Table1[[#This Row],[Opp Team Name]]) &gt; 0, "N", "Y")</f>
        <v>N</v>
      </c>
      <c r="AH620" s="3" t="str">
        <f>IF(Table1[[#This Row],[Passing Attempts]] &lt;15, "Y", "N")</f>
        <v>N</v>
      </c>
      <c r="AI620" s="3" t="str">
        <f>IF(Table1[[#This Row],[Rushing Attempts]] &lt; 15, "Y", "N")</f>
        <v>N</v>
      </c>
      <c r="AJ620" s="3" t="str">
        <f>IF(Table1[[#This Row],[Opp Passing Attempts]]&lt;15, "Y", "N")</f>
        <v>N</v>
      </c>
      <c r="AK620" s="3" t="str">
        <f>IF(Table1[[#This Row],[Opp Rushing Attempts]]&lt;15, "Y", "N")</f>
        <v>N</v>
      </c>
      <c r="AL6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98.23</v>
      </c>
      <c r="AM6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95.51</v>
      </c>
      <c r="AN6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102.37</v>
      </c>
      <c r="AO6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209.67</v>
      </c>
      <c r="AP620" s="3">
        <f>ABS(Table1[[#This Row],[Team Score]]-Table1[[#This Row],[Opp Team Score]])</f>
        <v>11</v>
      </c>
      <c r="AQ620" s="3">
        <f>SUM(Table1[[#This Row],[Team Score]], Table1[[#This Row],[Opp Team Score]])</f>
        <v>45</v>
      </c>
      <c r="AR6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107.71999999999997</v>
      </c>
      <c r="AS620" s="3">
        <f>IF(Table1[[#This Row],[Efficiency Difference]] = " ", " ", ROUND((Table1[[#This Row],[Winning Margin]]*100)/Table1[[#This Row],[Efficiency Difference]], 2))</f>
        <v>10.210000000000001</v>
      </c>
    </row>
    <row r="621" spans="1:45">
      <c r="A621" t="s">
        <v>186</v>
      </c>
      <c r="B621">
        <v>663</v>
      </c>
      <c r="C621">
        <v>42</v>
      </c>
      <c r="D621">
        <v>357</v>
      </c>
      <c r="E621">
        <v>44</v>
      </c>
      <c r="F621">
        <v>3</v>
      </c>
      <c r="G621">
        <v>28</v>
      </c>
      <c r="H621">
        <v>1</v>
      </c>
      <c r="I621">
        <v>162</v>
      </c>
      <c r="J621">
        <v>30</v>
      </c>
      <c r="K621">
        <v>3</v>
      </c>
      <c r="L621">
        <v>3</v>
      </c>
      <c r="M621" t="s">
        <v>94</v>
      </c>
      <c r="N621">
        <v>404</v>
      </c>
      <c r="O621">
        <v>0</v>
      </c>
      <c r="P621">
        <v>153</v>
      </c>
      <c r="Q621">
        <v>32</v>
      </c>
      <c r="R621">
        <v>0</v>
      </c>
      <c r="S621">
        <v>17</v>
      </c>
      <c r="T621">
        <v>0</v>
      </c>
      <c r="U621">
        <v>-14</v>
      </c>
      <c r="V621">
        <v>24</v>
      </c>
      <c r="W621">
        <v>0</v>
      </c>
      <c r="X621">
        <v>1</v>
      </c>
      <c r="Y621" t="s">
        <v>16</v>
      </c>
      <c r="Z621">
        <v>4</v>
      </c>
      <c r="AA621">
        <f>IF(AND(Table1[[#This Row],[Throw Out Pass Eff]]="N", Table1[[#This Row],[Against FCS Team]]="N"), ROUND(((5.45 * D621) + (150 * F621) + (100 * G621) - (300 * H621)) / E621, 2), " ")</f>
        <v>111.26</v>
      </c>
      <c r="AB621">
        <f>IF(AND(Table1[[#This Row],[Throw Out Pass Def Eff]]="N", Table1[[#This Row],[Against FCS Team]]="N"),200 - ROUND(((5.45 * P621) + (150 * R621) + (100 * S621) - (300 * T621)) / Q621, 2), " ")</f>
        <v>120.82</v>
      </c>
      <c r="AC621">
        <f>IF(AND(Table1[[#This Row],[Throw Out Rush Eff]]="N", Table1[[#This Row],[Against FCS Team]]="N"), ROUND(((23.2 * I621) + (150 * K621) - (300 * L621)) / J621, 2), " ")</f>
        <v>110.28</v>
      </c>
      <c r="AD621" s="3">
        <f>IF(AND(Table1[[#This Row],[Throw Out Rush Def Eff]]="N", Table1[[#This Row],[Against FCS Team]]="N"), 200 - ROUND(((23.2 * U621) + (150 * W621) - (300 * X621)) / V621, 2), " ")</f>
        <v>226.03</v>
      </c>
      <c r="AE621" s="3">
        <f>ROUND(Table1[[#This Row],[Opp Passing Attempts]]/(Table1[[#This Row],[Opp Passing Attempts]]+Table1[[#This Row],[Opp Rushing Attempts]]), 2)</f>
        <v>0.56999999999999995</v>
      </c>
      <c r="AF621" s="3">
        <f>1-Table1[[#This Row],[Passing Weight]]</f>
        <v>0.43000000000000005</v>
      </c>
      <c r="AG621" s="3" t="str">
        <f>IF(COUNTIF(A:A,Table1[[#This Row],[Opp Team Name]]) &gt; 0, "N", "Y")</f>
        <v>N</v>
      </c>
      <c r="AH621" s="3" t="str">
        <f>IF(Table1[[#This Row],[Passing Attempts]] &lt;15, "Y", "N")</f>
        <v>N</v>
      </c>
      <c r="AI621" s="3" t="str">
        <f>IF(Table1[[#This Row],[Rushing Attempts]] &lt; 15, "Y", "N")</f>
        <v>N</v>
      </c>
      <c r="AJ621" s="3" t="str">
        <f>IF(Table1[[#This Row],[Opp Passing Attempts]]&lt;15, "Y", "N")</f>
        <v>N</v>
      </c>
      <c r="AK621" s="3" t="str">
        <f>IF(Table1[[#This Row],[Opp Rushing Attempts]]&lt;15, "Y", "N")</f>
        <v>N</v>
      </c>
      <c r="AL6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90.2</v>
      </c>
      <c r="AM6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100.95</v>
      </c>
      <c r="AN6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91.11</v>
      </c>
      <c r="AO6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105.28</v>
      </c>
      <c r="AP621" s="3">
        <f>ABS(Table1[[#This Row],[Team Score]]-Table1[[#This Row],[Opp Team Score]])</f>
        <v>42</v>
      </c>
      <c r="AQ621" s="3">
        <f>SUM(Table1[[#This Row],[Team Score]], Table1[[#This Row],[Opp Team Score]])</f>
        <v>42</v>
      </c>
      <c r="AR6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168.39000000000004</v>
      </c>
      <c r="AS621" s="3">
        <f>IF(Table1[[#This Row],[Efficiency Difference]] = " ", " ", ROUND((Table1[[#This Row],[Winning Margin]]*100)/Table1[[#This Row],[Efficiency Difference]], 2))</f>
        <v>24.94</v>
      </c>
    </row>
    <row r="622" spans="1:45">
      <c r="A622" t="s">
        <v>186</v>
      </c>
      <c r="B622">
        <v>663</v>
      </c>
      <c r="C622">
        <v>40</v>
      </c>
      <c r="D622">
        <v>349</v>
      </c>
      <c r="E622">
        <v>45</v>
      </c>
      <c r="F622">
        <v>4</v>
      </c>
      <c r="G622">
        <v>23</v>
      </c>
      <c r="H622">
        <v>1</v>
      </c>
      <c r="I622">
        <v>112</v>
      </c>
      <c r="J622">
        <v>24</v>
      </c>
      <c r="K622">
        <v>0</v>
      </c>
      <c r="L622">
        <v>0</v>
      </c>
      <c r="M622" t="s">
        <v>37</v>
      </c>
      <c r="N622">
        <v>698</v>
      </c>
      <c r="O622">
        <v>33</v>
      </c>
      <c r="P622">
        <v>304</v>
      </c>
      <c r="Q622">
        <v>43</v>
      </c>
      <c r="R622">
        <v>3</v>
      </c>
      <c r="S622">
        <v>30</v>
      </c>
      <c r="T622">
        <v>0</v>
      </c>
      <c r="U622">
        <v>150</v>
      </c>
      <c r="V622">
        <v>31</v>
      </c>
      <c r="W622">
        <v>1</v>
      </c>
      <c r="X622">
        <v>1</v>
      </c>
      <c r="Y622" t="s">
        <v>16</v>
      </c>
      <c r="Z622">
        <v>5</v>
      </c>
      <c r="AA622">
        <f>IF(AND(Table1[[#This Row],[Throw Out Pass Eff]]="N", Table1[[#This Row],[Against FCS Team]]="N"), ROUND(((5.45 * D622) + (150 * F622) + (100 * G622) - (300 * H622)) / E622, 2), " ")</f>
        <v>100.05</v>
      </c>
      <c r="AB622">
        <f>IF(AND(Table1[[#This Row],[Throw Out Pass Def Eff]]="N", Table1[[#This Row],[Against FCS Team]]="N"),200 - ROUND(((5.45 * P622) + (150 * R622) + (100 * S622) - (300 * T622)) / Q622, 2), " ")</f>
        <v>81.239999999999995</v>
      </c>
      <c r="AC622">
        <f>IF(AND(Table1[[#This Row],[Throw Out Rush Eff]]="N", Table1[[#This Row],[Against FCS Team]]="N"), ROUND(((23.2 * I622) + (150 * K622) - (300 * L622)) / J622, 2), " ")</f>
        <v>108.27</v>
      </c>
      <c r="AD622" s="3">
        <f>IF(AND(Table1[[#This Row],[Throw Out Rush Def Eff]]="N", Table1[[#This Row],[Against FCS Team]]="N"), 200 - ROUND(((23.2 * U622) + (150 * W622) - (300 * X622)) / V622, 2), " ")</f>
        <v>92.58</v>
      </c>
      <c r="AE622" s="3">
        <f>ROUND(Table1[[#This Row],[Opp Passing Attempts]]/(Table1[[#This Row],[Opp Passing Attempts]]+Table1[[#This Row],[Opp Rushing Attempts]]), 2)</f>
        <v>0.57999999999999996</v>
      </c>
      <c r="AF622" s="3">
        <f>1-Table1[[#This Row],[Passing Weight]]</f>
        <v>0.42000000000000004</v>
      </c>
      <c r="AG622" s="3" t="str">
        <f>IF(COUNTIF(A:A,Table1[[#This Row],[Opp Team Name]]) &gt; 0, "N", "Y")</f>
        <v>N</v>
      </c>
      <c r="AH622" s="3" t="str">
        <f>IF(Table1[[#This Row],[Passing Attempts]] &lt;15, "Y", "N")</f>
        <v>N</v>
      </c>
      <c r="AI622" s="3" t="str">
        <f>IF(Table1[[#This Row],[Rushing Attempts]] &lt; 15, "Y", "N")</f>
        <v>N</v>
      </c>
      <c r="AJ622" s="3" t="str">
        <f>IF(Table1[[#This Row],[Opp Passing Attempts]]&lt;15, "Y", "N")</f>
        <v>N</v>
      </c>
      <c r="AK622" s="3" t="str">
        <f>IF(Table1[[#This Row],[Opp Rushing Attempts]]&lt;15, "Y", "N")</f>
        <v>N</v>
      </c>
      <c r="AL6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89.51</v>
      </c>
      <c r="AM6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99.29</v>
      </c>
      <c r="AN6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133.22999999999999</v>
      </c>
      <c r="AO6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111.06</v>
      </c>
      <c r="AP622" s="3">
        <f>ABS(Table1[[#This Row],[Team Score]]-Table1[[#This Row],[Opp Team Score]])</f>
        <v>7</v>
      </c>
      <c r="AQ622" s="3">
        <f>SUM(Table1[[#This Row],[Team Score]], Table1[[#This Row],[Opp Team Score]])</f>
        <v>73</v>
      </c>
      <c r="AR6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17.860000000000014</v>
      </c>
      <c r="AS622" s="3">
        <f>IF(Table1[[#This Row],[Efficiency Difference]] = " ", " ", ROUND((Table1[[#This Row],[Winning Margin]]*100)/Table1[[#This Row],[Efficiency Difference]], 2))</f>
        <v>39.19</v>
      </c>
    </row>
    <row r="623" spans="1:45">
      <c r="A623" t="s">
        <v>186</v>
      </c>
      <c r="B623">
        <v>663</v>
      </c>
      <c r="C623">
        <v>38</v>
      </c>
      <c r="D623">
        <v>358</v>
      </c>
      <c r="E623">
        <v>31</v>
      </c>
      <c r="F623">
        <v>2</v>
      </c>
      <c r="G623">
        <v>20</v>
      </c>
      <c r="H623">
        <v>1</v>
      </c>
      <c r="I623">
        <v>82</v>
      </c>
      <c r="J623">
        <v>16</v>
      </c>
      <c r="K623">
        <v>2</v>
      </c>
      <c r="L623">
        <v>0</v>
      </c>
      <c r="M623" t="s">
        <v>142</v>
      </c>
      <c r="N623">
        <v>128</v>
      </c>
      <c r="O623">
        <v>17</v>
      </c>
      <c r="P623">
        <v>349</v>
      </c>
      <c r="Q623">
        <v>44</v>
      </c>
      <c r="R623">
        <v>2</v>
      </c>
      <c r="S623">
        <v>32</v>
      </c>
      <c r="T623">
        <v>0</v>
      </c>
      <c r="U623">
        <v>110</v>
      </c>
      <c r="V623">
        <v>36</v>
      </c>
      <c r="W623">
        <v>0</v>
      </c>
      <c r="X623">
        <v>0</v>
      </c>
      <c r="Y623" t="s">
        <v>16</v>
      </c>
      <c r="Z623">
        <v>7</v>
      </c>
      <c r="AA623">
        <f>IF(AND(Table1[[#This Row],[Throw Out Pass Eff]]="N", Table1[[#This Row],[Against FCS Team]]="N"), ROUND(((5.45 * D623) + (150 * F623) + (100 * G623) - (300 * H623)) / E623, 2), " ")</f>
        <v>127.45</v>
      </c>
      <c r="AB623">
        <f>IF(AND(Table1[[#This Row],[Throw Out Pass Def Eff]]="N", Table1[[#This Row],[Against FCS Team]]="N"),200 - ROUND(((5.45 * P623) + (150 * R623) + (100 * S623) - (300 * T623)) / Q623, 2), " ")</f>
        <v>77.23</v>
      </c>
      <c r="AC623">
        <f>IF(AND(Table1[[#This Row],[Throw Out Rush Eff]]="N", Table1[[#This Row],[Against FCS Team]]="N"), ROUND(((23.2 * I623) + (150 * K623) - (300 * L623)) / J623, 2), " ")</f>
        <v>137.65</v>
      </c>
      <c r="AD623" s="3">
        <f>IF(AND(Table1[[#This Row],[Throw Out Rush Def Eff]]="N", Table1[[#This Row],[Against FCS Team]]="N"), 200 - ROUND(((23.2 * U623) + (150 * W623) - (300 * X623)) / V623, 2), " ")</f>
        <v>129.11000000000001</v>
      </c>
      <c r="AE623" s="3">
        <f>ROUND(Table1[[#This Row],[Opp Passing Attempts]]/(Table1[[#This Row],[Opp Passing Attempts]]+Table1[[#This Row],[Opp Rushing Attempts]]), 2)</f>
        <v>0.55000000000000004</v>
      </c>
      <c r="AF623" s="3">
        <f>1-Table1[[#This Row],[Passing Weight]]</f>
        <v>0.44999999999999996</v>
      </c>
      <c r="AG623" s="3" t="str">
        <f>IF(COUNTIF(A:A,Table1[[#This Row],[Opp Team Name]]) &gt; 0, "N", "Y")</f>
        <v>N</v>
      </c>
      <c r="AH623" s="3" t="str">
        <f>IF(Table1[[#This Row],[Passing Attempts]] &lt;15, "Y", "N")</f>
        <v>N</v>
      </c>
      <c r="AI623" s="3" t="str">
        <f>IF(Table1[[#This Row],[Rushing Attempts]] &lt; 15, "Y", "N")</f>
        <v>N</v>
      </c>
      <c r="AJ623" s="3" t="str">
        <f>IF(Table1[[#This Row],[Opp Passing Attempts]]&lt;15, "Y", "N")</f>
        <v>N</v>
      </c>
      <c r="AK623" s="3" t="str">
        <f>IF(Table1[[#This Row],[Opp Rushing Attempts]]&lt;15, "Y", "N")</f>
        <v>N</v>
      </c>
      <c r="AL6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156.30000000000001</v>
      </c>
      <c r="AM6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80.62</v>
      </c>
      <c r="AN6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152.11000000000001</v>
      </c>
      <c r="AO6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111.5</v>
      </c>
      <c r="AP623" s="3">
        <f>ABS(Table1[[#This Row],[Team Score]]-Table1[[#This Row],[Opp Team Score]])</f>
        <v>21</v>
      </c>
      <c r="AQ623" s="3">
        <f>SUM(Table1[[#This Row],[Team Score]], Table1[[#This Row],[Opp Team Score]])</f>
        <v>55</v>
      </c>
      <c r="AR6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71.440000000000055</v>
      </c>
      <c r="AS623" s="3">
        <f>IF(Table1[[#This Row],[Efficiency Difference]] = " ", " ", ROUND((Table1[[#This Row],[Winning Margin]]*100)/Table1[[#This Row],[Efficiency Difference]], 2))</f>
        <v>29.4</v>
      </c>
    </row>
    <row r="624" spans="1:45">
      <c r="A624" t="s">
        <v>186</v>
      </c>
      <c r="B624">
        <v>663</v>
      </c>
      <c r="C624">
        <v>3</v>
      </c>
      <c r="D624">
        <v>173</v>
      </c>
      <c r="E624">
        <v>32</v>
      </c>
      <c r="F624">
        <v>0</v>
      </c>
      <c r="G624">
        <v>16</v>
      </c>
      <c r="H624">
        <v>2</v>
      </c>
      <c r="I624">
        <v>157</v>
      </c>
      <c r="J624">
        <v>24</v>
      </c>
      <c r="K624">
        <v>0</v>
      </c>
      <c r="L624">
        <v>0</v>
      </c>
      <c r="M624" t="s">
        <v>89</v>
      </c>
      <c r="N624">
        <v>664</v>
      </c>
      <c r="O624">
        <v>27</v>
      </c>
      <c r="P624">
        <v>266</v>
      </c>
      <c r="Q624">
        <v>37</v>
      </c>
      <c r="R624">
        <v>1</v>
      </c>
      <c r="S624">
        <v>27</v>
      </c>
      <c r="T624">
        <v>1</v>
      </c>
      <c r="U624">
        <v>187</v>
      </c>
      <c r="V624">
        <v>42</v>
      </c>
      <c r="W624">
        <v>1</v>
      </c>
      <c r="X624">
        <v>1</v>
      </c>
      <c r="Y624" t="s">
        <v>19</v>
      </c>
      <c r="Z624">
        <v>8</v>
      </c>
      <c r="AA624" s="3">
        <f>IF(AND(Table1[[#This Row],[Throw Out Pass Eff]]="N", Table1[[#This Row],[Against FCS Team]]="N"), ROUND(((5.45 * D624) + (150 * F624) + (100 * G624) - (300 * H624)) / E624, 2), " ")</f>
        <v>60.71</v>
      </c>
      <c r="AB624" s="3">
        <f>IF(AND(Table1[[#This Row],[Throw Out Pass Def Eff]]="N", Table1[[#This Row],[Against FCS Team]]="N"),200 - ROUND(((5.45 * P624) + (150 * R624) + (100 * S624) - (300 * T624)) / Q624, 2), " ")</f>
        <v>91.9</v>
      </c>
      <c r="AC624" s="3">
        <f>IF(AND(Table1[[#This Row],[Throw Out Rush Eff]]="N", Table1[[#This Row],[Against FCS Team]]="N"), ROUND(((23.2 * I624) + (150 * K624) - (300 * L624)) / J624, 2), " ")</f>
        <v>151.77000000000001</v>
      </c>
      <c r="AD624" s="3">
        <f>IF(AND(Table1[[#This Row],[Throw Out Rush Def Eff]]="N", Table1[[#This Row],[Against FCS Team]]="N"), 200 - ROUND(((23.2 * U624) + (150 * W624) - (300 * X624)) / V624, 2), " ")</f>
        <v>100.28</v>
      </c>
      <c r="AE624" s="3">
        <f>ROUND(Table1[[#This Row],[Opp Passing Attempts]]/(Table1[[#This Row],[Opp Passing Attempts]]+Table1[[#This Row],[Opp Rushing Attempts]]), 2)</f>
        <v>0.47</v>
      </c>
      <c r="AF624" s="3">
        <f>1-Table1[[#This Row],[Passing Weight]]</f>
        <v>0.53</v>
      </c>
      <c r="AG624" s="3" t="str">
        <f>IF(COUNTIF(A:A,Table1[[#This Row],[Opp Team Name]]) &gt; 0, "N", "Y")</f>
        <v>N</v>
      </c>
      <c r="AH624" s="3" t="str">
        <f>IF(Table1[[#This Row],[Passing Attempts]] &lt;15, "Y", "N")</f>
        <v>N</v>
      </c>
      <c r="AI624" s="3" t="str">
        <f>IF(Table1[[#This Row],[Rushing Attempts]] &lt; 15, "Y", "N")</f>
        <v>N</v>
      </c>
      <c r="AJ624" s="3" t="str">
        <f>IF(Table1[[#This Row],[Opp Passing Attempts]]&lt;15, "Y", "N")</f>
        <v>N</v>
      </c>
      <c r="AK624" s="3" t="str">
        <f>IF(Table1[[#This Row],[Opp Rushing Attempts]]&lt;15, "Y", "N")</f>
        <v>N</v>
      </c>
      <c r="AL6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76.13</v>
      </c>
      <c r="AM6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101.57</v>
      </c>
      <c r="AN6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179.13</v>
      </c>
      <c r="AO6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100.74</v>
      </c>
      <c r="AP624" s="3">
        <f>ABS(Table1[[#This Row],[Team Score]]-Table1[[#This Row],[Opp Team Score]])</f>
        <v>24</v>
      </c>
      <c r="AQ624" s="3">
        <f>SUM(Table1[[#This Row],[Team Score]], Table1[[#This Row],[Opp Team Score]])</f>
        <v>30</v>
      </c>
      <c r="AR6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4.660000000000025</v>
      </c>
      <c r="AS624" s="3">
        <f>IF(Table1[[#This Row],[Efficiency Difference]] = " ", " ", ROUND((Table1[[#This Row],[Winning Margin]]*100)/Table1[[#This Row],[Efficiency Difference]], 2))</f>
        <v>515.02</v>
      </c>
    </row>
    <row r="625" spans="1:45">
      <c r="A625" t="s">
        <v>65</v>
      </c>
      <c r="B625">
        <v>648</v>
      </c>
      <c r="C625">
        <v>56</v>
      </c>
      <c r="D625">
        <v>131</v>
      </c>
      <c r="E625">
        <v>25</v>
      </c>
      <c r="F625">
        <v>1</v>
      </c>
      <c r="G625">
        <v>10</v>
      </c>
      <c r="H625">
        <v>0</v>
      </c>
      <c r="I625">
        <v>220</v>
      </c>
      <c r="J625">
        <v>40</v>
      </c>
      <c r="K625">
        <v>5</v>
      </c>
      <c r="L625">
        <v>4</v>
      </c>
      <c r="M625" t="s">
        <v>64</v>
      </c>
      <c r="N625">
        <v>196</v>
      </c>
      <c r="O625">
        <v>37</v>
      </c>
      <c r="P625">
        <v>260</v>
      </c>
      <c r="Q625">
        <v>56</v>
      </c>
      <c r="R625">
        <v>4</v>
      </c>
      <c r="S625">
        <v>37</v>
      </c>
      <c r="T625">
        <v>1</v>
      </c>
      <c r="U625">
        <v>85</v>
      </c>
      <c r="V625">
        <v>28</v>
      </c>
      <c r="W625">
        <v>1</v>
      </c>
      <c r="X625">
        <v>4</v>
      </c>
      <c r="Y625" t="s">
        <v>16</v>
      </c>
      <c r="Z625">
        <v>1</v>
      </c>
      <c r="AA625">
        <f>IF(AND(Table1[[#This Row],[Throw Out Pass Eff]]="N", Table1[[#This Row],[Against FCS Team]]="N"), ROUND(((5.45 * D625) + (150 * F625) + (100 * G625) - (300 * H625)) / E625, 2), " ")</f>
        <v>74.56</v>
      </c>
      <c r="AB625">
        <f>IF(AND(Table1[[#This Row],[Throw Out Pass Def Eff]]="N", Table1[[#This Row],[Against FCS Team]]="N"),200 - ROUND(((5.45 * P625) + (150 * R625) + (100 * S625) - (300 * T625)) / Q625, 2), " ")</f>
        <v>103.27</v>
      </c>
      <c r="AC625">
        <f>IF(AND(Table1[[#This Row],[Throw Out Rush Eff]]="N", Table1[[#This Row],[Against FCS Team]]="N"), ROUND(((23.2 * I625) + (150 * K625) - (300 * L625)) / J625, 2), " ")</f>
        <v>116.35</v>
      </c>
      <c r="AD625" s="3">
        <f>IF(AND(Table1[[#This Row],[Throw Out Rush Def Eff]]="N", Table1[[#This Row],[Against FCS Team]]="N"), 200 - ROUND(((23.2 * U625) + (150 * W625) - (300 * X625)) / V625, 2), " ")</f>
        <v>167.07</v>
      </c>
      <c r="AE625" s="3">
        <f>ROUND(Table1[[#This Row],[Opp Passing Attempts]]/(Table1[[#This Row],[Opp Passing Attempts]]+Table1[[#This Row],[Opp Rushing Attempts]]), 2)</f>
        <v>0.67</v>
      </c>
      <c r="AF625" s="3">
        <f>1-Table1[[#This Row],[Passing Weight]]</f>
        <v>0.32999999999999996</v>
      </c>
      <c r="AG625" s="3" t="str">
        <f>IF(COUNTIF(A:A,Table1[[#This Row],[Opp Team Name]]) &gt; 0, "N", "Y")</f>
        <v>N</v>
      </c>
      <c r="AH625" s="3" t="str">
        <f>IF(Table1[[#This Row],[Passing Attempts]] &lt;15, "Y", "N")</f>
        <v>N</v>
      </c>
      <c r="AI625" s="3" t="str">
        <f>IF(Table1[[#This Row],[Rushing Attempts]] &lt; 15, "Y", "N")</f>
        <v>N</v>
      </c>
      <c r="AJ625" s="3" t="str">
        <f>IF(Table1[[#This Row],[Opp Passing Attempts]]&lt;15, "Y", "N")</f>
        <v>N</v>
      </c>
      <c r="AK625" s="3" t="str">
        <f>IF(Table1[[#This Row],[Opp Rushing Attempts]]&lt;15, "Y", "N")</f>
        <v>N</v>
      </c>
      <c r="AL6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77.39</v>
      </c>
      <c r="AM6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107.49</v>
      </c>
      <c r="AN6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105.51</v>
      </c>
      <c r="AO6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85.91</v>
      </c>
      <c r="AP625" s="3">
        <f>ABS(Table1[[#This Row],[Team Score]]-Table1[[#This Row],[Opp Team Score]])</f>
        <v>19</v>
      </c>
      <c r="AQ625" s="3">
        <f>SUM(Table1[[#This Row],[Team Score]], Table1[[#This Row],[Opp Team Score]])</f>
        <v>93</v>
      </c>
      <c r="AR6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61.249999999999972</v>
      </c>
      <c r="AS625" s="3">
        <f>IF(Table1[[#This Row],[Efficiency Difference]] = " ", " ", ROUND((Table1[[#This Row],[Winning Margin]]*100)/Table1[[#This Row],[Efficiency Difference]], 2))</f>
        <v>31.02</v>
      </c>
    </row>
    <row r="626" spans="1:45">
      <c r="A626" t="s">
        <v>65</v>
      </c>
      <c r="B626">
        <v>648</v>
      </c>
      <c r="C626">
        <v>45</v>
      </c>
      <c r="D626">
        <v>142</v>
      </c>
      <c r="E626">
        <v>26</v>
      </c>
      <c r="F626">
        <v>1</v>
      </c>
      <c r="G626">
        <v>11</v>
      </c>
      <c r="H626">
        <v>2</v>
      </c>
      <c r="I626">
        <v>253</v>
      </c>
      <c r="J626">
        <v>41</v>
      </c>
      <c r="K626">
        <v>3</v>
      </c>
      <c r="L626">
        <v>0</v>
      </c>
      <c r="M626" t="s">
        <v>39</v>
      </c>
      <c r="N626">
        <v>257</v>
      </c>
      <c r="O626">
        <v>42</v>
      </c>
      <c r="P626">
        <v>248</v>
      </c>
      <c r="Q626">
        <v>29</v>
      </c>
      <c r="R626">
        <v>4</v>
      </c>
      <c r="S626">
        <v>19</v>
      </c>
      <c r="T626">
        <v>1</v>
      </c>
      <c r="U626">
        <v>188</v>
      </c>
      <c r="V626">
        <v>38</v>
      </c>
      <c r="W626">
        <v>1</v>
      </c>
      <c r="X626">
        <v>2</v>
      </c>
      <c r="Y626" t="s">
        <v>16</v>
      </c>
      <c r="Z626">
        <v>2</v>
      </c>
      <c r="AA626">
        <f>IF(AND(Table1[[#This Row],[Throw Out Pass Eff]]="N", Table1[[#This Row],[Against FCS Team]]="N"), ROUND(((5.45 * D626) + (150 * F626) + (100 * G626) - (300 * H626)) / E626, 2), " ")</f>
        <v>54.77</v>
      </c>
      <c r="AB626">
        <f>IF(AND(Table1[[#This Row],[Throw Out Pass Def Eff]]="N", Table1[[#This Row],[Against FCS Team]]="N"),200 - ROUND(((5.45 * P626) + (150 * R626) + (100 * S626) - (300 * T626)) / Q626, 2), " ")</f>
        <v>77.53</v>
      </c>
      <c r="AC626">
        <f>IF(AND(Table1[[#This Row],[Throw Out Rush Eff]]="N", Table1[[#This Row],[Against FCS Team]]="N"), ROUND(((23.2 * I626) + (150 * K626) - (300 * L626)) / J626, 2), " ")</f>
        <v>154.13999999999999</v>
      </c>
      <c r="AD626" s="3">
        <f>IF(AND(Table1[[#This Row],[Throw Out Rush Def Eff]]="N", Table1[[#This Row],[Against FCS Team]]="N"), 200 - ROUND(((23.2 * U626) + (150 * W626) - (300 * X626)) / V626, 2), " ")</f>
        <v>97.06</v>
      </c>
      <c r="AE626" s="3">
        <f>ROUND(Table1[[#This Row],[Opp Passing Attempts]]/(Table1[[#This Row],[Opp Passing Attempts]]+Table1[[#This Row],[Opp Rushing Attempts]]), 2)</f>
        <v>0.43</v>
      </c>
      <c r="AF626" s="3">
        <f>1-Table1[[#This Row],[Passing Weight]]</f>
        <v>0.57000000000000006</v>
      </c>
      <c r="AG626" s="3" t="str">
        <f>IF(COUNTIF(A:A,Table1[[#This Row],[Opp Team Name]]) &gt; 0, "N", "Y")</f>
        <v>N</v>
      </c>
      <c r="AH626" s="3" t="str">
        <f>IF(Table1[[#This Row],[Passing Attempts]] &lt;15, "Y", "N")</f>
        <v>N</v>
      </c>
      <c r="AI626" s="3" t="str">
        <f>IF(Table1[[#This Row],[Rushing Attempts]] &lt; 15, "Y", "N")</f>
        <v>N</v>
      </c>
      <c r="AJ626" s="3" t="str">
        <f>IF(Table1[[#This Row],[Opp Passing Attempts]]&lt;15, "Y", "N")</f>
        <v>N</v>
      </c>
      <c r="AK626" s="3" t="str">
        <f>IF(Table1[[#This Row],[Opp Rushing Attempts]]&lt;15, "Y", "N")</f>
        <v>N</v>
      </c>
      <c r="AL6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70.040000000000006</v>
      </c>
      <c r="AM6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80.7</v>
      </c>
      <c r="AN6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201.3</v>
      </c>
      <c r="AO6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88.62</v>
      </c>
      <c r="AP626" s="3">
        <f>ABS(Table1[[#This Row],[Team Score]]-Table1[[#This Row],[Opp Team Score]])</f>
        <v>3</v>
      </c>
      <c r="AQ626" s="3">
        <f>SUM(Table1[[#This Row],[Team Score]], Table1[[#This Row],[Opp Team Score]])</f>
        <v>87</v>
      </c>
      <c r="AR6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16.5</v>
      </c>
      <c r="AS626" s="3">
        <f>IF(Table1[[#This Row],[Efficiency Difference]] = " ", " ", ROUND((Table1[[#This Row],[Winning Margin]]*100)/Table1[[#This Row],[Efficiency Difference]], 2))</f>
        <v>18.18</v>
      </c>
    </row>
    <row r="627" spans="1:45">
      <c r="A627" t="s">
        <v>65</v>
      </c>
      <c r="B627">
        <v>648</v>
      </c>
      <c r="C627">
        <v>24</v>
      </c>
      <c r="D627">
        <v>204</v>
      </c>
      <c r="E627">
        <v>25</v>
      </c>
      <c r="F627">
        <v>0</v>
      </c>
      <c r="G627">
        <v>18</v>
      </c>
      <c r="H627">
        <v>1</v>
      </c>
      <c r="I627">
        <v>254</v>
      </c>
      <c r="J627">
        <v>44</v>
      </c>
      <c r="K627">
        <v>3</v>
      </c>
      <c r="L627">
        <v>0</v>
      </c>
      <c r="M627" t="s">
        <v>104</v>
      </c>
      <c r="N627">
        <v>726</v>
      </c>
      <c r="O627">
        <v>21</v>
      </c>
      <c r="P627">
        <v>61</v>
      </c>
      <c r="Q627">
        <v>9</v>
      </c>
      <c r="R627">
        <v>0</v>
      </c>
      <c r="S627">
        <v>5</v>
      </c>
      <c r="T627">
        <v>1</v>
      </c>
      <c r="U627">
        <v>274</v>
      </c>
      <c r="V627">
        <v>47</v>
      </c>
      <c r="W627">
        <v>3</v>
      </c>
      <c r="X627">
        <v>0</v>
      </c>
      <c r="Y627" t="s">
        <v>16</v>
      </c>
      <c r="Z627">
        <v>3</v>
      </c>
      <c r="AA627">
        <f>IF(AND(Table1[[#This Row],[Throw Out Pass Eff]]="N", Table1[[#This Row],[Against FCS Team]]="N"), ROUND(((5.45 * D627) + (150 * F627) + (100 * G627) - (300 * H627)) / E627, 2), " ")</f>
        <v>104.47</v>
      </c>
      <c r="AB627" t="str">
        <f>IF(AND(Table1[[#This Row],[Throw Out Pass Def Eff]]="N", Table1[[#This Row],[Against FCS Team]]="N"),200 - ROUND(((5.45 * P627) + (150 * R627) + (100 * S627) - (300 * T627)) / Q627, 2), " ")</f>
        <v xml:space="preserve"> </v>
      </c>
      <c r="AC627">
        <f>IF(AND(Table1[[#This Row],[Throw Out Rush Eff]]="N", Table1[[#This Row],[Against FCS Team]]="N"), ROUND(((23.2 * I627) + (150 * K627) - (300 * L627)) / J627, 2), " ")</f>
        <v>144.15</v>
      </c>
      <c r="AD627" s="3">
        <f>IF(AND(Table1[[#This Row],[Throw Out Rush Def Eff]]="N", Table1[[#This Row],[Against FCS Team]]="N"), 200 - ROUND(((23.2 * U627) + (150 * W627) - (300 * X627)) / V627, 2), " ")</f>
        <v>55.169999999999987</v>
      </c>
      <c r="AE627" s="3">
        <f>ROUND(Table1[[#This Row],[Opp Passing Attempts]]/(Table1[[#This Row],[Opp Passing Attempts]]+Table1[[#This Row],[Opp Rushing Attempts]]), 2)</f>
        <v>0.16</v>
      </c>
      <c r="AF627" s="3">
        <f>1-Table1[[#This Row],[Passing Weight]]</f>
        <v>0.84</v>
      </c>
      <c r="AG627" s="3" t="str">
        <f>IF(COUNTIF(A:A,Table1[[#This Row],[Opp Team Name]]) &gt; 0, "N", "Y")</f>
        <v>N</v>
      </c>
      <c r="AH627" s="3" t="str">
        <f>IF(Table1[[#This Row],[Passing Attempts]] &lt;15, "Y", "N")</f>
        <v>N</v>
      </c>
      <c r="AI627" s="3" t="str">
        <f>IF(Table1[[#This Row],[Rushing Attempts]] &lt; 15, "Y", "N")</f>
        <v>N</v>
      </c>
      <c r="AJ627" s="3" t="str">
        <f>IF(Table1[[#This Row],[Opp Passing Attempts]]&lt;15, "Y", "N")</f>
        <v>Y</v>
      </c>
      <c r="AK627" s="3" t="str">
        <f>IF(Table1[[#This Row],[Opp Rushing Attempts]]&lt;15, "Y", "N")</f>
        <v>N</v>
      </c>
      <c r="AL6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83.68</v>
      </c>
      <c r="AM62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129.80000000000001</v>
      </c>
      <c r="AO6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72.45</v>
      </c>
      <c r="AP627" s="3">
        <f>ABS(Table1[[#This Row],[Team Score]]-Table1[[#This Row],[Opp Team Score]])</f>
        <v>3</v>
      </c>
      <c r="AQ627" s="3">
        <f>SUM(Table1[[#This Row],[Team Score]], Table1[[#This Row],[Opp Team Score]])</f>
        <v>45</v>
      </c>
      <c r="AR62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27" s="3" t="str">
        <f>IF(Table1[[#This Row],[Efficiency Difference]] = " ", " ", ROUND((Table1[[#This Row],[Winning Margin]]*100)/Table1[[#This Row],[Efficiency Difference]], 2))</f>
        <v xml:space="preserve"> </v>
      </c>
    </row>
    <row r="628" spans="1:45">
      <c r="A628" t="s">
        <v>65</v>
      </c>
      <c r="B628">
        <v>648</v>
      </c>
      <c r="C628">
        <v>21</v>
      </c>
      <c r="D628">
        <v>236</v>
      </c>
      <c r="E628">
        <v>32</v>
      </c>
      <c r="F628">
        <v>1</v>
      </c>
      <c r="G628">
        <v>17</v>
      </c>
      <c r="H628">
        <v>4</v>
      </c>
      <c r="I628">
        <v>131</v>
      </c>
      <c r="J628">
        <v>40</v>
      </c>
      <c r="K628">
        <v>1</v>
      </c>
      <c r="L628">
        <v>0</v>
      </c>
      <c r="M628" t="s">
        <v>152</v>
      </c>
      <c r="N628">
        <v>736</v>
      </c>
      <c r="O628">
        <v>3</v>
      </c>
      <c r="P628">
        <v>73</v>
      </c>
      <c r="Q628">
        <v>23</v>
      </c>
      <c r="R628">
        <v>0</v>
      </c>
      <c r="S628">
        <v>16</v>
      </c>
      <c r="T628">
        <v>1</v>
      </c>
      <c r="U628">
        <v>4</v>
      </c>
      <c r="V628">
        <v>25</v>
      </c>
      <c r="W628">
        <v>0</v>
      </c>
      <c r="X628">
        <v>2</v>
      </c>
      <c r="Y628" t="s">
        <v>16</v>
      </c>
      <c r="Z628">
        <v>4</v>
      </c>
      <c r="AA628">
        <f>IF(AND(Table1[[#This Row],[Throw Out Pass Eff]]="N", Table1[[#This Row],[Against FCS Team]]="N"), ROUND(((5.45 * D628) + (150 * F628) + (100 * G628) - (300 * H628)) / E628, 2), " ")</f>
        <v>60.51</v>
      </c>
      <c r="AB628">
        <f>IF(AND(Table1[[#This Row],[Throw Out Pass Def Eff]]="N", Table1[[#This Row],[Against FCS Team]]="N"),200 - ROUND(((5.45 * P628) + (150 * R628) + (100 * S628) - (300 * T628)) / Q628, 2), " ")</f>
        <v>126.18</v>
      </c>
      <c r="AC628">
        <f>IF(AND(Table1[[#This Row],[Throw Out Rush Eff]]="N", Table1[[#This Row],[Against FCS Team]]="N"), ROUND(((23.2 * I628) + (150 * K628) - (300 * L628)) / J628, 2), " ")</f>
        <v>79.73</v>
      </c>
      <c r="AD628" s="3">
        <f>IF(AND(Table1[[#This Row],[Throw Out Rush Def Eff]]="N", Table1[[#This Row],[Against FCS Team]]="N"), 200 - ROUND(((23.2 * U628) + (150 * W628) - (300 * X628)) / V628, 2), " ")</f>
        <v>220.29</v>
      </c>
      <c r="AE628" s="3">
        <f>ROUND(Table1[[#This Row],[Opp Passing Attempts]]/(Table1[[#This Row],[Opp Passing Attempts]]+Table1[[#This Row],[Opp Rushing Attempts]]), 2)</f>
        <v>0.48</v>
      </c>
      <c r="AF628" s="3">
        <f>1-Table1[[#This Row],[Passing Weight]]</f>
        <v>0.52</v>
      </c>
      <c r="AG628" s="3" t="str">
        <f>IF(COUNTIF(A:A,Table1[[#This Row],[Opp Team Name]]) &gt; 0, "N", "Y")</f>
        <v>N</v>
      </c>
      <c r="AH628" s="3" t="str">
        <f>IF(Table1[[#This Row],[Passing Attempts]] &lt;15, "Y", "N")</f>
        <v>N</v>
      </c>
      <c r="AI628" s="3" t="str">
        <f>IF(Table1[[#This Row],[Rushing Attempts]] &lt; 15, "Y", "N")</f>
        <v>N</v>
      </c>
      <c r="AJ628" s="3" t="str">
        <f>IF(Table1[[#This Row],[Opp Passing Attempts]]&lt;15, "Y", "N")</f>
        <v>N</v>
      </c>
      <c r="AK628" s="3" t="str">
        <f>IF(Table1[[#This Row],[Opp Rushing Attempts]]&lt;15, "Y", "N")</f>
        <v>N</v>
      </c>
      <c r="AL6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76.42</v>
      </c>
      <c r="AM6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79.23</v>
      </c>
      <c r="AN6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97.36</v>
      </c>
      <c r="AO6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194.78</v>
      </c>
      <c r="AP628" s="3">
        <f>ABS(Table1[[#This Row],[Team Score]]-Table1[[#This Row],[Opp Team Score]])</f>
        <v>18</v>
      </c>
      <c r="AQ628" s="3">
        <f>SUM(Table1[[#This Row],[Team Score]], Table1[[#This Row],[Opp Team Score]])</f>
        <v>24</v>
      </c>
      <c r="AR6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86.710000000000036</v>
      </c>
      <c r="AS628" s="3">
        <f>IF(Table1[[#This Row],[Efficiency Difference]] = " ", " ", ROUND((Table1[[#This Row],[Winning Margin]]*100)/Table1[[#This Row],[Efficiency Difference]], 2))</f>
        <v>20.76</v>
      </c>
    </row>
    <row r="629" spans="1:45">
      <c r="A629" t="s">
        <v>65</v>
      </c>
      <c r="B629">
        <v>648</v>
      </c>
      <c r="C629">
        <v>13</v>
      </c>
      <c r="D629">
        <v>160</v>
      </c>
      <c r="E629">
        <v>23</v>
      </c>
      <c r="F629">
        <v>1</v>
      </c>
      <c r="G629">
        <v>9</v>
      </c>
      <c r="H629">
        <v>2</v>
      </c>
      <c r="I629">
        <v>129</v>
      </c>
      <c r="J629">
        <v>29</v>
      </c>
      <c r="K629">
        <v>1</v>
      </c>
      <c r="L629">
        <v>2</v>
      </c>
      <c r="M629" t="s">
        <v>32</v>
      </c>
      <c r="N629">
        <v>37</v>
      </c>
      <c r="O629">
        <v>16</v>
      </c>
      <c r="P629">
        <v>112</v>
      </c>
      <c r="Q629">
        <v>25</v>
      </c>
      <c r="R629">
        <v>1</v>
      </c>
      <c r="S629">
        <v>12</v>
      </c>
      <c r="T629">
        <v>4</v>
      </c>
      <c r="U629">
        <v>246</v>
      </c>
      <c r="V629">
        <v>67</v>
      </c>
      <c r="W629">
        <v>1</v>
      </c>
      <c r="X629">
        <v>0</v>
      </c>
      <c r="Y629" t="s">
        <v>19</v>
      </c>
      <c r="Z629">
        <v>5</v>
      </c>
      <c r="AA629">
        <f>IF(AND(Table1[[#This Row],[Throw Out Pass Eff]]="N", Table1[[#This Row],[Against FCS Team]]="N"), ROUND(((5.45 * D629) + (150 * F629) + (100 * G629) - (300 * H629)) / E629, 2), " ")</f>
        <v>57.48</v>
      </c>
      <c r="AB629">
        <f>IF(AND(Table1[[#This Row],[Throw Out Pass Def Eff]]="N", Table1[[#This Row],[Against FCS Team]]="N"),200 - ROUND(((5.45 * P629) + (150 * R629) + (100 * S629) - (300 * T629)) / Q629, 2), " ")</f>
        <v>169.57999999999998</v>
      </c>
      <c r="AC629">
        <f>IF(AND(Table1[[#This Row],[Throw Out Rush Eff]]="N", Table1[[#This Row],[Against FCS Team]]="N"), ROUND(((23.2 * I629) + (150 * K629) - (300 * L629)) / J629, 2), " ")</f>
        <v>87.68</v>
      </c>
      <c r="AD629" s="3">
        <f>IF(AND(Table1[[#This Row],[Throw Out Rush Def Eff]]="N", Table1[[#This Row],[Against FCS Team]]="N"), 200 - ROUND(((23.2 * U629) + (150 * W629) - (300 * X629)) / V629, 2), " ")</f>
        <v>112.58</v>
      </c>
      <c r="AE629" s="3">
        <f>ROUND(Table1[[#This Row],[Opp Passing Attempts]]/(Table1[[#This Row],[Opp Passing Attempts]]+Table1[[#This Row],[Opp Rushing Attempts]]), 2)</f>
        <v>0.27</v>
      </c>
      <c r="AF629" s="3">
        <f>1-Table1[[#This Row],[Passing Weight]]</f>
        <v>0.73</v>
      </c>
      <c r="AG629" s="3" t="str">
        <f>IF(COUNTIF(A:A,Table1[[#This Row],[Opp Team Name]]) &gt; 0, "N", "Y")</f>
        <v>N</v>
      </c>
      <c r="AH629" s="3" t="str">
        <f>IF(Table1[[#This Row],[Passing Attempts]] &lt;15, "Y", "N")</f>
        <v>N</v>
      </c>
      <c r="AI629" s="3" t="str">
        <f>IF(Table1[[#This Row],[Rushing Attempts]] &lt; 15, "Y", "N")</f>
        <v>N</v>
      </c>
      <c r="AJ629" s="3" t="str">
        <f>IF(Table1[[#This Row],[Opp Passing Attempts]]&lt;15, "Y", "N")</f>
        <v>N</v>
      </c>
      <c r="AK629" s="3" t="str">
        <f>IF(Table1[[#This Row],[Opp Rushing Attempts]]&lt;15, "Y", "N")</f>
        <v>N</v>
      </c>
      <c r="AL6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58.24</v>
      </c>
      <c r="AM6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141.41999999999999</v>
      </c>
      <c r="AN6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87.92</v>
      </c>
      <c r="AO6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118.79</v>
      </c>
      <c r="AP629" s="3">
        <f>ABS(Table1[[#This Row],[Team Score]]-Table1[[#This Row],[Opp Team Score]])</f>
        <v>3</v>
      </c>
      <c r="AQ629" s="3">
        <f>SUM(Table1[[#This Row],[Team Score]], Table1[[#This Row],[Opp Team Score]])</f>
        <v>29</v>
      </c>
      <c r="AR6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27.319999999999965</v>
      </c>
      <c r="AS629" s="3">
        <f>IF(Table1[[#This Row],[Efficiency Difference]] = " ", " ", ROUND((Table1[[#This Row],[Winning Margin]]*100)/Table1[[#This Row],[Efficiency Difference]], 2))</f>
        <v>10.98</v>
      </c>
    </row>
    <row r="630" spans="1:45">
      <c r="A630" t="s">
        <v>65</v>
      </c>
      <c r="B630">
        <v>648</v>
      </c>
      <c r="C630">
        <v>54</v>
      </c>
      <c r="D630">
        <v>351</v>
      </c>
      <c r="E630">
        <v>43</v>
      </c>
      <c r="F630">
        <v>5</v>
      </c>
      <c r="G630">
        <v>30</v>
      </c>
      <c r="H630">
        <v>0</v>
      </c>
      <c r="I630">
        <v>288</v>
      </c>
      <c r="J630">
        <v>48</v>
      </c>
      <c r="K630">
        <v>2</v>
      </c>
      <c r="L630">
        <v>1</v>
      </c>
      <c r="M630" t="s">
        <v>84</v>
      </c>
      <c r="N630">
        <v>334</v>
      </c>
      <c r="O630">
        <v>3</v>
      </c>
      <c r="P630">
        <v>17</v>
      </c>
      <c r="Q630">
        <v>26</v>
      </c>
      <c r="R630">
        <v>0</v>
      </c>
      <c r="S630">
        <v>4</v>
      </c>
      <c r="T630">
        <v>4</v>
      </c>
      <c r="U630">
        <v>79</v>
      </c>
      <c r="V630">
        <v>27</v>
      </c>
      <c r="W630">
        <v>0</v>
      </c>
      <c r="X630">
        <v>2</v>
      </c>
      <c r="Y630" t="s">
        <v>16</v>
      </c>
      <c r="Z630">
        <v>6</v>
      </c>
      <c r="AA630">
        <f>IF(AND(Table1[[#This Row],[Throw Out Pass Eff]]="N", Table1[[#This Row],[Against FCS Team]]="N"), ROUND(((5.45 * D630) + (150 * F630) + (100 * G630) - (300 * H630)) / E630, 2), " ")</f>
        <v>131.69999999999999</v>
      </c>
      <c r="AB630">
        <f>IF(AND(Table1[[#This Row],[Throw Out Pass Def Eff]]="N", Table1[[#This Row],[Against FCS Team]]="N"),200 - ROUND(((5.45 * P630) + (150 * R630) + (100 * S630) - (300 * T630)) / Q630, 2), " ")</f>
        <v>227.21</v>
      </c>
      <c r="AC630">
        <f>IF(AND(Table1[[#This Row],[Throw Out Rush Eff]]="N", Table1[[#This Row],[Against FCS Team]]="N"), ROUND(((23.2 * I630) + (150 * K630) - (300 * L630)) / J630, 2), " ")</f>
        <v>139.19999999999999</v>
      </c>
      <c r="AD630" s="3">
        <f>IF(AND(Table1[[#This Row],[Throw Out Rush Def Eff]]="N", Table1[[#This Row],[Against FCS Team]]="N"), 200 - ROUND(((23.2 * U630) + (150 * W630) - (300 * X630)) / V630, 2), " ")</f>
        <v>154.34</v>
      </c>
      <c r="AE630" s="3">
        <f>ROUND(Table1[[#This Row],[Opp Passing Attempts]]/(Table1[[#This Row],[Opp Passing Attempts]]+Table1[[#This Row],[Opp Rushing Attempts]]), 2)</f>
        <v>0.49</v>
      </c>
      <c r="AF630" s="3">
        <f>1-Table1[[#This Row],[Passing Weight]]</f>
        <v>0.51</v>
      </c>
      <c r="AG630" s="3" t="str">
        <f>IF(COUNTIF(A:A,Table1[[#This Row],[Opp Team Name]]) &gt; 0, "N", "Y")</f>
        <v>N</v>
      </c>
      <c r="AH630" s="3" t="str">
        <f>IF(Table1[[#This Row],[Passing Attempts]] &lt;15, "Y", "N")</f>
        <v>N</v>
      </c>
      <c r="AI630" s="3" t="str">
        <f>IF(Table1[[#This Row],[Rushing Attempts]] &lt; 15, "Y", "N")</f>
        <v>N</v>
      </c>
      <c r="AJ630" s="3" t="str">
        <f>IF(Table1[[#This Row],[Opp Passing Attempts]]&lt;15, "Y", "N")</f>
        <v>N</v>
      </c>
      <c r="AK630" s="3" t="str">
        <f>IF(Table1[[#This Row],[Opp Rushing Attempts]]&lt;15, "Y", "N")</f>
        <v>N</v>
      </c>
      <c r="AL6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155.93</v>
      </c>
      <c r="AM6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109.32</v>
      </c>
      <c r="AN6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118.28</v>
      </c>
      <c r="AO6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100.51</v>
      </c>
      <c r="AP630" s="3">
        <f>ABS(Table1[[#This Row],[Team Score]]-Table1[[#This Row],[Opp Team Score]])</f>
        <v>51</v>
      </c>
      <c r="AQ630" s="3">
        <f>SUM(Table1[[#This Row],[Team Score]], Table1[[#This Row],[Opp Team Score]])</f>
        <v>57</v>
      </c>
      <c r="AR6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252.45</v>
      </c>
      <c r="AS630" s="3">
        <f>IF(Table1[[#This Row],[Efficiency Difference]] = " ", " ", ROUND((Table1[[#This Row],[Winning Margin]]*100)/Table1[[#This Row],[Efficiency Difference]], 2))</f>
        <v>20.2</v>
      </c>
    </row>
    <row r="631" spans="1:45">
      <c r="A631" t="s">
        <v>65</v>
      </c>
      <c r="B631">
        <v>648</v>
      </c>
      <c r="C631">
        <v>14</v>
      </c>
      <c r="D631">
        <v>179</v>
      </c>
      <c r="E631">
        <v>32</v>
      </c>
      <c r="F631">
        <v>1</v>
      </c>
      <c r="G631">
        <v>22</v>
      </c>
      <c r="H631">
        <v>2</v>
      </c>
      <c r="I631">
        <v>110</v>
      </c>
      <c r="J631">
        <v>43</v>
      </c>
      <c r="K631">
        <v>1</v>
      </c>
      <c r="L631">
        <v>0</v>
      </c>
      <c r="M631" t="s">
        <v>95</v>
      </c>
      <c r="N631">
        <v>430</v>
      </c>
      <c r="O631">
        <v>12</v>
      </c>
      <c r="P631">
        <v>165</v>
      </c>
      <c r="Q631">
        <v>30</v>
      </c>
      <c r="R631">
        <v>1</v>
      </c>
      <c r="S631">
        <v>11</v>
      </c>
      <c r="T631">
        <v>2</v>
      </c>
      <c r="U631">
        <v>131</v>
      </c>
      <c r="V631">
        <v>37</v>
      </c>
      <c r="W631">
        <v>0</v>
      </c>
      <c r="X631">
        <v>0</v>
      </c>
      <c r="Y631" t="s">
        <v>16</v>
      </c>
      <c r="Z631">
        <v>7</v>
      </c>
      <c r="AA631">
        <f>IF(AND(Table1[[#This Row],[Throw Out Pass Eff]]="N", Table1[[#This Row],[Against FCS Team]]="N"), ROUND(((5.45 * D631) + (150 * F631) + (100 * G631) - (300 * H631)) / E631, 2), " ")</f>
        <v>85.17</v>
      </c>
      <c r="AB631">
        <f>IF(AND(Table1[[#This Row],[Throw Out Pass Def Eff]]="N", Table1[[#This Row],[Against FCS Team]]="N"),200 - ROUND(((5.45 * P631) + (150 * R631) + (100 * S631) - (300 * T631)) / Q631, 2), " ")</f>
        <v>148.36000000000001</v>
      </c>
      <c r="AC631">
        <f>IF(AND(Table1[[#This Row],[Throw Out Rush Eff]]="N", Table1[[#This Row],[Against FCS Team]]="N"), ROUND(((23.2 * I631) + (150 * K631) - (300 * L631)) / J631, 2), " ")</f>
        <v>62.84</v>
      </c>
      <c r="AD631" s="3">
        <f>IF(AND(Table1[[#This Row],[Throw Out Rush Def Eff]]="N", Table1[[#This Row],[Against FCS Team]]="N"), 200 - ROUND(((23.2 * U631) + (150 * W631) - (300 * X631)) / V631, 2), " ")</f>
        <v>117.86</v>
      </c>
      <c r="AE631" s="3">
        <f>ROUND(Table1[[#This Row],[Opp Passing Attempts]]/(Table1[[#This Row],[Opp Passing Attempts]]+Table1[[#This Row],[Opp Rushing Attempts]]), 2)</f>
        <v>0.45</v>
      </c>
      <c r="AF631" s="3">
        <f>1-Table1[[#This Row],[Passing Weight]]</f>
        <v>0.55000000000000004</v>
      </c>
      <c r="AG631" s="3" t="str">
        <f>IF(COUNTIF(A:A,Table1[[#This Row],[Opp Team Name]]) &gt; 0, "N", "Y")</f>
        <v>N</v>
      </c>
      <c r="AH631" s="3" t="str">
        <f>IF(Table1[[#This Row],[Passing Attempts]] &lt;15, "Y", "N")</f>
        <v>N</v>
      </c>
      <c r="AI631" s="3" t="str">
        <f>IF(Table1[[#This Row],[Rushing Attempts]] &lt; 15, "Y", "N")</f>
        <v>N</v>
      </c>
      <c r="AJ631" s="3" t="str">
        <f>IF(Table1[[#This Row],[Opp Passing Attempts]]&lt;15, "Y", "N")</f>
        <v>N</v>
      </c>
      <c r="AK631" s="3" t="str">
        <f>IF(Table1[[#This Row],[Opp Rushing Attempts]]&lt;15, "Y", "N")</f>
        <v>N</v>
      </c>
      <c r="AL63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94.99</v>
      </c>
      <c r="AM63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132.53</v>
      </c>
      <c r="AN63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70.790000000000006</v>
      </c>
      <c r="AO63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114.69</v>
      </c>
      <c r="AP631" s="3">
        <f>ABS(Table1[[#This Row],[Team Score]]-Table1[[#This Row],[Opp Team Score]])</f>
        <v>2</v>
      </c>
      <c r="AQ631" s="3">
        <f>SUM(Table1[[#This Row],[Team Score]], Table1[[#This Row],[Opp Team Score]])</f>
        <v>26</v>
      </c>
      <c r="AR63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14.230000000000018</v>
      </c>
      <c r="AS631" s="3">
        <f>IF(Table1[[#This Row],[Efficiency Difference]] = " ", " ", ROUND((Table1[[#This Row],[Winning Margin]]*100)/Table1[[#This Row],[Efficiency Difference]], 2))</f>
        <v>14.05</v>
      </c>
    </row>
    <row r="632" spans="1:45">
      <c r="A632" t="s">
        <v>115</v>
      </c>
      <c r="B632">
        <v>651</v>
      </c>
      <c r="C632">
        <v>70</v>
      </c>
      <c r="D632">
        <v>477</v>
      </c>
      <c r="E632">
        <v>43</v>
      </c>
      <c r="F632">
        <v>4</v>
      </c>
      <c r="G632">
        <v>30</v>
      </c>
      <c r="H632">
        <v>2</v>
      </c>
      <c r="I632">
        <v>268</v>
      </c>
      <c r="J632">
        <v>47</v>
      </c>
      <c r="K632">
        <v>5</v>
      </c>
      <c r="L632">
        <v>1</v>
      </c>
      <c r="M632" t="s">
        <v>199</v>
      </c>
      <c r="N632">
        <v>228</v>
      </c>
      <c r="O632">
        <v>17</v>
      </c>
      <c r="P632">
        <v>142</v>
      </c>
      <c r="Q632">
        <v>30</v>
      </c>
      <c r="R632">
        <v>2</v>
      </c>
      <c r="S632">
        <v>12</v>
      </c>
      <c r="T632">
        <v>1</v>
      </c>
      <c r="U632">
        <v>39</v>
      </c>
      <c r="V632">
        <v>29</v>
      </c>
      <c r="W632">
        <v>0</v>
      </c>
      <c r="X632">
        <v>1</v>
      </c>
      <c r="Y632" t="s">
        <v>16</v>
      </c>
      <c r="Z632">
        <v>3</v>
      </c>
      <c r="AA632" t="str">
        <f>IF(AND(Table1[[#This Row],[Throw Out Pass Eff]]="N", Table1[[#This Row],[Against FCS Team]]="N"), ROUND(((5.45 * D632) + (150 * F632) + (100 * G632) - (300 * H632)) / E632, 2), " ")</f>
        <v xml:space="preserve"> </v>
      </c>
      <c r="AB632" t="str">
        <f>IF(AND(Table1[[#This Row],[Throw Out Pass Def Eff]]="N", Table1[[#This Row],[Against FCS Team]]="N"),200 - ROUND(((5.45 * P632) + (150 * R632) + (100 * S632) - (300 * T632)) / Q632, 2), " ")</f>
        <v xml:space="preserve"> </v>
      </c>
      <c r="AC632" t="str">
        <f>IF(AND(Table1[[#This Row],[Throw Out Rush Eff]]="N", Table1[[#This Row],[Against FCS Team]]="N"), ROUND(((23.2 * I632) + (150 * K632) - (300 * L632)) / J632, 2), " ")</f>
        <v xml:space="preserve"> </v>
      </c>
      <c r="AD632" s="3" t="str">
        <f>IF(AND(Table1[[#This Row],[Throw Out Rush Def Eff]]="N", Table1[[#This Row],[Against FCS Team]]="N"), 200 - ROUND(((23.2 * U632) + (150 * W632) - (300 * X632)) / V632, 2), " ")</f>
        <v xml:space="preserve"> </v>
      </c>
      <c r="AE632" s="3">
        <f>ROUND(Table1[[#This Row],[Opp Passing Attempts]]/(Table1[[#This Row],[Opp Passing Attempts]]+Table1[[#This Row],[Opp Rushing Attempts]]), 2)</f>
        <v>0.51</v>
      </c>
      <c r="AF632" s="3">
        <f>1-Table1[[#This Row],[Passing Weight]]</f>
        <v>0.49</v>
      </c>
      <c r="AG632" s="3" t="str">
        <f>IF(COUNTIF(A:A,Table1[[#This Row],[Opp Team Name]]) &gt; 0, "N", "Y")</f>
        <v>Y</v>
      </c>
      <c r="AH632" s="3" t="str">
        <f>IF(Table1[[#This Row],[Passing Attempts]] &lt;15, "Y", "N")</f>
        <v>N</v>
      </c>
      <c r="AI632" s="3" t="str">
        <f>IF(Table1[[#This Row],[Rushing Attempts]] &lt; 15, "Y", "N")</f>
        <v>N</v>
      </c>
      <c r="AJ632" s="3" t="str">
        <f>IF(Table1[[#This Row],[Opp Passing Attempts]]&lt;15, "Y", "N")</f>
        <v>N</v>
      </c>
      <c r="AK632" s="3" t="str">
        <f>IF(Table1[[#This Row],[Opp Rushing Attempts]]&lt;15, "Y", "N")</f>
        <v>N</v>
      </c>
      <c r="AL63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3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3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632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632" s="3">
        <f>ABS(Table1[[#This Row],[Team Score]]-Table1[[#This Row],[Opp Team Score]])</f>
        <v>53</v>
      </c>
      <c r="AQ632" s="3">
        <f>SUM(Table1[[#This Row],[Team Score]], Table1[[#This Row],[Opp Team Score]])</f>
        <v>87</v>
      </c>
      <c r="AR63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32" s="3" t="str">
        <f>IF(Table1[[#This Row],[Efficiency Difference]] = " ", " ", ROUND((Table1[[#This Row],[Winning Margin]]*100)/Table1[[#This Row],[Efficiency Difference]], 2))</f>
        <v xml:space="preserve"> </v>
      </c>
    </row>
    <row r="633" spans="1:45">
      <c r="A633" t="s">
        <v>115</v>
      </c>
      <c r="B633">
        <v>651</v>
      </c>
      <c r="C633">
        <v>23</v>
      </c>
      <c r="D633">
        <v>128</v>
      </c>
      <c r="E633">
        <v>30</v>
      </c>
      <c r="F633">
        <v>1</v>
      </c>
      <c r="G633">
        <v>18</v>
      </c>
      <c r="H633">
        <v>0</v>
      </c>
      <c r="I633">
        <v>126</v>
      </c>
      <c r="J633">
        <v>42</v>
      </c>
      <c r="K633">
        <v>0</v>
      </c>
      <c r="L633">
        <v>0</v>
      </c>
      <c r="M633" t="s">
        <v>114</v>
      </c>
      <c r="N633">
        <v>513</v>
      </c>
      <c r="O633">
        <v>20</v>
      </c>
      <c r="P633">
        <v>391</v>
      </c>
      <c r="Q633">
        <v>49</v>
      </c>
      <c r="R633">
        <v>2</v>
      </c>
      <c r="S633">
        <v>31</v>
      </c>
      <c r="T633">
        <v>3</v>
      </c>
      <c r="U633">
        <v>117</v>
      </c>
      <c r="V633">
        <v>29</v>
      </c>
      <c r="W633">
        <v>1</v>
      </c>
      <c r="X633">
        <v>2</v>
      </c>
      <c r="Y633" t="s">
        <v>16</v>
      </c>
      <c r="Z633">
        <v>1</v>
      </c>
      <c r="AA633">
        <f>IF(AND(Table1[[#This Row],[Throw Out Pass Eff]]="N", Table1[[#This Row],[Against FCS Team]]="N"), ROUND(((5.45 * D633) + (150 * F633) + (100 * G633) - (300 * H633)) / E633, 2), " ")</f>
        <v>88.25</v>
      </c>
      <c r="AB633">
        <f>IF(AND(Table1[[#This Row],[Throw Out Pass Def Eff]]="N", Table1[[#This Row],[Against FCS Team]]="N"),200 - ROUND(((5.45 * P633) + (150 * R633) + (100 * S633) - (300 * T633)) / Q633, 2), " ")</f>
        <v>105.49</v>
      </c>
      <c r="AC633">
        <f>IF(AND(Table1[[#This Row],[Throw Out Rush Eff]]="N", Table1[[#This Row],[Against FCS Team]]="N"), ROUND(((23.2 * I633) + (150 * K633) - (300 * L633)) / J633, 2), " ")</f>
        <v>69.599999999999994</v>
      </c>
      <c r="AD633" s="3">
        <f>IF(AND(Table1[[#This Row],[Throw Out Rush Def Eff]]="N", Table1[[#This Row],[Against FCS Team]]="N"), 200 - ROUND(((23.2 * U633) + (150 * W633) - (300 * X633)) / V633, 2), " ")</f>
        <v>121.92</v>
      </c>
      <c r="AE633" s="3">
        <f>ROUND(Table1[[#This Row],[Opp Passing Attempts]]/(Table1[[#This Row],[Opp Passing Attempts]]+Table1[[#This Row],[Opp Rushing Attempts]]), 2)</f>
        <v>0.63</v>
      </c>
      <c r="AF633" s="3">
        <f>1-Table1[[#This Row],[Passing Weight]]</f>
        <v>0.37</v>
      </c>
      <c r="AG633" s="3" t="str">
        <f>IF(COUNTIF(A:A,Table1[[#This Row],[Opp Team Name]]) &gt; 0, "N", "Y")</f>
        <v>N</v>
      </c>
      <c r="AH633" s="3" t="str">
        <f>IF(Table1[[#This Row],[Passing Attempts]] &lt;15, "Y", "N")</f>
        <v>N</v>
      </c>
      <c r="AI633" s="3" t="str">
        <f>IF(Table1[[#This Row],[Rushing Attempts]] &lt; 15, "Y", "N")</f>
        <v>N</v>
      </c>
      <c r="AJ633" s="3" t="str">
        <f>IF(Table1[[#This Row],[Opp Passing Attempts]]&lt;15, "Y", "N")</f>
        <v>N</v>
      </c>
      <c r="AK633" s="3" t="str">
        <f>IF(Table1[[#This Row],[Opp Rushing Attempts]]&lt;15, "Y", "N")</f>
        <v>N</v>
      </c>
      <c r="AL6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90.82</v>
      </c>
      <c r="AM6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107.36</v>
      </c>
      <c r="AN6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81.11</v>
      </c>
      <c r="AO6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163.08000000000001</v>
      </c>
      <c r="AP633" s="3">
        <f>ABS(Table1[[#This Row],[Team Score]]-Table1[[#This Row],[Opp Team Score]])</f>
        <v>3</v>
      </c>
      <c r="AQ633" s="3">
        <f>SUM(Table1[[#This Row],[Team Score]], Table1[[#This Row],[Opp Team Score]])</f>
        <v>43</v>
      </c>
      <c r="AR6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14.740000000000009</v>
      </c>
      <c r="AS633" s="3">
        <f>IF(Table1[[#This Row],[Efficiency Difference]] = " ", " ", ROUND((Table1[[#This Row],[Winning Margin]]*100)/Table1[[#This Row],[Efficiency Difference]], 2))</f>
        <v>20.350000000000001</v>
      </c>
    </row>
    <row r="634" spans="1:45">
      <c r="A634" t="s">
        <v>115</v>
      </c>
      <c r="B634">
        <v>651</v>
      </c>
      <c r="C634">
        <v>37</v>
      </c>
      <c r="D634">
        <v>372</v>
      </c>
      <c r="E634">
        <v>50</v>
      </c>
      <c r="F634">
        <v>1</v>
      </c>
      <c r="G634">
        <v>31</v>
      </c>
      <c r="H634">
        <v>2</v>
      </c>
      <c r="I634">
        <v>147</v>
      </c>
      <c r="J634">
        <v>38</v>
      </c>
      <c r="K634">
        <v>2</v>
      </c>
      <c r="L634">
        <v>0</v>
      </c>
      <c r="M634" t="s">
        <v>34</v>
      </c>
      <c r="N634">
        <v>47</v>
      </c>
      <c r="O634">
        <v>7</v>
      </c>
      <c r="P634">
        <v>148</v>
      </c>
      <c r="Q634">
        <v>35</v>
      </c>
      <c r="R634">
        <v>0</v>
      </c>
      <c r="S634">
        <v>24</v>
      </c>
      <c r="T634">
        <v>0</v>
      </c>
      <c r="U634">
        <v>77</v>
      </c>
      <c r="V634">
        <v>33</v>
      </c>
      <c r="W634">
        <v>1</v>
      </c>
      <c r="X634">
        <v>3</v>
      </c>
      <c r="Y634" t="s">
        <v>16</v>
      </c>
      <c r="Z634">
        <v>2</v>
      </c>
      <c r="AA634">
        <f>IF(AND(Table1[[#This Row],[Throw Out Pass Eff]]="N", Table1[[#This Row],[Against FCS Team]]="N"), ROUND(((5.45 * D634) + (150 * F634) + (100 * G634) - (300 * H634)) / E634, 2), " ")</f>
        <v>93.55</v>
      </c>
      <c r="AB634">
        <f>IF(AND(Table1[[#This Row],[Throw Out Pass Def Eff]]="N", Table1[[#This Row],[Against FCS Team]]="N"),200 - ROUND(((5.45 * P634) + (150 * R634) + (100 * S634) - (300 * T634)) / Q634, 2), " ")</f>
        <v>108.38</v>
      </c>
      <c r="AC634">
        <f>IF(AND(Table1[[#This Row],[Throw Out Rush Eff]]="N", Table1[[#This Row],[Against FCS Team]]="N"), ROUND(((23.2 * I634) + (150 * K634) - (300 * L634)) / J634, 2), " ")</f>
        <v>97.64</v>
      </c>
      <c r="AD634" s="3">
        <f>IF(AND(Table1[[#This Row],[Throw Out Rush Def Eff]]="N", Table1[[#This Row],[Against FCS Team]]="N"), 200 - ROUND(((23.2 * U634) + (150 * W634) - (300 * X634)) / V634, 2), " ")</f>
        <v>168.59</v>
      </c>
      <c r="AE634" s="3">
        <f>ROUND(Table1[[#This Row],[Opp Passing Attempts]]/(Table1[[#This Row],[Opp Passing Attempts]]+Table1[[#This Row],[Opp Rushing Attempts]]), 2)</f>
        <v>0.51</v>
      </c>
      <c r="AF634" s="3">
        <f>1-Table1[[#This Row],[Passing Weight]]</f>
        <v>0.49</v>
      </c>
      <c r="AG634" s="3" t="str">
        <f>IF(COUNTIF(A:A,Table1[[#This Row],[Opp Team Name]]) &gt; 0, "N", "Y")</f>
        <v>N</v>
      </c>
      <c r="AH634" s="3" t="str">
        <f>IF(Table1[[#This Row],[Passing Attempts]] &lt;15, "Y", "N")</f>
        <v>N</v>
      </c>
      <c r="AI634" s="3" t="str">
        <f>IF(Table1[[#This Row],[Rushing Attempts]] &lt; 15, "Y", "N")</f>
        <v>N</v>
      </c>
      <c r="AJ634" s="3" t="str">
        <f>IF(Table1[[#This Row],[Opp Passing Attempts]]&lt;15, "Y", "N")</f>
        <v>N</v>
      </c>
      <c r="AK634" s="3" t="str">
        <f>IF(Table1[[#This Row],[Opp Rushing Attempts]]&lt;15, "Y", "N")</f>
        <v>N</v>
      </c>
      <c r="AL63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79.5</v>
      </c>
      <c r="AM63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105.5</v>
      </c>
      <c r="AN63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84.45</v>
      </c>
      <c r="AO63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145.16</v>
      </c>
      <c r="AP634" s="3">
        <f>ABS(Table1[[#This Row],[Team Score]]-Table1[[#This Row],[Opp Team Score]])</f>
        <v>30</v>
      </c>
      <c r="AQ634" s="3">
        <f>SUM(Table1[[#This Row],[Team Score]], Table1[[#This Row],[Opp Team Score]])</f>
        <v>44</v>
      </c>
      <c r="AR63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68.160000000000025</v>
      </c>
      <c r="AS634" s="3">
        <f>IF(Table1[[#This Row],[Efficiency Difference]] = " ", " ", ROUND((Table1[[#This Row],[Winning Margin]]*100)/Table1[[#This Row],[Efficiency Difference]], 2))</f>
        <v>44.01</v>
      </c>
    </row>
    <row r="635" spans="1:45">
      <c r="A635" t="s">
        <v>115</v>
      </c>
      <c r="B635">
        <v>651</v>
      </c>
      <c r="C635">
        <v>52</v>
      </c>
      <c r="D635">
        <v>202</v>
      </c>
      <c r="E635">
        <v>24</v>
      </c>
      <c r="F635">
        <v>2</v>
      </c>
      <c r="G635">
        <v>15</v>
      </c>
      <c r="H635">
        <v>0</v>
      </c>
      <c r="I635">
        <v>373</v>
      </c>
      <c r="J635">
        <v>45</v>
      </c>
      <c r="K635">
        <v>4</v>
      </c>
      <c r="L635">
        <v>0</v>
      </c>
      <c r="M635" t="s">
        <v>148</v>
      </c>
      <c r="N635">
        <v>704</v>
      </c>
      <c r="O635">
        <v>24</v>
      </c>
      <c r="P635">
        <v>244</v>
      </c>
      <c r="Q635">
        <v>42</v>
      </c>
      <c r="R635">
        <v>2</v>
      </c>
      <c r="S635">
        <v>27</v>
      </c>
      <c r="T635">
        <v>3</v>
      </c>
      <c r="U635">
        <v>95</v>
      </c>
      <c r="V635">
        <v>32</v>
      </c>
      <c r="W635">
        <v>1</v>
      </c>
      <c r="X635">
        <v>0</v>
      </c>
      <c r="Y635" t="s">
        <v>16</v>
      </c>
      <c r="Z635">
        <v>4</v>
      </c>
      <c r="AA635">
        <f>IF(AND(Table1[[#This Row],[Throw Out Pass Eff]]="N", Table1[[#This Row],[Against FCS Team]]="N"), ROUND(((5.45 * D635) + (150 * F635) + (100 * G635) - (300 * H635)) / E635, 2), " ")</f>
        <v>120.87</v>
      </c>
      <c r="AB635">
        <f>IF(AND(Table1[[#This Row],[Throw Out Pass Def Eff]]="N", Table1[[#This Row],[Against FCS Team]]="N"),200 - ROUND(((5.45 * P635) + (150 * R635) + (100 * S635) - (300 * T635)) / Q635, 2), " ")</f>
        <v>118.34</v>
      </c>
      <c r="AC635">
        <f>IF(AND(Table1[[#This Row],[Throw Out Rush Eff]]="N", Table1[[#This Row],[Against FCS Team]]="N"), ROUND(((23.2 * I635) + (150 * K635) - (300 * L635)) / J635, 2), " ")</f>
        <v>205.64</v>
      </c>
      <c r="AD635" s="3">
        <f>IF(AND(Table1[[#This Row],[Throw Out Rush Def Eff]]="N", Table1[[#This Row],[Against FCS Team]]="N"), 200 - ROUND(((23.2 * U635) + (150 * W635) - (300 * X635)) / V635, 2), " ")</f>
        <v>126.44</v>
      </c>
      <c r="AE635" s="3">
        <f>ROUND(Table1[[#This Row],[Opp Passing Attempts]]/(Table1[[#This Row],[Opp Passing Attempts]]+Table1[[#This Row],[Opp Rushing Attempts]]), 2)</f>
        <v>0.56999999999999995</v>
      </c>
      <c r="AF635" s="3">
        <f>1-Table1[[#This Row],[Passing Weight]]</f>
        <v>0.43000000000000005</v>
      </c>
      <c r="AG635" s="3" t="str">
        <f>IF(COUNTIF(A:A,Table1[[#This Row],[Opp Team Name]]) &gt; 0, "N", "Y")</f>
        <v>N</v>
      </c>
      <c r="AH635" s="3" t="str">
        <f>IF(Table1[[#This Row],[Passing Attempts]] &lt;15, "Y", "N")</f>
        <v>N</v>
      </c>
      <c r="AI635" s="3" t="str">
        <f>IF(Table1[[#This Row],[Rushing Attempts]] &lt; 15, "Y", "N")</f>
        <v>N</v>
      </c>
      <c r="AJ635" s="3" t="str">
        <f>IF(Table1[[#This Row],[Opp Passing Attempts]]&lt;15, "Y", "N")</f>
        <v>N</v>
      </c>
      <c r="AK635" s="3" t="str">
        <f>IF(Table1[[#This Row],[Opp Rushing Attempts]]&lt;15, "Y", "N")</f>
        <v>N</v>
      </c>
      <c r="AL6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130.07</v>
      </c>
      <c r="AM6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91.66</v>
      </c>
      <c r="AN6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175.58</v>
      </c>
      <c r="AO6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153.04</v>
      </c>
      <c r="AP635" s="3">
        <f>ABS(Table1[[#This Row],[Team Score]]-Table1[[#This Row],[Opp Team Score]])</f>
        <v>28</v>
      </c>
      <c r="AQ635" s="3">
        <f>SUM(Table1[[#This Row],[Team Score]], Table1[[#This Row],[Opp Team Score]])</f>
        <v>76</v>
      </c>
      <c r="AR63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171.29</v>
      </c>
      <c r="AS635" s="3">
        <f>IF(Table1[[#This Row],[Efficiency Difference]] = " ", " ", ROUND((Table1[[#This Row],[Winning Margin]]*100)/Table1[[#This Row],[Efficiency Difference]], 2))</f>
        <v>16.350000000000001</v>
      </c>
    </row>
    <row r="636" spans="1:45">
      <c r="A636" t="s">
        <v>115</v>
      </c>
      <c r="B636">
        <v>651</v>
      </c>
      <c r="C636">
        <v>17</v>
      </c>
      <c r="D636">
        <v>223</v>
      </c>
      <c r="E636">
        <v>36</v>
      </c>
      <c r="F636">
        <v>0</v>
      </c>
      <c r="G636">
        <v>18</v>
      </c>
      <c r="H636">
        <v>0</v>
      </c>
      <c r="I636">
        <v>202</v>
      </c>
      <c r="J636">
        <v>38</v>
      </c>
      <c r="K636">
        <v>2</v>
      </c>
      <c r="L636">
        <v>2</v>
      </c>
      <c r="M636" t="s">
        <v>45</v>
      </c>
      <c r="N636">
        <v>545</v>
      </c>
      <c r="O636">
        <v>44</v>
      </c>
      <c r="P636">
        <v>216</v>
      </c>
      <c r="Q636">
        <v>33</v>
      </c>
      <c r="R636">
        <v>1</v>
      </c>
      <c r="S636">
        <v>22</v>
      </c>
      <c r="T636">
        <v>0</v>
      </c>
      <c r="U636">
        <v>307</v>
      </c>
      <c r="V636">
        <v>58</v>
      </c>
      <c r="W636">
        <v>4</v>
      </c>
      <c r="X636">
        <v>1</v>
      </c>
      <c r="Y636" t="s">
        <v>19</v>
      </c>
      <c r="Z636">
        <v>5</v>
      </c>
      <c r="AA636">
        <f>IF(AND(Table1[[#This Row],[Throw Out Pass Eff]]="N", Table1[[#This Row],[Against FCS Team]]="N"), ROUND(((5.45 * D636) + (150 * F636) + (100 * G636) - (300 * H636)) / E636, 2), " ")</f>
        <v>83.76</v>
      </c>
      <c r="AB636">
        <f>IF(AND(Table1[[#This Row],[Throw Out Pass Def Eff]]="N", Table1[[#This Row],[Against FCS Team]]="N"),200 - ROUND(((5.45 * P636) + (150 * R636) + (100 * S636) - (300 * T636)) / Q636, 2), " ")</f>
        <v>93.12</v>
      </c>
      <c r="AC636">
        <f>IF(AND(Table1[[#This Row],[Throw Out Rush Eff]]="N", Table1[[#This Row],[Against FCS Team]]="N"), ROUND(((23.2 * I636) + (150 * K636) - (300 * L636)) / J636, 2), " ")</f>
        <v>115.43</v>
      </c>
      <c r="AD636" s="3">
        <f>IF(AND(Table1[[#This Row],[Throw Out Rush Def Eff]]="N", Table1[[#This Row],[Against FCS Team]]="N"), 200 - ROUND(((23.2 * U636) + (150 * W636) - (300 * X636)) / V636, 2), " ")</f>
        <v>72.03</v>
      </c>
      <c r="AE636" s="3">
        <f>ROUND(Table1[[#This Row],[Opp Passing Attempts]]/(Table1[[#This Row],[Opp Passing Attempts]]+Table1[[#This Row],[Opp Rushing Attempts]]), 2)</f>
        <v>0.36</v>
      </c>
      <c r="AF636" s="3">
        <f>1-Table1[[#This Row],[Passing Weight]]</f>
        <v>0.64</v>
      </c>
      <c r="AG636" s="3" t="str">
        <f>IF(COUNTIF(A:A,Table1[[#This Row],[Opp Team Name]]) &gt; 0, "N", "Y")</f>
        <v>N</v>
      </c>
      <c r="AH636" s="3" t="str">
        <f>IF(Table1[[#This Row],[Passing Attempts]] &lt;15, "Y", "N")</f>
        <v>N</v>
      </c>
      <c r="AI636" s="3" t="str">
        <f>IF(Table1[[#This Row],[Rushing Attempts]] &lt; 15, "Y", "N")</f>
        <v>N</v>
      </c>
      <c r="AJ636" s="3" t="str">
        <f>IF(Table1[[#This Row],[Opp Passing Attempts]]&lt;15, "Y", "N")</f>
        <v>N</v>
      </c>
      <c r="AK636" s="3" t="str">
        <f>IF(Table1[[#This Row],[Opp Rushing Attempts]]&lt;15, "Y", "N")</f>
        <v>N</v>
      </c>
      <c r="AL6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88.57</v>
      </c>
      <c r="AM6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73.17</v>
      </c>
      <c r="AN6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138.56</v>
      </c>
      <c r="AO6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66.430000000000007</v>
      </c>
      <c r="AP636" s="3">
        <f>ABS(Table1[[#This Row],[Team Score]]-Table1[[#This Row],[Opp Team Score]])</f>
        <v>27</v>
      </c>
      <c r="AQ636" s="3">
        <f>SUM(Table1[[#This Row],[Team Score]], Table1[[#This Row],[Opp Team Score]])</f>
        <v>61</v>
      </c>
      <c r="AR6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35.659999999999997</v>
      </c>
      <c r="AS636" s="3">
        <f>IF(Table1[[#This Row],[Efficiency Difference]] = " ", " ", ROUND((Table1[[#This Row],[Winning Margin]]*100)/Table1[[#This Row],[Efficiency Difference]], 2))</f>
        <v>75.72</v>
      </c>
    </row>
    <row r="637" spans="1:45">
      <c r="A637" t="s">
        <v>115</v>
      </c>
      <c r="B637">
        <v>651</v>
      </c>
      <c r="C637">
        <v>10</v>
      </c>
      <c r="D637">
        <v>164</v>
      </c>
      <c r="E637">
        <v>27</v>
      </c>
      <c r="F637">
        <v>0</v>
      </c>
      <c r="G637">
        <v>15</v>
      </c>
      <c r="H637">
        <v>2</v>
      </c>
      <c r="I637">
        <v>175</v>
      </c>
      <c r="J637">
        <v>36</v>
      </c>
      <c r="K637">
        <v>1</v>
      </c>
      <c r="L637">
        <v>2</v>
      </c>
      <c r="M637" t="s">
        <v>60</v>
      </c>
      <c r="N637">
        <v>164</v>
      </c>
      <c r="O637">
        <v>16</v>
      </c>
      <c r="P637">
        <v>135</v>
      </c>
      <c r="Q637">
        <v>25</v>
      </c>
      <c r="R637">
        <v>0</v>
      </c>
      <c r="S637">
        <v>14</v>
      </c>
      <c r="T637">
        <v>0</v>
      </c>
      <c r="U637">
        <v>118</v>
      </c>
      <c r="V637">
        <v>48</v>
      </c>
      <c r="W637">
        <v>0</v>
      </c>
      <c r="X637">
        <v>2</v>
      </c>
      <c r="Y637" t="s">
        <v>19</v>
      </c>
      <c r="Z637">
        <v>7</v>
      </c>
      <c r="AA637">
        <f>IF(AND(Table1[[#This Row],[Throw Out Pass Eff]]="N", Table1[[#This Row],[Against FCS Team]]="N"), ROUND(((5.45 * D637) + (150 * F637) + (100 * G637) - (300 * H637)) / E637, 2), " ")</f>
        <v>66.44</v>
      </c>
      <c r="AB637">
        <f>IF(AND(Table1[[#This Row],[Throw Out Pass Def Eff]]="N", Table1[[#This Row],[Against FCS Team]]="N"),200 - ROUND(((5.45 * P637) + (150 * R637) + (100 * S637) - (300 * T637)) / Q637, 2), " ")</f>
        <v>114.57</v>
      </c>
      <c r="AC637">
        <f>IF(AND(Table1[[#This Row],[Throw Out Rush Eff]]="N", Table1[[#This Row],[Against FCS Team]]="N"), ROUND(((23.2 * I637) + (150 * K637) - (300 * L637)) / J637, 2), " ")</f>
        <v>100.28</v>
      </c>
      <c r="AD637" s="3">
        <f>IF(AND(Table1[[#This Row],[Throw Out Rush Def Eff]]="N", Table1[[#This Row],[Against FCS Team]]="N"), 200 - ROUND(((23.2 * U637) + (150 * W637) - (300 * X637)) / V637, 2), " ")</f>
        <v>155.47</v>
      </c>
      <c r="AE637" s="3">
        <f>ROUND(Table1[[#This Row],[Opp Passing Attempts]]/(Table1[[#This Row],[Opp Passing Attempts]]+Table1[[#This Row],[Opp Rushing Attempts]]), 2)</f>
        <v>0.34</v>
      </c>
      <c r="AF637" s="3">
        <f>1-Table1[[#This Row],[Passing Weight]]</f>
        <v>0.65999999999999992</v>
      </c>
      <c r="AG637" s="3" t="str">
        <f>IF(COUNTIF(A:A,Table1[[#This Row],[Opp Team Name]]) &gt; 0, "N", "Y")</f>
        <v>N</v>
      </c>
      <c r="AH637" s="3" t="str">
        <f>IF(Table1[[#This Row],[Passing Attempts]] &lt;15, "Y", "N")</f>
        <v>N</v>
      </c>
      <c r="AI637" s="3" t="str">
        <f>IF(Table1[[#This Row],[Rushing Attempts]] &lt; 15, "Y", "N")</f>
        <v>N</v>
      </c>
      <c r="AJ637" s="3" t="str">
        <f>IF(Table1[[#This Row],[Opp Passing Attempts]]&lt;15, "Y", "N")</f>
        <v>N</v>
      </c>
      <c r="AK637" s="3" t="str">
        <f>IF(Table1[[#This Row],[Opp Rushing Attempts]]&lt;15, "Y", "N")</f>
        <v>N</v>
      </c>
      <c r="AL6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73.819999999999993</v>
      </c>
      <c r="AM6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96.28</v>
      </c>
      <c r="AN6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136.13</v>
      </c>
      <c r="AO6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85.96</v>
      </c>
      <c r="AP637" s="3">
        <f>ABS(Table1[[#This Row],[Team Score]]-Table1[[#This Row],[Opp Team Score]])</f>
        <v>6</v>
      </c>
      <c r="AQ637" s="3">
        <f>SUM(Table1[[#This Row],[Team Score]], Table1[[#This Row],[Opp Team Score]])</f>
        <v>26</v>
      </c>
      <c r="AR6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36.759999999999962</v>
      </c>
      <c r="AS637" s="3">
        <f>IF(Table1[[#This Row],[Efficiency Difference]] = " ", " ", ROUND((Table1[[#This Row],[Winning Margin]]*100)/Table1[[#This Row],[Efficiency Difference]], 2))</f>
        <v>16.32</v>
      </c>
    </row>
    <row r="638" spans="1:45">
      <c r="A638" t="s">
        <v>115</v>
      </c>
      <c r="B638">
        <v>651</v>
      </c>
      <c r="C638">
        <v>34</v>
      </c>
      <c r="D638">
        <v>409</v>
      </c>
      <c r="E638">
        <v>48</v>
      </c>
      <c r="F638">
        <v>3</v>
      </c>
      <c r="G638">
        <v>31</v>
      </c>
      <c r="H638">
        <v>1</v>
      </c>
      <c r="I638">
        <v>86</v>
      </c>
      <c r="J638">
        <v>36</v>
      </c>
      <c r="K638">
        <v>1</v>
      </c>
      <c r="L638">
        <v>3</v>
      </c>
      <c r="M638" t="s">
        <v>52</v>
      </c>
      <c r="N638">
        <v>140</v>
      </c>
      <c r="O638">
        <v>37</v>
      </c>
      <c r="P638">
        <v>389</v>
      </c>
      <c r="Q638">
        <v>41</v>
      </c>
      <c r="R638">
        <v>3</v>
      </c>
      <c r="S638">
        <v>26</v>
      </c>
      <c r="T638">
        <v>2</v>
      </c>
      <c r="U638">
        <v>118</v>
      </c>
      <c r="V638">
        <v>34</v>
      </c>
      <c r="W638">
        <v>2</v>
      </c>
      <c r="X638">
        <v>1</v>
      </c>
      <c r="Y638" t="s">
        <v>19</v>
      </c>
      <c r="Z638">
        <v>8</v>
      </c>
      <c r="AA638" s="3">
        <f>IF(AND(Table1[[#This Row],[Throw Out Pass Eff]]="N", Table1[[#This Row],[Against FCS Team]]="N"), ROUND(((5.45 * D638) + (150 * F638) + (100 * G638) - (300 * H638)) / E638, 2), " ")</f>
        <v>114.15</v>
      </c>
      <c r="AB638" s="3">
        <f>IF(AND(Table1[[#This Row],[Throw Out Pass Def Eff]]="N", Table1[[#This Row],[Against FCS Team]]="N"),200 - ROUND(((5.45 * P638) + (150 * R638) + (100 * S638) - (300 * T638)) / Q638, 2), " ")</f>
        <v>88.54</v>
      </c>
      <c r="AC638" s="3">
        <f>IF(AND(Table1[[#This Row],[Throw Out Rush Eff]]="N", Table1[[#This Row],[Against FCS Team]]="N"), ROUND(((23.2 * I638) + (150 * K638) - (300 * L638)) / J638, 2), " ")</f>
        <v>34.590000000000003</v>
      </c>
      <c r="AD638" s="3">
        <f>IF(AND(Table1[[#This Row],[Throw Out Rush Def Eff]]="N", Table1[[#This Row],[Against FCS Team]]="N"), 200 - ROUND(((23.2 * U638) + (150 * W638) - (300 * X638)) / V638, 2), " ")</f>
        <v>119.48</v>
      </c>
      <c r="AE638" s="3">
        <f>ROUND(Table1[[#This Row],[Opp Passing Attempts]]/(Table1[[#This Row],[Opp Passing Attempts]]+Table1[[#This Row],[Opp Rushing Attempts]]), 2)</f>
        <v>0.55000000000000004</v>
      </c>
      <c r="AF638" s="3">
        <f>1-Table1[[#This Row],[Passing Weight]]</f>
        <v>0.44999999999999996</v>
      </c>
      <c r="AG638" s="3" t="str">
        <f>IF(COUNTIF(A:A,Table1[[#This Row],[Opp Team Name]]) &gt; 0, "N", "Y")</f>
        <v>N</v>
      </c>
      <c r="AH638" s="3" t="str">
        <f>IF(Table1[[#This Row],[Passing Attempts]] &lt;15, "Y", "N")</f>
        <v>N</v>
      </c>
      <c r="AI638" s="3" t="str">
        <f>IF(Table1[[#This Row],[Rushing Attempts]] &lt; 15, "Y", "N")</f>
        <v>N</v>
      </c>
      <c r="AJ638" s="3" t="str">
        <f>IF(Table1[[#This Row],[Opp Passing Attempts]]&lt;15, "Y", "N")</f>
        <v>N</v>
      </c>
      <c r="AK638" s="3" t="str">
        <f>IF(Table1[[#This Row],[Opp Rushing Attempts]]&lt;15, "Y", "N")</f>
        <v>N</v>
      </c>
      <c r="AL63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112.58</v>
      </c>
      <c r="AM63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92.83</v>
      </c>
      <c r="AN63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58.9</v>
      </c>
      <c r="AO63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130.88</v>
      </c>
      <c r="AP638" s="3">
        <f>ABS(Table1[[#This Row],[Team Score]]-Table1[[#This Row],[Opp Team Score]])</f>
        <v>3</v>
      </c>
      <c r="AQ638" s="3">
        <f>SUM(Table1[[#This Row],[Team Score]], Table1[[#This Row],[Opp Team Score]])</f>
        <v>71</v>
      </c>
      <c r="AR63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43.239999999999981</v>
      </c>
      <c r="AS638" s="3">
        <f>IF(Table1[[#This Row],[Efficiency Difference]] = " ", " ", ROUND((Table1[[#This Row],[Winning Margin]]*100)/Table1[[#This Row],[Efficiency Difference]], 2))</f>
        <v>6.94</v>
      </c>
    </row>
    <row r="639" spans="1:45">
      <c r="A639" t="s">
        <v>141</v>
      </c>
      <c r="B639">
        <v>655</v>
      </c>
      <c r="C639">
        <v>38</v>
      </c>
      <c r="D639">
        <v>349</v>
      </c>
      <c r="E639">
        <v>45</v>
      </c>
      <c r="F639">
        <v>0</v>
      </c>
      <c r="G639">
        <v>26</v>
      </c>
      <c r="H639">
        <v>0</v>
      </c>
      <c r="I639">
        <v>147</v>
      </c>
      <c r="J639">
        <v>39</v>
      </c>
      <c r="K639">
        <v>5</v>
      </c>
      <c r="L639">
        <v>0</v>
      </c>
      <c r="M639" t="s">
        <v>136</v>
      </c>
      <c r="N639">
        <v>670</v>
      </c>
      <c r="O639">
        <v>28</v>
      </c>
      <c r="P639">
        <v>172</v>
      </c>
      <c r="Q639">
        <v>21</v>
      </c>
      <c r="R639">
        <v>1</v>
      </c>
      <c r="S639">
        <v>12</v>
      </c>
      <c r="T639">
        <v>0</v>
      </c>
      <c r="U639">
        <v>336</v>
      </c>
      <c r="V639">
        <v>45</v>
      </c>
      <c r="W639">
        <v>3</v>
      </c>
      <c r="X639">
        <v>2</v>
      </c>
      <c r="Y639" t="s">
        <v>16</v>
      </c>
      <c r="Z639">
        <v>8</v>
      </c>
      <c r="AA639" s="3">
        <f>IF(AND(Table1[[#This Row],[Throw Out Pass Eff]]="N", Table1[[#This Row],[Against FCS Team]]="N"), ROUND(((5.45 * D639) + (150 * F639) + (100 * G639) - (300 * H639)) / E639, 2), " ")</f>
        <v>100.05</v>
      </c>
      <c r="AB639" s="3">
        <f>IF(AND(Table1[[#This Row],[Throw Out Pass Def Eff]]="N", Table1[[#This Row],[Against FCS Team]]="N"),200 - ROUND(((5.45 * P639) + (150 * R639) + (100 * S639) - (300 * T639)) / Q639, 2), " ")</f>
        <v>91.08</v>
      </c>
      <c r="AC639" s="3">
        <f>IF(AND(Table1[[#This Row],[Throw Out Rush Eff]]="N", Table1[[#This Row],[Against FCS Team]]="N"), ROUND(((23.2 * I639) + (150 * K639) - (300 * L639)) / J639, 2), " ")</f>
        <v>106.68</v>
      </c>
      <c r="AD639" s="3">
        <f>IF(AND(Table1[[#This Row],[Throw Out Rush Def Eff]]="N", Table1[[#This Row],[Against FCS Team]]="N"), 200 - ROUND(((23.2 * U639) + (150 * W639) - (300 * X639)) / V639, 2), " ")</f>
        <v>30.110000000000014</v>
      </c>
      <c r="AE639" s="3">
        <f>ROUND(Table1[[#This Row],[Opp Passing Attempts]]/(Table1[[#This Row],[Opp Passing Attempts]]+Table1[[#This Row],[Opp Rushing Attempts]]), 2)</f>
        <v>0.32</v>
      </c>
      <c r="AF639" s="3">
        <f>1-Table1[[#This Row],[Passing Weight]]</f>
        <v>0.67999999999999994</v>
      </c>
      <c r="AG639" s="3" t="str">
        <f>IF(COUNTIF(A:A,Table1[[#This Row],[Opp Team Name]]) &gt; 0, "N", "Y")</f>
        <v>N</v>
      </c>
      <c r="AH639" s="3" t="str">
        <f>IF(Table1[[#This Row],[Passing Attempts]] &lt;15, "Y", "N")</f>
        <v>N</v>
      </c>
      <c r="AI639" s="3" t="str">
        <f>IF(Table1[[#This Row],[Rushing Attempts]] &lt; 15, "Y", "N")</f>
        <v>N</v>
      </c>
      <c r="AJ639" s="3" t="str">
        <f>IF(Table1[[#This Row],[Opp Passing Attempts]]&lt;15, "Y", "N")</f>
        <v>N</v>
      </c>
      <c r="AK639" s="3" t="str">
        <f>IF(Table1[[#This Row],[Opp Rushing Attempts]]&lt;15, "Y", "N")</f>
        <v>N</v>
      </c>
      <c r="AL63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109.21</v>
      </c>
      <c r="AM6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87.06</v>
      </c>
      <c r="AN6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71.02</v>
      </c>
      <c r="AO6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29.54</v>
      </c>
      <c r="AP639" s="3">
        <f>ABS(Table1[[#This Row],[Team Score]]-Table1[[#This Row],[Opp Team Score]])</f>
        <v>10</v>
      </c>
      <c r="AQ639" s="3">
        <f>SUM(Table1[[#This Row],[Team Score]], Table1[[#This Row],[Opp Team Score]])</f>
        <v>66</v>
      </c>
      <c r="AR63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72.079999999999984</v>
      </c>
      <c r="AS639" s="3">
        <f>IF(Table1[[#This Row],[Efficiency Difference]] = " ", " ", ROUND((Table1[[#This Row],[Winning Margin]]*100)/Table1[[#This Row],[Efficiency Difference]], 2))</f>
        <v>13.87</v>
      </c>
    </row>
    <row r="640" spans="1:45">
      <c r="A640" t="s">
        <v>103</v>
      </c>
      <c r="B640">
        <v>657</v>
      </c>
      <c r="C640">
        <v>19</v>
      </c>
      <c r="D640">
        <v>304</v>
      </c>
      <c r="E640">
        <v>45</v>
      </c>
      <c r="F640">
        <v>3</v>
      </c>
      <c r="G640">
        <v>34</v>
      </c>
      <c r="H640">
        <v>0</v>
      </c>
      <c r="I640">
        <v>67</v>
      </c>
      <c r="J640">
        <v>28</v>
      </c>
      <c r="K640">
        <v>0</v>
      </c>
      <c r="L640">
        <v>1</v>
      </c>
      <c r="M640" t="s">
        <v>102</v>
      </c>
      <c r="N640">
        <v>428</v>
      </c>
      <c r="O640">
        <v>17</v>
      </c>
      <c r="P640">
        <v>192</v>
      </c>
      <c r="Q640">
        <v>26</v>
      </c>
      <c r="R640">
        <v>1</v>
      </c>
      <c r="S640">
        <v>14</v>
      </c>
      <c r="T640">
        <v>1</v>
      </c>
      <c r="U640">
        <v>110</v>
      </c>
      <c r="V640">
        <v>34</v>
      </c>
      <c r="W640">
        <v>1</v>
      </c>
      <c r="X640">
        <v>0</v>
      </c>
      <c r="Y640" t="s">
        <v>16</v>
      </c>
      <c r="Z640">
        <v>1</v>
      </c>
      <c r="AA640">
        <f>IF(AND(Table1[[#This Row],[Throw Out Pass Eff]]="N", Table1[[#This Row],[Against FCS Team]]="N"), ROUND(((5.45 * D640) + (150 * F640) + (100 * G640) - (300 * H640)) / E640, 2), " ")</f>
        <v>122.37</v>
      </c>
      <c r="AB640">
        <f>IF(AND(Table1[[#This Row],[Throw Out Pass Def Eff]]="N", Table1[[#This Row],[Against FCS Team]]="N"),200 - ROUND(((5.45 * P640) + (150 * R640) + (100 * S640) - (300 * T640)) / Q640, 2), " ")</f>
        <v>111.68</v>
      </c>
      <c r="AC640">
        <f>IF(AND(Table1[[#This Row],[Throw Out Rush Eff]]="N", Table1[[#This Row],[Against FCS Team]]="N"), ROUND(((23.2 * I640) + (150 * K640) - (300 * L640)) / J640, 2), " ")</f>
        <v>44.8</v>
      </c>
      <c r="AD640" s="3">
        <f>IF(AND(Table1[[#This Row],[Throw Out Rush Def Eff]]="N", Table1[[#This Row],[Against FCS Team]]="N"), 200 - ROUND(((23.2 * U640) + (150 * W640) - (300 * X640)) / V640, 2), " ")</f>
        <v>120.53</v>
      </c>
      <c r="AE640" s="3">
        <f>ROUND(Table1[[#This Row],[Opp Passing Attempts]]/(Table1[[#This Row],[Opp Passing Attempts]]+Table1[[#This Row],[Opp Rushing Attempts]]), 2)</f>
        <v>0.43</v>
      </c>
      <c r="AF640" s="3">
        <f>1-Table1[[#This Row],[Passing Weight]]</f>
        <v>0.57000000000000006</v>
      </c>
      <c r="AG640" s="3" t="str">
        <f>IF(COUNTIF(A:A,Table1[[#This Row],[Opp Team Name]]) &gt; 0, "N", "Y")</f>
        <v>N</v>
      </c>
      <c r="AH640" s="3" t="str">
        <f>IF(Table1[[#This Row],[Passing Attempts]] &lt;15, "Y", "N")</f>
        <v>N</v>
      </c>
      <c r="AI640" s="3" t="str">
        <f>IF(Table1[[#This Row],[Rushing Attempts]] &lt; 15, "Y", "N")</f>
        <v>N</v>
      </c>
      <c r="AJ640" s="3" t="str">
        <f>IF(Table1[[#This Row],[Opp Passing Attempts]]&lt;15, "Y", "N")</f>
        <v>N</v>
      </c>
      <c r="AK640" s="3" t="str">
        <f>IF(Table1[[#This Row],[Opp Rushing Attempts]]&lt;15, "Y", "N")</f>
        <v>N</v>
      </c>
      <c r="AL64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106.13</v>
      </c>
      <c r="AM6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89.34</v>
      </c>
      <c r="AN6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38.78</v>
      </c>
      <c r="AO6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100.91</v>
      </c>
      <c r="AP640" s="3">
        <f>ABS(Table1[[#This Row],[Team Score]]-Table1[[#This Row],[Opp Team Score]])</f>
        <v>2</v>
      </c>
      <c r="AQ640" s="3">
        <f>SUM(Table1[[#This Row],[Team Score]], Table1[[#This Row],[Opp Team Score]])</f>
        <v>36</v>
      </c>
      <c r="AR64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0.61999999999997613</v>
      </c>
      <c r="AS640" s="3">
        <f>IF(Table1[[#This Row],[Efficiency Difference]] = " ", " ", ROUND((Table1[[#This Row],[Winning Margin]]*100)/Table1[[#This Row],[Efficiency Difference]], 2))</f>
        <v>322.58</v>
      </c>
    </row>
    <row r="641" spans="1:45">
      <c r="A641" t="s">
        <v>103</v>
      </c>
      <c r="B641">
        <v>657</v>
      </c>
      <c r="C641">
        <v>23</v>
      </c>
      <c r="D641">
        <v>264</v>
      </c>
      <c r="E641">
        <v>32</v>
      </c>
      <c r="F641">
        <v>1</v>
      </c>
      <c r="G641">
        <v>20</v>
      </c>
      <c r="H641">
        <v>1</v>
      </c>
      <c r="I641">
        <v>152</v>
      </c>
      <c r="J641">
        <v>39</v>
      </c>
      <c r="K641">
        <v>1</v>
      </c>
      <c r="L641">
        <v>2</v>
      </c>
      <c r="M641" t="s">
        <v>146</v>
      </c>
      <c r="N641">
        <v>732</v>
      </c>
      <c r="O641">
        <v>14</v>
      </c>
      <c r="P641">
        <v>238</v>
      </c>
      <c r="Q641">
        <v>46</v>
      </c>
      <c r="R641">
        <v>1</v>
      </c>
      <c r="S641">
        <v>23</v>
      </c>
      <c r="T641">
        <v>0</v>
      </c>
      <c r="U641">
        <v>81</v>
      </c>
      <c r="V641">
        <v>25</v>
      </c>
      <c r="W641">
        <v>1</v>
      </c>
      <c r="X641">
        <v>1</v>
      </c>
      <c r="Y641" t="s">
        <v>16</v>
      </c>
      <c r="Z641">
        <v>2</v>
      </c>
      <c r="AA641">
        <f>IF(AND(Table1[[#This Row],[Throw Out Pass Eff]]="N", Table1[[#This Row],[Against FCS Team]]="N"), ROUND(((5.45 * D641) + (150 * F641) + (100 * G641) - (300 * H641)) / E641, 2), " ")</f>
        <v>102.78</v>
      </c>
      <c r="AB641">
        <f>IF(AND(Table1[[#This Row],[Throw Out Pass Def Eff]]="N", Table1[[#This Row],[Against FCS Team]]="N"),200 - ROUND(((5.45 * P641) + (150 * R641) + (100 * S641) - (300 * T641)) / Q641, 2), " ")</f>
        <v>118.54</v>
      </c>
      <c r="AC641">
        <f>IF(AND(Table1[[#This Row],[Throw Out Rush Eff]]="N", Table1[[#This Row],[Against FCS Team]]="N"), ROUND(((23.2 * I641) + (150 * K641) - (300 * L641)) / J641, 2), " ")</f>
        <v>78.88</v>
      </c>
      <c r="AD641" s="3">
        <f>IF(AND(Table1[[#This Row],[Throw Out Rush Def Eff]]="N", Table1[[#This Row],[Against FCS Team]]="N"), 200 - ROUND(((23.2 * U641) + (150 * W641) - (300 * X641)) / V641, 2), " ")</f>
        <v>130.82999999999998</v>
      </c>
      <c r="AE641" s="3">
        <f>ROUND(Table1[[#This Row],[Opp Passing Attempts]]/(Table1[[#This Row],[Opp Passing Attempts]]+Table1[[#This Row],[Opp Rushing Attempts]]), 2)</f>
        <v>0.65</v>
      </c>
      <c r="AF641" s="3">
        <f>1-Table1[[#This Row],[Passing Weight]]</f>
        <v>0.35</v>
      </c>
      <c r="AG641" s="3" t="str">
        <f>IF(COUNTIF(A:A,Table1[[#This Row],[Opp Team Name]]) &gt; 0, "N", "Y")</f>
        <v>N</v>
      </c>
      <c r="AH641" s="3" t="str">
        <f>IF(Table1[[#This Row],[Passing Attempts]] &lt;15, "Y", "N")</f>
        <v>N</v>
      </c>
      <c r="AI641" s="3" t="str">
        <f>IF(Table1[[#This Row],[Rushing Attempts]] &lt; 15, "Y", "N")</f>
        <v>N</v>
      </c>
      <c r="AJ641" s="3" t="str">
        <f>IF(Table1[[#This Row],[Opp Passing Attempts]]&lt;15, "Y", "N")</f>
        <v>N</v>
      </c>
      <c r="AK641" s="3" t="str">
        <f>IF(Table1[[#This Row],[Opp Rushing Attempts]]&lt;15, "Y", "N")</f>
        <v>N</v>
      </c>
      <c r="AL64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109.76</v>
      </c>
      <c r="AM64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99.11</v>
      </c>
      <c r="AN64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120.81</v>
      </c>
      <c r="AO64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73.83</v>
      </c>
      <c r="AP641" s="3">
        <f>ABS(Table1[[#This Row],[Team Score]]-Table1[[#This Row],[Opp Team Score]])</f>
        <v>9</v>
      </c>
      <c r="AQ641" s="3">
        <f>SUM(Table1[[#This Row],[Team Score]], Table1[[#This Row],[Opp Team Score]])</f>
        <v>37</v>
      </c>
      <c r="AR64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31.03</v>
      </c>
      <c r="AS641" s="3">
        <f>IF(Table1[[#This Row],[Efficiency Difference]] = " ", " ", ROUND((Table1[[#This Row],[Winning Margin]]*100)/Table1[[#This Row],[Efficiency Difference]], 2))</f>
        <v>29</v>
      </c>
    </row>
    <row r="642" spans="1:45">
      <c r="A642" t="s">
        <v>103</v>
      </c>
      <c r="B642">
        <v>657</v>
      </c>
      <c r="C642">
        <v>38</v>
      </c>
      <c r="D642">
        <v>326</v>
      </c>
      <c r="E642">
        <v>40</v>
      </c>
      <c r="F642">
        <v>5</v>
      </c>
      <c r="G642">
        <v>27</v>
      </c>
      <c r="H642">
        <v>0</v>
      </c>
      <c r="I642">
        <v>175</v>
      </c>
      <c r="J642">
        <v>33</v>
      </c>
      <c r="K642">
        <v>0</v>
      </c>
      <c r="L642">
        <v>1</v>
      </c>
      <c r="M642" t="s">
        <v>130</v>
      </c>
      <c r="N642">
        <v>688</v>
      </c>
      <c r="O642">
        <v>17</v>
      </c>
      <c r="P642">
        <v>258</v>
      </c>
      <c r="Q642">
        <v>38</v>
      </c>
      <c r="R642">
        <v>2</v>
      </c>
      <c r="S642">
        <v>26</v>
      </c>
      <c r="T642">
        <v>0</v>
      </c>
      <c r="U642">
        <v>73</v>
      </c>
      <c r="V642">
        <v>21</v>
      </c>
      <c r="W642">
        <v>0</v>
      </c>
      <c r="X642">
        <v>1</v>
      </c>
      <c r="Y642" t="s">
        <v>16</v>
      </c>
      <c r="Z642">
        <v>3</v>
      </c>
      <c r="AA642">
        <f>IF(AND(Table1[[#This Row],[Throw Out Pass Eff]]="N", Table1[[#This Row],[Against FCS Team]]="N"), ROUND(((5.45 * D642) + (150 * F642) + (100 * G642) - (300 * H642)) / E642, 2), " ")</f>
        <v>130.66999999999999</v>
      </c>
      <c r="AB642">
        <f>IF(AND(Table1[[#This Row],[Throw Out Pass Def Eff]]="N", Table1[[#This Row],[Against FCS Team]]="N"),200 - ROUND(((5.45 * P642) + (150 * R642) + (100 * S642) - (300 * T642)) / Q642, 2), " ")</f>
        <v>86.68</v>
      </c>
      <c r="AC642">
        <f>IF(AND(Table1[[#This Row],[Throw Out Rush Eff]]="N", Table1[[#This Row],[Against FCS Team]]="N"), ROUND(((23.2 * I642) + (150 * K642) - (300 * L642)) / J642, 2), " ")</f>
        <v>113.94</v>
      </c>
      <c r="AD642" s="3">
        <f>IF(AND(Table1[[#This Row],[Throw Out Rush Def Eff]]="N", Table1[[#This Row],[Against FCS Team]]="N"), 200 - ROUND(((23.2 * U642) + (150 * W642) - (300 * X642)) / V642, 2), " ")</f>
        <v>133.63999999999999</v>
      </c>
      <c r="AE642" s="3">
        <f>ROUND(Table1[[#This Row],[Opp Passing Attempts]]/(Table1[[#This Row],[Opp Passing Attempts]]+Table1[[#This Row],[Opp Rushing Attempts]]), 2)</f>
        <v>0.64</v>
      </c>
      <c r="AF642" s="3">
        <f>1-Table1[[#This Row],[Passing Weight]]</f>
        <v>0.36</v>
      </c>
      <c r="AG642" s="3" t="str">
        <f>IF(COUNTIF(A:A,Table1[[#This Row],[Opp Team Name]]) &gt; 0, "N", "Y")</f>
        <v>N</v>
      </c>
      <c r="AH642" s="3" t="str">
        <f>IF(Table1[[#This Row],[Passing Attempts]] &lt;15, "Y", "N")</f>
        <v>N</v>
      </c>
      <c r="AI642" s="3" t="str">
        <f>IF(Table1[[#This Row],[Rushing Attempts]] &lt; 15, "Y", "N")</f>
        <v>N</v>
      </c>
      <c r="AJ642" s="3" t="str">
        <f>IF(Table1[[#This Row],[Opp Passing Attempts]]&lt;15, "Y", "N")</f>
        <v>N</v>
      </c>
      <c r="AK642" s="3" t="str">
        <f>IF(Table1[[#This Row],[Opp Rushing Attempts]]&lt;15, "Y", "N")</f>
        <v>N</v>
      </c>
      <c r="AL64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116.79</v>
      </c>
      <c r="AM6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91.74</v>
      </c>
      <c r="AN6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153.13999999999999</v>
      </c>
      <c r="AO6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121.02</v>
      </c>
      <c r="AP642" s="3">
        <f>ABS(Table1[[#This Row],[Team Score]]-Table1[[#This Row],[Opp Team Score]])</f>
        <v>21</v>
      </c>
      <c r="AQ642" s="3">
        <f>SUM(Table1[[#This Row],[Team Score]], Table1[[#This Row],[Opp Team Score]])</f>
        <v>55</v>
      </c>
      <c r="AR64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64.929999999999978</v>
      </c>
      <c r="AS642" s="3">
        <f>IF(Table1[[#This Row],[Efficiency Difference]] = " ", " ", ROUND((Table1[[#This Row],[Winning Margin]]*100)/Table1[[#This Row],[Efficiency Difference]], 2))</f>
        <v>32.340000000000003</v>
      </c>
    </row>
    <row r="643" spans="1:45">
      <c r="A643" t="s">
        <v>103</v>
      </c>
      <c r="B643">
        <v>657</v>
      </c>
      <c r="C643">
        <v>22</v>
      </c>
      <c r="D643">
        <v>227</v>
      </c>
      <c r="E643">
        <v>33</v>
      </c>
      <c r="F643">
        <v>1</v>
      </c>
      <c r="G643">
        <v>21</v>
      </c>
      <c r="H643">
        <v>2</v>
      </c>
      <c r="I643">
        <v>175</v>
      </c>
      <c r="J643">
        <v>33</v>
      </c>
      <c r="K643">
        <v>1</v>
      </c>
      <c r="L643">
        <v>2</v>
      </c>
      <c r="M643" t="s">
        <v>24</v>
      </c>
      <c r="N643">
        <v>28</v>
      </c>
      <c r="O643">
        <v>43</v>
      </c>
      <c r="P643">
        <v>223</v>
      </c>
      <c r="Q643">
        <v>32</v>
      </c>
      <c r="R643">
        <v>2</v>
      </c>
      <c r="S643">
        <v>25</v>
      </c>
      <c r="T643">
        <v>0</v>
      </c>
      <c r="U643">
        <v>169</v>
      </c>
      <c r="V643">
        <v>36</v>
      </c>
      <c r="W643">
        <v>3</v>
      </c>
      <c r="X643">
        <v>0</v>
      </c>
      <c r="Y643" t="s">
        <v>19</v>
      </c>
      <c r="Z643">
        <v>4</v>
      </c>
      <c r="AA643">
        <f>IF(AND(Table1[[#This Row],[Throw Out Pass Eff]]="N", Table1[[#This Row],[Against FCS Team]]="N"), ROUND(((5.45 * D643) + (150 * F643) + (100 * G643) - (300 * H643)) / E643, 2), " ")</f>
        <v>87.49</v>
      </c>
      <c r="AB643">
        <f>IF(AND(Table1[[#This Row],[Throw Out Pass Def Eff]]="N", Table1[[#This Row],[Against FCS Team]]="N"),200 - ROUND(((5.45 * P643) + (150 * R643) + (100 * S643) - (300 * T643)) / Q643, 2), " ")</f>
        <v>74.52</v>
      </c>
      <c r="AC643">
        <f>IF(AND(Table1[[#This Row],[Throw Out Rush Eff]]="N", Table1[[#This Row],[Against FCS Team]]="N"), ROUND(((23.2 * I643) + (150 * K643) - (300 * L643)) / J643, 2), " ")</f>
        <v>109.39</v>
      </c>
      <c r="AD643" s="3">
        <f>IF(AND(Table1[[#This Row],[Throw Out Rush Def Eff]]="N", Table1[[#This Row],[Against FCS Team]]="N"), 200 - ROUND(((23.2 * U643) + (150 * W643) - (300 * X643)) / V643, 2), " ")</f>
        <v>78.59</v>
      </c>
      <c r="AE643" s="3">
        <f>ROUND(Table1[[#This Row],[Opp Passing Attempts]]/(Table1[[#This Row],[Opp Passing Attempts]]+Table1[[#This Row],[Opp Rushing Attempts]]), 2)</f>
        <v>0.47</v>
      </c>
      <c r="AF643" s="3">
        <f>1-Table1[[#This Row],[Passing Weight]]</f>
        <v>0.53</v>
      </c>
      <c r="AG643" s="3" t="str">
        <f>IF(COUNTIF(A:A,Table1[[#This Row],[Opp Team Name]]) &gt; 0, "N", "Y")</f>
        <v>N</v>
      </c>
      <c r="AH643" s="3" t="str">
        <f>IF(Table1[[#This Row],[Passing Attempts]] &lt;15, "Y", "N")</f>
        <v>N</v>
      </c>
      <c r="AI643" s="3" t="str">
        <f>IF(Table1[[#This Row],[Rushing Attempts]] &lt; 15, "Y", "N")</f>
        <v>N</v>
      </c>
      <c r="AJ643" s="3" t="str">
        <f>IF(Table1[[#This Row],[Opp Passing Attempts]]&lt;15, "Y", "N")</f>
        <v>N</v>
      </c>
      <c r="AK643" s="3" t="str">
        <f>IF(Table1[[#This Row],[Opp Rushing Attempts]]&lt;15, "Y", "N")</f>
        <v>N</v>
      </c>
      <c r="AL64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92.18</v>
      </c>
      <c r="AM6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82.92</v>
      </c>
      <c r="AN6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111.82</v>
      </c>
      <c r="AO6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70.849999999999994</v>
      </c>
      <c r="AP643" s="3">
        <f>ABS(Table1[[#This Row],[Team Score]]-Table1[[#This Row],[Opp Team Score]])</f>
        <v>21</v>
      </c>
      <c r="AQ643" s="3">
        <f>SUM(Table1[[#This Row],[Team Score]], Table1[[#This Row],[Opp Team Score]])</f>
        <v>65</v>
      </c>
      <c r="AR64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50.009999999999991</v>
      </c>
      <c r="AS643" s="3">
        <f>IF(Table1[[#This Row],[Efficiency Difference]] = " ", " ", ROUND((Table1[[#This Row],[Winning Margin]]*100)/Table1[[#This Row],[Efficiency Difference]], 2))</f>
        <v>41.99</v>
      </c>
    </row>
    <row r="644" spans="1:45">
      <c r="A644" t="s">
        <v>103</v>
      </c>
      <c r="B644">
        <v>657</v>
      </c>
      <c r="C644">
        <v>48</v>
      </c>
      <c r="D644">
        <v>468</v>
      </c>
      <c r="E644">
        <v>39</v>
      </c>
      <c r="F644">
        <v>4</v>
      </c>
      <c r="G644">
        <v>32</v>
      </c>
      <c r="H644">
        <v>1</v>
      </c>
      <c r="I644">
        <v>114</v>
      </c>
      <c r="J644">
        <v>25</v>
      </c>
      <c r="K644">
        <v>2</v>
      </c>
      <c r="L644">
        <v>0</v>
      </c>
      <c r="M644" t="s">
        <v>22</v>
      </c>
      <c r="N644">
        <v>29</v>
      </c>
      <c r="O644">
        <v>41</v>
      </c>
      <c r="P644">
        <v>425</v>
      </c>
      <c r="Q644">
        <v>53</v>
      </c>
      <c r="R644">
        <v>4</v>
      </c>
      <c r="S644">
        <v>41</v>
      </c>
      <c r="T644">
        <v>2</v>
      </c>
      <c r="U644">
        <v>129</v>
      </c>
      <c r="V644">
        <v>33</v>
      </c>
      <c r="W644">
        <v>2</v>
      </c>
      <c r="X644">
        <v>0</v>
      </c>
      <c r="Y644" t="s">
        <v>16</v>
      </c>
      <c r="Z644">
        <v>5</v>
      </c>
      <c r="AA644">
        <f>IF(AND(Table1[[#This Row],[Throw Out Pass Eff]]="N", Table1[[#This Row],[Against FCS Team]]="N"), ROUND(((5.45 * D644) + (150 * F644) + (100 * G644) - (300 * H644)) / E644, 2), " ")</f>
        <v>155.13999999999999</v>
      </c>
      <c r="AB644">
        <f>IF(AND(Table1[[#This Row],[Throw Out Pass Def Eff]]="N", Table1[[#This Row],[Against FCS Team]]="N"),200 - ROUND(((5.45 * P644) + (150 * R644) + (100 * S644) - (300 * T644)) / Q644, 2), " ")</f>
        <v>78.94</v>
      </c>
      <c r="AC644">
        <f>IF(AND(Table1[[#This Row],[Throw Out Rush Eff]]="N", Table1[[#This Row],[Against FCS Team]]="N"), ROUND(((23.2 * I644) + (150 * K644) - (300 * L644)) / J644, 2), " ")</f>
        <v>117.79</v>
      </c>
      <c r="AD644" s="3">
        <f>IF(AND(Table1[[#This Row],[Throw Out Rush Def Eff]]="N", Table1[[#This Row],[Against FCS Team]]="N"), 200 - ROUND(((23.2 * U644) + (150 * W644) - (300 * X644)) / V644, 2), " ")</f>
        <v>100.22</v>
      </c>
      <c r="AE644" s="3">
        <f>ROUND(Table1[[#This Row],[Opp Passing Attempts]]/(Table1[[#This Row],[Opp Passing Attempts]]+Table1[[#This Row],[Opp Rushing Attempts]]), 2)</f>
        <v>0.62</v>
      </c>
      <c r="AF644" s="3">
        <f>1-Table1[[#This Row],[Passing Weight]]</f>
        <v>0.38</v>
      </c>
      <c r="AG644" s="3" t="str">
        <f>IF(COUNTIF(A:A,Table1[[#This Row],[Opp Team Name]]) &gt; 0, "N", "Y")</f>
        <v>N</v>
      </c>
      <c r="AH644" s="3" t="str">
        <f>IF(Table1[[#This Row],[Passing Attempts]] &lt;15, "Y", "N")</f>
        <v>N</v>
      </c>
      <c r="AI644" s="3" t="str">
        <f>IF(Table1[[#This Row],[Rushing Attempts]] &lt; 15, "Y", "N")</f>
        <v>N</v>
      </c>
      <c r="AJ644" s="3" t="str">
        <f>IF(Table1[[#This Row],[Opp Passing Attempts]]&lt;15, "Y", "N")</f>
        <v>N</v>
      </c>
      <c r="AK644" s="3" t="str">
        <f>IF(Table1[[#This Row],[Opp Rushing Attempts]]&lt;15, "Y", "N")</f>
        <v>N</v>
      </c>
      <c r="AL6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127.55</v>
      </c>
      <c r="AM6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88.28</v>
      </c>
      <c r="AN6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87.39</v>
      </c>
      <c r="AO6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72.63</v>
      </c>
      <c r="AP644" s="3">
        <f>ABS(Table1[[#This Row],[Team Score]]-Table1[[#This Row],[Opp Team Score]])</f>
        <v>7</v>
      </c>
      <c r="AQ644" s="3">
        <f>SUM(Table1[[#This Row],[Team Score]], Table1[[#This Row],[Opp Team Score]])</f>
        <v>89</v>
      </c>
      <c r="AR6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52.09</v>
      </c>
      <c r="AS644" s="3">
        <f>IF(Table1[[#This Row],[Efficiency Difference]] = " ", " ", ROUND((Table1[[#This Row],[Winning Margin]]*100)/Table1[[#This Row],[Efficiency Difference]], 2))</f>
        <v>13.44</v>
      </c>
    </row>
    <row r="645" spans="1:45">
      <c r="A645" t="s">
        <v>103</v>
      </c>
      <c r="B645">
        <v>657</v>
      </c>
      <c r="C645">
        <v>30</v>
      </c>
      <c r="D645">
        <v>195</v>
      </c>
      <c r="E645">
        <v>35</v>
      </c>
      <c r="F645">
        <v>2</v>
      </c>
      <c r="G645">
        <v>19</v>
      </c>
      <c r="H645">
        <v>0</v>
      </c>
      <c r="I645">
        <v>118</v>
      </c>
      <c r="J645">
        <v>37</v>
      </c>
      <c r="K645">
        <v>1</v>
      </c>
      <c r="L645">
        <v>2</v>
      </c>
      <c r="M645" t="s">
        <v>48</v>
      </c>
      <c r="N645">
        <v>107</v>
      </c>
      <c r="O645">
        <v>9</v>
      </c>
      <c r="P645">
        <v>294</v>
      </c>
      <c r="Q645">
        <v>43</v>
      </c>
      <c r="R645">
        <v>0</v>
      </c>
      <c r="S645">
        <v>25</v>
      </c>
      <c r="T645">
        <v>3</v>
      </c>
      <c r="U645">
        <v>35</v>
      </c>
      <c r="V645">
        <v>26</v>
      </c>
      <c r="W645">
        <v>1</v>
      </c>
      <c r="X645">
        <v>2</v>
      </c>
      <c r="Y645" t="s">
        <v>16</v>
      </c>
      <c r="Z645">
        <v>7</v>
      </c>
      <c r="AA645">
        <f>IF(AND(Table1[[#This Row],[Throw Out Pass Eff]]="N", Table1[[#This Row],[Against FCS Team]]="N"), ROUND(((5.45 * D645) + (150 * F645) + (100 * G645) - (300 * H645)) / E645, 2), " ")</f>
        <v>93.22</v>
      </c>
      <c r="AB645">
        <f>IF(AND(Table1[[#This Row],[Throw Out Pass Def Eff]]="N", Table1[[#This Row],[Against FCS Team]]="N"),200 - ROUND(((5.45 * P645) + (150 * R645) + (100 * S645) - (300 * T645)) / Q645, 2), " ")</f>
        <v>125.53</v>
      </c>
      <c r="AC645">
        <f>IF(AND(Table1[[#This Row],[Throw Out Rush Eff]]="N", Table1[[#This Row],[Against FCS Team]]="N"), ROUND(((23.2 * I645) + (150 * K645) - (300 * L645)) / J645, 2), " ")</f>
        <v>61.83</v>
      </c>
      <c r="AD645" s="3">
        <f>IF(AND(Table1[[#This Row],[Throw Out Rush Def Eff]]="N", Table1[[#This Row],[Against FCS Team]]="N"), 200 - ROUND(((23.2 * U645) + (150 * W645) - (300 * X645)) / V645, 2), " ")</f>
        <v>186.08</v>
      </c>
      <c r="AE645" s="3">
        <f>ROUND(Table1[[#This Row],[Opp Passing Attempts]]/(Table1[[#This Row],[Opp Passing Attempts]]+Table1[[#This Row],[Opp Rushing Attempts]]), 2)</f>
        <v>0.62</v>
      </c>
      <c r="AF645" s="3">
        <f>1-Table1[[#This Row],[Passing Weight]]</f>
        <v>0.38</v>
      </c>
      <c r="AG645" s="3" t="str">
        <f>IF(COUNTIF(A:A,Table1[[#This Row],[Opp Team Name]]) &gt; 0, "N", "Y")</f>
        <v>N</v>
      </c>
      <c r="AH645" s="3" t="str">
        <f>IF(Table1[[#This Row],[Passing Attempts]] &lt;15, "Y", "N")</f>
        <v>N</v>
      </c>
      <c r="AI645" s="3" t="str">
        <f>IF(Table1[[#This Row],[Rushing Attempts]] &lt; 15, "Y", "N")</f>
        <v>N</v>
      </c>
      <c r="AJ645" s="3" t="str">
        <f>IF(Table1[[#This Row],[Opp Passing Attempts]]&lt;15, "Y", "N")</f>
        <v>N</v>
      </c>
      <c r="AK645" s="3" t="str">
        <f>IF(Table1[[#This Row],[Opp Rushing Attempts]]&lt;15, "Y", "N")</f>
        <v>N</v>
      </c>
      <c r="AL64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92.83</v>
      </c>
      <c r="AM64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117.52</v>
      </c>
      <c r="AN64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77.849999999999994</v>
      </c>
      <c r="AO64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147.71</v>
      </c>
      <c r="AP645" s="3">
        <f>ABS(Table1[[#This Row],[Team Score]]-Table1[[#This Row],[Opp Team Score]])</f>
        <v>21</v>
      </c>
      <c r="AQ645" s="3">
        <f>SUM(Table1[[#This Row],[Team Score]], Table1[[#This Row],[Opp Team Score]])</f>
        <v>39</v>
      </c>
      <c r="AR64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66.660000000000025</v>
      </c>
      <c r="AS645" s="3">
        <f>IF(Table1[[#This Row],[Efficiency Difference]] = " ", " ", ROUND((Table1[[#This Row],[Winning Margin]]*100)/Table1[[#This Row],[Efficiency Difference]], 2))</f>
        <v>31.5</v>
      </c>
    </row>
    <row r="646" spans="1:45">
      <c r="A646" t="s">
        <v>103</v>
      </c>
      <c r="B646">
        <v>657</v>
      </c>
      <c r="C646">
        <v>31</v>
      </c>
      <c r="D646">
        <v>224</v>
      </c>
      <c r="E646">
        <v>35</v>
      </c>
      <c r="F646">
        <v>3</v>
      </c>
      <c r="G646">
        <v>24</v>
      </c>
      <c r="H646">
        <v>0</v>
      </c>
      <c r="I646">
        <v>219</v>
      </c>
      <c r="J646">
        <v>44</v>
      </c>
      <c r="K646">
        <v>0</v>
      </c>
      <c r="L646">
        <v>0</v>
      </c>
      <c r="M646" t="s">
        <v>114</v>
      </c>
      <c r="N646">
        <v>513</v>
      </c>
      <c r="O646">
        <v>17</v>
      </c>
      <c r="P646">
        <v>226</v>
      </c>
      <c r="Q646">
        <v>43</v>
      </c>
      <c r="R646">
        <v>0</v>
      </c>
      <c r="S646">
        <v>27</v>
      </c>
      <c r="T646">
        <v>1</v>
      </c>
      <c r="U646">
        <v>41</v>
      </c>
      <c r="V646">
        <v>14</v>
      </c>
      <c r="W646">
        <v>1</v>
      </c>
      <c r="X646">
        <v>2</v>
      </c>
      <c r="Y646" t="s">
        <v>16</v>
      </c>
      <c r="Z646">
        <v>8</v>
      </c>
      <c r="AA646" s="3">
        <f>IF(AND(Table1[[#This Row],[Throw Out Pass Eff]]="N", Table1[[#This Row],[Against FCS Team]]="N"), ROUND(((5.45 * D646) + (150 * F646) + (100 * G646) - (300 * H646)) / E646, 2), " ")</f>
        <v>116.31</v>
      </c>
      <c r="AB646" s="3">
        <f>IF(AND(Table1[[#This Row],[Throw Out Pass Def Eff]]="N", Table1[[#This Row],[Against FCS Team]]="N"),200 - ROUND(((5.45 * P646) + (150 * R646) + (100 * S646) - (300 * T646)) / Q646, 2), " ")</f>
        <v>115.54</v>
      </c>
      <c r="AC646" s="3">
        <f>IF(AND(Table1[[#This Row],[Throw Out Rush Eff]]="N", Table1[[#This Row],[Against FCS Team]]="N"), ROUND(((23.2 * I646) + (150 * K646) - (300 * L646)) / J646, 2), " ")</f>
        <v>115.47</v>
      </c>
      <c r="AD646" s="3" t="str">
        <f>IF(AND(Table1[[#This Row],[Throw Out Rush Def Eff]]="N", Table1[[#This Row],[Against FCS Team]]="N"), 200 - ROUND(((23.2 * U646) + (150 * W646) - (300 * X646)) / V646, 2), " ")</f>
        <v xml:space="preserve"> </v>
      </c>
      <c r="AE646" s="3">
        <f>ROUND(Table1[[#This Row],[Opp Passing Attempts]]/(Table1[[#This Row],[Opp Passing Attempts]]+Table1[[#This Row],[Opp Rushing Attempts]]), 2)</f>
        <v>0.75</v>
      </c>
      <c r="AF646" s="3">
        <f>1-Table1[[#This Row],[Passing Weight]]</f>
        <v>0.25</v>
      </c>
      <c r="AG646" s="3" t="str">
        <f>IF(COUNTIF(A:A,Table1[[#This Row],[Opp Team Name]]) &gt; 0, "N", "Y")</f>
        <v>N</v>
      </c>
      <c r="AH646" s="3" t="str">
        <f>IF(Table1[[#This Row],[Passing Attempts]] &lt;15, "Y", "N")</f>
        <v>N</v>
      </c>
      <c r="AI646" s="3" t="str">
        <f>IF(Table1[[#This Row],[Rushing Attempts]] &lt; 15, "Y", "N")</f>
        <v>N</v>
      </c>
      <c r="AJ646" s="3" t="str">
        <f>IF(Table1[[#This Row],[Opp Passing Attempts]]&lt;15, "Y", "N")</f>
        <v>N</v>
      </c>
      <c r="AK646" s="3" t="str">
        <f>IF(Table1[[#This Row],[Opp Rushing Attempts]]&lt;15, "Y", "N")</f>
        <v>Y</v>
      </c>
      <c r="AL6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119.69</v>
      </c>
      <c r="AM6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117.59</v>
      </c>
      <c r="AN6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134.57</v>
      </c>
      <c r="AO64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646" s="3">
        <f>ABS(Table1[[#This Row],[Team Score]]-Table1[[#This Row],[Opp Team Score]])</f>
        <v>14</v>
      </c>
      <c r="AQ646" s="3">
        <f>SUM(Table1[[#This Row],[Team Score]], Table1[[#This Row],[Opp Team Score]])</f>
        <v>48</v>
      </c>
      <c r="AR64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46" s="3" t="str">
        <f>IF(Table1[[#This Row],[Efficiency Difference]] = " ", " ", ROUND((Table1[[#This Row],[Winning Margin]]*100)/Table1[[#This Row],[Efficiency Difference]], 2))</f>
        <v xml:space="preserve"> </v>
      </c>
    </row>
    <row r="647" spans="1:45">
      <c r="A647" t="s">
        <v>89</v>
      </c>
      <c r="B647">
        <v>664</v>
      </c>
      <c r="C647">
        <v>52</v>
      </c>
      <c r="D647">
        <v>143</v>
      </c>
      <c r="E647">
        <v>23</v>
      </c>
      <c r="F647">
        <v>2</v>
      </c>
      <c r="G647">
        <v>16</v>
      </c>
      <c r="H647">
        <v>0</v>
      </c>
      <c r="I647">
        <v>335</v>
      </c>
      <c r="J647">
        <v>53</v>
      </c>
      <c r="K647">
        <v>3</v>
      </c>
      <c r="L647">
        <v>1</v>
      </c>
      <c r="M647" t="s">
        <v>141</v>
      </c>
      <c r="N647">
        <v>655</v>
      </c>
      <c r="O647">
        <v>6</v>
      </c>
      <c r="P647">
        <v>234</v>
      </c>
      <c r="Q647">
        <v>41</v>
      </c>
      <c r="R647">
        <v>0</v>
      </c>
      <c r="S647">
        <v>20</v>
      </c>
      <c r="T647">
        <v>3</v>
      </c>
      <c r="U647">
        <v>51</v>
      </c>
      <c r="V647">
        <v>33</v>
      </c>
      <c r="W647">
        <v>0</v>
      </c>
      <c r="X647">
        <v>0</v>
      </c>
      <c r="Y647" t="s">
        <v>16</v>
      </c>
      <c r="Z647">
        <v>3</v>
      </c>
      <c r="AA647">
        <f>IF(AND(Table1[[#This Row],[Throw Out Pass Eff]]="N", Table1[[#This Row],[Against FCS Team]]="N"), ROUND(((5.45 * D647) + (150 * F647) + (100 * G647) - (300 * H647)) / E647, 2), " ")</f>
        <v>116.49</v>
      </c>
      <c r="AB647">
        <f>IF(AND(Table1[[#This Row],[Throw Out Pass Def Eff]]="N", Table1[[#This Row],[Against FCS Team]]="N"),200 - ROUND(((5.45 * P647) + (150 * R647) + (100 * S647) - (300 * T647)) / Q647, 2), " ")</f>
        <v>142.07</v>
      </c>
      <c r="AC647">
        <f>IF(AND(Table1[[#This Row],[Throw Out Rush Eff]]="N", Table1[[#This Row],[Against FCS Team]]="N"), ROUND(((23.2 * I647) + (150 * K647) - (300 * L647)) / J647, 2), " ")</f>
        <v>149.47</v>
      </c>
      <c r="AD647" s="3">
        <f>IF(AND(Table1[[#This Row],[Throw Out Rush Def Eff]]="N", Table1[[#This Row],[Against FCS Team]]="N"), 200 - ROUND(((23.2 * U647) + (150 * W647) - (300 * X647)) / V647, 2), " ")</f>
        <v>164.15</v>
      </c>
      <c r="AE647" s="3">
        <f>ROUND(Table1[[#This Row],[Opp Passing Attempts]]/(Table1[[#This Row],[Opp Passing Attempts]]+Table1[[#This Row],[Opp Rushing Attempts]]), 2)</f>
        <v>0.55000000000000004</v>
      </c>
      <c r="AF647" s="3">
        <f>1-Table1[[#This Row],[Passing Weight]]</f>
        <v>0.44999999999999996</v>
      </c>
      <c r="AG647" s="3" t="str">
        <f>IF(COUNTIF(A:A,Table1[[#This Row],[Opp Team Name]]) &gt; 0, "N", "Y")</f>
        <v>N</v>
      </c>
      <c r="AH647" s="3" t="str">
        <f>IF(Table1[[#This Row],[Passing Attempts]] &lt;15, "Y", "N")</f>
        <v>N</v>
      </c>
      <c r="AI647" s="3" t="str">
        <f>IF(Table1[[#This Row],[Rushing Attempts]] &lt; 15, "Y", "N")</f>
        <v>N</v>
      </c>
      <c r="AJ647" s="3" t="str">
        <f>IF(Table1[[#This Row],[Opp Passing Attempts]]&lt;15, "Y", "N")</f>
        <v>N</v>
      </c>
      <c r="AK647" s="3" t="str">
        <f>IF(Table1[[#This Row],[Opp Rushing Attempts]]&lt;15, "Y", "N")</f>
        <v>N</v>
      </c>
      <c r="AL6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106.1</v>
      </c>
      <c r="AM6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142.13999999999999</v>
      </c>
      <c r="AN64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45.01</v>
      </c>
      <c r="AO6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175.12</v>
      </c>
      <c r="AP647" s="3">
        <f>ABS(Table1[[#This Row],[Team Score]]-Table1[[#This Row],[Opp Team Score]])</f>
        <v>46</v>
      </c>
      <c r="AQ647" s="3">
        <f>SUM(Table1[[#This Row],[Team Score]], Table1[[#This Row],[Opp Team Score]])</f>
        <v>58</v>
      </c>
      <c r="AR64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172.18</v>
      </c>
      <c r="AS647" s="3">
        <f>IF(Table1[[#This Row],[Efficiency Difference]] = " ", " ", ROUND((Table1[[#This Row],[Winning Margin]]*100)/Table1[[#This Row],[Efficiency Difference]], 2))</f>
        <v>26.72</v>
      </c>
    </row>
    <row r="648" spans="1:45">
      <c r="A648" t="s">
        <v>89</v>
      </c>
      <c r="B648">
        <v>664</v>
      </c>
      <c r="C648">
        <v>19</v>
      </c>
      <c r="D648">
        <v>226</v>
      </c>
      <c r="E648">
        <v>38</v>
      </c>
      <c r="F648">
        <v>0</v>
      </c>
      <c r="G648">
        <v>21</v>
      </c>
      <c r="H648">
        <v>1</v>
      </c>
      <c r="I648">
        <v>153</v>
      </c>
      <c r="J648">
        <v>38</v>
      </c>
      <c r="K648">
        <v>1</v>
      </c>
      <c r="L648">
        <v>1</v>
      </c>
      <c r="M648" t="s">
        <v>88</v>
      </c>
      <c r="N648">
        <v>366</v>
      </c>
      <c r="O648">
        <v>17</v>
      </c>
      <c r="P648">
        <v>176</v>
      </c>
      <c r="Q648">
        <v>36</v>
      </c>
      <c r="R648">
        <v>0</v>
      </c>
      <c r="S648">
        <v>20</v>
      </c>
      <c r="T648">
        <v>0</v>
      </c>
      <c r="U648">
        <v>68</v>
      </c>
      <c r="V648">
        <v>33</v>
      </c>
      <c r="W648">
        <v>1</v>
      </c>
      <c r="X648">
        <v>0</v>
      </c>
      <c r="Y648" t="s">
        <v>16</v>
      </c>
      <c r="Z648">
        <v>1</v>
      </c>
      <c r="AA648">
        <f>IF(AND(Table1[[#This Row],[Throw Out Pass Eff]]="N", Table1[[#This Row],[Against FCS Team]]="N"), ROUND(((5.45 * D648) + (150 * F648) + (100 * G648) - (300 * H648)) / E648, 2), " ")</f>
        <v>79.78</v>
      </c>
      <c r="AB648">
        <f>IF(AND(Table1[[#This Row],[Throw Out Pass Def Eff]]="N", Table1[[#This Row],[Against FCS Team]]="N"),200 - ROUND(((5.45 * P648) + (150 * R648) + (100 * S648) - (300 * T648)) / Q648, 2), " ")</f>
        <v>117.8</v>
      </c>
      <c r="AC648">
        <f>IF(AND(Table1[[#This Row],[Throw Out Rush Eff]]="N", Table1[[#This Row],[Against FCS Team]]="N"), ROUND(((23.2 * I648) + (150 * K648) - (300 * L648)) / J648, 2), " ")</f>
        <v>89.46</v>
      </c>
      <c r="AD648" s="3">
        <f>IF(AND(Table1[[#This Row],[Throw Out Rush Def Eff]]="N", Table1[[#This Row],[Against FCS Team]]="N"), 200 - ROUND(((23.2 * U648) + (150 * W648) - (300 * X648)) / V648, 2), " ")</f>
        <v>147.65</v>
      </c>
      <c r="AE648" s="3">
        <f>ROUND(Table1[[#This Row],[Opp Passing Attempts]]/(Table1[[#This Row],[Opp Passing Attempts]]+Table1[[#This Row],[Opp Rushing Attempts]]), 2)</f>
        <v>0.52</v>
      </c>
      <c r="AF648" s="3">
        <f>1-Table1[[#This Row],[Passing Weight]]</f>
        <v>0.48</v>
      </c>
      <c r="AG648" s="3" t="str">
        <f>IF(COUNTIF(A:A,Table1[[#This Row],[Opp Team Name]]) &gt; 0, "N", "Y")</f>
        <v>N</v>
      </c>
      <c r="AH648" s="3" t="str">
        <f>IF(Table1[[#This Row],[Passing Attempts]] &lt;15, "Y", "N")</f>
        <v>N</v>
      </c>
      <c r="AI648" s="3" t="str">
        <f>IF(Table1[[#This Row],[Rushing Attempts]] &lt; 15, "Y", "N")</f>
        <v>N</v>
      </c>
      <c r="AJ648" s="3" t="str">
        <f>IF(Table1[[#This Row],[Opp Passing Attempts]]&lt;15, "Y", "N")</f>
        <v>N</v>
      </c>
      <c r="AK648" s="3" t="str">
        <f>IF(Table1[[#This Row],[Opp Rushing Attempts]]&lt;15, "Y", "N")</f>
        <v>N</v>
      </c>
      <c r="AL6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92.22</v>
      </c>
      <c r="AM6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102.44</v>
      </c>
      <c r="AN6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111.12</v>
      </c>
      <c r="AO6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99.01</v>
      </c>
      <c r="AP648" s="3">
        <f>ABS(Table1[[#This Row],[Team Score]]-Table1[[#This Row],[Opp Team Score]])</f>
        <v>2</v>
      </c>
      <c r="AQ648" s="3">
        <f>SUM(Table1[[#This Row],[Team Score]], Table1[[#This Row],[Opp Team Score]])</f>
        <v>36</v>
      </c>
      <c r="AR6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34.69</v>
      </c>
      <c r="AS648" s="3">
        <f>IF(Table1[[#This Row],[Efficiency Difference]] = " ", " ", ROUND((Table1[[#This Row],[Winning Margin]]*100)/Table1[[#This Row],[Efficiency Difference]], 2))</f>
        <v>5.77</v>
      </c>
    </row>
    <row r="649" spans="1:45">
      <c r="A649" t="s">
        <v>89</v>
      </c>
      <c r="B649">
        <v>664</v>
      </c>
      <c r="C649">
        <v>20</v>
      </c>
      <c r="D649">
        <v>309</v>
      </c>
      <c r="E649">
        <v>49</v>
      </c>
      <c r="F649">
        <v>2</v>
      </c>
      <c r="G649">
        <v>25</v>
      </c>
      <c r="H649">
        <v>3</v>
      </c>
      <c r="I649">
        <v>75</v>
      </c>
      <c r="J649">
        <v>28</v>
      </c>
      <c r="K649">
        <v>0</v>
      </c>
      <c r="L649">
        <v>3</v>
      </c>
      <c r="M649" t="s">
        <v>176</v>
      </c>
      <c r="N649">
        <v>388</v>
      </c>
      <c r="O649">
        <v>26</v>
      </c>
      <c r="P649">
        <v>275</v>
      </c>
      <c r="Q649">
        <v>42</v>
      </c>
      <c r="R649">
        <v>3</v>
      </c>
      <c r="S649">
        <v>27</v>
      </c>
      <c r="T649">
        <v>2</v>
      </c>
      <c r="U649">
        <v>103</v>
      </c>
      <c r="V649">
        <v>37</v>
      </c>
      <c r="W649">
        <v>0</v>
      </c>
      <c r="X649">
        <v>0</v>
      </c>
      <c r="Y649" t="s">
        <v>19</v>
      </c>
      <c r="Z649">
        <v>2</v>
      </c>
      <c r="AA649">
        <f>IF(AND(Table1[[#This Row],[Throw Out Pass Eff]]="N", Table1[[#This Row],[Against FCS Team]]="N"), ROUND(((5.45 * D649) + (150 * F649) + (100 * G649) - (300 * H649)) / E649, 2), " ")</f>
        <v>73.14</v>
      </c>
      <c r="AB649">
        <f>IF(AND(Table1[[#This Row],[Throw Out Pass Def Eff]]="N", Table1[[#This Row],[Against FCS Team]]="N"),200 - ROUND(((5.45 * P649) + (150 * R649) + (100 * S649) - (300 * T649)) / Q649, 2), " ")</f>
        <v>103.6</v>
      </c>
      <c r="AC649">
        <f>IF(AND(Table1[[#This Row],[Throw Out Rush Eff]]="N", Table1[[#This Row],[Against FCS Team]]="N"), ROUND(((23.2 * I649) + (150 * K649) - (300 * L649)) / J649, 2), " ")</f>
        <v>30</v>
      </c>
      <c r="AD649" s="3">
        <f>IF(AND(Table1[[#This Row],[Throw Out Rush Def Eff]]="N", Table1[[#This Row],[Against FCS Team]]="N"), 200 - ROUND(((23.2 * U649) + (150 * W649) - (300 * X649)) / V649, 2), " ")</f>
        <v>135.42000000000002</v>
      </c>
      <c r="AE649" s="3">
        <f>ROUND(Table1[[#This Row],[Opp Passing Attempts]]/(Table1[[#This Row],[Opp Passing Attempts]]+Table1[[#This Row],[Opp Rushing Attempts]]), 2)</f>
        <v>0.53</v>
      </c>
      <c r="AF649" s="3">
        <f>1-Table1[[#This Row],[Passing Weight]]</f>
        <v>0.47</v>
      </c>
      <c r="AG649" s="3" t="str">
        <f>IF(COUNTIF(A:A,Table1[[#This Row],[Opp Team Name]]) &gt; 0, "N", "Y")</f>
        <v>N</v>
      </c>
      <c r="AH649" s="3" t="str">
        <f>IF(Table1[[#This Row],[Passing Attempts]] &lt;15, "Y", "N")</f>
        <v>N</v>
      </c>
      <c r="AI649" s="3" t="str">
        <f>IF(Table1[[#This Row],[Rushing Attempts]] &lt; 15, "Y", "N")</f>
        <v>N</v>
      </c>
      <c r="AJ649" s="3" t="str">
        <f>IF(Table1[[#This Row],[Opp Passing Attempts]]&lt;15, "Y", "N")</f>
        <v>N</v>
      </c>
      <c r="AK649" s="3" t="str">
        <f>IF(Table1[[#This Row],[Opp Rushing Attempts]]&lt;15, "Y", "N")</f>
        <v>N</v>
      </c>
      <c r="AL6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64.349999999999994</v>
      </c>
      <c r="AM6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85.56</v>
      </c>
      <c r="AN6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32.409999999999997</v>
      </c>
      <c r="AO6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93.4</v>
      </c>
      <c r="AP649" s="3">
        <f>ABS(Table1[[#This Row],[Team Score]]-Table1[[#This Row],[Opp Team Score]])</f>
        <v>6</v>
      </c>
      <c r="AQ649" s="3">
        <f>SUM(Table1[[#This Row],[Team Score]], Table1[[#This Row],[Opp Team Score]])</f>
        <v>46</v>
      </c>
      <c r="AR6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57.839999999999989</v>
      </c>
      <c r="AS649" s="3">
        <f>IF(Table1[[#This Row],[Efficiency Difference]] = " ", " ", ROUND((Table1[[#This Row],[Winning Margin]]*100)/Table1[[#This Row],[Efficiency Difference]], 2))</f>
        <v>10.37</v>
      </c>
    </row>
    <row r="650" spans="1:45">
      <c r="A650" t="s">
        <v>89</v>
      </c>
      <c r="B650">
        <v>664</v>
      </c>
      <c r="C650">
        <v>30</v>
      </c>
      <c r="D650">
        <v>313</v>
      </c>
      <c r="E650">
        <v>42</v>
      </c>
      <c r="F650">
        <v>3</v>
      </c>
      <c r="G650">
        <v>27</v>
      </c>
      <c r="H650">
        <v>0</v>
      </c>
      <c r="I650">
        <v>61</v>
      </c>
      <c r="J650">
        <v>35</v>
      </c>
      <c r="K650">
        <v>0</v>
      </c>
      <c r="L650">
        <v>1</v>
      </c>
      <c r="M650" t="s">
        <v>154</v>
      </c>
      <c r="N650">
        <v>746</v>
      </c>
      <c r="O650">
        <v>24</v>
      </c>
      <c r="P650">
        <v>221</v>
      </c>
      <c r="Q650">
        <v>44</v>
      </c>
      <c r="R650">
        <v>1</v>
      </c>
      <c r="S650">
        <v>26</v>
      </c>
      <c r="T650">
        <v>3</v>
      </c>
      <c r="U650">
        <v>153</v>
      </c>
      <c r="V650">
        <v>40</v>
      </c>
      <c r="W650">
        <v>2</v>
      </c>
      <c r="X650">
        <v>0</v>
      </c>
      <c r="Y650" t="s">
        <v>16</v>
      </c>
      <c r="Z650">
        <v>4</v>
      </c>
      <c r="AA650">
        <f>IF(AND(Table1[[#This Row],[Throw Out Pass Eff]]="N", Table1[[#This Row],[Against FCS Team]]="N"), ROUND(((5.45 * D650) + (150 * F650) + (100 * G650) - (300 * H650)) / E650, 2), " ")</f>
        <v>115.62</v>
      </c>
      <c r="AB650">
        <f>IF(AND(Table1[[#This Row],[Throw Out Pass Def Eff]]="N", Table1[[#This Row],[Against FCS Team]]="N"),200 - ROUND(((5.45 * P650) + (150 * R650) + (100 * S650) - (300 * T650)) / Q650, 2), " ")</f>
        <v>130.57999999999998</v>
      </c>
      <c r="AC650">
        <f>IF(AND(Table1[[#This Row],[Throw Out Rush Eff]]="N", Table1[[#This Row],[Against FCS Team]]="N"), ROUND(((23.2 * I650) + (150 * K650) - (300 * L650)) / J650, 2), " ")</f>
        <v>31.86</v>
      </c>
      <c r="AD650" s="3">
        <f>IF(AND(Table1[[#This Row],[Throw Out Rush Def Eff]]="N", Table1[[#This Row],[Against FCS Team]]="N"), 200 - ROUND(((23.2 * U650) + (150 * W650) - (300 * X650)) / V650, 2), " ")</f>
        <v>103.76</v>
      </c>
      <c r="AE650" s="3">
        <f>ROUND(Table1[[#This Row],[Opp Passing Attempts]]/(Table1[[#This Row],[Opp Passing Attempts]]+Table1[[#This Row],[Opp Rushing Attempts]]), 2)</f>
        <v>0.52</v>
      </c>
      <c r="AF650" s="3">
        <f>1-Table1[[#This Row],[Passing Weight]]</f>
        <v>0.48</v>
      </c>
      <c r="AG650" s="3" t="str">
        <f>IF(COUNTIF(A:A,Table1[[#This Row],[Opp Team Name]]) &gt; 0, "N", "Y")</f>
        <v>N</v>
      </c>
      <c r="AH650" s="3" t="str">
        <f>IF(Table1[[#This Row],[Passing Attempts]] &lt;15, "Y", "N")</f>
        <v>N</v>
      </c>
      <c r="AI650" s="3" t="str">
        <f>IF(Table1[[#This Row],[Rushing Attempts]] &lt; 15, "Y", "N")</f>
        <v>N</v>
      </c>
      <c r="AJ650" s="3" t="str">
        <f>IF(Table1[[#This Row],[Opp Passing Attempts]]&lt;15, "Y", "N")</f>
        <v>N</v>
      </c>
      <c r="AK650" s="3" t="str">
        <f>IF(Table1[[#This Row],[Opp Rushing Attempts]]&lt;15, "Y", "N")</f>
        <v>N</v>
      </c>
      <c r="AL6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124.87</v>
      </c>
      <c r="AM6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</v>
      </c>
      <c r="AN6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36.89</v>
      </c>
      <c r="AO6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103.39</v>
      </c>
      <c r="AP650" s="3">
        <f>ABS(Table1[[#This Row],[Team Score]]-Table1[[#This Row],[Opp Team Score]])</f>
        <v>6</v>
      </c>
      <c r="AQ650" s="3">
        <f>SUM(Table1[[#This Row],[Team Score]], Table1[[#This Row],[Opp Team Score]])</f>
        <v>54</v>
      </c>
      <c r="AR6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18.180000000000007</v>
      </c>
      <c r="AS650" s="3">
        <f>IF(Table1[[#This Row],[Efficiency Difference]] = " ", " ", ROUND((Table1[[#This Row],[Winning Margin]]*100)/Table1[[#This Row],[Efficiency Difference]], 2))</f>
        <v>33</v>
      </c>
    </row>
    <row r="651" spans="1:45">
      <c r="A651" t="s">
        <v>89</v>
      </c>
      <c r="B651">
        <v>664</v>
      </c>
      <c r="C651">
        <v>48</v>
      </c>
      <c r="D651">
        <v>284</v>
      </c>
      <c r="E651">
        <v>34</v>
      </c>
      <c r="F651">
        <v>3</v>
      </c>
      <c r="G651">
        <v>21</v>
      </c>
      <c r="H651">
        <v>2</v>
      </c>
      <c r="I651">
        <v>370</v>
      </c>
      <c r="J651">
        <v>51</v>
      </c>
      <c r="K651">
        <v>3</v>
      </c>
      <c r="L651">
        <v>2</v>
      </c>
      <c r="M651" t="s">
        <v>122</v>
      </c>
      <c r="N651">
        <v>574</v>
      </c>
      <c r="O651">
        <v>24</v>
      </c>
      <c r="P651">
        <v>196</v>
      </c>
      <c r="Q651">
        <v>41</v>
      </c>
      <c r="R651">
        <v>1</v>
      </c>
      <c r="S651">
        <v>21</v>
      </c>
      <c r="T651">
        <v>0</v>
      </c>
      <c r="U651">
        <v>33</v>
      </c>
      <c r="V651">
        <v>30</v>
      </c>
      <c r="W651">
        <v>0</v>
      </c>
      <c r="X651">
        <v>2</v>
      </c>
      <c r="Y651" t="s">
        <v>16</v>
      </c>
      <c r="Z651">
        <v>5</v>
      </c>
      <c r="AA651">
        <f>IF(AND(Table1[[#This Row],[Throw Out Pass Eff]]="N", Table1[[#This Row],[Against FCS Team]]="N"), ROUND(((5.45 * D651) + (150 * F651) + (100 * G651) - (300 * H651)) / E651, 2), " ")</f>
        <v>102.88</v>
      </c>
      <c r="AB651">
        <f>IF(AND(Table1[[#This Row],[Throw Out Pass Def Eff]]="N", Table1[[#This Row],[Against FCS Team]]="N"),200 - ROUND(((5.45 * P651) + (150 * R651) + (100 * S651) - (300 * T651)) / Q651, 2), " ")</f>
        <v>119.07</v>
      </c>
      <c r="AC651">
        <f>IF(AND(Table1[[#This Row],[Throw Out Rush Eff]]="N", Table1[[#This Row],[Against FCS Team]]="N"), ROUND(((23.2 * I651) + (150 * K651) - (300 * L651)) / J651, 2), " ")</f>
        <v>165.37</v>
      </c>
      <c r="AD651" s="3">
        <f>IF(AND(Table1[[#This Row],[Throw Out Rush Def Eff]]="N", Table1[[#This Row],[Against FCS Team]]="N"), 200 - ROUND(((23.2 * U651) + (150 * W651) - (300 * X651)) / V651, 2), " ")</f>
        <v>194.48</v>
      </c>
      <c r="AE651" s="3">
        <f>ROUND(Table1[[#This Row],[Opp Passing Attempts]]/(Table1[[#This Row],[Opp Passing Attempts]]+Table1[[#This Row],[Opp Rushing Attempts]]), 2)</f>
        <v>0.57999999999999996</v>
      </c>
      <c r="AF651" s="3">
        <f>1-Table1[[#This Row],[Passing Weight]]</f>
        <v>0.42000000000000004</v>
      </c>
      <c r="AG651" s="3" t="str">
        <f>IF(COUNTIF(A:A,Table1[[#This Row],[Opp Team Name]]) &gt; 0, "N", "Y")</f>
        <v>N</v>
      </c>
      <c r="AH651" s="3" t="str">
        <f>IF(Table1[[#This Row],[Passing Attempts]] &lt;15, "Y", "N")</f>
        <v>N</v>
      </c>
      <c r="AI651" s="3" t="str">
        <f>IF(Table1[[#This Row],[Rushing Attempts]] &lt; 15, "Y", "N")</f>
        <v>N</v>
      </c>
      <c r="AJ651" s="3" t="str">
        <f>IF(Table1[[#This Row],[Opp Passing Attempts]]&lt;15, "Y", "N")</f>
        <v>N</v>
      </c>
      <c r="AK651" s="3" t="str">
        <f>IF(Table1[[#This Row],[Opp Rushing Attempts]]&lt;15, "Y", "N")</f>
        <v>N</v>
      </c>
      <c r="AL6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96.16</v>
      </c>
      <c r="AM6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107.47</v>
      </c>
      <c r="AN6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146.30000000000001</v>
      </c>
      <c r="AO6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131.80000000000001</v>
      </c>
      <c r="AP651" s="3">
        <f>ABS(Table1[[#This Row],[Team Score]]-Table1[[#This Row],[Opp Team Score]])</f>
        <v>24</v>
      </c>
      <c r="AQ651" s="3">
        <f>SUM(Table1[[#This Row],[Team Score]], Table1[[#This Row],[Opp Team Score]])</f>
        <v>72</v>
      </c>
      <c r="AR6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181.79999999999995</v>
      </c>
      <c r="AS651" s="3">
        <f>IF(Table1[[#This Row],[Efficiency Difference]] = " ", " ", ROUND((Table1[[#This Row],[Winning Margin]]*100)/Table1[[#This Row],[Efficiency Difference]], 2))</f>
        <v>13.2</v>
      </c>
    </row>
    <row r="652" spans="1:45">
      <c r="A652" t="s">
        <v>89</v>
      </c>
      <c r="B652">
        <v>664</v>
      </c>
      <c r="C652">
        <v>63</v>
      </c>
      <c r="D652">
        <v>301</v>
      </c>
      <c r="E652">
        <v>25</v>
      </c>
      <c r="F652">
        <v>4</v>
      </c>
      <c r="G652">
        <v>22</v>
      </c>
      <c r="H652">
        <v>0</v>
      </c>
      <c r="I652">
        <v>283</v>
      </c>
      <c r="J652">
        <v>50</v>
      </c>
      <c r="K652">
        <v>4</v>
      </c>
      <c r="L652">
        <v>1</v>
      </c>
      <c r="M652" t="s">
        <v>104</v>
      </c>
      <c r="N652">
        <v>726</v>
      </c>
      <c r="O652">
        <v>35</v>
      </c>
      <c r="P652">
        <v>148</v>
      </c>
      <c r="Q652">
        <v>12</v>
      </c>
      <c r="R652">
        <v>2</v>
      </c>
      <c r="S652">
        <v>7</v>
      </c>
      <c r="T652">
        <v>0</v>
      </c>
      <c r="U652">
        <v>421</v>
      </c>
      <c r="V652">
        <v>61</v>
      </c>
      <c r="W652">
        <v>3</v>
      </c>
      <c r="X652">
        <v>0</v>
      </c>
      <c r="Y652" t="s">
        <v>16</v>
      </c>
      <c r="Z652">
        <v>6</v>
      </c>
      <c r="AA652">
        <f>IF(AND(Table1[[#This Row],[Throw Out Pass Eff]]="N", Table1[[#This Row],[Against FCS Team]]="N"), ROUND(((5.45 * D652) + (150 * F652) + (100 * G652) - (300 * H652)) / E652, 2), " ")</f>
        <v>177.62</v>
      </c>
      <c r="AB652" t="str">
        <f>IF(AND(Table1[[#This Row],[Throw Out Pass Def Eff]]="N", Table1[[#This Row],[Against FCS Team]]="N"),200 - ROUND(((5.45 * P652) + (150 * R652) + (100 * S652) - (300 * T652)) / Q652, 2), " ")</f>
        <v xml:space="preserve"> </v>
      </c>
      <c r="AC652">
        <f>IF(AND(Table1[[#This Row],[Throw Out Rush Eff]]="N", Table1[[#This Row],[Against FCS Team]]="N"), ROUND(((23.2 * I652) + (150 * K652) - (300 * L652)) / J652, 2), " ")</f>
        <v>137.31</v>
      </c>
      <c r="AD652" s="3">
        <f>IF(AND(Table1[[#This Row],[Throw Out Rush Def Eff]]="N", Table1[[#This Row],[Against FCS Team]]="N"), 200 - ROUND(((23.2 * U652) + (150 * W652) - (300 * X652)) / V652, 2), " ")</f>
        <v>32.5</v>
      </c>
      <c r="AE652" s="3">
        <f>ROUND(Table1[[#This Row],[Opp Passing Attempts]]/(Table1[[#This Row],[Opp Passing Attempts]]+Table1[[#This Row],[Opp Rushing Attempts]]), 2)</f>
        <v>0.16</v>
      </c>
      <c r="AF652" s="3">
        <f>1-Table1[[#This Row],[Passing Weight]]</f>
        <v>0.84</v>
      </c>
      <c r="AG652" s="3" t="str">
        <f>IF(COUNTIF(A:A,Table1[[#This Row],[Opp Team Name]]) &gt; 0, "N", "Y")</f>
        <v>N</v>
      </c>
      <c r="AH652" s="3" t="str">
        <f>IF(Table1[[#This Row],[Passing Attempts]] &lt;15, "Y", "N")</f>
        <v>N</v>
      </c>
      <c r="AI652" s="3" t="str">
        <f>IF(Table1[[#This Row],[Rushing Attempts]] &lt; 15, "Y", "N")</f>
        <v>N</v>
      </c>
      <c r="AJ652" s="3" t="str">
        <f>IF(Table1[[#This Row],[Opp Passing Attempts]]&lt;15, "Y", "N")</f>
        <v>Y</v>
      </c>
      <c r="AK652" s="3" t="str">
        <f>IF(Table1[[#This Row],[Opp Rushing Attempts]]&lt;15, "Y", "N")</f>
        <v>N</v>
      </c>
      <c r="AL6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142.27000000000001</v>
      </c>
      <c r="AM65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123.64</v>
      </c>
      <c r="AO6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42.68</v>
      </c>
      <c r="AP652" s="3">
        <f>ABS(Table1[[#This Row],[Team Score]]-Table1[[#This Row],[Opp Team Score]])</f>
        <v>28</v>
      </c>
      <c r="AQ652" s="3">
        <f>SUM(Table1[[#This Row],[Team Score]], Table1[[#This Row],[Opp Team Score]])</f>
        <v>98</v>
      </c>
      <c r="AR65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52" s="3" t="str">
        <f>IF(Table1[[#This Row],[Efficiency Difference]] = " ", " ", ROUND((Table1[[#This Row],[Winning Margin]]*100)/Table1[[#This Row],[Efficiency Difference]], 2))</f>
        <v xml:space="preserve"> </v>
      </c>
    </row>
    <row r="653" spans="1:45">
      <c r="A653" t="s">
        <v>89</v>
      </c>
      <c r="B653">
        <v>664</v>
      </c>
      <c r="C653">
        <v>27</v>
      </c>
      <c r="D653">
        <v>266</v>
      </c>
      <c r="E653">
        <v>37</v>
      </c>
      <c r="F653">
        <v>1</v>
      </c>
      <c r="G653">
        <v>27</v>
      </c>
      <c r="H653">
        <v>1</v>
      </c>
      <c r="I653">
        <v>187</v>
      </c>
      <c r="J653">
        <v>42</v>
      </c>
      <c r="K653">
        <v>1</v>
      </c>
      <c r="L653">
        <v>1</v>
      </c>
      <c r="M653" t="s">
        <v>186</v>
      </c>
      <c r="N653">
        <v>663</v>
      </c>
      <c r="O653">
        <v>3</v>
      </c>
      <c r="P653">
        <v>173</v>
      </c>
      <c r="Q653">
        <v>32</v>
      </c>
      <c r="R653">
        <v>0</v>
      </c>
      <c r="S653">
        <v>16</v>
      </c>
      <c r="T653">
        <v>2</v>
      </c>
      <c r="U653">
        <v>157</v>
      </c>
      <c r="V653">
        <v>24</v>
      </c>
      <c r="W653">
        <v>0</v>
      </c>
      <c r="X653">
        <v>0</v>
      </c>
      <c r="Y653" t="s">
        <v>16</v>
      </c>
      <c r="Z653">
        <v>8</v>
      </c>
      <c r="AA653" s="3">
        <f>IF(AND(Table1[[#This Row],[Throw Out Pass Eff]]="N", Table1[[#This Row],[Against FCS Team]]="N"), ROUND(((5.45 * D653) + (150 * F653) + (100 * G653) - (300 * H653)) / E653, 2), " ")</f>
        <v>108.1</v>
      </c>
      <c r="AB653" s="3">
        <f>IF(AND(Table1[[#This Row],[Throw Out Pass Def Eff]]="N", Table1[[#This Row],[Against FCS Team]]="N"),200 - ROUND(((5.45 * P653) + (150 * R653) + (100 * S653) - (300 * T653)) / Q653, 2), " ")</f>
        <v>139.29</v>
      </c>
      <c r="AC653" s="3">
        <f>IF(AND(Table1[[#This Row],[Throw Out Rush Eff]]="N", Table1[[#This Row],[Against FCS Team]]="N"), ROUND(((23.2 * I653) + (150 * K653) - (300 * L653)) / J653, 2), " ")</f>
        <v>99.72</v>
      </c>
      <c r="AD653" s="3">
        <f>IF(AND(Table1[[#This Row],[Throw Out Rush Def Eff]]="N", Table1[[#This Row],[Against FCS Team]]="N"), 200 - ROUND(((23.2 * U653) + (150 * W653) - (300 * X653)) / V653, 2), " ")</f>
        <v>48.22999999999999</v>
      </c>
      <c r="AE653" s="3">
        <f>ROUND(Table1[[#This Row],[Opp Passing Attempts]]/(Table1[[#This Row],[Opp Passing Attempts]]+Table1[[#This Row],[Opp Rushing Attempts]]), 2)</f>
        <v>0.56999999999999995</v>
      </c>
      <c r="AF653" s="3">
        <f>1-Table1[[#This Row],[Passing Weight]]</f>
        <v>0.43000000000000005</v>
      </c>
      <c r="AG653" s="3" t="str">
        <f>IF(COUNTIF(A:A,Table1[[#This Row],[Opp Team Name]]) &gt; 0, "N", "Y")</f>
        <v>N</v>
      </c>
      <c r="AH653" s="3" t="str">
        <f>IF(Table1[[#This Row],[Passing Attempts]] &lt;15, "Y", "N")</f>
        <v>N</v>
      </c>
      <c r="AI653" s="3" t="str">
        <f>IF(Table1[[#This Row],[Rushing Attempts]] &lt; 15, "Y", "N")</f>
        <v>N</v>
      </c>
      <c r="AJ653" s="3" t="str">
        <f>IF(Table1[[#This Row],[Opp Passing Attempts]]&lt;15, "Y", "N")</f>
        <v>N</v>
      </c>
      <c r="AK653" s="3" t="str">
        <f>IF(Table1[[#This Row],[Opp Rushing Attempts]]&lt;15, "Y", "N")</f>
        <v>N</v>
      </c>
      <c r="AL6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99.21</v>
      </c>
      <c r="AM6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134.15</v>
      </c>
      <c r="AN6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129.59</v>
      </c>
      <c r="AO6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55.45</v>
      </c>
      <c r="AP653" s="3">
        <f>ABS(Table1[[#This Row],[Team Score]]-Table1[[#This Row],[Opp Team Score]])</f>
        <v>24</v>
      </c>
      <c r="AQ653" s="3">
        <f>SUM(Table1[[#This Row],[Team Score]], Table1[[#This Row],[Opp Team Score]])</f>
        <v>30</v>
      </c>
      <c r="AR6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4.660000000000025</v>
      </c>
      <c r="AS653" s="3">
        <f>IF(Table1[[#This Row],[Efficiency Difference]] = " ", " ", ROUND((Table1[[#This Row],[Winning Margin]]*100)/Table1[[#This Row],[Efficiency Difference]], 2))</f>
        <v>515.02</v>
      </c>
    </row>
    <row r="654" spans="1:45">
      <c r="A654" t="s">
        <v>200</v>
      </c>
      <c r="B654">
        <v>667</v>
      </c>
      <c r="C654">
        <v>45</v>
      </c>
      <c r="D654">
        <v>305</v>
      </c>
      <c r="E654">
        <v>36</v>
      </c>
      <c r="F654">
        <v>3</v>
      </c>
      <c r="G654">
        <v>24</v>
      </c>
      <c r="H654">
        <v>0</v>
      </c>
      <c r="I654">
        <v>118</v>
      </c>
      <c r="J654">
        <v>34</v>
      </c>
      <c r="K654">
        <v>2</v>
      </c>
      <c r="L654">
        <v>1</v>
      </c>
      <c r="M654" t="s">
        <v>150</v>
      </c>
      <c r="N654">
        <v>706</v>
      </c>
      <c r="O654">
        <v>22</v>
      </c>
      <c r="P654">
        <v>147</v>
      </c>
      <c r="Q654">
        <v>29</v>
      </c>
      <c r="R654">
        <v>1</v>
      </c>
      <c r="S654">
        <v>15</v>
      </c>
      <c r="T654">
        <v>1</v>
      </c>
      <c r="U654">
        <v>147</v>
      </c>
      <c r="V654">
        <v>35</v>
      </c>
      <c r="W654">
        <v>2</v>
      </c>
      <c r="X654">
        <v>1</v>
      </c>
      <c r="Y654" t="s">
        <v>16</v>
      </c>
      <c r="Z654">
        <v>3</v>
      </c>
      <c r="AA654">
        <f>IF(AND(Table1[[#This Row],[Throw Out Pass Eff]]="N", Table1[[#This Row],[Against FCS Team]]="N"), ROUND(((5.45 * D654) + (150 * F654) + (100 * G654) - (300 * H654)) / E654, 2), " ")</f>
        <v>125.34</v>
      </c>
      <c r="AB654">
        <f>IF(AND(Table1[[#This Row],[Throw Out Pass Def Eff]]="N", Table1[[#This Row],[Against FCS Team]]="N"),200 - ROUND(((5.45 * P654) + (150 * R654) + (100 * S654) - (300 * T654)) / Q654, 2), " ")</f>
        <v>125.82</v>
      </c>
      <c r="AC654">
        <f>IF(AND(Table1[[#This Row],[Throw Out Rush Eff]]="N", Table1[[#This Row],[Against FCS Team]]="N"), ROUND(((23.2 * I654) + (150 * K654) - (300 * L654)) / J654, 2), " ")</f>
        <v>80.52</v>
      </c>
      <c r="AD654" s="3">
        <f>IF(AND(Table1[[#This Row],[Throw Out Rush Def Eff]]="N", Table1[[#This Row],[Against FCS Team]]="N"), 200 - ROUND(((23.2 * U654) + (150 * W654) - (300 * X654)) / V654, 2), " ")</f>
        <v>102.56</v>
      </c>
      <c r="AE654" s="3">
        <f>ROUND(Table1[[#This Row],[Opp Passing Attempts]]/(Table1[[#This Row],[Opp Passing Attempts]]+Table1[[#This Row],[Opp Rushing Attempts]]), 2)</f>
        <v>0.45</v>
      </c>
      <c r="AF654" s="3">
        <f>1-Table1[[#This Row],[Passing Weight]]</f>
        <v>0.55000000000000004</v>
      </c>
      <c r="AG654" s="3" t="str">
        <f>IF(COUNTIF(A:A,Table1[[#This Row],[Opp Team Name]]) &gt; 0, "N", "Y")</f>
        <v>N</v>
      </c>
      <c r="AH654" s="3" t="str">
        <f>IF(Table1[[#This Row],[Passing Attempts]] &lt;15, "Y", "N")</f>
        <v>N</v>
      </c>
      <c r="AI654" s="3" t="str">
        <f>IF(Table1[[#This Row],[Rushing Attempts]] &lt; 15, "Y", "N")</f>
        <v>N</v>
      </c>
      <c r="AJ654" s="3" t="str">
        <f>IF(Table1[[#This Row],[Opp Passing Attempts]]&lt;15, "Y", "N")</f>
        <v>N</v>
      </c>
      <c r="AK654" s="3" t="str">
        <f>IF(Table1[[#This Row],[Opp Rushing Attempts]]&lt;15, "Y", "N")</f>
        <v>N</v>
      </c>
      <c r="AL65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116.1</v>
      </c>
      <c r="AM6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107.14</v>
      </c>
      <c r="AN6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87.26</v>
      </c>
      <c r="AO6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56.48</v>
      </c>
      <c r="AP654" s="3">
        <f>ABS(Table1[[#This Row],[Team Score]]-Table1[[#This Row],[Opp Team Score]])</f>
        <v>23</v>
      </c>
      <c r="AQ654" s="3">
        <f>SUM(Table1[[#This Row],[Team Score]], Table1[[#This Row],[Opp Team Score]])</f>
        <v>67</v>
      </c>
      <c r="AR65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34.240000000000009</v>
      </c>
      <c r="AS654" s="3">
        <f>IF(Table1[[#This Row],[Efficiency Difference]] = " ", " ", ROUND((Table1[[#This Row],[Winning Margin]]*100)/Table1[[#This Row],[Efficiency Difference]], 2))</f>
        <v>67.17</v>
      </c>
    </row>
    <row r="655" spans="1:45">
      <c r="A655" t="s">
        <v>129</v>
      </c>
      <c r="B655">
        <v>674</v>
      </c>
      <c r="C655">
        <v>57</v>
      </c>
      <c r="D655">
        <v>232</v>
      </c>
      <c r="E655">
        <v>31</v>
      </c>
      <c r="F655">
        <v>3</v>
      </c>
      <c r="G655">
        <v>22</v>
      </c>
      <c r="H655">
        <v>0</v>
      </c>
      <c r="I655">
        <v>141</v>
      </c>
      <c r="J655">
        <v>40</v>
      </c>
      <c r="K655">
        <v>4</v>
      </c>
      <c r="L655">
        <v>0</v>
      </c>
      <c r="M655" t="s">
        <v>128</v>
      </c>
      <c r="N655">
        <v>630</v>
      </c>
      <c r="O655">
        <v>3</v>
      </c>
      <c r="P655">
        <v>210</v>
      </c>
      <c r="Q655">
        <v>33</v>
      </c>
      <c r="R655">
        <v>0</v>
      </c>
      <c r="S655">
        <v>17</v>
      </c>
      <c r="T655">
        <v>0</v>
      </c>
      <c r="U655">
        <v>27</v>
      </c>
      <c r="V655">
        <v>32</v>
      </c>
      <c r="W655">
        <v>0</v>
      </c>
      <c r="X655">
        <v>3</v>
      </c>
      <c r="Y655" t="s">
        <v>16</v>
      </c>
      <c r="Z655">
        <v>1</v>
      </c>
      <c r="AA655">
        <f>IF(AND(Table1[[#This Row],[Throw Out Pass Eff]]="N", Table1[[#This Row],[Against FCS Team]]="N"), ROUND(((5.45 * D655) + (150 * F655) + (100 * G655) - (300 * H655)) / E655, 2), " ")</f>
        <v>126.27</v>
      </c>
      <c r="AB655">
        <f>IF(AND(Table1[[#This Row],[Throw Out Pass Def Eff]]="N", Table1[[#This Row],[Against FCS Team]]="N"),200 - ROUND(((5.45 * P655) + (150 * R655) + (100 * S655) - (300 * T655)) / Q655, 2), " ")</f>
        <v>113.8</v>
      </c>
      <c r="AC655">
        <f>IF(AND(Table1[[#This Row],[Throw Out Rush Eff]]="N", Table1[[#This Row],[Against FCS Team]]="N"), ROUND(((23.2 * I655) + (150 * K655) - (300 * L655)) / J655, 2), " ")</f>
        <v>96.78</v>
      </c>
      <c r="AD655" s="3">
        <f>IF(AND(Table1[[#This Row],[Throw Out Rush Def Eff]]="N", Table1[[#This Row],[Against FCS Team]]="N"), 200 - ROUND(((23.2 * U655) + (150 * W655) - (300 * X655)) / V655, 2), " ")</f>
        <v>208.55</v>
      </c>
      <c r="AE655" s="3">
        <f>ROUND(Table1[[#This Row],[Opp Passing Attempts]]/(Table1[[#This Row],[Opp Passing Attempts]]+Table1[[#This Row],[Opp Rushing Attempts]]), 2)</f>
        <v>0.51</v>
      </c>
      <c r="AF655" s="3">
        <f>1-Table1[[#This Row],[Passing Weight]]</f>
        <v>0.49</v>
      </c>
      <c r="AG655" s="3" t="str">
        <f>IF(COUNTIF(A:A,Table1[[#This Row],[Opp Team Name]]) &gt; 0, "N", "Y")</f>
        <v>N</v>
      </c>
      <c r="AH655" s="3" t="str">
        <f>IF(Table1[[#This Row],[Passing Attempts]] &lt;15, "Y", "N")</f>
        <v>N</v>
      </c>
      <c r="AI655" s="3" t="str">
        <f>IF(Table1[[#This Row],[Rushing Attempts]] &lt; 15, "Y", "N")</f>
        <v>N</v>
      </c>
      <c r="AJ655" s="3" t="str">
        <f>IF(Table1[[#This Row],[Opp Passing Attempts]]&lt;15, "Y", "N")</f>
        <v>N</v>
      </c>
      <c r="AK655" s="3" t="str">
        <f>IF(Table1[[#This Row],[Opp Rushing Attempts]]&lt;15, "Y", "N")</f>
        <v>N</v>
      </c>
      <c r="AL65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133.28</v>
      </c>
      <c r="AM6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96.77</v>
      </c>
      <c r="AN6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82.03</v>
      </c>
      <c r="AO6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169.81</v>
      </c>
      <c r="AP655" s="3">
        <f>ABS(Table1[[#This Row],[Team Score]]-Table1[[#This Row],[Opp Team Score]])</f>
        <v>54</v>
      </c>
      <c r="AQ655" s="3">
        <f>SUM(Table1[[#This Row],[Team Score]], Table1[[#This Row],[Opp Team Score]])</f>
        <v>60</v>
      </c>
      <c r="AR65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145.40000000000003</v>
      </c>
      <c r="AS655" s="3">
        <f>IF(Table1[[#This Row],[Efficiency Difference]] = " ", " ", ROUND((Table1[[#This Row],[Winning Margin]]*100)/Table1[[#This Row],[Efficiency Difference]], 2))</f>
        <v>37.14</v>
      </c>
    </row>
    <row r="656" spans="1:45">
      <c r="A656" t="s">
        <v>129</v>
      </c>
      <c r="B656">
        <v>674</v>
      </c>
      <c r="C656">
        <v>44</v>
      </c>
      <c r="D656">
        <v>299</v>
      </c>
      <c r="E656">
        <v>30</v>
      </c>
      <c r="F656">
        <v>4</v>
      </c>
      <c r="G656">
        <v>21</v>
      </c>
      <c r="H656">
        <v>1</v>
      </c>
      <c r="I656">
        <v>205</v>
      </c>
      <c r="J656">
        <v>30</v>
      </c>
      <c r="K656">
        <v>2</v>
      </c>
      <c r="L656">
        <v>0</v>
      </c>
      <c r="M656" t="s">
        <v>62</v>
      </c>
      <c r="N656">
        <v>193</v>
      </c>
      <c r="O656">
        <v>14</v>
      </c>
      <c r="P656">
        <v>305</v>
      </c>
      <c r="Q656">
        <v>39</v>
      </c>
      <c r="R656">
        <v>0</v>
      </c>
      <c r="S656">
        <v>28</v>
      </c>
      <c r="T656">
        <v>0</v>
      </c>
      <c r="U656">
        <v>30</v>
      </c>
      <c r="V656">
        <v>33</v>
      </c>
      <c r="W656">
        <v>1</v>
      </c>
      <c r="X656">
        <v>1</v>
      </c>
      <c r="Y656" t="s">
        <v>16</v>
      </c>
      <c r="Z656">
        <v>2</v>
      </c>
      <c r="AA656">
        <f>IF(AND(Table1[[#This Row],[Throw Out Pass Eff]]="N", Table1[[#This Row],[Against FCS Team]]="N"), ROUND(((5.45 * D656) + (150 * F656) + (100 * G656) - (300 * H656)) / E656, 2), " ")</f>
        <v>134.32</v>
      </c>
      <c r="AB656">
        <f>IF(AND(Table1[[#This Row],[Throw Out Pass Def Eff]]="N", Table1[[#This Row],[Against FCS Team]]="N"),200 - ROUND(((5.45 * P656) + (150 * R656) + (100 * S656) - (300 * T656)) / Q656, 2), " ")</f>
        <v>85.58</v>
      </c>
      <c r="AC656">
        <f>IF(AND(Table1[[#This Row],[Throw Out Rush Eff]]="N", Table1[[#This Row],[Against FCS Team]]="N"), ROUND(((23.2 * I656) + (150 * K656) - (300 * L656)) / J656, 2), " ")</f>
        <v>168.53</v>
      </c>
      <c r="AD656" s="3">
        <f>IF(AND(Table1[[#This Row],[Throw Out Rush Def Eff]]="N", Table1[[#This Row],[Against FCS Team]]="N"), 200 - ROUND(((23.2 * U656) + (150 * W656) - (300 * X656)) / V656, 2), " ")</f>
        <v>183.45</v>
      </c>
      <c r="AE656" s="3">
        <f>ROUND(Table1[[#This Row],[Opp Passing Attempts]]/(Table1[[#This Row],[Opp Passing Attempts]]+Table1[[#This Row],[Opp Rushing Attempts]]), 2)</f>
        <v>0.54</v>
      </c>
      <c r="AF656" s="3">
        <f>1-Table1[[#This Row],[Passing Weight]]</f>
        <v>0.45999999999999996</v>
      </c>
      <c r="AG656" s="3" t="str">
        <f>IF(COUNTIF(A:A,Table1[[#This Row],[Opp Team Name]]) &gt; 0, "N", "Y")</f>
        <v>N</v>
      </c>
      <c r="AH656" s="3" t="str">
        <f>IF(Table1[[#This Row],[Passing Attempts]] &lt;15, "Y", "N")</f>
        <v>N</v>
      </c>
      <c r="AI656" s="3" t="str">
        <f>IF(Table1[[#This Row],[Rushing Attempts]] &lt; 15, "Y", "N")</f>
        <v>N</v>
      </c>
      <c r="AJ656" s="3" t="str">
        <f>IF(Table1[[#This Row],[Opp Passing Attempts]]&lt;15, "Y", "N")</f>
        <v>N</v>
      </c>
      <c r="AK656" s="3" t="str">
        <f>IF(Table1[[#This Row],[Opp Rushing Attempts]]&lt;15, "Y", "N")</f>
        <v>N</v>
      </c>
      <c r="AL6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</v>
      </c>
      <c r="AM6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89.15</v>
      </c>
      <c r="AN6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164.51</v>
      </c>
      <c r="AO6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117.8</v>
      </c>
      <c r="AP656" s="3">
        <f>ABS(Table1[[#This Row],[Team Score]]-Table1[[#This Row],[Opp Team Score]])</f>
        <v>30</v>
      </c>
      <c r="AQ656" s="3">
        <f>SUM(Table1[[#This Row],[Team Score]], Table1[[#This Row],[Opp Team Score]])</f>
        <v>58</v>
      </c>
      <c r="AR65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171.88</v>
      </c>
      <c r="AS656" s="3">
        <f>IF(Table1[[#This Row],[Efficiency Difference]] = " ", " ", ROUND((Table1[[#This Row],[Winning Margin]]*100)/Table1[[#This Row],[Efficiency Difference]], 2))</f>
        <v>17.45</v>
      </c>
    </row>
    <row r="657" spans="1:45">
      <c r="A657" t="s">
        <v>129</v>
      </c>
      <c r="B657">
        <v>674</v>
      </c>
      <c r="C657">
        <v>37</v>
      </c>
      <c r="D657">
        <v>325</v>
      </c>
      <c r="E657">
        <v>31</v>
      </c>
      <c r="F657">
        <v>2</v>
      </c>
      <c r="G657">
        <v>20</v>
      </c>
      <c r="H657">
        <v>0</v>
      </c>
      <c r="I657">
        <v>242</v>
      </c>
      <c r="J657">
        <v>39</v>
      </c>
      <c r="K657">
        <v>2</v>
      </c>
      <c r="L657">
        <v>0</v>
      </c>
      <c r="M657" t="s">
        <v>22</v>
      </c>
      <c r="N657">
        <v>29</v>
      </c>
      <c r="O657">
        <v>10</v>
      </c>
      <c r="P657">
        <v>282</v>
      </c>
      <c r="Q657">
        <v>39</v>
      </c>
      <c r="R657">
        <v>1</v>
      </c>
      <c r="S657">
        <v>28</v>
      </c>
      <c r="T657">
        <v>0</v>
      </c>
      <c r="U657">
        <v>51</v>
      </c>
      <c r="V657">
        <v>23</v>
      </c>
      <c r="W657">
        <v>0</v>
      </c>
      <c r="X657">
        <v>0</v>
      </c>
      <c r="Y657" t="s">
        <v>16</v>
      </c>
      <c r="Z657">
        <v>3</v>
      </c>
      <c r="AA657">
        <f>IF(AND(Table1[[#This Row],[Throw Out Pass Eff]]="N", Table1[[#This Row],[Against FCS Team]]="N"), ROUND(((5.45 * D657) + (150 * F657) + (100 * G657) - (300 * H657)) / E657, 2), " ")</f>
        <v>131.33000000000001</v>
      </c>
      <c r="AB657">
        <f>IF(AND(Table1[[#This Row],[Throw Out Pass Def Eff]]="N", Table1[[#This Row],[Against FCS Team]]="N"),200 - ROUND(((5.45 * P657) + (150 * R657) + (100 * S657) - (300 * T657)) / Q657, 2), " ")</f>
        <v>84.95</v>
      </c>
      <c r="AC657">
        <f>IF(AND(Table1[[#This Row],[Throw Out Rush Eff]]="N", Table1[[#This Row],[Against FCS Team]]="N"), ROUND(((23.2 * I657) + (150 * K657) - (300 * L657)) / J657, 2), " ")</f>
        <v>151.65</v>
      </c>
      <c r="AD657" s="3">
        <f>IF(AND(Table1[[#This Row],[Throw Out Rush Def Eff]]="N", Table1[[#This Row],[Against FCS Team]]="N"), 200 - ROUND(((23.2 * U657) + (150 * W657) - (300 * X657)) / V657, 2), " ")</f>
        <v>148.56</v>
      </c>
      <c r="AE657" s="3">
        <f>ROUND(Table1[[#This Row],[Opp Passing Attempts]]/(Table1[[#This Row],[Opp Passing Attempts]]+Table1[[#This Row],[Opp Rushing Attempts]]), 2)</f>
        <v>0.63</v>
      </c>
      <c r="AF657" s="3">
        <f>1-Table1[[#This Row],[Passing Weight]]</f>
        <v>0.37</v>
      </c>
      <c r="AG657" s="3" t="str">
        <f>IF(COUNTIF(A:A,Table1[[#This Row],[Opp Team Name]]) &gt; 0, "N", "Y")</f>
        <v>N</v>
      </c>
      <c r="AH657" s="3" t="str">
        <f>IF(Table1[[#This Row],[Passing Attempts]] &lt;15, "Y", "N")</f>
        <v>N</v>
      </c>
      <c r="AI657" s="3" t="str">
        <f>IF(Table1[[#This Row],[Rushing Attempts]] &lt; 15, "Y", "N")</f>
        <v>N</v>
      </c>
      <c r="AJ657" s="3" t="str">
        <f>IF(Table1[[#This Row],[Opp Passing Attempts]]&lt;15, "Y", "N")</f>
        <v>N</v>
      </c>
      <c r="AK657" s="3" t="str">
        <f>IF(Table1[[#This Row],[Opp Rushing Attempts]]&lt;15, "Y", "N")</f>
        <v>N</v>
      </c>
      <c r="AL65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107.97</v>
      </c>
      <c r="AM65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</v>
      </c>
      <c r="AN65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112.51</v>
      </c>
      <c r="AO65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107.66</v>
      </c>
      <c r="AP657" s="3">
        <f>ABS(Table1[[#This Row],[Team Score]]-Table1[[#This Row],[Opp Team Score]])</f>
        <v>27</v>
      </c>
      <c r="AQ657" s="3">
        <f>SUM(Table1[[#This Row],[Team Score]], Table1[[#This Row],[Opp Team Score]])</f>
        <v>47</v>
      </c>
      <c r="AR65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116.49000000000001</v>
      </c>
      <c r="AS657" s="3">
        <f>IF(Table1[[#This Row],[Efficiency Difference]] = " ", " ", ROUND((Table1[[#This Row],[Winning Margin]]*100)/Table1[[#This Row],[Efficiency Difference]], 2))</f>
        <v>23.18</v>
      </c>
    </row>
    <row r="658" spans="1:45">
      <c r="A658" t="s">
        <v>129</v>
      </c>
      <c r="B658">
        <v>674</v>
      </c>
      <c r="C658">
        <v>45</v>
      </c>
      <c r="D658">
        <v>240</v>
      </c>
      <c r="E658">
        <v>28</v>
      </c>
      <c r="F658">
        <v>3</v>
      </c>
      <c r="G658">
        <v>24</v>
      </c>
      <c r="H658">
        <v>0</v>
      </c>
      <c r="I658">
        <v>202</v>
      </c>
      <c r="J658">
        <v>41</v>
      </c>
      <c r="K658">
        <v>3</v>
      </c>
      <c r="L658">
        <v>0</v>
      </c>
      <c r="M658" t="s">
        <v>75</v>
      </c>
      <c r="N658">
        <v>110</v>
      </c>
      <c r="O658">
        <v>19</v>
      </c>
      <c r="P658">
        <v>202</v>
      </c>
      <c r="Q658">
        <v>33</v>
      </c>
      <c r="R658">
        <v>2</v>
      </c>
      <c r="S658">
        <v>18</v>
      </c>
      <c r="T658">
        <v>0</v>
      </c>
      <c r="U658">
        <v>141</v>
      </c>
      <c r="V658">
        <v>29</v>
      </c>
      <c r="W658">
        <v>1</v>
      </c>
      <c r="X658">
        <v>2</v>
      </c>
      <c r="Y658" t="s">
        <v>16</v>
      </c>
      <c r="Z658">
        <v>5</v>
      </c>
      <c r="AA658">
        <f>IF(AND(Table1[[#This Row],[Throw Out Pass Eff]]="N", Table1[[#This Row],[Against FCS Team]]="N"), ROUND(((5.45 * D658) + (150 * F658) + (100 * G658) - (300 * H658)) / E658, 2), " ")</f>
        <v>148.5</v>
      </c>
      <c r="AB658">
        <f>IF(AND(Table1[[#This Row],[Throw Out Pass Def Eff]]="N", Table1[[#This Row],[Against FCS Team]]="N"),200 - ROUND(((5.45 * P658) + (150 * R658) + (100 * S658) - (300 * T658)) / Q658, 2), " ")</f>
        <v>103</v>
      </c>
      <c r="AC658">
        <f>IF(AND(Table1[[#This Row],[Throw Out Rush Eff]]="N", Table1[[#This Row],[Against FCS Team]]="N"), ROUND(((23.2 * I658) + (150 * K658) - (300 * L658)) / J658, 2), " ")</f>
        <v>125.28</v>
      </c>
      <c r="AD658" s="3">
        <f>IF(AND(Table1[[#This Row],[Throw Out Rush Def Eff]]="N", Table1[[#This Row],[Against FCS Team]]="N"), 200 - ROUND(((23.2 * U658) + (150 * W658) - (300 * X658)) / V658, 2), " ")</f>
        <v>102.72</v>
      </c>
      <c r="AE658" s="3">
        <f>ROUND(Table1[[#This Row],[Opp Passing Attempts]]/(Table1[[#This Row],[Opp Passing Attempts]]+Table1[[#This Row],[Opp Rushing Attempts]]), 2)</f>
        <v>0.53</v>
      </c>
      <c r="AF658" s="3">
        <f>1-Table1[[#This Row],[Passing Weight]]</f>
        <v>0.47</v>
      </c>
      <c r="AG658" s="3" t="str">
        <f>IF(COUNTIF(A:A,Table1[[#This Row],[Opp Team Name]]) &gt; 0, "N", "Y")</f>
        <v>N</v>
      </c>
      <c r="AH658" s="3" t="str">
        <f>IF(Table1[[#This Row],[Passing Attempts]] &lt;15, "Y", "N")</f>
        <v>N</v>
      </c>
      <c r="AI658" s="3" t="str">
        <f>IF(Table1[[#This Row],[Rushing Attempts]] &lt; 15, "Y", "N")</f>
        <v>N</v>
      </c>
      <c r="AJ658" s="3" t="str">
        <f>IF(Table1[[#This Row],[Opp Passing Attempts]]&lt;15, "Y", "N")</f>
        <v>N</v>
      </c>
      <c r="AK658" s="3" t="str">
        <f>IF(Table1[[#This Row],[Opp Rushing Attempts]]&lt;15, "Y", "N")</f>
        <v>N</v>
      </c>
      <c r="AL65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130.87</v>
      </c>
      <c r="AM6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100.7</v>
      </c>
      <c r="AN6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100.21</v>
      </c>
      <c r="AO6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104.04</v>
      </c>
      <c r="AP658" s="3">
        <f>ABS(Table1[[#This Row],[Team Score]]-Table1[[#This Row],[Opp Team Score]])</f>
        <v>26</v>
      </c>
      <c r="AQ658" s="3">
        <f>SUM(Table1[[#This Row],[Team Score]], Table1[[#This Row],[Opp Team Score]])</f>
        <v>64</v>
      </c>
      <c r="AR65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79.499999999999972</v>
      </c>
      <c r="AS658" s="3">
        <f>IF(Table1[[#This Row],[Efficiency Difference]] = " ", " ", ROUND((Table1[[#This Row],[Winning Margin]]*100)/Table1[[#This Row],[Efficiency Difference]], 2))</f>
        <v>32.700000000000003</v>
      </c>
    </row>
    <row r="659" spans="1:45">
      <c r="A659" t="s">
        <v>129</v>
      </c>
      <c r="B659">
        <v>674</v>
      </c>
      <c r="C659">
        <v>48</v>
      </c>
      <c r="D659">
        <v>392</v>
      </c>
      <c r="E659">
        <v>35</v>
      </c>
      <c r="F659">
        <v>3</v>
      </c>
      <c r="G659">
        <v>27</v>
      </c>
      <c r="H659">
        <v>1</v>
      </c>
      <c r="I659">
        <v>161</v>
      </c>
      <c r="J659">
        <v>35</v>
      </c>
      <c r="K659">
        <v>3</v>
      </c>
      <c r="L659">
        <v>1</v>
      </c>
      <c r="M659" t="s">
        <v>56</v>
      </c>
      <c r="N659">
        <v>157</v>
      </c>
      <c r="O659">
        <v>7</v>
      </c>
      <c r="P659">
        <v>204</v>
      </c>
      <c r="Q659">
        <v>30</v>
      </c>
      <c r="R659">
        <v>1</v>
      </c>
      <c r="S659">
        <v>16</v>
      </c>
      <c r="T659">
        <v>1</v>
      </c>
      <c r="U659">
        <v>60</v>
      </c>
      <c r="V659">
        <v>27</v>
      </c>
      <c r="W659">
        <v>0</v>
      </c>
      <c r="X659">
        <v>0</v>
      </c>
      <c r="Y659" t="s">
        <v>16</v>
      </c>
      <c r="Z659">
        <v>6</v>
      </c>
      <c r="AA659">
        <f>IF(AND(Table1[[#This Row],[Throw Out Pass Eff]]="N", Table1[[#This Row],[Against FCS Team]]="N"), ROUND(((5.45 * D659) + (150 * F659) + (100 * G659) - (300 * H659)) / E659, 2), " ")</f>
        <v>142.47</v>
      </c>
      <c r="AB659">
        <f>IF(AND(Table1[[#This Row],[Throw Out Pass Def Eff]]="N", Table1[[#This Row],[Against FCS Team]]="N"),200 - ROUND(((5.45 * P659) + (150 * R659) + (100 * S659) - (300 * T659)) / Q659, 2), " ")</f>
        <v>114.61</v>
      </c>
      <c r="AC659">
        <f>IF(AND(Table1[[#This Row],[Throw Out Rush Eff]]="N", Table1[[#This Row],[Against FCS Team]]="N"), ROUND(((23.2 * I659) + (150 * K659) - (300 * L659)) / J659, 2), " ")</f>
        <v>111.01</v>
      </c>
      <c r="AD659" s="3">
        <f>IF(AND(Table1[[#This Row],[Throw Out Rush Def Eff]]="N", Table1[[#This Row],[Against FCS Team]]="N"), 200 - ROUND(((23.2 * U659) + (150 * W659) - (300 * X659)) / V659, 2), " ")</f>
        <v>148.44</v>
      </c>
      <c r="AE659" s="3">
        <f>ROUND(Table1[[#This Row],[Opp Passing Attempts]]/(Table1[[#This Row],[Opp Passing Attempts]]+Table1[[#This Row],[Opp Rushing Attempts]]), 2)</f>
        <v>0.53</v>
      </c>
      <c r="AF659" s="3">
        <f>1-Table1[[#This Row],[Passing Weight]]</f>
        <v>0.47</v>
      </c>
      <c r="AG659" s="3" t="str">
        <f>IF(COUNTIF(A:A,Table1[[#This Row],[Opp Team Name]]) &gt; 0, "N", "Y")</f>
        <v>N</v>
      </c>
      <c r="AH659" s="3" t="str">
        <f>IF(Table1[[#This Row],[Passing Attempts]] &lt;15, "Y", "N")</f>
        <v>N</v>
      </c>
      <c r="AI659" s="3" t="str">
        <f>IF(Table1[[#This Row],[Rushing Attempts]] &lt; 15, "Y", "N")</f>
        <v>N</v>
      </c>
      <c r="AJ659" s="3" t="str">
        <f>IF(Table1[[#This Row],[Opp Passing Attempts]]&lt;15, "Y", "N")</f>
        <v>N</v>
      </c>
      <c r="AK659" s="3" t="str">
        <f>IF(Table1[[#This Row],[Opp Rushing Attempts]]&lt;15, "Y", "N")</f>
        <v>N</v>
      </c>
      <c r="AL6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122.56</v>
      </c>
      <c r="AM6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106.66</v>
      </c>
      <c r="AN6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93.51</v>
      </c>
      <c r="AO6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100.47</v>
      </c>
      <c r="AP659" s="3">
        <f>ABS(Table1[[#This Row],[Team Score]]-Table1[[#This Row],[Opp Team Score]])</f>
        <v>41</v>
      </c>
      <c r="AQ659" s="3">
        <f>SUM(Table1[[#This Row],[Team Score]], Table1[[#This Row],[Opp Team Score]])</f>
        <v>55</v>
      </c>
      <c r="AR6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116.53000000000003</v>
      </c>
      <c r="AS659" s="3">
        <f>IF(Table1[[#This Row],[Efficiency Difference]] = " ", " ", ROUND((Table1[[#This Row],[Winning Margin]]*100)/Table1[[#This Row],[Efficiency Difference]], 2))</f>
        <v>35.18</v>
      </c>
    </row>
    <row r="660" spans="1:45">
      <c r="A660" t="s">
        <v>129</v>
      </c>
      <c r="B660">
        <v>674</v>
      </c>
      <c r="C660">
        <v>44</v>
      </c>
      <c r="D660">
        <v>336</v>
      </c>
      <c r="E660">
        <v>36</v>
      </c>
      <c r="F660">
        <v>4</v>
      </c>
      <c r="G660">
        <v>23</v>
      </c>
      <c r="H660">
        <v>1</v>
      </c>
      <c r="I660">
        <v>139</v>
      </c>
      <c r="J660">
        <v>30</v>
      </c>
      <c r="K660">
        <v>1</v>
      </c>
      <c r="L660">
        <v>1</v>
      </c>
      <c r="M660" t="s">
        <v>160</v>
      </c>
      <c r="N660">
        <v>754</v>
      </c>
      <c r="O660">
        <v>14</v>
      </c>
      <c r="P660">
        <v>209</v>
      </c>
      <c r="Q660">
        <v>39</v>
      </c>
      <c r="R660">
        <v>0</v>
      </c>
      <c r="S660">
        <v>24</v>
      </c>
      <c r="T660">
        <v>0</v>
      </c>
      <c r="U660">
        <v>48</v>
      </c>
      <c r="V660">
        <v>28</v>
      </c>
      <c r="W660">
        <v>2</v>
      </c>
      <c r="X660">
        <v>1</v>
      </c>
      <c r="Y660" t="s">
        <v>16</v>
      </c>
      <c r="Z660">
        <v>7</v>
      </c>
      <c r="AA660">
        <f>IF(AND(Table1[[#This Row],[Throw Out Pass Eff]]="N", Table1[[#This Row],[Against FCS Team]]="N"), ROUND(((5.45 * D660) + (150 * F660) + (100 * G660) - (300 * H660)) / E660, 2), " ")</f>
        <v>123.09</v>
      </c>
      <c r="AB660">
        <f>IF(AND(Table1[[#This Row],[Throw Out Pass Def Eff]]="N", Table1[[#This Row],[Against FCS Team]]="N"),200 - ROUND(((5.45 * P660) + (150 * R660) + (100 * S660) - (300 * T660)) / Q660, 2), " ")</f>
        <v>109.26</v>
      </c>
      <c r="AC660">
        <f>IF(AND(Table1[[#This Row],[Throw Out Rush Eff]]="N", Table1[[#This Row],[Against FCS Team]]="N"), ROUND(((23.2 * I660) + (150 * K660) - (300 * L660)) / J660, 2), " ")</f>
        <v>102.49</v>
      </c>
      <c r="AD660" s="3">
        <f>IF(AND(Table1[[#This Row],[Throw Out Rush Def Eff]]="N", Table1[[#This Row],[Against FCS Team]]="N"), 200 - ROUND(((23.2 * U660) + (150 * W660) - (300 * X660)) / V660, 2), " ")</f>
        <v>160.22999999999999</v>
      </c>
      <c r="AE660" s="3">
        <f>ROUND(Table1[[#This Row],[Opp Passing Attempts]]/(Table1[[#This Row],[Opp Passing Attempts]]+Table1[[#This Row],[Opp Rushing Attempts]]), 2)</f>
        <v>0.57999999999999996</v>
      </c>
      <c r="AF660" s="3">
        <f>1-Table1[[#This Row],[Passing Weight]]</f>
        <v>0.42000000000000004</v>
      </c>
      <c r="AG660" s="3" t="str">
        <f>IF(COUNTIF(A:A,Table1[[#This Row],[Opp Team Name]]) &gt; 0, "N", "Y")</f>
        <v>N</v>
      </c>
      <c r="AH660" s="3" t="str">
        <f>IF(Table1[[#This Row],[Passing Attempts]] &lt;15, "Y", "N")</f>
        <v>N</v>
      </c>
      <c r="AI660" s="3" t="str">
        <f>IF(Table1[[#This Row],[Rushing Attempts]] &lt; 15, "Y", "N")</f>
        <v>N</v>
      </c>
      <c r="AJ660" s="3" t="str">
        <f>IF(Table1[[#This Row],[Opp Passing Attempts]]&lt;15, "Y", "N")</f>
        <v>N</v>
      </c>
      <c r="AK660" s="3" t="str">
        <f>IF(Table1[[#This Row],[Opp Rushing Attempts]]&lt;15, "Y", "N")</f>
        <v>N</v>
      </c>
      <c r="AL6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112.02</v>
      </c>
      <c r="AM6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120.85</v>
      </c>
      <c r="AN6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97.97</v>
      </c>
      <c r="AO6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95.67</v>
      </c>
      <c r="AP660" s="3">
        <f>ABS(Table1[[#This Row],[Team Score]]-Table1[[#This Row],[Opp Team Score]])</f>
        <v>30</v>
      </c>
      <c r="AQ660" s="3">
        <f>SUM(Table1[[#This Row],[Team Score]], Table1[[#This Row],[Opp Team Score]])</f>
        <v>58</v>
      </c>
      <c r="AR6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95.07</v>
      </c>
      <c r="AS660" s="3">
        <f>IF(Table1[[#This Row],[Efficiency Difference]] = " ", " ", ROUND((Table1[[#This Row],[Winning Margin]]*100)/Table1[[#This Row],[Efficiency Difference]], 2))</f>
        <v>31.56</v>
      </c>
    </row>
    <row r="661" spans="1:45">
      <c r="A661" t="s">
        <v>129</v>
      </c>
      <c r="B661">
        <v>674</v>
      </c>
      <c r="C661">
        <v>65</v>
      </c>
      <c r="D661">
        <v>169</v>
      </c>
      <c r="E661">
        <v>22</v>
      </c>
      <c r="F661">
        <v>2</v>
      </c>
      <c r="G661">
        <v>16</v>
      </c>
      <c r="H661">
        <v>0</v>
      </c>
      <c r="I661">
        <v>446</v>
      </c>
      <c r="J661">
        <v>44</v>
      </c>
      <c r="K661">
        <v>5</v>
      </c>
      <c r="L661">
        <v>0</v>
      </c>
      <c r="M661" t="s">
        <v>158</v>
      </c>
      <c r="N661">
        <v>756</v>
      </c>
      <c r="O661">
        <v>21</v>
      </c>
      <c r="P661">
        <v>258</v>
      </c>
      <c r="Q661">
        <v>38</v>
      </c>
      <c r="R661">
        <v>1</v>
      </c>
      <c r="S661">
        <v>24</v>
      </c>
      <c r="T661">
        <v>2</v>
      </c>
      <c r="U661">
        <v>172</v>
      </c>
      <c r="V661">
        <v>26</v>
      </c>
      <c r="W661">
        <v>2</v>
      </c>
      <c r="X661">
        <v>1</v>
      </c>
      <c r="Y661" t="s">
        <v>16</v>
      </c>
      <c r="Z661">
        <v>8</v>
      </c>
      <c r="AA661" s="3">
        <f>IF(AND(Table1[[#This Row],[Throw Out Pass Eff]]="N", Table1[[#This Row],[Against FCS Team]]="N"), ROUND(((5.45 * D661) + (150 * F661) + (100 * G661) - (300 * H661)) / E661, 2), " ")</f>
        <v>128.22999999999999</v>
      </c>
      <c r="AB661" s="3">
        <f>IF(AND(Table1[[#This Row],[Throw Out Pass Def Eff]]="N", Table1[[#This Row],[Against FCS Team]]="N"),200 - ROUND(((5.45 * P661) + (150 * R661) + (100 * S661) - (300 * T661)) / Q661, 2), " ")</f>
        <v>111.68</v>
      </c>
      <c r="AC661" s="3">
        <f>IF(AND(Table1[[#This Row],[Throw Out Rush Eff]]="N", Table1[[#This Row],[Against FCS Team]]="N"), ROUND(((23.2 * I661) + (150 * K661) - (300 * L661)) / J661, 2), " ")</f>
        <v>252.21</v>
      </c>
      <c r="AD661" s="3">
        <f>IF(AND(Table1[[#This Row],[Throw Out Rush Def Eff]]="N", Table1[[#This Row],[Against FCS Team]]="N"), 200 - ROUND(((23.2 * U661) + (150 * W661) - (300 * X661)) / V661, 2), " ")</f>
        <v>46.52000000000001</v>
      </c>
      <c r="AE661" s="3">
        <f>ROUND(Table1[[#This Row],[Opp Passing Attempts]]/(Table1[[#This Row],[Opp Passing Attempts]]+Table1[[#This Row],[Opp Rushing Attempts]]), 2)</f>
        <v>0.59</v>
      </c>
      <c r="AF661" s="3">
        <f>1-Table1[[#This Row],[Passing Weight]]</f>
        <v>0.41000000000000003</v>
      </c>
      <c r="AG661" s="3" t="str">
        <f>IF(COUNTIF(A:A,Table1[[#This Row],[Opp Team Name]]) &gt; 0, "N", "Y")</f>
        <v>N</v>
      </c>
      <c r="AH661" s="3" t="str">
        <f>IF(Table1[[#This Row],[Passing Attempts]] &lt;15, "Y", "N")</f>
        <v>N</v>
      </c>
      <c r="AI661" s="3" t="str">
        <f>IF(Table1[[#This Row],[Rushing Attempts]] &lt; 15, "Y", "N")</f>
        <v>N</v>
      </c>
      <c r="AJ661" s="3" t="str">
        <f>IF(Table1[[#This Row],[Opp Passing Attempts]]&lt;15, "Y", "N")</f>
        <v>N</v>
      </c>
      <c r="AK661" s="3" t="str">
        <f>IF(Table1[[#This Row],[Opp Rushing Attempts]]&lt;15, "Y", "N")</f>
        <v>N</v>
      </c>
      <c r="AL6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120.34</v>
      </c>
      <c r="AM6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140.43</v>
      </c>
      <c r="AN6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262.42</v>
      </c>
      <c r="AO6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54.97</v>
      </c>
      <c r="AP661" s="3">
        <f>ABS(Table1[[#This Row],[Team Score]]-Table1[[#This Row],[Opp Team Score]])</f>
        <v>44</v>
      </c>
      <c r="AQ661" s="3">
        <f>SUM(Table1[[#This Row],[Team Score]], Table1[[#This Row],[Opp Team Score]])</f>
        <v>86</v>
      </c>
      <c r="AR6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138.64000000000001</v>
      </c>
      <c r="AS661" s="3">
        <f>IF(Table1[[#This Row],[Efficiency Difference]] = " ", " ", ROUND((Table1[[#This Row],[Winning Margin]]*100)/Table1[[#This Row],[Efficiency Difference]], 2))</f>
        <v>31.74</v>
      </c>
    </row>
    <row r="662" spans="1:45">
      <c r="A662" t="s">
        <v>193</v>
      </c>
      <c r="B662">
        <v>676</v>
      </c>
      <c r="C662">
        <v>26</v>
      </c>
      <c r="D662">
        <v>353</v>
      </c>
      <c r="E662">
        <v>65</v>
      </c>
      <c r="F662">
        <v>0</v>
      </c>
      <c r="G662">
        <v>32</v>
      </c>
      <c r="H662">
        <v>1</v>
      </c>
      <c r="I662">
        <v>66</v>
      </c>
      <c r="J662">
        <v>17</v>
      </c>
      <c r="K662">
        <v>1</v>
      </c>
      <c r="L662">
        <v>0</v>
      </c>
      <c r="M662" t="s">
        <v>136</v>
      </c>
      <c r="N662">
        <v>670</v>
      </c>
      <c r="O662">
        <v>35</v>
      </c>
      <c r="P662">
        <v>241</v>
      </c>
      <c r="Q662">
        <v>17</v>
      </c>
      <c r="R662">
        <v>4</v>
      </c>
      <c r="S662">
        <v>10</v>
      </c>
      <c r="T662">
        <v>1</v>
      </c>
      <c r="U662">
        <v>272</v>
      </c>
      <c r="V662">
        <v>59</v>
      </c>
      <c r="W662">
        <v>1</v>
      </c>
      <c r="X662">
        <v>1</v>
      </c>
      <c r="Y662" t="s">
        <v>19</v>
      </c>
      <c r="Z662">
        <v>4</v>
      </c>
      <c r="AA662">
        <f>IF(AND(Table1[[#This Row],[Throw Out Pass Eff]]="N", Table1[[#This Row],[Against FCS Team]]="N"), ROUND(((5.45 * D662) + (150 * F662) + (100 * G662) - (300 * H662)) / E662, 2), " ")</f>
        <v>74.209999999999994</v>
      </c>
      <c r="AB662">
        <f>IF(AND(Table1[[#This Row],[Throw Out Pass Def Eff]]="N", Table1[[#This Row],[Against FCS Team]]="N"),200 - ROUND(((5.45 * P662) + (150 * R662) + (100 * S662) - (300 * T662)) / Q662, 2), " ")</f>
        <v>46.27000000000001</v>
      </c>
      <c r="AC662">
        <f>IF(AND(Table1[[#This Row],[Throw Out Rush Eff]]="N", Table1[[#This Row],[Against FCS Team]]="N"), ROUND(((23.2 * I662) + (150 * K662) - (300 * L662)) / J662, 2), " ")</f>
        <v>98.89</v>
      </c>
      <c r="AD662" s="3">
        <f>IF(AND(Table1[[#This Row],[Throw Out Rush Def Eff]]="N", Table1[[#This Row],[Against FCS Team]]="N"), 200 - ROUND(((23.2 * U662) + (150 * W662) - (300 * X662)) / V662, 2), " ")</f>
        <v>95.59</v>
      </c>
      <c r="AE662" s="3">
        <f>ROUND(Table1[[#This Row],[Opp Passing Attempts]]/(Table1[[#This Row],[Opp Passing Attempts]]+Table1[[#This Row],[Opp Rushing Attempts]]), 2)</f>
        <v>0.22</v>
      </c>
      <c r="AF662" s="3">
        <f>1-Table1[[#This Row],[Passing Weight]]</f>
        <v>0.78</v>
      </c>
      <c r="AG662" s="3" t="str">
        <f>IF(COUNTIF(A:A,Table1[[#This Row],[Opp Team Name]]) &gt; 0, "N", "Y")</f>
        <v>N</v>
      </c>
      <c r="AH662" s="3" t="str">
        <f>IF(Table1[[#This Row],[Passing Attempts]] &lt;15, "Y", "N")</f>
        <v>N</v>
      </c>
      <c r="AI662" s="3" t="str">
        <f>IF(Table1[[#This Row],[Rushing Attempts]] &lt; 15, "Y", "N")</f>
        <v>N</v>
      </c>
      <c r="AJ662" s="3" t="str">
        <f>IF(Table1[[#This Row],[Opp Passing Attempts]]&lt;15, "Y", "N")</f>
        <v>N</v>
      </c>
      <c r="AK662" s="3" t="str">
        <f>IF(Table1[[#This Row],[Opp Rushing Attempts]]&lt;15, "Y", "N")</f>
        <v>N</v>
      </c>
      <c r="AL6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81.010000000000005</v>
      </c>
      <c r="AM6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44.23</v>
      </c>
      <c r="AN66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65.83</v>
      </c>
      <c r="AO6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93.78</v>
      </c>
      <c r="AP662" s="3">
        <f>ABS(Table1[[#This Row],[Team Score]]-Table1[[#This Row],[Opp Team Score]])</f>
        <v>9</v>
      </c>
      <c r="AQ662" s="3">
        <f>SUM(Table1[[#This Row],[Team Score]], Table1[[#This Row],[Opp Team Score]])</f>
        <v>61</v>
      </c>
      <c r="AR66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85.039999999999992</v>
      </c>
      <c r="AS662" s="3">
        <f>IF(Table1[[#This Row],[Efficiency Difference]] = " ", " ", ROUND((Table1[[#This Row],[Winning Margin]]*100)/Table1[[#This Row],[Efficiency Difference]], 2))</f>
        <v>10.58</v>
      </c>
    </row>
    <row r="663" spans="1:45">
      <c r="A663" t="s">
        <v>130</v>
      </c>
      <c r="B663">
        <v>688</v>
      </c>
      <c r="C663">
        <v>21</v>
      </c>
      <c r="D663">
        <v>318</v>
      </c>
      <c r="E663">
        <v>37</v>
      </c>
      <c r="F663">
        <v>3</v>
      </c>
      <c r="G663">
        <v>29</v>
      </c>
      <c r="H663">
        <v>1</v>
      </c>
      <c r="I663">
        <v>36</v>
      </c>
      <c r="J663">
        <v>25</v>
      </c>
      <c r="K663">
        <v>0</v>
      </c>
      <c r="L663">
        <v>0</v>
      </c>
      <c r="M663" t="s">
        <v>188</v>
      </c>
      <c r="N663">
        <v>572</v>
      </c>
      <c r="O663">
        <v>14</v>
      </c>
      <c r="P663">
        <v>154</v>
      </c>
      <c r="Q663">
        <v>30</v>
      </c>
      <c r="R663">
        <v>1</v>
      </c>
      <c r="S663">
        <v>14</v>
      </c>
      <c r="T663">
        <v>2</v>
      </c>
      <c r="U663">
        <v>112</v>
      </c>
      <c r="V663">
        <v>34</v>
      </c>
      <c r="W663">
        <v>1</v>
      </c>
      <c r="X663">
        <v>0</v>
      </c>
      <c r="Y663" t="s">
        <v>16</v>
      </c>
      <c r="Z663">
        <v>2</v>
      </c>
      <c r="AA663" t="str">
        <f>IF(AND(Table1[[#This Row],[Throw Out Pass Eff]]="N", Table1[[#This Row],[Against FCS Team]]="N"), ROUND(((5.45 * D663) + (150 * F663) + (100 * G663) - (300 * H663)) / E663, 2), " ")</f>
        <v xml:space="preserve"> </v>
      </c>
      <c r="AB663" t="str">
        <f>IF(AND(Table1[[#This Row],[Throw Out Pass Def Eff]]="N", Table1[[#This Row],[Against FCS Team]]="N"),200 - ROUND(((5.45 * P663) + (150 * R663) + (100 * S663) - (300 * T663)) / Q663, 2), " ")</f>
        <v xml:space="preserve"> </v>
      </c>
      <c r="AC663" t="str">
        <f>IF(AND(Table1[[#This Row],[Throw Out Rush Eff]]="N", Table1[[#This Row],[Against FCS Team]]="N"), ROUND(((23.2 * I663) + (150 * K663) - (300 * L663)) / J663, 2), " ")</f>
        <v xml:space="preserve"> </v>
      </c>
      <c r="AD663" s="3" t="str">
        <f>IF(AND(Table1[[#This Row],[Throw Out Rush Def Eff]]="N", Table1[[#This Row],[Against FCS Team]]="N"), 200 - ROUND(((23.2 * U663) + (150 * W663) - (300 * X663)) / V663, 2), " ")</f>
        <v xml:space="preserve"> </v>
      </c>
      <c r="AE663" s="3">
        <f>ROUND(Table1[[#This Row],[Opp Passing Attempts]]/(Table1[[#This Row],[Opp Passing Attempts]]+Table1[[#This Row],[Opp Rushing Attempts]]), 2)</f>
        <v>0.47</v>
      </c>
      <c r="AF663" s="3">
        <f>1-Table1[[#This Row],[Passing Weight]]</f>
        <v>0.53</v>
      </c>
      <c r="AG663" s="3" t="str">
        <f>IF(COUNTIF(A:A,Table1[[#This Row],[Opp Team Name]]) &gt; 0, "N", "Y")</f>
        <v>Y</v>
      </c>
      <c r="AH663" s="3" t="str">
        <f>IF(Table1[[#This Row],[Passing Attempts]] &lt;15, "Y", "N")</f>
        <v>N</v>
      </c>
      <c r="AI663" s="3" t="str">
        <f>IF(Table1[[#This Row],[Rushing Attempts]] &lt; 15, "Y", "N")</f>
        <v>N</v>
      </c>
      <c r="AJ663" s="3" t="str">
        <f>IF(Table1[[#This Row],[Opp Passing Attempts]]&lt;15, "Y", "N")</f>
        <v>N</v>
      </c>
      <c r="AK663" s="3" t="str">
        <f>IF(Table1[[#This Row],[Opp Rushing Attempts]]&lt;15, "Y", "N")</f>
        <v>N</v>
      </c>
      <c r="AL66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63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63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663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663" s="3">
        <f>ABS(Table1[[#This Row],[Team Score]]-Table1[[#This Row],[Opp Team Score]])</f>
        <v>7</v>
      </c>
      <c r="AQ663" s="3">
        <f>SUM(Table1[[#This Row],[Team Score]], Table1[[#This Row],[Opp Team Score]])</f>
        <v>35</v>
      </c>
      <c r="AR66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63" s="3" t="str">
        <f>IF(Table1[[#This Row],[Efficiency Difference]] = " ", " ", ROUND((Table1[[#This Row],[Winning Margin]]*100)/Table1[[#This Row],[Efficiency Difference]], 2))</f>
        <v xml:space="preserve"> </v>
      </c>
    </row>
    <row r="664" spans="1:45">
      <c r="A664" t="s">
        <v>130</v>
      </c>
      <c r="B664">
        <v>688</v>
      </c>
      <c r="C664">
        <v>36</v>
      </c>
      <c r="D664">
        <v>178</v>
      </c>
      <c r="E664">
        <v>28</v>
      </c>
      <c r="F664">
        <v>3</v>
      </c>
      <c r="G664">
        <v>20</v>
      </c>
      <c r="H664">
        <v>0</v>
      </c>
      <c r="I664">
        <v>121</v>
      </c>
      <c r="J664">
        <v>30</v>
      </c>
      <c r="K664">
        <v>2</v>
      </c>
      <c r="L664">
        <v>1</v>
      </c>
      <c r="M664" t="s">
        <v>131</v>
      </c>
      <c r="N664">
        <v>749</v>
      </c>
      <c r="O664">
        <v>29</v>
      </c>
      <c r="P664">
        <v>326</v>
      </c>
      <c r="Q664">
        <v>41</v>
      </c>
      <c r="R664">
        <v>3</v>
      </c>
      <c r="S664">
        <v>24</v>
      </c>
      <c r="T664">
        <v>1</v>
      </c>
      <c r="U664">
        <v>80</v>
      </c>
      <c r="V664">
        <v>43</v>
      </c>
      <c r="W664">
        <v>0</v>
      </c>
      <c r="X664">
        <v>0</v>
      </c>
      <c r="Y664" t="s">
        <v>16</v>
      </c>
      <c r="Z664">
        <v>1</v>
      </c>
      <c r="AA664">
        <f>IF(AND(Table1[[#This Row],[Throw Out Pass Eff]]="N", Table1[[#This Row],[Against FCS Team]]="N"), ROUND(((5.45 * D664) + (150 * F664) + (100 * G664) - (300 * H664)) / E664, 2), " ")</f>
        <v>122.15</v>
      </c>
      <c r="AB664">
        <f>IF(AND(Table1[[#This Row],[Throw Out Pass Def Eff]]="N", Table1[[#This Row],[Against FCS Team]]="N"),200 - ROUND(((5.45 * P664) + (150 * R664) + (100 * S664) - (300 * T664)) / Q664, 2), " ")</f>
        <v>94.47</v>
      </c>
      <c r="AC664">
        <f>IF(AND(Table1[[#This Row],[Throw Out Rush Eff]]="N", Table1[[#This Row],[Against FCS Team]]="N"), ROUND(((23.2 * I664) + (150 * K664) - (300 * L664)) / J664, 2), " ")</f>
        <v>93.57</v>
      </c>
      <c r="AD664" s="3">
        <f>IF(AND(Table1[[#This Row],[Throw Out Rush Def Eff]]="N", Table1[[#This Row],[Against FCS Team]]="N"), 200 - ROUND(((23.2 * U664) + (150 * W664) - (300 * X664)) / V664, 2), " ")</f>
        <v>156.84</v>
      </c>
      <c r="AE664" s="3">
        <f>ROUND(Table1[[#This Row],[Opp Passing Attempts]]/(Table1[[#This Row],[Opp Passing Attempts]]+Table1[[#This Row],[Opp Rushing Attempts]]), 2)</f>
        <v>0.49</v>
      </c>
      <c r="AF664" s="3">
        <f>1-Table1[[#This Row],[Passing Weight]]</f>
        <v>0.51</v>
      </c>
      <c r="AG664" s="3" t="str">
        <f>IF(COUNTIF(A:A,Table1[[#This Row],[Opp Team Name]]) &gt; 0, "N", "Y")</f>
        <v>N</v>
      </c>
      <c r="AH664" s="3" t="str">
        <f>IF(Table1[[#This Row],[Passing Attempts]] &lt;15, "Y", "N")</f>
        <v>N</v>
      </c>
      <c r="AI664" s="3" t="str">
        <f>IF(Table1[[#This Row],[Rushing Attempts]] &lt; 15, "Y", "N")</f>
        <v>N</v>
      </c>
      <c r="AJ664" s="3" t="str">
        <f>IF(Table1[[#This Row],[Opp Passing Attempts]]&lt;15, "Y", "N")</f>
        <v>N</v>
      </c>
      <c r="AK664" s="3" t="str">
        <f>IF(Table1[[#This Row],[Opp Rushing Attempts]]&lt;15, "Y", "N")</f>
        <v>N</v>
      </c>
      <c r="AL6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131.12</v>
      </c>
      <c r="AM6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104.86</v>
      </c>
      <c r="AN66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95.82</v>
      </c>
      <c r="AO6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107.56</v>
      </c>
      <c r="AP664" s="3">
        <f>ABS(Table1[[#This Row],[Team Score]]-Table1[[#This Row],[Opp Team Score]])</f>
        <v>7</v>
      </c>
      <c r="AQ664" s="3">
        <f>SUM(Table1[[#This Row],[Team Score]], Table1[[#This Row],[Opp Team Score]])</f>
        <v>65</v>
      </c>
      <c r="AR66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67.03</v>
      </c>
      <c r="AS664" s="3">
        <f>IF(Table1[[#This Row],[Efficiency Difference]] = " ", " ", ROUND((Table1[[#This Row],[Winning Margin]]*100)/Table1[[#This Row],[Efficiency Difference]], 2))</f>
        <v>10.44</v>
      </c>
    </row>
    <row r="665" spans="1:45">
      <c r="A665" t="s">
        <v>130</v>
      </c>
      <c r="B665">
        <v>688</v>
      </c>
      <c r="C665">
        <v>17</v>
      </c>
      <c r="D665">
        <v>258</v>
      </c>
      <c r="E665">
        <v>38</v>
      </c>
      <c r="F665">
        <v>2</v>
      </c>
      <c r="G665">
        <v>26</v>
      </c>
      <c r="H665">
        <v>0</v>
      </c>
      <c r="I665">
        <v>73</v>
      </c>
      <c r="J665">
        <v>21</v>
      </c>
      <c r="K665">
        <v>0</v>
      </c>
      <c r="L665">
        <v>1</v>
      </c>
      <c r="M665" t="s">
        <v>103</v>
      </c>
      <c r="N665">
        <v>657</v>
      </c>
      <c r="O665">
        <v>38</v>
      </c>
      <c r="P665">
        <v>326</v>
      </c>
      <c r="Q665">
        <v>40</v>
      </c>
      <c r="R665">
        <v>5</v>
      </c>
      <c r="S665">
        <v>27</v>
      </c>
      <c r="T665">
        <v>0</v>
      </c>
      <c r="U665">
        <v>175</v>
      </c>
      <c r="V665">
        <v>33</v>
      </c>
      <c r="W665">
        <v>0</v>
      </c>
      <c r="X665">
        <v>1</v>
      </c>
      <c r="Y665" t="s">
        <v>19</v>
      </c>
      <c r="Z665">
        <v>3</v>
      </c>
      <c r="AA665">
        <f>IF(AND(Table1[[#This Row],[Throw Out Pass Eff]]="N", Table1[[#This Row],[Against FCS Team]]="N"), ROUND(((5.45 * D665) + (150 * F665) + (100 * G665) - (300 * H665)) / E665, 2), " ")</f>
        <v>113.32</v>
      </c>
      <c r="AB665">
        <f>IF(AND(Table1[[#This Row],[Throw Out Pass Def Eff]]="N", Table1[[#This Row],[Against FCS Team]]="N"),200 - ROUND(((5.45 * P665) + (150 * R665) + (100 * S665) - (300 * T665)) / Q665, 2), " ")</f>
        <v>69.330000000000013</v>
      </c>
      <c r="AC665">
        <f>IF(AND(Table1[[#This Row],[Throw Out Rush Eff]]="N", Table1[[#This Row],[Against FCS Team]]="N"), ROUND(((23.2 * I665) + (150 * K665) - (300 * L665)) / J665, 2), " ")</f>
        <v>66.36</v>
      </c>
      <c r="AD665" s="3">
        <f>IF(AND(Table1[[#This Row],[Throw Out Rush Def Eff]]="N", Table1[[#This Row],[Against FCS Team]]="N"), 200 - ROUND(((23.2 * U665) + (150 * W665) - (300 * X665)) / V665, 2), " ")</f>
        <v>86.06</v>
      </c>
      <c r="AE665" s="3">
        <f>ROUND(Table1[[#This Row],[Opp Passing Attempts]]/(Table1[[#This Row],[Opp Passing Attempts]]+Table1[[#This Row],[Opp Rushing Attempts]]), 2)</f>
        <v>0.55000000000000004</v>
      </c>
      <c r="AF665" s="3">
        <f>1-Table1[[#This Row],[Passing Weight]]</f>
        <v>0.44999999999999996</v>
      </c>
      <c r="AG665" s="3" t="str">
        <f>IF(COUNTIF(A:A,Table1[[#This Row],[Opp Team Name]]) &gt; 0, "N", "Y")</f>
        <v>N</v>
      </c>
      <c r="AH665" s="3" t="str">
        <f>IF(Table1[[#This Row],[Passing Attempts]] &lt;15, "Y", "N")</f>
        <v>N</v>
      </c>
      <c r="AI665" s="3" t="str">
        <f>IF(Table1[[#This Row],[Rushing Attempts]] &lt; 15, "Y", "N")</f>
        <v>N</v>
      </c>
      <c r="AJ665" s="3" t="str">
        <f>IF(Table1[[#This Row],[Opp Passing Attempts]]&lt;15, "Y", "N")</f>
        <v>N</v>
      </c>
      <c r="AK665" s="3" t="str">
        <f>IF(Table1[[#This Row],[Opp Rushing Attempts]]&lt;15, "Y", "N")</f>
        <v>N</v>
      </c>
      <c r="AL66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115.17</v>
      </c>
      <c r="AM6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80.02</v>
      </c>
      <c r="AN6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82.94</v>
      </c>
      <c r="AO6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78.94</v>
      </c>
      <c r="AP665" s="3">
        <f>ABS(Table1[[#This Row],[Team Score]]-Table1[[#This Row],[Opp Team Score]])</f>
        <v>21</v>
      </c>
      <c r="AQ665" s="3">
        <f>SUM(Table1[[#This Row],[Team Score]], Table1[[#This Row],[Opp Team Score]])</f>
        <v>55</v>
      </c>
      <c r="AR66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64.929999999999978</v>
      </c>
      <c r="AS665" s="3">
        <f>IF(Table1[[#This Row],[Efficiency Difference]] = " ", " ", ROUND((Table1[[#This Row],[Winning Margin]]*100)/Table1[[#This Row],[Efficiency Difference]], 2))</f>
        <v>32.340000000000003</v>
      </c>
    </row>
    <row r="666" spans="1:45">
      <c r="A666" t="s">
        <v>130</v>
      </c>
      <c r="B666">
        <v>688</v>
      </c>
      <c r="C666">
        <v>33</v>
      </c>
      <c r="D666">
        <v>213</v>
      </c>
      <c r="E666">
        <v>25</v>
      </c>
      <c r="F666">
        <v>2</v>
      </c>
      <c r="G666">
        <v>16</v>
      </c>
      <c r="H666">
        <v>0</v>
      </c>
      <c r="I666">
        <v>153</v>
      </c>
      <c r="J666">
        <v>41</v>
      </c>
      <c r="K666">
        <v>1</v>
      </c>
      <c r="L666">
        <v>1</v>
      </c>
      <c r="M666" t="s">
        <v>138</v>
      </c>
      <c r="N666">
        <v>709</v>
      </c>
      <c r="O666">
        <v>30</v>
      </c>
      <c r="P666">
        <v>300</v>
      </c>
      <c r="Q666">
        <v>42</v>
      </c>
      <c r="R666">
        <v>1</v>
      </c>
      <c r="S666">
        <v>28</v>
      </c>
      <c r="T666">
        <v>1</v>
      </c>
      <c r="U666">
        <v>138</v>
      </c>
      <c r="V666">
        <v>37</v>
      </c>
      <c r="W666">
        <v>2</v>
      </c>
      <c r="X666">
        <v>0</v>
      </c>
      <c r="Y666" t="s">
        <v>16</v>
      </c>
      <c r="Z666">
        <v>4</v>
      </c>
      <c r="AA666">
        <f>IF(AND(Table1[[#This Row],[Throw Out Pass Eff]]="N", Table1[[#This Row],[Against FCS Team]]="N"), ROUND(((5.45 * D666) + (150 * F666) + (100 * G666) - (300 * H666)) / E666, 2), " ")</f>
        <v>122.43</v>
      </c>
      <c r="AB666">
        <f>IF(AND(Table1[[#This Row],[Throw Out Pass Def Eff]]="N", Table1[[#This Row],[Against FCS Team]]="N"),200 - ROUND(((5.45 * P666) + (150 * R666) + (100 * S666) - (300 * T666)) / Q666, 2), " ")</f>
        <v>97.98</v>
      </c>
      <c r="AC666">
        <f>IF(AND(Table1[[#This Row],[Throw Out Rush Eff]]="N", Table1[[#This Row],[Against FCS Team]]="N"), ROUND(((23.2 * I666) + (150 * K666) - (300 * L666)) / J666, 2), " ")</f>
        <v>82.92</v>
      </c>
      <c r="AD666" s="3">
        <f>IF(AND(Table1[[#This Row],[Throw Out Rush Def Eff]]="N", Table1[[#This Row],[Against FCS Team]]="N"), 200 - ROUND(((23.2 * U666) + (150 * W666) - (300 * X666)) / V666, 2), " ")</f>
        <v>105.36</v>
      </c>
      <c r="AE666" s="3">
        <f>ROUND(Table1[[#This Row],[Opp Passing Attempts]]/(Table1[[#This Row],[Opp Passing Attempts]]+Table1[[#This Row],[Opp Rushing Attempts]]), 2)</f>
        <v>0.53</v>
      </c>
      <c r="AF666" s="3">
        <f>1-Table1[[#This Row],[Passing Weight]]</f>
        <v>0.47</v>
      </c>
      <c r="AG666" s="3" t="str">
        <f>IF(COUNTIF(A:A,Table1[[#This Row],[Opp Team Name]]) &gt; 0, "N", "Y")</f>
        <v>N</v>
      </c>
      <c r="AH666" s="3" t="str">
        <f>IF(Table1[[#This Row],[Passing Attempts]] &lt;15, "Y", "N")</f>
        <v>N</v>
      </c>
      <c r="AI666" s="3" t="str">
        <f>IF(Table1[[#This Row],[Rushing Attempts]] &lt; 15, "Y", "N")</f>
        <v>N</v>
      </c>
      <c r="AJ666" s="3" t="str">
        <f>IF(Table1[[#This Row],[Opp Passing Attempts]]&lt;15, "Y", "N")</f>
        <v>N</v>
      </c>
      <c r="AK666" s="3" t="str">
        <f>IF(Table1[[#This Row],[Opp Rushing Attempts]]&lt;15, "Y", "N")</f>
        <v>N</v>
      </c>
      <c r="AL6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124.32</v>
      </c>
      <c r="AM6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114.77</v>
      </c>
      <c r="AN6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110.04</v>
      </c>
      <c r="AO6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109.85</v>
      </c>
      <c r="AP666" s="3">
        <f>ABS(Table1[[#This Row],[Team Score]]-Table1[[#This Row],[Opp Team Score]])</f>
        <v>3</v>
      </c>
      <c r="AQ666" s="3">
        <f>SUM(Table1[[#This Row],[Team Score]], Table1[[#This Row],[Opp Team Score]])</f>
        <v>63</v>
      </c>
      <c r="AR6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8.6900000000000261</v>
      </c>
      <c r="AS666" s="3">
        <f>IF(Table1[[#This Row],[Efficiency Difference]] = " ", " ", ROUND((Table1[[#This Row],[Winning Margin]]*100)/Table1[[#This Row],[Efficiency Difference]], 2))</f>
        <v>34.520000000000003</v>
      </c>
    </row>
    <row r="667" spans="1:45">
      <c r="A667" t="s">
        <v>130</v>
      </c>
      <c r="B667">
        <v>688</v>
      </c>
      <c r="C667">
        <v>16</v>
      </c>
      <c r="D667">
        <v>169</v>
      </c>
      <c r="E667">
        <v>32</v>
      </c>
      <c r="F667">
        <v>0</v>
      </c>
      <c r="G667">
        <v>15</v>
      </c>
      <c r="H667">
        <v>3</v>
      </c>
      <c r="I667">
        <v>126</v>
      </c>
      <c r="J667">
        <v>32</v>
      </c>
      <c r="K667">
        <v>1</v>
      </c>
      <c r="L667">
        <v>2</v>
      </c>
      <c r="M667" t="s">
        <v>124</v>
      </c>
      <c r="N667">
        <v>587</v>
      </c>
      <c r="O667">
        <v>19</v>
      </c>
      <c r="P667">
        <v>297</v>
      </c>
      <c r="Q667">
        <v>57</v>
      </c>
      <c r="R667">
        <v>1</v>
      </c>
      <c r="S667">
        <v>29</v>
      </c>
      <c r="T667">
        <v>1</v>
      </c>
      <c r="U667">
        <v>5</v>
      </c>
      <c r="V667">
        <v>38</v>
      </c>
      <c r="W667">
        <v>0</v>
      </c>
      <c r="X667">
        <v>3</v>
      </c>
      <c r="Y667" t="s">
        <v>19</v>
      </c>
      <c r="Z667">
        <v>5</v>
      </c>
      <c r="AA667">
        <f>IF(AND(Table1[[#This Row],[Throw Out Pass Eff]]="N", Table1[[#This Row],[Against FCS Team]]="N"), ROUND(((5.45 * D667) + (150 * F667) + (100 * G667) - (300 * H667)) / E667, 2), " ")</f>
        <v>47.53</v>
      </c>
      <c r="AB667">
        <f>IF(AND(Table1[[#This Row],[Throw Out Pass Def Eff]]="N", Table1[[#This Row],[Against FCS Team]]="N"),200 - ROUND(((5.45 * P667) + (150 * R667) + (100 * S667) - (300 * T667)) / Q667, 2), " ")</f>
        <v>123.36</v>
      </c>
      <c r="AC667">
        <f>IF(AND(Table1[[#This Row],[Throw Out Rush Eff]]="N", Table1[[#This Row],[Against FCS Team]]="N"), ROUND(((23.2 * I667) + (150 * K667) - (300 * L667)) / J667, 2), " ")</f>
        <v>77.290000000000006</v>
      </c>
      <c r="AD667" s="3">
        <f>IF(AND(Table1[[#This Row],[Throw Out Rush Def Eff]]="N", Table1[[#This Row],[Against FCS Team]]="N"), 200 - ROUND(((23.2 * U667) + (150 * W667) - (300 * X667)) / V667, 2), " ")</f>
        <v>220.63</v>
      </c>
      <c r="AE667" s="3">
        <f>ROUND(Table1[[#This Row],[Opp Passing Attempts]]/(Table1[[#This Row],[Opp Passing Attempts]]+Table1[[#This Row],[Opp Rushing Attempts]]), 2)</f>
        <v>0.6</v>
      </c>
      <c r="AF667" s="3">
        <f>1-Table1[[#This Row],[Passing Weight]]</f>
        <v>0.4</v>
      </c>
      <c r="AG667" s="3" t="str">
        <f>IF(COUNTIF(A:A,Table1[[#This Row],[Opp Team Name]]) &gt; 0, "N", "Y")</f>
        <v>N</v>
      </c>
      <c r="AH667" s="3" t="str">
        <f>IF(Table1[[#This Row],[Passing Attempts]] &lt;15, "Y", "N")</f>
        <v>N</v>
      </c>
      <c r="AI667" s="3" t="str">
        <f>IF(Table1[[#This Row],[Rushing Attempts]] &lt; 15, "Y", "N")</f>
        <v>N</v>
      </c>
      <c r="AJ667" s="3" t="str">
        <f>IF(Table1[[#This Row],[Opp Passing Attempts]]&lt;15, "Y", "N")</f>
        <v>N</v>
      </c>
      <c r="AK667" s="3" t="str">
        <f>IF(Table1[[#This Row],[Opp Rushing Attempts]]&lt;15, "Y", "N")</f>
        <v>N</v>
      </c>
      <c r="AL6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57.09</v>
      </c>
      <c r="AM6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112.39</v>
      </c>
      <c r="AN6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86.13</v>
      </c>
      <c r="AO6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103.61</v>
      </c>
      <c r="AP667" s="3">
        <f>ABS(Table1[[#This Row],[Team Score]]-Table1[[#This Row],[Opp Team Score]])</f>
        <v>3</v>
      </c>
      <c r="AQ667" s="3">
        <f>SUM(Table1[[#This Row],[Team Score]], Table1[[#This Row],[Opp Team Score]])</f>
        <v>35</v>
      </c>
      <c r="AR6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68.810000000000016</v>
      </c>
      <c r="AS667" s="3">
        <f>IF(Table1[[#This Row],[Efficiency Difference]] = " ", " ", ROUND((Table1[[#This Row],[Winning Margin]]*100)/Table1[[#This Row],[Efficiency Difference]], 2))</f>
        <v>4.3600000000000003</v>
      </c>
    </row>
    <row r="668" spans="1:45">
      <c r="A668" t="s">
        <v>130</v>
      </c>
      <c r="B668">
        <v>688</v>
      </c>
      <c r="C668">
        <v>37</v>
      </c>
      <c r="D668">
        <v>186</v>
      </c>
      <c r="E668">
        <v>34</v>
      </c>
      <c r="F668">
        <v>2</v>
      </c>
      <c r="G668">
        <v>19</v>
      </c>
      <c r="H668">
        <v>0</v>
      </c>
      <c r="I668">
        <v>170</v>
      </c>
      <c r="J668">
        <v>40</v>
      </c>
      <c r="K668">
        <v>2</v>
      </c>
      <c r="L668">
        <v>0</v>
      </c>
      <c r="M668" t="s">
        <v>140</v>
      </c>
      <c r="N668">
        <v>718</v>
      </c>
      <c r="O668">
        <v>34</v>
      </c>
      <c r="P668">
        <v>355</v>
      </c>
      <c r="Q668">
        <v>31</v>
      </c>
      <c r="R668">
        <v>2</v>
      </c>
      <c r="S668">
        <v>25</v>
      </c>
      <c r="T668">
        <v>0</v>
      </c>
      <c r="U668">
        <v>116</v>
      </c>
      <c r="V668">
        <v>27</v>
      </c>
      <c r="W668">
        <v>2</v>
      </c>
      <c r="X668">
        <v>2</v>
      </c>
      <c r="Y668" t="s">
        <v>16</v>
      </c>
      <c r="Z668">
        <v>6</v>
      </c>
      <c r="AA668">
        <f>IF(AND(Table1[[#This Row],[Throw Out Pass Eff]]="N", Table1[[#This Row],[Against FCS Team]]="N"), ROUND(((5.45 * D668) + (150 * F668) + (100 * G668) - (300 * H668)) / E668, 2), " ")</f>
        <v>94.52</v>
      </c>
      <c r="AB668">
        <f>IF(AND(Table1[[#This Row],[Throw Out Pass Def Eff]]="N", Table1[[#This Row],[Against FCS Team]]="N"),200 - ROUND(((5.45 * P668) + (150 * R668) + (100 * S668) - (300 * T668)) / Q668, 2), " ")</f>
        <v>47.27000000000001</v>
      </c>
      <c r="AC668">
        <f>IF(AND(Table1[[#This Row],[Throw Out Rush Eff]]="N", Table1[[#This Row],[Against FCS Team]]="N"), ROUND(((23.2 * I668) + (150 * K668) - (300 * L668)) / J668, 2), " ")</f>
        <v>106.1</v>
      </c>
      <c r="AD668" s="3">
        <f>IF(AND(Table1[[#This Row],[Throw Out Rush Def Eff]]="N", Table1[[#This Row],[Against FCS Team]]="N"), 200 - ROUND(((23.2 * U668) + (150 * W668) - (300 * X668)) / V668, 2), " ")</f>
        <v>111.44</v>
      </c>
      <c r="AE668" s="3">
        <f>ROUND(Table1[[#This Row],[Opp Passing Attempts]]/(Table1[[#This Row],[Opp Passing Attempts]]+Table1[[#This Row],[Opp Rushing Attempts]]), 2)</f>
        <v>0.53</v>
      </c>
      <c r="AF668" s="3">
        <f>1-Table1[[#This Row],[Passing Weight]]</f>
        <v>0.47</v>
      </c>
      <c r="AG668" s="3" t="str">
        <f>IF(COUNTIF(A:A,Table1[[#This Row],[Opp Team Name]]) &gt; 0, "N", "Y")</f>
        <v>N</v>
      </c>
      <c r="AH668" s="3" t="str">
        <f>IF(Table1[[#This Row],[Passing Attempts]] &lt;15, "Y", "N")</f>
        <v>N</v>
      </c>
      <c r="AI668" s="3" t="str">
        <f>IF(Table1[[#This Row],[Rushing Attempts]] &lt; 15, "Y", "N")</f>
        <v>N</v>
      </c>
      <c r="AJ668" s="3" t="str">
        <f>IF(Table1[[#This Row],[Opp Passing Attempts]]&lt;15, "Y", "N")</f>
        <v>N</v>
      </c>
      <c r="AK668" s="3" t="str">
        <f>IF(Table1[[#This Row],[Opp Rushing Attempts]]&lt;15, "Y", "N")</f>
        <v>N</v>
      </c>
      <c r="AL66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109.09</v>
      </c>
      <c r="AM66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45.33</v>
      </c>
      <c r="AN66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107.87</v>
      </c>
      <c r="AO66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93.43</v>
      </c>
      <c r="AP668" s="3">
        <f>ABS(Table1[[#This Row],[Team Score]]-Table1[[#This Row],[Opp Team Score]])</f>
        <v>3</v>
      </c>
      <c r="AQ668" s="3">
        <f>SUM(Table1[[#This Row],[Team Score]], Table1[[#This Row],[Opp Team Score]])</f>
        <v>71</v>
      </c>
      <c r="AR66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40.669999999999987</v>
      </c>
      <c r="AS668" s="3">
        <f>IF(Table1[[#This Row],[Efficiency Difference]] = " ", " ", ROUND((Table1[[#This Row],[Winning Margin]]*100)/Table1[[#This Row],[Efficiency Difference]], 2))</f>
        <v>7.38</v>
      </c>
    </row>
    <row r="669" spans="1:45">
      <c r="A669" t="s">
        <v>130</v>
      </c>
      <c r="B669">
        <v>688</v>
      </c>
      <c r="C669">
        <v>49</v>
      </c>
      <c r="D669">
        <v>249</v>
      </c>
      <c r="E669">
        <v>33</v>
      </c>
      <c r="F669">
        <v>4</v>
      </c>
      <c r="G669">
        <v>25</v>
      </c>
      <c r="H669">
        <v>0</v>
      </c>
      <c r="I669">
        <v>194</v>
      </c>
      <c r="J669">
        <v>41</v>
      </c>
      <c r="K669">
        <v>2</v>
      </c>
      <c r="L669">
        <v>0</v>
      </c>
      <c r="M669" t="s">
        <v>177</v>
      </c>
      <c r="N669">
        <v>768</v>
      </c>
      <c r="O669">
        <v>23</v>
      </c>
      <c r="P669">
        <v>338</v>
      </c>
      <c r="Q669">
        <v>41</v>
      </c>
      <c r="R669">
        <v>2</v>
      </c>
      <c r="S669">
        <v>24</v>
      </c>
      <c r="T669">
        <v>2</v>
      </c>
      <c r="U669">
        <v>70</v>
      </c>
      <c r="V669">
        <v>24</v>
      </c>
      <c r="W669">
        <v>1</v>
      </c>
      <c r="X669">
        <v>0</v>
      </c>
      <c r="Y669" t="s">
        <v>16</v>
      </c>
      <c r="Z669">
        <v>8</v>
      </c>
      <c r="AA669" s="3">
        <f>IF(AND(Table1[[#This Row],[Throw Out Pass Eff]]="N", Table1[[#This Row],[Against FCS Team]]="N"), ROUND(((5.45 * D669) + (150 * F669) + (100 * G669) - (300 * H669)) / E669, 2), " ")</f>
        <v>135.06</v>
      </c>
      <c r="AB669" s="3">
        <f>IF(AND(Table1[[#This Row],[Throw Out Pass Def Eff]]="N", Table1[[#This Row],[Against FCS Team]]="N"),200 - ROUND(((5.45 * P669) + (150 * R669) + (100 * S669) - (300 * T669)) / Q669, 2), " ")</f>
        <v>103.85</v>
      </c>
      <c r="AC669" s="3">
        <f>IF(AND(Table1[[#This Row],[Throw Out Rush Eff]]="N", Table1[[#This Row],[Against FCS Team]]="N"), ROUND(((23.2 * I669) + (150 * K669) - (300 * L669)) / J669, 2), " ")</f>
        <v>117.09</v>
      </c>
      <c r="AD669" s="3">
        <f>IF(AND(Table1[[#This Row],[Throw Out Rush Def Eff]]="N", Table1[[#This Row],[Against FCS Team]]="N"), 200 - ROUND(((23.2 * U669) + (150 * W669) - (300 * X669)) / V669, 2), " ")</f>
        <v>126.08</v>
      </c>
      <c r="AE669" s="3">
        <f>ROUND(Table1[[#This Row],[Opp Passing Attempts]]/(Table1[[#This Row],[Opp Passing Attempts]]+Table1[[#This Row],[Opp Rushing Attempts]]), 2)</f>
        <v>0.63</v>
      </c>
      <c r="AF669" s="3">
        <f>1-Table1[[#This Row],[Passing Weight]]</f>
        <v>0.37</v>
      </c>
      <c r="AG669" s="3" t="str">
        <f>IF(COUNTIF(A:A,Table1[[#This Row],[Opp Team Name]]) &gt; 0, "N", "Y")</f>
        <v>N</v>
      </c>
      <c r="AH669" s="3" t="str">
        <f>IF(Table1[[#This Row],[Passing Attempts]] &lt;15, "Y", "N")</f>
        <v>N</v>
      </c>
      <c r="AI669" s="3" t="str">
        <f>IF(Table1[[#This Row],[Rushing Attempts]] &lt; 15, "Y", "N")</f>
        <v>N</v>
      </c>
      <c r="AJ669" s="3" t="str">
        <f>IF(Table1[[#This Row],[Opp Passing Attempts]]&lt;15, "Y", "N")</f>
        <v>N</v>
      </c>
      <c r="AK669" s="3" t="str">
        <f>IF(Table1[[#This Row],[Opp Rushing Attempts]]&lt;15, "Y", "N")</f>
        <v>N</v>
      </c>
      <c r="AL6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144.94999999999999</v>
      </c>
      <c r="AM6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114.2</v>
      </c>
      <c r="AN6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129.01</v>
      </c>
      <c r="AO6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100.18</v>
      </c>
      <c r="AP669" s="3">
        <f>ABS(Table1[[#This Row],[Team Score]]-Table1[[#This Row],[Opp Team Score]])</f>
        <v>26</v>
      </c>
      <c r="AQ669" s="3">
        <f>SUM(Table1[[#This Row],[Team Score]], Table1[[#This Row],[Opp Team Score]])</f>
        <v>72</v>
      </c>
      <c r="AR6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82.080000000000013</v>
      </c>
      <c r="AS669" s="3">
        <f>IF(Table1[[#This Row],[Efficiency Difference]] = " ", " ", ROUND((Table1[[#This Row],[Winning Margin]]*100)/Table1[[#This Row],[Efficiency Difference]], 2))</f>
        <v>31.68</v>
      </c>
    </row>
    <row r="670" spans="1:45">
      <c r="A670" t="s">
        <v>37</v>
      </c>
      <c r="B670">
        <v>698</v>
      </c>
      <c r="C670">
        <v>55</v>
      </c>
      <c r="D670">
        <v>214</v>
      </c>
      <c r="E670">
        <v>20</v>
      </c>
      <c r="F670">
        <v>3</v>
      </c>
      <c r="G670">
        <v>14</v>
      </c>
      <c r="H670">
        <v>1</v>
      </c>
      <c r="I670">
        <v>248</v>
      </c>
      <c r="J670">
        <v>33</v>
      </c>
      <c r="K670">
        <v>2</v>
      </c>
      <c r="L670">
        <v>0</v>
      </c>
      <c r="M670" t="s">
        <v>208</v>
      </c>
      <c r="N670">
        <v>550</v>
      </c>
      <c r="O670">
        <v>13</v>
      </c>
      <c r="P670">
        <v>176</v>
      </c>
      <c r="Q670">
        <v>34</v>
      </c>
      <c r="R670">
        <v>0</v>
      </c>
      <c r="S670">
        <v>19</v>
      </c>
      <c r="T670">
        <v>1</v>
      </c>
      <c r="U670">
        <v>119</v>
      </c>
      <c r="V670">
        <v>44</v>
      </c>
      <c r="W670">
        <v>1</v>
      </c>
      <c r="X670">
        <v>0</v>
      </c>
      <c r="Y670" t="s">
        <v>16</v>
      </c>
      <c r="Z670">
        <v>4</v>
      </c>
      <c r="AA670" t="str">
        <f>IF(AND(Table1[[#This Row],[Throw Out Pass Eff]]="N", Table1[[#This Row],[Against FCS Team]]="N"), ROUND(((5.45 * D670) + (150 * F670) + (100 * G670) - (300 * H670)) / E670, 2), " ")</f>
        <v xml:space="preserve"> </v>
      </c>
      <c r="AB670" t="str">
        <f>IF(AND(Table1[[#This Row],[Throw Out Pass Def Eff]]="N", Table1[[#This Row],[Against FCS Team]]="N"),200 - ROUND(((5.45 * P670) + (150 * R670) + (100 * S670) - (300 * T670)) / Q670, 2), " ")</f>
        <v xml:space="preserve"> </v>
      </c>
      <c r="AC670" t="str">
        <f>IF(AND(Table1[[#This Row],[Throw Out Rush Eff]]="N", Table1[[#This Row],[Against FCS Team]]="N"), ROUND(((23.2 * I670) + (150 * K670) - (300 * L670)) / J670, 2), " ")</f>
        <v xml:space="preserve"> </v>
      </c>
      <c r="AD670" s="3" t="str">
        <f>IF(AND(Table1[[#This Row],[Throw Out Rush Def Eff]]="N", Table1[[#This Row],[Against FCS Team]]="N"), 200 - ROUND(((23.2 * U670) + (150 * W670) - (300 * X670)) / V670, 2), " ")</f>
        <v xml:space="preserve"> </v>
      </c>
      <c r="AE670" s="3">
        <f>ROUND(Table1[[#This Row],[Opp Passing Attempts]]/(Table1[[#This Row],[Opp Passing Attempts]]+Table1[[#This Row],[Opp Rushing Attempts]]), 2)</f>
        <v>0.44</v>
      </c>
      <c r="AF670" s="3">
        <f>1-Table1[[#This Row],[Passing Weight]]</f>
        <v>0.56000000000000005</v>
      </c>
      <c r="AG670" s="3" t="str">
        <f>IF(COUNTIF(A:A,Table1[[#This Row],[Opp Team Name]]) &gt; 0, "N", "Y")</f>
        <v>Y</v>
      </c>
      <c r="AH670" s="3" t="str">
        <f>IF(Table1[[#This Row],[Passing Attempts]] &lt;15, "Y", "N")</f>
        <v>N</v>
      </c>
      <c r="AI670" s="3" t="str">
        <f>IF(Table1[[#This Row],[Rushing Attempts]] &lt; 15, "Y", "N")</f>
        <v>N</v>
      </c>
      <c r="AJ670" s="3" t="str">
        <f>IF(Table1[[#This Row],[Opp Passing Attempts]]&lt;15, "Y", "N")</f>
        <v>N</v>
      </c>
      <c r="AK670" s="3" t="str">
        <f>IF(Table1[[#This Row],[Opp Rushing Attempts]]&lt;15, "Y", "N")</f>
        <v>N</v>
      </c>
      <c r="AL670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70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70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670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670" s="3">
        <f>ABS(Table1[[#This Row],[Team Score]]-Table1[[#This Row],[Opp Team Score]])</f>
        <v>42</v>
      </c>
      <c r="AQ670" s="3">
        <f>SUM(Table1[[#This Row],[Team Score]], Table1[[#This Row],[Opp Team Score]])</f>
        <v>68</v>
      </c>
      <c r="AR67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70" s="3" t="str">
        <f>IF(Table1[[#This Row],[Efficiency Difference]] = " ", " ", ROUND((Table1[[#This Row],[Winning Margin]]*100)/Table1[[#This Row],[Efficiency Difference]], 2))</f>
        <v xml:space="preserve"> </v>
      </c>
    </row>
    <row r="671" spans="1:45">
      <c r="A671" t="s">
        <v>37</v>
      </c>
      <c r="B671">
        <v>698</v>
      </c>
      <c r="C671">
        <v>48</v>
      </c>
      <c r="D671">
        <v>251</v>
      </c>
      <c r="E671">
        <v>40</v>
      </c>
      <c r="F671">
        <v>4</v>
      </c>
      <c r="G671">
        <v>25</v>
      </c>
      <c r="H671">
        <v>1</v>
      </c>
      <c r="I671">
        <v>215</v>
      </c>
      <c r="J671">
        <v>38</v>
      </c>
      <c r="K671">
        <v>2</v>
      </c>
      <c r="L671">
        <v>0</v>
      </c>
      <c r="M671" t="s">
        <v>36</v>
      </c>
      <c r="N671">
        <v>51</v>
      </c>
      <c r="O671">
        <v>50</v>
      </c>
      <c r="P671">
        <v>414</v>
      </c>
      <c r="Q671">
        <v>29</v>
      </c>
      <c r="R671">
        <v>6</v>
      </c>
      <c r="S671">
        <v>23</v>
      </c>
      <c r="T671">
        <v>0</v>
      </c>
      <c r="U671">
        <v>150</v>
      </c>
      <c r="V671">
        <v>36</v>
      </c>
      <c r="W671">
        <v>1</v>
      </c>
      <c r="X671">
        <v>1</v>
      </c>
      <c r="Y671" t="s">
        <v>19</v>
      </c>
      <c r="Z671">
        <v>1</v>
      </c>
      <c r="AA671">
        <f>IF(AND(Table1[[#This Row],[Throw Out Pass Eff]]="N", Table1[[#This Row],[Against FCS Team]]="N"), ROUND(((5.45 * D671) + (150 * F671) + (100 * G671) - (300 * H671)) / E671, 2), " ")</f>
        <v>104.2</v>
      </c>
      <c r="AB671">
        <f>IF(AND(Table1[[#This Row],[Throw Out Pass Def Eff]]="N", Table1[[#This Row],[Against FCS Team]]="N"),200 - ROUND(((5.45 * P671) + (150 * R671) + (100 * S671) - (300 * T671)) / Q671, 2), " ")</f>
        <v>11.849999999999994</v>
      </c>
      <c r="AC671">
        <f>IF(AND(Table1[[#This Row],[Throw Out Rush Eff]]="N", Table1[[#This Row],[Against FCS Team]]="N"), ROUND(((23.2 * I671) + (150 * K671) - (300 * L671)) / J671, 2), " ")</f>
        <v>139.16</v>
      </c>
      <c r="AD671" s="3">
        <f>IF(AND(Table1[[#This Row],[Throw Out Rush Def Eff]]="N", Table1[[#This Row],[Against FCS Team]]="N"), 200 - ROUND(((23.2 * U671) + (150 * W671) - (300 * X671)) / V671, 2), " ")</f>
        <v>107.5</v>
      </c>
      <c r="AE671" s="3">
        <f>ROUND(Table1[[#This Row],[Opp Passing Attempts]]/(Table1[[#This Row],[Opp Passing Attempts]]+Table1[[#This Row],[Opp Rushing Attempts]]), 2)</f>
        <v>0.45</v>
      </c>
      <c r="AF671" s="3">
        <f>1-Table1[[#This Row],[Passing Weight]]</f>
        <v>0.55000000000000004</v>
      </c>
      <c r="AG671" s="3" t="str">
        <f>IF(COUNTIF(A:A,Table1[[#This Row],[Opp Team Name]]) &gt; 0, "N", "Y")</f>
        <v>N</v>
      </c>
      <c r="AH671" s="3" t="str">
        <f>IF(Table1[[#This Row],[Passing Attempts]] &lt;15, "Y", "N")</f>
        <v>N</v>
      </c>
      <c r="AI671" s="3" t="str">
        <f>IF(Table1[[#This Row],[Rushing Attempts]] &lt; 15, "Y", "N")</f>
        <v>N</v>
      </c>
      <c r="AJ671" s="3" t="str">
        <f>IF(Table1[[#This Row],[Opp Passing Attempts]]&lt;15, "Y", "N")</f>
        <v>N</v>
      </c>
      <c r="AK671" s="3" t="str">
        <f>IF(Table1[[#This Row],[Opp Rushing Attempts]]&lt;15, "Y", "N")</f>
        <v>N</v>
      </c>
      <c r="AL6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106.66</v>
      </c>
      <c r="AM67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18.21</v>
      </c>
      <c r="AN6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125.4</v>
      </c>
      <c r="AO6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117.86</v>
      </c>
      <c r="AP671" s="3">
        <f>ABS(Table1[[#This Row],[Team Score]]-Table1[[#This Row],[Opp Team Score]])</f>
        <v>2</v>
      </c>
      <c r="AQ671" s="3">
        <f>SUM(Table1[[#This Row],[Team Score]], Table1[[#This Row],[Opp Team Score]])</f>
        <v>98</v>
      </c>
      <c r="AR67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37.289999999999964</v>
      </c>
      <c r="AS671" s="3">
        <f>IF(Table1[[#This Row],[Efficiency Difference]] = " ", " ", ROUND((Table1[[#This Row],[Winning Margin]]*100)/Table1[[#This Row],[Efficiency Difference]], 2))</f>
        <v>5.36</v>
      </c>
    </row>
    <row r="672" spans="1:45">
      <c r="A672" t="s">
        <v>37</v>
      </c>
      <c r="B672">
        <v>698</v>
      </c>
      <c r="C672">
        <v>35</v>
      </c>
      <c r="D672">
        <v>206</v>
      </c>
      <c r="E672">
        <v>25</v>
      </c>
      <c r="F672">
        <v>2</v>
      </c>
      <c r="G672">
        <v>20</v>
      </c>
      <c r="H672">
        <v>0</v>
      </c>
      <c r="I672">
        <v>204</v>
      </c>
      <c r="J672">
        <v>44</v>
      </c>
      <c r="K672">
        <v>3</v>
      </c>
      <c r="L672">
        <v>1</v>
      </c>
      <c r="M672" t="s">
        <v>14</v>
      </c>
      <c r="N672">
        <v>721</v>
      </c>
      <c r="O672">
        <v>19</v>
      </c>
      <c r="P672">
        <v>167</v>
      </c>
      <c r="Q672">
        <v>21</v>
      </c>
      <c r="R672">
        <v>1</v>
      </c>
      <c r="S672">
        <v>12</v>
      </c>
      <c r="T672">
        <v>0</v>
      </c>
      <c r="U672">
        <v>249</v>
      </c>
      <c r="V672">
        <v>43</v>
      </c>
      <c r="W672">
        <v>1</v>
      </c>
      <c r="X672">
        <v>2</v>
      </c>
      <c r="Y672" t="s">
        <v>16</v>
      </c>
      <c r="Z672">
        <v>2</v>
      </c>
      <c r="AA672">
        <f>IF(AND(Table1[[#This Row],[Throw Out Pass Eff]]="N", Table1[[#This Row],[Against FCS Team]]="N"), ROUND(((5.45 * D672) + (150 * F672) + (100 * G672) - (300 * H672)) / E672, 2), " ")</f>
        <v>136.91</v>
      </c>
      <c r="AB672">
        <f>IF(AND(Table1[[#This Row],[Throw Out Pass Def Eff]]="N", Table1[[#This Row],[Against FCS Team]]="N"),200 - ROUND(((5.45 * P672) + (150 * R672) + (100 * S672) - (300 * T672)) / Q672, 2), " ")</f>
        <v>92.37</v>
      </c>
      <c r="AC672">
        <f>IF(AND(Table1[[#This Row],[Throw Out Rush Eff]]="N", Table1[[#This Row],[Against FCS Team]]="N"), ROUND(((23.2 * I672) + (150 * K672) - (300 * L672)) / J672, 2), " ")</f>
        <v>110.97</v>
      </c>
      <c r="AD672" s="3">
        <f>IF(AND(Table1[[#This Row],[Throw Out Rush Def Eff]]="N", Table1[[#This Row],[Against FCS Team]]="N"), 200 - ROUND(((23.2 * U672) + (150 * W672) - (300 * X672)) / V672, 2), " ")</f>
        <v>76.12</v>
      </c>
      <c r="AE672" s="3">
        <f>ROUND(Table1[[#This Row],[Opp Passing Attempts]]/(Table1[[#This Row],[Opp Passing Attempts]]+Table1[[#This Row],[Opp Rushing Attempts]]), 2)</f>
        <v>0.33</v>
      </c>
      <c r="AF672" s="3">
        <f>1-Table1[[#This Row],[Passing Weight]]</f>
        <v>0.66999999999999993</v>
      </c>
      <c r="AG672" s="3" t="str">
        <f>IF(COUNTIF(A:A,Table1[[#This Row],[Opp Team Name]]) &gt; 0, "N", "Y")</f>
        <v>N</v>
      </c>
      <c r="AH672" s="3" t="str">
        <f>IF(Table1[[#This Row],[Passing Attempts]] &lt;15, "Y", "N")</f>
        <v>N</v>
      </c>
      <c r="AI672" s="3" t="str">
        <f>IF(Table1[[#This Row],[Rushing Attempts]] &lt; 15, "Y", "N")</f>
        <v>N</v>
      </c>
      <c r="AJ672" s="3" t="str">
        <f>IF(Table1[[#This Row],[Opp Passing Attempts]]&lt;15, "Y", "N")</f>
        <v>N</v>
      </c>
      <c r="AK672" s="3" t="str">
        <f>IF(Table1[[#This Row],[Opp Rushing Attempts]]&lt;15, "Y", "N")</f>
        <v>N</v>
      </c>
      <c r="AL6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101.56</v>
      </c>
      <c r="AM6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84.06</v>
      </c>
      <c r="AN6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66.33</v>
      </c>
      <c r="AO6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89.42</v>
      </c>
      <c r="AP672" s="3">
        <f>ABS(Table1[[#This Row],[Team Score]]-Table1[[#This Row],[Opp Team Score]])</f>
        <v>16</v>
      </c>
      <c r="AQ672" s="3">
        <f>SUM(Table1[[#This Row],[Team Score]], Table1[[#This Row],[Opp Team Score]])</f>
        <v>54</v>
      </c>
      <c r="AR6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16.370000000000005</v>
      </c>
      <c r="AS672" s="3">
        <f>IF(Table1[[#This Row],[Efficiency Difference]] = " ", " ", ROUND((Table1[[#This Row],[Winning Margin]]*100)/Table1[[#This Row],[Efficiency Difference]], 2))</f>
        <v>97.74</v>
      </c>
    </row>
    <row r="673" spans="1:45">
      <c r="A673" t="s">
        <v>37</v>
      </c>
      <c r="B673">
        <v>698</v>
      </c>
      <c r="C673">
        <v>38</v>
      </c>
      <c r="D673">
        <v>204</v>
      </c>
      <c r="E673">
        <v>23</v>
      </c>
      <c r="F673">
        <v>1</v>
      </c>
      <c r="G673">
        <v>15</v>
      </c>
      <c r="H673">
        <v>0</v>
      </c>
      <c r="I673">
        <v>207</v>
      </c>
      <c r="J673">
        <v>45</v>
      </c>
      <c r="K673">
        <v>3</v>
      </c>
      <c r="L673">
        <v>2</v>
      </c>
      <c r="M673" t="s">
        <v>71</v>
      </c>
      <c r="N673">
        <v>498</v>
      </c>
      <c r="O673">
        <v>17</v>
      </c>
      <c r="P673">
        <v>232</v>
      </c>
      <c r="Q673">
        <v>42</v>
      </c>
      <c r="R673">
        <v>2</v>
      </c>
      <c r="S673">
        <v>29</v>
      </c>
      <c r="T673">
        <v>0</v>
      </c>
      <c r="U673">
        <v>82</v>
      </c>
      <c r="V673">
        <v>26</v>
      </c>
      <c r="W673">
        <v>0</v>
      </c>
      <c r="X673">
        <v>1</v>
      </c>
      <c r="Y673" t="s">
        <v>16</v>
      </c>
      <c r="Z673">
        <v>3</v>
      </c>
      <c r="AA673">
        <f>IF(AND(Table1[[#This Row],[Throw Out Pass Eff]]="N", Table1[[#This Row],[Against FCS Team]]="N"), ROUND(((5.45 * D673) + (150 * F673) + (100 * G673) - (300 * H673)) / E673, 2), " ")</f>
        <v>120.08</v>
      </c>
      <c r="AB673">
        <f>IF(AND(Table1[[#This Row],[Throw Out Pass Def Eff]]="N", Table1[[#This Row],[Against FCS Team]]="N"),200 - ROUND(((5.45 * P673) + (150 * R673) + (100 * S673) - (300 * T673)) / Q673, 2), " ")</f>
        <v>93.7</v>
      </c>
      <c r="AC673">
        <f>IF(AND(Table1[[#This Row],[Throw Out Rush Eff]]="N", Table1[[#This Row],[Against FCS Team]]="N"), ROUND(((23.2 * I673) + (150 * K673) - (300 * L673)) / J673, 2), " ")</f>
        <v>103.39</v>
      </c>
      <c r="AD673" s="3">
        <f>IF(AND(Table1[[#This Row],[Throw Out Rush Def Eff]]="N", Table1[[#This Row],[Against FCS Team]]="N"), 200 - ROUND(((23.2 * U673) + (150 * W673) - (300 * X673)) / V673, 2), " ")</f>
        <v>138.37</v>
      </c>
      <c r="AE673" s="3">
        <f>ROUND(Table1[[#This Row],[Opp Passing Attempts]]/(Table1[[#This Row],[Opp Passing Attempts]]+Table1[[#This Row],[Opp Rushing Attempts]]), 2)</f>
        <v>0.62</v>
      </c>
      <c r="AF673" s="3">
        <f>1-Table1[[#This Row],[Passing Weight]]</f>
        <v>0.38</v>
      </c>
      <c r="AG673" s="3" t="str">
        <f>IF(COUNTIF(A:A,Table1[[#This Row],[Opp Team Name]]) &gt; 0, "N", "Y")</f>
        <v>N</v>
      </c>
      <c r="AH673" s="3" t="str">
        <f>IF(Table1[[#This Row],[Passing Attempts]] &lt;15, "Y", "N")</f>
        <v>N</v>
      </c>
      <c r="AI673" s="3" t="str">
        <f>IF(Table1[[#This Row],[Rushing Attempts]] &lt; 15, "Y", "N")</f>
        <v>N</v>
      </c>
      <c r="AJ673" s="3" t="str">
        <f>IF(Table1[[#This Row],[Opp Passing Attempts]]&lt;15, "Y", "N")</f>
        <v>N</v>
      </c>
      <c r="AK673" s="3" t="str">
        <f>IF(Table1[[#This Row],[Opp Rushing Attempts]]&lt;15, "Y", "N")</f>
        <v>N</v>
      </c>
      <c r="AL67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117.18</v>
      </c>
      <c r="AM67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83.59</v>
      </c>
      <c r="AN67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128.31</v>
      </c>
      <c r="AO67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99.02</v>
      </c>
      <c r="AP673" s="3">
        <f>ABS(Table1[[#This Row],[Team Score]]-Table1[[#This Row],[Opp Team Score]])</f>
        <v>21</v>
      </c>
      <c r="AQ673" s="3">
        <f>SUM(Table1[[#This Row],[Team Score]], Table1[[#This Row],[Opp Team Score]])</f>
        <v>55</v>
      </c>
      <c r="AR67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55.539999999999992</v>
      </c>
      <c r="AS673" s="3">
        <f>IF(Table1[[#This Row],[Efficiency Difference]] = " ", " ", ROUND((Table1[[#This Row],[Winning Margin]]*100)/Table1[[#This Row],[Efficiency Difference]], 2))</f>
        <v>37.81</v>
      </c>
    </row>
    <row r="674" spans="1:45">
      <c r="A674" t="s">
        <v>37</v>
      </c>
      <c r="B674">
        <v>698</v>
      </c>
      <c r="C674">
        <v>33</v>
      </c>
      <c r="D674">
        <v>304</v>
      </c>
      <c r="E674">
        <v>43</v>
      </c>
      <c r="F674">
        <v>3</v>
      </c>
      <c r="G674">
        <v>30</v>
      </c>
      <c r="H674">
        <v>0</v>
      </c>
      <c r="I674">
        <v>150</v>
      </c>
      <c r="J674">
        <v>31</v>
      </c>
      <c r="K674">
        <v>1</v>
      </c>
      <c r="L674">
        <v>1</v>
      </c>
      <c r="M674" t="s">
        <v>186</v>
      </c>
      <c r="N674">
        <v>663</v>
      </c>
      <c r="O674">
        <v>40</v>
      </c>
      <c r="P674">
        <v>349</v>
      </c>
      <c r="Q674">
        <v>45</v>
      </c>
      <c r="R674">
        <v>4</v>
      </c>
      <c r="S674">
        <v>23</v>
      </c>
      <c r="T674">
        <v>1</v>
      </c>
      <c r="U674">
        <v>112</v>
      </c>
      <c r="V674">
        <v>24</v>
      </c>
      <c r="W674">
        <v>0</v>
      </c>
      <c r="X674">
        <v>0</v>
      </c>
      <c r="Y674" t="s">
        <v>19</v>
      </c>
      <c r="Z674">
        <v>5</v>
      </c>
      <c r="AA674">
        <f>IF(AND(Table1[[#This Row],[Throw Out Pass Eff]]="N", Table1[[#This Row],[Against FCS Team]]="N"), ROUND(((5.45 * D674) + (150 * F674) + (100 * G674) - (300 * H674)) / E674, 2), " ")</f>
        <v>118.76</v>
      </c>
      <c r="AB674">
        <f>IF(AND(Table1[[#This Row],[Throw Out Pass Def Eff]]="N", Table1[[#This Row],[Against FCS Team]]="N"),200 - ROUND(((5.45 * P674) + (150 * R674) + (100 * S674) - (300 * T674)) / Q674, 2), " ")</f>
        <v>99.95</v>
      </c>
      <c r="AC674">
        <f>IF(AND(Table1[[#This Row],[Throw Out Rush Eff]]="N", Table1[[#This Row],[Against FCS Team]]="N"), ROUND(((23.2 * I674) + (150 * K674) - (300 * L674)) / J674, 2), " ")</f>
        <v>107.42</v>
      </c>
      <c r="AD674" s="3">
        <f>IF(AND(Table1[[#This Row],[Throw Out Rush Def Eff]]="N", Table1[[#This Row],[Against FCS Team]]="N"), 200 - ROUND(((23.2 * U674) + (150 * W674) - (300 * X674)) / V674, 2), " ")</f>
        <v>91.73</v>
      </c>
      <c r="AE674" s="3">
        <f>ROUND(Table1[[#This Row],[Opp Passing Attempts]]/(Table1[[#This Row],[Opp Passing Attempts]]+Table1[[#This Row],[Opp Rushing Attempts]]), 2)</f>
        <v>0.65</v>
      </c>
      <c r="AF674" s="3">
        <f>1-Table1[[#This Row],[Passing Weight]]</f>
        <v>0.35</v>
      </c>
      <c r="AG674" s="3" t="str">
        <f>IF(COUNTIF(A:A,Table1[[#This Row],[Opp Team Name]]) &gt; 0, "N", "Y")</f>
        <v>N</v>
      </c>
      <c r="AH674" s="3" t="str">
        <f>IF(Table1[[#This Row],[Passing Attempts]] &lt;15, "Y", "N")</f>
        <v>N</v>
      </c>
      <c r="AI674" s="3" t="str">
        <f>IF(Table1[[#This Row],[Rushing Attempts]] &lt; 15, "Y", "N")</f>
        <v>N</v>
      </c>
      <c r="AJ674" s="3" t="str">
        <f>IF(Table1[[#This Row],[Opp Passing Attempts]]&lt;15, "Y", "N")</f>
        <v>N</v>
      </c>
      <c r="AK674" s="3" t="str">
        <f>IF(Table1[[#This Row],[Opp Rushing Attempts]]&lt;15, "Y", "N")</f>
        <v>N</v>
      </c>
      <c r="AL6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108.99</v>
      </c>
      <c r="AM6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96.26</v>
      </c>
      <c r="AN6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139.6</v>
      </c>
      <c r="AO6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105.46</v>
      </c>
      <c r="AP674" s="3">
        <f>ABS(Table1[[#This Row],[Team Score]]-Table1[[#This Row],[Opp Team Score]])</f>
        <v>7</v>
      </c>
      <c r="AQ674" s="3">
        <f>SUM(Table1[[#This Row],[Team Score]], Table1[[#This Row],[Opp Team Score]])</f>
        <v>73</v>
      </c>
      <c r="AR6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17.860000000000014</v>
      </c>
      <c r="AS674" s="3">
        <f>IF(Table1[[#This Row],[Efficiency Difference]] = " ", " ", ROUND((Table1[[#This Row],[Winning Margin]]*100)/Table1[[#This Row],[Efficiency Difference]], 2))</f>
        <v>39.19</v>
      </c>
    </row>
    <row r="675" spans="1:45">
      <c r="A675" t="s">
        <v>37</v>
      </c>
      <c r="B675">
        <v>698</v>
      </c>
      <c r="C675">
        <v>27</v>
      </c>
      <c r="D675">
        <v>212</v>
      </c>
      <c r="E675">
        <v>22</v>
      </c>
      <c r="F675">
        <v>2</v>
      </c>
      <c r="G675">
        <v>14</v>
      </c>
      <c r="H675">
        <v>2</v>
      </c>
      <c r="I675">
        <v>234</v>
      </c>
      <c r="J675">
        <v>52</v>
      </c>
      <c r="K675">
        <v>1</v>
      </c>
      <c r="L675">
        <v>2</v>
      </c>
      <c r="M675" t="s">
        <v>126</v>
      </c>
      <c r="N675">
        <v>626</v>
      </c>
      <c r="O675">
        <v>14</v>
      </c>
      <c r="P675">
        <v>206</v>
      </c>
      <c r="Q675">
        <v>42</v>
      </c>
      <c r="R675">
        <v>2</v>
      </c>
      <c r="S675">
        <v>16</v>
      </c>
      <c r="T675">
        <v>3</v>
      </c>
      <c r="U675">
        <v>90</v>
      </c>
      <c r="V675">
        <v>30</v>
      </c>
      <c r="W675">
        <v>0</v>
      </c>
      <c r="X675">
        <v>1</v>
      </c>
      <c r="Y675" t="s">
        <v>16</v>
      </c>
      <c r="Z675">
        <v>6</v>
      </c>
      <c r="AA675">
        <f>IF(AND(Table1[[#This Row],[Throw Out Pass Eff]]="N", Table1[[#This Row],[Against FCS Team]]="N"), ROUND(((5.45 * D675) + (150 * F675) + (100 * G675) - (300 * H675)) / E675, 2), " ")</f>
        <v>102.52</v>
      </c>
      <c r="AB675">
        <f>IF(AND(Table1[[#This Row],[Throw Out Pass Def Eff]]="N", Table1[[#This Row],[Against FCS Team]]="N"),200 - ROUND(((5.45 * P675) + (150 * R675) + (100 * S675) - (300 * T675)) / Q675, 2), " ")</f>
        <v>149.46</v>
      </c>
      <c r="AC675">
        <f>IF(AND(Table1[[#This Row],[Throw Out Rush Eff]]="N", Table1[[#This Row],[Against FCS Team]]="N"), ROUND(((23.2 * I675) + (150 * K675) - (300 * L675)) / J675, 2), " ")</f>
        <v>95.75</v>
      </c>
      <c r="AD675" s="3">
        <f>IF(AND(Table1[[#This Row],[Throw Out Rush Def Eff]]="N", Table1[[#This Row],[Against FCS Team]]="N"), 200 - ROUND(((23.2 * U675) + (150 * W675) - (300 * X675)) / V675, 2), " ")</f>
        <v>140.4</v>
      </c>
      <c r="AE675" s="3">
        <f>ROUND(Table1[[#This Row],[Opp Passing Attempts]]/(Table1[[#This Row],[Opp Passing Attempts]]+Table1[[#This Row],[Opp Rushing Attempts]]), 2)</f>
        <v>0.57999999999999996</v>
      </c>
      <c r="AF675" s="3">
        <f>1-Table1[[#This Row],[Passing Weight]]</f>
        <v>0.42000000000000004</v>
      </c>
      <c r="AG675" s="3" t="str">
        <f>IF(COUNTIF(A:A,Table1[[#This Row],[Opp Team Name]]) &gt; 0, "N", "Y")</f>
        <v>N</v>
      </c>
      <c r="AH675" s="3" t="str">
        <f>IF(Table1[[#This Row],[Passing Attempts]] &lt;15, "Y", "N")</f>
        <v>N</v>
      </c>
      <c r="AI675" s="3" t="str">
        <f>IF(Table1[[#This Row],[Rushing Attempts]] &lt; 15, "Y", "N")</f>
        <v>N</v>
      </c>
      <c r="AJ675" s="3" t="str">
        <f>IF(Table1[[#This Row],[Opp Passing Attempts]]&lt;15, "Y", "N")</f>
        <v>N</v>
      </c>
      <c r="AK675" s="3" t="str">
        <f>IF(Table1[[#This Row],[Opp Rushing Attempts]]&lt;15, "Y", "N")</f>
        <v>N</v>
      </c>
      <c r="AL6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122.96</v>
      </c>
      <c r="AM6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138.76</v>
      </c>
      <c r="AN6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97.63</v>
      </c>
      <c r="AO6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150</v>
      </c>
      <c r="AP675" s="3">
        <f>ABS(Table1[[#This Row],[Team Score]]-Table1[[#This Row],[Opp Team Score]])</f>
        <v>13</v>
      </c>
      <c r="AQ675" s="3">
        <f>SUM(Table1[[#This Row],[Team Score]], Table1[[#This Row],[Opp Team Score]])</f>
        <v>41</v>
      </c>
      <c r="AR67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88.13</v>
      </c>
      <c r="AS675" s="3">
        <f>IF(Table1[[#This Row],[Efficiency Difference]] = " ", " ", ROUND((Table1[[#This Row],[Winning Margin]]*100)/Table1[[#This Row],[Efficiency Difference]], 2))</f>
        <v>14.75</v>
      </c>
    </row>
    <row r="676" spans="1:45">
      <c r="A676" t="s">
        <v>37</v>
      </c>
      <c r="B676">
        <v>698</v>
      </c>
      <c r="C676">
        <v>69</v>
      </c>
      <c r="D676">
        <v>251</v>
      </c>
      <c r="E676">
        <v>21</v>
      </c>
      <c r="F676">
        <v>2</v>
      </c>
      <c r="G676">
        <v>15</v>
      </c>
      <c r="H676">
        <v>0</v>
      </c>
      <c r="I676">
        <v>264</v>
      </c>
      <c r="J676">
        <v>44</v>
      </c>
      <c r="K676">
        <v>7</v>
      </c>
      <c r="L676">
        <v>0</v>
      </c>
      <c r="M676" t="s">
        <v>59</v>
      </c>
      <c r="N676">
        <v>473</v>
      </c>
      <c r="O676">
        <v>0</v>
      </c>
      <c r="P676">
        <v>21</v>
      </c>
      <c r="Q676">
        <v>11</v>
      </c>
      <c r="R676">
        <v>0</v>
      </c>
      <c r="S676">
        <v>8</v>
      </c>
      <c r="T676">
        <v>0</v>
      </c>
      <c r="U676">
        <v>64</v>
      </c>
      <c r="V676">
        <v>37</v>
      </c>
      <c r="W676">
        <v>0</v>
      </c>
      <c r="X676">
        <v>3</v>
      </c>
      <c r="Y676" t="s">
        <v>16</v>
      </c>
      <c r="Z676">
        <v>8</v>
      </c>
      <c r="AA676" s="3">
        <f>IF(AND(Table1[[#This Row],[Throw Out Pass Eff]]="N", Table1[[#This Row],[Against FCS Team]]="N"), ROUND(((5.45 * D676) + (150 * F676) + (100 * G676) - (300 * H676)) / E676, 2), " ")</f>
        <v>150.85</v>
      </c>
      <c r="AB676" s="3" t="str">
        <f>IF(AND(Table1[[#This Row],[Throw Out Pass Def Eff]]="N", Table1[[#This Row],[Against FCS Team]]="N"),200 - ROUND(((5.45 * P676) + (150 * R676) + (100 * S676) - (300 * T676)) / Q676, 2), " ")</f>
        <v xml:space="preserve"> </v>
      </c>
      <c r="AC676" s="3">
        <f>IF(AND(Table1[[#This Row],[Throw Out Rush Eff]]="N", Table1[[#This Row],[Against FCS Team]]="N"), ROUND(((23.2 * I676) + (150 * K676) - (300 * L676)) / J676, 2), " ")</f>
        <v>163.06</v>
      </c>
      <c r="AD676" s="3">
        <f>IF(AND(Table1[[#This Row],[Throw Out Rush Def Eff]]="N", Table1[[#This Row],[Against FCS Team]]="N"), 200 - ROUND(((23.2 * U676) + (150 * W676) - (300 * X676)) / V676, 2), " ")</f>
        <v>184.19</v>
      </c>
      <c r="AE676" s="3">
        <f>ROUND(Table1[[#This Row],[Opp Passing Attempts]]/(Table1[[#This Row],[Opp Passing Attempts]]+Table1[[#This Row],[Opp Rushing Attempts]]), 2)</f>
        <v>0.23</v>
      </c>
      <c r="AF676" s="3">
        <f>1-Table1[[#This Row],[Passing Weight]]</f>
        <v>0.77</v>
      </c>
      <c r="AG676" s="3" t="str">
        <f>IF(COUNTIF(A:A,Table1[[#This Row],[Opp Team Name]]) &gt; 0, "N", "Y")</f>
        <v>N</v>
      </c>
      <c r="AH676" s="3" t="str">
        <f>IF(Table1[[#This Row],[Passing Attempts]] &lt;15, "Y", "N")</f>
        <v>N</v>
      </c>
      <c r="AI676" s="3" t="str">
        <f>IF(Table1[[#This Row],[Rushing Attempts]] &lt; 15, "Y", "N")</f>
        <v>N</v>
      </c>
      <c r="AJ676" s="3" t="str">
        <f>IF(Table1[[#This Row],[Opp Passing Attempts]]&lt;15, "Y", "N")</f>
        <v>Y</v>
      </c>
      <c r="AK676" s="3" t="str">
        <f>IF(Table1[[#This Row],[Opp Rushing Attempts]]&lt;15, "Y", "N")</f>
        <v>N</v>
      </c>
      <c r="AL67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100.52</v>
      </c>
      <c r="AM67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7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110.09</v>
      </c>
      <c r="AO67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134.34</v>
      </c>
      <c r="AP676" s="3">
        <f>ABS(Table1[[#This Row],[Team Score]]-Table1[[#This Row],[Opp Team Score]])</f>
        <v>69</v>
      </c>
      <c r="AQ676" s="3">
        <f>SUM(Table1[[#This Row],[Team Score]], Table1[[#This Row],[Opp Team Score]])</f>
        <v>69</v>
      </c>
      <c r="AR67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76" s="3" t="str">
        <f>IF(Table1[[#This Row],[Efficiency Difference]] = " ", " ", ROUND((Table1[[#This Row],[Winning Margin]]*100)/Table1[[#This Row],[Efficiency Difference]], 2))</f>
        <v xml:space="preserve"> </v>
      </c>
    </row>
    <row r="677" spans="1:45">
      <c r="A677" t="s">
        <v>132</v>
      </c>
      <c r="B677">
        <v>690</v>
      </c>
      <c r="C677">
        <v>42</v>
      </c>
      <c r="D677">
        <v>235</v>
      </c>
      <c r="E677">
        <v>20</v>
      </c>
      <c r="F677">
        <v>2</v>
      </c>
      <c r="G677">
        <v>14</v>
      </c>
      <c r="H677">
        <v>0</v>
      </c>
      <c r="I677">
        <v>240</v>
      </c>
      <c r="J677">
        <v>45</v>
      </c>
      <c r="K677">
        <v>4</v>
      </c>
      <c r="L677">
        <v>0</v>
      </c>
      <c r="M677" t="s">
        <v>133</v>
      </c>
      <c r="N677">
        <v>739</v>
      </c>
      <c r="O677">
        <v>7</v>
      </c>
      <c r="P677">
        <v>153</v>
      </c>
      <c r="Q677">
        <v>26</v>
      </c>
      <c r="R677">
        <v>0</v>
      </c>
      <c r="S677">
        <v>12</v>
      </c>
      <c r="T677">
        <v>3</v>
      </c>
      <c r="U677">
        <v>122</v>
      </c>
      <c r="V677">
        <v>35</v>
      </c>
      <c r="W677">
        <v>1</v>
      </c>
      <c r="X677">
        <v>1</v>
      </c>
      <c r="Y677" t="s">
        <v>16</v>
      </c>
      <c r="Z677">
        <v>1</v>
      </c>
      <c r="AA677" t="str">
        <f>IF(AND(Table1[[#This Row],[Throw Out Pass Eff]]="N", Table1[[#This Row],[Against FCS Team]]="N"), ROUND(((5.45 * D677) + (150 * F677) + (100 * G677) - (300 * H677)) / E677, 2), " ")</f>
        <v xml:space="preserve"> </v>
      </c>
      <c r="AB677" t="str">
        <f>IF(AND(Table1[[#This Row],[Throw Out Pass Def Eff]]="N", Table1[[#This Row],[Against FCS Team]]="N"),200 - ROUND(((5.45 * P677) + (150 * R677) + (100 * S677) - (300 * T677)) / Q677, 2), " ")</f>
        <v xml:space="preserve"> </v>
      </c>
      <c r="AC677" t="str">
        <f>IF(AND(Table1[[#This Row],[Throw Out Rush Eff]]="N", Table1[[#This Row],[Against FCS Team]]="N"), ROUND(((23.2 * I677) + (150 * K677) - (300 * L677)) / J677, 2), " ")</f>
        <v xml:space="preserve"> </v>
      </c>
      <c r="AD677" s="3" t="str">
        <f>IF(AND(Table1[[#This Row],[Throw Out Rush Def Eff]]="N", Table1[[#This Row],[Against FCS Team]]="N"), 200 - ROUND(((23.2 * U677) + (150 * W677) - (300 * X677)) / V677, 2), " ")</f>
        <v xml:space="preserve"> </v>
      </c>
      <c r="AE677" s="3">
        <f>ROUND(Table1[[#This Row],[Opp Passing Attempts]]/(Table1[[#This Row],[Opp Passing Attempts]]+Table1[[#This Row],[Opp Rushing Attempts]]), 2)</f>
        <v>0.43</v>
      </c>
      <c r="AF677" s="3">
        <f>1-Table1[[#This Row],[Passing Weight]]</f>
        <v>0.57000000000000006</v>
      </c>
      <c r="AG677" s="3" t="str">
        <f>IF(COUNTIF(A:A,Table1[[#This Row],[Opp Team Name]]) &gt; 0, "N", "Y")</f>
        <v>Y</v>
      </c>
      <c r="AH677" s="3" t="str">
        <f>IF(Table1[[#This Row],[Passing Attempts]] &lt;15, "Y", "N")</f>
        <v>N</v>
      </c>
      <c r="AI677" s="3" t="str">
        <f>IF(Table1[[#This Row],[Rushing Attempts]] &lt; 15, "Y", "N")</f>
        <v>N</v>
      </c>
      <c r="AJ677" s="3" t="str">
        <f>IF(Table1[[#This Row],[Opp Passing Attempts]]&lt;15, "Y", "N")</f>
        <v>N</v>
      </c>
      <c r="AK677" s="3" t="str">
        <f>IF(Table1[[#This Row],[Opp Rushing Attempts]]&lt;15, "Y", "N")</f>
        <v>N</v>
      </c>
      <c r="AL67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7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7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677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677" s="3">
        <f>ABS(Table1[[#This Row],[Team Score]]-Table1[[#This Row],[Opp Team Score]])</f>
        <v>35</v>
      </c>
      <c r="AQ677" s="3">
        <f>SUM(Table1[[#This Row],[Team Score]], Table1[[#This Row],[Opp Team Score]])</f>
        <v>49</v>
      </c>
      <c r="AR67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77" s="3" t="str">
        <f>IF(Table1[[#This Row],[Efficiency Difference]] = " ", " ", ROUND((Table1[[#This Row],[Winning Margin]]*100)/Table1[[#This Row],[Efficiency Difference]], 2))</f>
        <v xml:space="preserve"> </v>
      </c>
    </row>
    <row r="678" spans="1:45">
      <c r="A678" t="s">
        <v>132</v>
      </c>
      <c r="B678">
        <v>690</v>
      </c>
      <c r="C678">
        <v>41</v>
      </c>
      <c r="D678">
        <v>111</v>
      </c>
      <c r="E678">
        <v>19</v>
      </c>
      <c r="F678">
        <v>1</v>
      </c>
      <c r="G678">
        <v>8</v>
      </c>
      <c r="H678">
        <v>0</v>
      </c>
      <c r="I678">
        <v>305</v>
      </c>
      <c r="J678">
        <v>49</v>
      </c>
      <c r="K678">
        <v>4</v>
      </c>
      <c r="L678">
        <v>1</v>
      </c>
      <c r="M678" t="s">
        <v>17</v>
      </c>
      <c r="N678">
        <v>5</v>
      </c>
      <c r="O678">
        <v>3</v>
      </c>
      <c r="P678">
        <v>227</v>
      </c>
      <c r="Q678">
        <v>34</v>
      </c>
      <c r="R678">
        <v>0</v>
      </c>
      <c r="S678">
        <v>16</v>
      </c>
      <c r="T678">
        <v>1</v>
      </c>
      <c r="U678">
        <v>42</v>
      </c>
      <c r="V678">
        <v>28</v>
      </c>
      <c r="W678">
        <v>0</v>
      </c>
      <c r="X678">
        <v>1</v>
      </c>
      <c r="Y678" t="s">
        <v>16</v>
      </c>
      <c r="Z678">
        <v>2</v>
      </c>
      <c r="AA678">
        <f>IF(AND(Table1[[#This Row],[Throw Out Pass Eff]]="N", Table1[[#This Row],[Against FCS Team]]="N"), ROUND(((5.45 * D678) + (150 * F678) + (100 * G678) - (300 * H678)) / E678, 2), " ")</f>
        <v>81.84</v>
      </c>
      <c r="AB678">
        <f>IF(AND(Table1[[#This Row],[Throw Out Pass Def Eff]]="N", Table1[[#This Row],[Against FCS Team]]="N"),200 - ROUND(((5.45 * P678) + (150 * R678) + (100 * S678) - (300 * T678)) / Q678, 2), " ")</f>
        <v>125.38</v>
      </c>
      <c r="AC678">
        <f>IF(AND(Table1[[#This Row],[Throw Out Rush Eff]]="N", Table1[[#This Row],[Against FCS Team]]="N"), ROUND(((23.2 * I678) + (150 * K678) - (300 * L678)) / J678, 2), " ")</f>
        <v>150.53</v>
      </c>
      <c r="AD678" s="3">
        <f>IF(AND(Table1[[#This Row],[Throw Out Rush Def Eff]]="N", Table1[[#This Row],[Against FCS Team]]="N"), 200 - ROUND(((23.2 * U678) + (150 * W678) - (300 * X678)) / V678, 2), " ")</f>
        <v>175.91</v>
      </c>
      <c r="AE678" s="3">
        <f>ROUND(Table1[[#This Row],[Opp Passing Attempts]]/(Table1[[#This Row],[Opp Passing Attempts]]+Table1[[#This Row],[Opp Rushing Attempts]]), 2)</f>
        <v>0.55000000000000004</v>
      </c>
      <c r="AF678" s="3">
        <f>1-Table1[[#This Row],[Passing Weight]]</f>
        <v>0.44999999999999996</v>
      </c>
      <c r="AG678" s="3" t="str">
        <f>IF(COUNTIF(A:A,Table1[[#This Row],[Opp Team Name]]) &gt; 0, "N", "Y")</f>
        <v>N</v>
      </c>
      <c r="AH678" s="3" t="str">
        <f>IF(Table1[[#This Row],[Passing Attempts]] &lt;15, "Y", "N")</f>
        <v>N</v>
      </c>
      <c r="AI678" s="3" t="str">
        <f>IF(Table1[[#This Row],[Rushing Attempts]] &lt; 15, "Y", "N")</f>
        <v>N</v>
      </c>
      <c r="AJ678" s="3" t="str">
        <f>IF(Table1[[#This Row],[Opp Passing Attempts]]&lt;15, "Y", "N")</f>
        <v>N</v>
      </c>
      <c r="AK678" s="3" t="str">
        <f>IF(Table1[[#This Row],[Opp Rushing Attempts]]&lt;15, "Y", "N")</f>
        <v>N</v>
      </c>
      <c r="AL6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67.709999999999994</v>
      </c>
      <c r="AM6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87.77</v>
      </c>
      <c r="AN6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139.27000000000001</v>
      </c>
      <c r="AO6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99.3</v>
      </c>
      <c r="AP678" s="3">
        <f>ABS(Table1[[#This Row],[Team Score]]-Table1[[#This Row],[Opp Team Score]])</f>
        <v>38</v>
      </c>
      <c r="AQ678" s="3">
        <f>SUM(Table1[[#This Row],[Team Score]], Table1[[#This Row],[Opp Team Score]])</f>
        <v>44</v>
      </c>
      <c r="AR6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133.65999999999997</v>
      </c>
      <c r="AS678" s="3">
        <f>IF(Table1[[#This Row],[Efficiency Difference]] = " ", " ", ROUND((Table1[[#This Row],[Winning Margin]]*100)/Table1[[#This Row],[Efficiency Difference]], 2))</f>
        <v>28.43</v>
      </c>
    </row>
    <row r="679" spans="1:45">
      <c r="A679" t="s">
        <v>132</v>
      </c>
      <c r="B679">
        <v>690</v>
      </c>
      <c r="C679">
        <v>10</v>
      </c>
      <c r="D679">
        <v>123</v>
      </c>
      <c r="E679">
        <v>28</v>
      </c>
      <c r="F679">
        <v>0</v>
      </c>
      <c r="G679">
        <v>12</v>
      </c>
      <c r="H679">
        <v>2</v>
      </c>
      <c r="I679">
        <v>74</v>
      </c>
      <c r="J679">
        <v>30</v>
      </c>
      <c r="K679">
        <v>1</v>
      </c>
      <c r="L679">
        <v>1</v>
      </c>
      <c r="M679" t="s">
        <v>120</v>
      </c>
      <c r="N679">
        <v>539</v>
      </c>
      <c r="O679">
        <v>14</v>
      </c>
      <c r="P679">
        <v>216</v>
      </c>
      <c r="Q679">
        <v>37</v>
      </c>
      <c r="R679">
        <v>0</v>
      </c>
      <c r="S679">
        <v>22</v>
      </c>
      <c r="T679">
        <v>1</v>
      </c>
      <c r="U679">
        <v>92</v>
      </c>
      <c r="V679">
        <v>36</v>
      </c>
      <c r="W679">
        <v>2</v>
      </c>
      <c r="X679">
        <v>0</v>
      </c>
      <c r="Y679" t="s">
        <v>19</v>
      </c>
      <c r="Z679">
        <v>3</v>
      </c>
      <c r="AA679">
        <f>IF(AND(Table1[[#This Row],[Throw Out Pass Eff]]="N", Table1[[#This Row],[Against FCS Team]]="N"), ROUND(((5.45 * D679) + (150 * F679) + (100 * G679) - (300 * H679)) / E679, 2), " ")</f>
        <v>45.37</v>
      </c>
      <c r="AB679">
        <f>IF(AND(Table1[[#This Row],[Throw Out Pass Def Eff]]="N", Table1[[#This Row],[Against FCS Team]]="N"),200 - ROUND(((5.45 * P679) + (150 * R679) + (100 * S679) - (300 * T679)) / Q679, 2), " ")</f>
        <v>116.83</v>
      </c>
      <c r="AC679">
        <f>IF(AND(Table1[[#This Row],[Throw Out Rush Eff]]="N", Table1[[#This Row],[Against FCS Team]]="N"), ROUND(((23.2 * I679) + (150 * K679) - (300 * L679)) / J679, 2), " ")</f>
        <v>52.23</v>
      </c>
      <c r="AD679" s="3">
        <f>IF(AND(Table1[[#This Row],[Throw Out Rush Def Eff]]="N", Table1[[#This Row],[Against FCS Team]]="N"), 200 - ROUND(((23.2 * U679) + (150 * W679) - (300 * X679)) / V679, 2), " ")</f>
        <v>132.38</v>
      </c>
      <c r="AE679" s="3">
        <f>ROUND(Table1[[#This Row],[Opp Passing Attempts]]/(Table1[[#This Row],[Opp Passing Attempts]]+Table1[[#This Row],[Opp Rushing Attempts]]), 2)</f>
        <v>0.51</v>
      </c>
      <c r="AF679" s="3">
        <f>1-Table1[[#This Row],[Passing Weight]]</f>
        <v>0.49</v>
      </c>
      <c r="AG679" s="3" t="str">
        <f>IF(COUNTIF(A:A,Table1[[#This Row],[Opp Team Name]]) &gt; 0, "N", "Y")</f>
        <v>N</v>
      </c>
      <c r="AH679" s="3" t="str">
        <f>IF(Table1[[#This Row],[Passing Attempts]] &lt;15, "Y", "N")</f>
        <v>N</v>
      </c>
      <c r="AI679" s="3" t="str">
        <f>IF(Table1[[#This Row],[Rushing Attempts]] &lt; 15, "Y", "N")</f>
        <v>N</v>
      </c>
      <c r="AJ679" s="3" t="str">
        <f>IF(Table1[[#This Row],[Opp Passing Attempts]]&lt;15, "Y", "N")</f>
        <v>N</v>
      </c>
      <c r="AK679" s="3" t="str">
        <f>IF(Table1[[#This Row],[Opp Rushing Attempts]]&lt;15, "Y", "N")</f>
        <v>N</v>
      </c>
      <c r="AL6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57.19</v>
      </c>
      <c r="AM6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102.15</v>
      </c>
      <c r="AN6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68.81</v>
      </c>
      <c r="AO6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116.57</v>
      </c>
      <c r="AP679" s="3">
        <f>ABS(Table1[[#This Row],[Team Score]]-Table1[[#This Row],[Opp Team Score]])</f>
        <v>4</v>
      </c>
      <c r="AQ679" s="3">
        <f>SUM(Table1[[#This Row],[Team Score]], Table1[[#This Row],[Opp Team Score]])</f>
        <v>24</v>
      </c>
      <c r="AR6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53.190000000000026</v>
      </c>
      <c r="AS679" s="3">
        <f>IF(Table1[[#This Row],[Efficiency Difference]] = " ", " ", ROUND((Table1[[#This Row],[Winning Margin]]*100)/Table1[[#This Row],[Efficiency Difference]], 2))</f>
        <v>7.52</v>
      </c>
    </row>
    <row r="680" spans="1:45">
      <c r="A680" t="s">
        <v>132</v>
      </c>
      <c r="B680">
        <v>690</v>
      </c>
      <c r="C680">
        <v>38</v>
      </c>
      <c r="D680">
        <v>140</v>
      </c>
      <c r="E680">
        <v>9</v>
      </c>
      <c r="F680">
        <v>0</v>
      </c>
      <c r="G680">
        <v>9</v>
      </c>
      <c r="H680">
        <v>0</v>
      </c>
      <c r="I680">
        <v>285</v>
      </c>
      <c r="J680">
        <v>62</v>
      </c>
      <c r="K680">
        <v>5</v>
      </c>
      <c r="L680">
        <v>1</v>
      </c>
      <c r="M680" t="s">
        <v>178</v>
      </c>
      <c r="N680">
        <v>392</v>
      </c>
      <c r="O680">
        <v>7</v>
      </c>
      <c r="P680">
        <v>195</v>
      </c>
      <c r="Q680">
        <v>37</v>
      </c>
      <c r="R680">
        <v>1</v>
      </c>
      <c r="S680">
        <v>21</v>
      </c>
      <c r="T680">
        <v>1</v>
      </c>
      <c r="U680">
        <v>45</v>
      </c>
      <c r="V680">
        <v>23</v>
      </c>
      <c r="W680">
        <v>0</v>
      </c>
      <c r="X680">
        <v>0</v>
      </c>
      <c r="Y680" t="s">
        <v>16</v>
      </c>
      <c r="Z680">
        <v>4</v>
      </c>
      <c r="AA680" t="str">
        <f>IF(AND(Table1[[#This Row],[Throw Out Pass Eff]]="N", Table1[[#This Row],[Against FCS Team]]="N"), ROUND(((5.45 * D680) + (150 * F680) + (100 * G680) - (300 * H680)) / E680, 2), " ")</f>
        <v xml:space="preserve"> </v>
      </c>
      <c r="AB680">
        <f>IF(AND(Table1[[#This Row],[Throw Out Pass Def Eff]]="N", Table1[[#This Row],[Against FCS Team]]="N"),200 - ROUND(((5.45 * P680) + (150 * R680) + (100 * S680) - (300 * T680)) / Q680, 2), " ")</f>
        <v>118.57</v>
      </c>
      <c r="AC680">
        <f>IF(AND(Table1[[#This Row],[Throw Out Rush Eff]]="N", Table1[[#This Row],[Against FCS Team]]="N"), ROUND(((23.2 * I680) + (150 * K680) - (300 * L680)) / J680, 2), " ")</f>
        <v>113.9</v>
      </c>
      <c r="AD680" s="3">
        <f>IF(AND(Table1[[#This Row],[Throw Out Rush Def Eff]]="N", Table1[[#This Row],[Against FCS Team]]="N"), 200 - ROUND(((23.2 * U680) + (150 * W680) - (300 * X680)) / V680, 2), " ")</f>
        <v>154.61000000000001</v>
      </c>
      <c r="AE680" s="3">
        <f>ROUND(Table1[[#This Row],[Opp Passing Attempts]]/(Table1[[#This Row],[Opp Passing Attempts]]+Table1[[#This Row],[Opp Rushing Attempts]]), 2)</f>
        <v>0.62</v>
      </c>
      <c r="AF680" s="3">
        <f>1-Table1[[#This Row],[Passing Weight]]</f>
        <v>0.38</v>
      </c>
      <c r="AG680" s="3" t="str">
        <f>IF(COUNTIF(A:A,Table1[[#This Row],[Opp Team Name]]) &gt; 0, "N", "Y")</f>
        <v>N</v>
      </c>
      <c r="AH680" s="3" t="str">
        <f>IF(Table1[[#This Row],[Passing Attempts]] &lt;15, "Y", "N")</f>
        <v>Y</v>
      </c>
      <c r="AI680" s="3" t="str">
        <f>IF(Table1[[#This Row],[Rushing Attempts]] &lt; 15, "Y", "N")</f>
        <v>N</v>
      </c>
      <c r="AJ680" s="3" t="str">
        <f>IF(Table1[[#This Row],[Opp Passing Attempts]]&lt;15, "Y", "N")</f>
        <v>N</v>
      </c>
      <c r="AK680" s="3" t="str">
        <f>IF(Table1[[#This Row],[Opp Rushing Attempts]]&lt;15, "Y", "N")</f>
        <v>N</v>
      </c>
      <c r="AL680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92.6</v>
      </c>
      <c r="AN6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98.83</v>
      </c>
      <c r="AO6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159.86000000000001</v>
      </c>
      <c r="AP680" s="3">
        <f>ABS(Table1[[#This Row],[Team Score]]-Table1[[#This Row],[Opp Team Score]])</f>
        <v>31</v>
      </c>
      <c r="AQ680" s="3">
        <f>SUM(Table1[[#This Row],[Team Score]], Table1[[#This Row],[Opp Team Score]])</f>
        <v>45</v>
      </c>
      <c r="AR68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80" s="3" t="str">
        <f>IF(Table1[[#This Row],[Efficiency Difference]] = " ", " ", ROUND((Table1[[#This Row],[Winning Margin]]*100)/Table1[[#This Row],[Efficiency Difference]], 2))</f>
        <v xml:space="preserve"> </v>
      </c>
    </row>
    <row r="681" spans="1:45">
      <c r="A681" t="s">
        <v>132</v>
      </c>
      <c r="B681">
        <v>690</v>
      </c>
      <c r="C681">
        <v>13</v>
      </c>
      <c r="D681">
        <v>173</v>
      </c>
      <c r="E681">
        <v>20</v>
      </c>
      <c r="F681">
        <v>1</v>
      </c>
      <c r="G681">
        <v>10</v>
      </c>
      <c r="H681">
        <v>2</v>
      </c>
      <c r="I681">
        <v>145</v>
      </c>
      <c r="J681">
        <v>46</v>
      </c>
      <c r="K681">
        <v>0</v>
      </c>
      <c r="L681">
        <v>2</v>
      </c>
      <c r="M681" t="s">
        <v>138</v>
      </c>
      <c r="N681">
        <v>709</v>
      </c>
      <c r="O681">
        <v>36</v>
      </c>
      <c r="P681">
        <v>148</v>
      </c>
      <c r="Q681">
        <v>15</v>
      </c>
      <c r="R681">
        <v>2</v>
      </c>
      <c r="S681">
        <v>13</v>
      </c>
      <c r="T681">
        <v>0</v>
      </c>
      <c r="U681">
        <v>157</v>
      </c>
      <c r="V681">
        <v>39</v>
      </c>
      <c r="W681">
        <v>3</v>
      </c>
      <c r="X681">
        <v>1</v>
      </c>
      <c r="Y681" t="s">
        <v>19</v>
      </c>
      <c r="Z681">
        <v>5</v>
      </c>
      <c r="AA681">
        <f>IF(AND(Table1[[#This Row],[Throw Out Pass Eff]]="N", Table1[[#This Row],[Against FCS Team]]="N"), ROUND(((5.45 * D681) + (150 * F681) + (100 * G681) - (300 * H681)) / E681, 2), " ")</f>
        <v>74.64</v>
      </c>
      <c r="AB681">
        <f>IF(AND(Table1[[#This Row],[Throw Out Pass Def Eff]]="N", Table1[[#This Row],[Against FCS Team]]="N"),200 - ROUND(((5.45 * P681) + (150 * R681) + (100 * S681) - (300 * T681)) / Q681, 2), " ")</f>
        <v>39.56</v>
      </c>
      <c r="AC681">
        <f>IF(AND(Table1[[#This Row],[Throw Out Rush Eff]]="N", Table1[[#This Row],[Against FCS Team]]="N"), ROUND(((23.2 * I681) + (150 * K681) - (300 * L681)) / J681, 2), " ")</f>
        <v>60.09</v>
      </c>
      <c r="AD681" s="3">
        <f>IF(AND(Table1[[#This Row],[Throw Out Rush Def Eff]]="N", Table1[[#This Row],[Against FCS Team]]="N"), 200 - ROUND(((23.2 * U681) + (150 * W681) - (300 * X681)) / V681, 2), " ")</f>
        <v>102.76</v>
      </c>
      <c r="AE681" s="3">
        <f>ROUND(Table1[[#This Row],[Opp Passing Attempts]]/(Table1[[#This Row],[Opp Passing Attempts]]+Table1[[#This Row],[Opp Rushing Attempts]]), 2)</f>
        <v>0.28000000000000003</v>
      </c>
      <c r="AF681" s="3">
        <f>1-Table1[[#This Row],[Passing Weight]]</f>
        <v>0.72</v>
      </c>
      <c r="AG681" s="3" t="str">
        <f>IF(COUNTIF(A:A,Table1[[#This Row],[Opp Team Name]]) &gt; 0, "N", "Y")</f>
        <v>N</v>
      </c>
      <c r="AH681" s="3" t="str">
        <f>IF(Table1[[#This Row],[Passing Attempts]] &lt;15, "Y", "N")</f>
        <v>N</v>
      </c>
      <c r="AI681" s="3" t="str">
        <f>IF(Table1[[#This Row],[Rushing Attempts]] &lt; 15, "Y", "N")</f>
        <v>N</v>
      </c>
      <c r="AJ681" s="3" t="str">
        <f>IF(Table1[[#This Row],[Opp Passing Attempts]]&lt;15, "Y", "N")</f>
        <v>N</v>
      </c>
      <c r="AK681" s="3" t="str">
        <f>IF(Table1[[#This Row],[Opp Rushing Attempts]]&lt;15, "Y", "N")</f>
        <v>N</v>
      </c>
      <c r="AL68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75.790000000000006</v>
      </c>
      <c r="AM68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46.34</v>
      </c>
      <c r="AN68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79.739999999999995</v>
      </c>
      <c r="AO68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107.14</v>
      </c>
      <c r="AP681" s="3">
        <f>ABS(Table1[[#This Row],[Team Score]]-Table1[[#This Row],[Opp Team Score]])</f>
        <v>23</v>
      </c>
      <c r="AQ681" s="3">
        <f>SUM(Table1[[#This Row],[Team Score]], Table1[[#This Row],[Opp Team Score]])</f>
        <v>49</v>
      </c>
      <c r="AR68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122.94999999999999</v>
      </c>
      <c r="AS681" s="3">
        <f>IF(Table1[[#This Row],[Efficiency Difference]] = " ", " ", ROUND((Table1[[#This Row],[Winning Margin]]*100)/Table1[[#This Row],[Efficiency Difference]], 2))</f>
        <v>18.71</v>
      </c>
    </row>
    <row r="682" spans="1:45">
      <c r="A682" t="s">
        <v>132</v>
      </c>
      <c r="B682">
        <v>690</v>
      </c>
      <c r="C682">
        <v>42</v>
      </c>
      <c r="D682">
        <v>160</v>
      </c>
      <c r="E682">
        <v>13</v>
      </c>
      <c r="F682">
        <v>1</v>
      </c>
      <c r="G682">
        <v>10</v>
      </c>
      <c r="H682">
        <v>0</v>
      </c>
      <c r="I682">
        <v>350</v>
      </c>
      <c r="J682">
        <v>62</v>
      </c>
      <c r="K682">
        <v>5</v>
      </c>
      <c r="L682">
        <v>0</v>
      </c>
      <c r="M682" t="s">
        <v>34</v>
      </c>
      <c r="N682">
        <v>47</v>
      </c>
      <c r="O682">
        <v>0</v>
      </c>
      <c r="P682">
        <v>155</v>
      </c>
      <c r="Q682">
        <v>34</v>
      </c>
      <c r="R682">
        <v>0</v>
      </c>
      <c r="S682">
        <v>19</v>
      </c>
      <c r="T682">
        <v>2</v>
      </c>
      <c r="U682">
        <v>81</v>
      </c>
      <c r="V682">
        <v>25</v>
      </c>
      <c r="W682">
        <v>0</v>
      </c>
      <c r="X682">
        <v>1</v>
      </c>
      <c r="Y682" t="s">
        <v>16</v>
      </c>
      <c r="Z682">
        <v>6</v>
      </c>
      <c r="AA682" t="str">
        <f>IF(AND(Table1[[#This Row],[Throw Out Pass Eff]]="N", Table1[[#This Row],[Against FCS Team]]="N"), ROUND(((5.45 * D682) + (150 * F682) + (100 * G682) - (300 * H682)) / E682, 2), " ")</f>
        <v xml:space="preserve"> </v>
      </c>
      <c r="AB682">
        <f>IF(AND(Table1[[#This Row],[Throw Out Pass Def Eff]]="N", Table1[[#This Row],[Against FCS Team]]="N"),200 - ROUND(((5.45 * P682) + (150 * R682) + (100 * S682) - (300 * T682)) / Q682, 2), " ")</f>
        <v>136.92000000000002</v>
      </c>
      <c r="AC682">
        <f>IF(AND(Table1[[#This Row],[Throw Out Rush Eff]]="N", Table1[[#This Row],[Against FCS Team]]="N"), ROUND(((23.2 * I682) + (150 * K682) - (300 * L682)) / J682, 2), " ")</f>
        <v>143.06</v>
      </c>
      <c r="AD682" s="3">
        <f>IF(AND(Table1[[#This Row],[Throw Out Rush Def Eff]]="N", Table1[[#This Row],[Against FCS Team]]="N"), 200 - ROUND(((23.2 * U682) + (150 * W682) - (300 * X682)) / V682, 2), " ")</f>
        <v>136.82999999999998</v>
      </c>
      <c r="AE682" s="3">
        <f>ROUND(Table1[[#This Row],[Opp Passing Attempts]]/(Table1[[#This Row],[Opp Passing Attempts]]+Table1[[#This Row],[Opp Rushing Attempts]]), 2)</f>
        <v>0.57999999999999996</v>
      </c>
      <c r="AF682" s="3">
        <f>1-Table1[[#This Row],[Passing Weight]]</f>
        <v>0.42000000000000004</v>
      </c>
      <c r="AG682" s="3" t="str">
        <f>IF(COUNTIF(A:A,Table1[[#This Row],[Opp Team Name]]) &gt; 0, "N", "Y")</f>
        <v>N</v>
      </c>
      <c r="AH682" s="3" t="str">
        <f>IF(Table1[[#This Row],[Passing Attempts]] &lt;15, "Y", "N")</f>
        <v>Y</v>
      </c>
      <c r="AI682" s="3" t="str">
        <f>IF(Table1[[#This Row],[Rushing Attempts]] &lt; 15, "Y", "N")</f>
        <v>N</v>
      </c>
      <c r="AJ682" s="3" t="str">
        <f>IF(Table1[[#This Row],[Opp Passing Attempts]]&lt;15, "Y", "N")</f>
        <v>N</v>
      </c>
      <c r="AK682" s="3" t="str">
        <f>IF(Table1[[#This Row],[Opp Rushing Attempts]]&lt;15, "Y", "N")</f>
        <v>N</v>
      </c>
      <c r="AL68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8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133.28</v>
      </c>
      <c r="AN68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123.73</v>
      </c>
      <c r="AO68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117.82</v>
      </c>
      <c r="AP682" s="3">
        <f>ABS(Table1[[#This Row],[Team Score]]-Table1[[#This Row],[Opp Team Score]])</f>
        <v>42</v>
      </c>
      <c r="AQ682" s="3">
        <f>SUM(Table1[[#This Row],[Team Score]], Table1[[#This Row],[Opp Team Score]])</f>
        <v>42</v>
      </c>
      <c r="AR68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82" s="3" t="str">
        <f>IF(Table1[[#This Row],[Efficiency Difference]] = " ", " ", ROUND((Table1[[#This Row],[Winning Margin]]*100)/Table1[[#This Row],[Efficiency Difference]], 2))</f>
        <v xml:space="preserve"> </v>
      </c>
    </row>
    <row r="683" spans="1:45">
      <c r="A683" t="s">
        <v>132</v>
      </c>
      <c r="B683">
        <v>690</v>
      </c>
      <c r="C683">
        <v>34</v>
      </c>
      <c r="D683">
        <v>58</v>
      </c>
      <c r="E683">
        <v>11</v>
      </c>
      <c r="F683">
        <v>0</v>
      </c>
      <c r="G683">
        <v>7</v>
      </c>
      <c r="H683">
        <v>0</v>
      </c>
      <c r="I683">
        <v>400</v>
      </c>
      <c r="J683">
        <v>65</v>
      </c>
      <c r="K683">
        <v>4</v>
      </c>
      <c r="L683">
        <v>0</v>
      </c>
      <c r="M683" t="s">
        <v>44</v>
      </c>
      <c r="N683">
        <v>86</v>
      </c>
      <c r="O683">
        <v>0</v>
      </c>
      <c r="P683">
        <v>84</v>
      </c>
      <c r="Q683">
        <v>26</v>
      </c>
      <c r="R683">
        <v>0</v>
      </c>
      <c r="S683">
        <v>9</v>
      </c>
      <c r="T683">
        <v>1</v>
      </c>
      <c r="U683">
        <v>71</v>
      </c>
      <c r="V683">
        <v>28</v>
      </c>
      <c r="W683">
        <v>0</v>
      </c>
      <c r="X683">
        <v>0</v>
      </c>
      <c r="Y683" t="s">
        <v>16</v>
      </c>
      <c r="Z683">
        <v>7</v>
      </c>
      <c r="AA683" t="str">
        <f>IF(AND(Table1[[#This Row],[Throw Out Pass Eff]]="N", Table1[[#This Row],[Against FCS Team]]="N"), ROUND(((5.45 * D683) + (150 * F683) + (100 * G683) - (300 * H683)) / E683, 2), " ")</f>
        <v xml:space="preserve"> </v>
      </c>
      <c r="AB683">
        <f>IF(AND(Table1[[#This Row],[Throw Out Pass Def Eff]]="N", Table1[[#This Row],[Against FCS Team]]="N"),200 - ROUND(((5.45 * P683) + (150 * R683) + (100 * S683) - (300 * T683)) / Q683, 2), " ")</f>
        <v>159.32</v>
      </c>
      <c r="AC683">
        <f>IF(AND(Table1[[#This Row],[Throw Out Rush Eff]]="N", Table1[[#This Row],[Against FCS Team]]="N"), ROUND(((23.2 * I683) + (150 * K683) - (300 * L683)) / J683, 2), " ")</f>
        <v>152</v>
      </c>
      <c r="AD683" s="3">
        <f>IF(AND(Table1[[#This Row],[Throw Out Rush Def Eff]]="N", Table1[[#This Row],[Against FCS Team]]="N"), 200 - ROUND(((23.2 * U683) + (150 * W683) - (300 * X683)) / V683, 2), " ")</f>
        <v>141.17000000000002</v>
      </c>
      <c r="AE683" s="3">
        <f>ROUND(Table1[[#This Row],[Opp Passing Attempts]]/(Table1[[#This Row],[Opp Passing Attempts]]+Table1[[#This Row],[Opp Rushing Attempts]]), 2)</f>
        <v>0.48</v>
      </c>
      <c r="AF683" s="3">
        <f>1-Table1[[#This Row],[Passing Weight]]</f>
        <v>0.52</v>
      </c>
      <c r="AG683" s="3" t="str">
        <f>IF(COUNTIF(A:A,Table1[[#This Row],[Opp Team Name]]) &gt; 0, "N", "Y")</f>
        <v>N</v>
      </c>
      <c r="AH683" s="3" t="str">
        <f>IF(Table1[[#This Row],[Passing Attempts]] &lt;15, "Y", "N")</f>
        <v>Y</v>
      </c>
      <c r="AI683" s="3" t="str">
        <f>IF(Table1[[#This Row],[Rushing Attempts]] &lt; 15, "Y", "N")</f>
        <v>N</v>
      </c>
      <c r="AJ683" s="3" t="str">
        <f>IF(Table1[[#This Row],[Opp Passing Attempts]]&lt;15, "Y", "N")</f>
        <v>N</v>
      </c>
      <c r="AK683" s="3" t="str">
        <f>IF(Table1[[#This Row],[Opp Rushing Attempts]]&lt;15, "Y", "N")</f>
        <v>N</v>
      </c>
      <c r="AL683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8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133.80000000000001</v>
      </c>
      <c r="AN68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125.31</v>
      </c>
      <c r="AO68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131.4</v>
      </c>
      <c r="AP683" s="3">
        <f>ABS(Table1[[#This Row],[Team Score]]-Table1[[#This Row],[Opp Team Score]])</f>
        <v>34</v>
      </c>
      <c r="AQ683" s="3">
        <f>SUM(Table1[[#This Row],[Team Score]], Table1[[#This Row],[Opp Team Score]])</f>
        <v>34</v>
      </c>
      <c r="AR683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83" s="3" t="str">
        <f>IF(Table1[[#This Row],[Efficiency Difference]] = " ", " ", ROUND((Table1[[#This Row],[Winning Margin]]*100)/Table1[[#This Row],[Efficiency Difference]], 2))</f>
        <v xml:space="preserve"> </v>
      </c>
    </row>
    <row r="684" spans="1:45">
      <c r="A684" t="s">
        <v>132</v>
      </c>
      <c r="B684">
        <v>690</v>
      </c>
      <c r="C684">
        <v>10</v>
      </c>
      <c r="D684">
        <v>66</v>
      </c>
      <c r="E684">
        <v>13</v>
      </c>
      <c r="F684">
        <v>0</v>
      </c>
      <c r="G684">
        <v>7</v>
      </c>
      <c r="H684">
        <v>0</v>
      </c>
      <c r="I684">
        <v>218</v>
      </c>
      <c r="J684">
        <v>49</v>
      </c>
      <c r="K684">
        <v>1</v>
      </c>
      <c r="L684">
        <v>0</v>
      </c>
      <c r="M684" t="s">
        <v>42</v>
      </c>
      <c r="N684">
        <v>71</v>
      </c>
      <c r="O684">
        <v>13</v>
      </c>
      <c r="P684">
        <v>204</v>
      </c>
      <c r="Q684">
        <v>34</v>
      </c>
      <c r="R684">
        <v>1</v>
      </c>
      <c r="S684">
        <v>20</v>
      </c>
      <c r="T684">
        <v>0</v>
      </c>
      <c r="U684">
        <v>114</v>
      </c>
      <c r="V684">
        <v>34</v>
      </c>
      <c r="W684">
        <v>0</v>
      </c>
      <c r="X684">
        <v>0</v>
      </c>
      <c r="Y684" t="s">
        <v>19</v>
      </c>
      <c r="Z684">
        <v>8</v>
      </c>
      <c r="AA684" s="3" t="str">
        <f>IF(AND(Table1[[#This Row],[Throw Out Pass Eff]]="N", Table1[[#This Row],[Against FCS Team]]="N"), ROUND(((5.45 * D684) + (150 * F684) + (100 * G684) - (300 * H684)) / E684, 2), " ")</f>
        <v xml:space="preserve"> </v>
      </c>
      <c r="AB684" s="3">
        <f>IF(AND(Table1[[#This Row],[Throw Out Pass Def Eff]]="N", Table1[[#This Row],[Against FCS Team]]="N"),200 - ROUND(((5.45 * P684) + (150 * R684) + (100 * S684) - (300 * T684)) / Q684, 2), " ")</f>
        <v>104.06</v>
      </c>
      <c r="AC684" s="3">
        <f>IF(AND(Table1[[#This Row],[Throw Out Rush Eff]]="N", Table1[[#This Row],[Against FCS Team]]="N"), ROUND(((23.2 * I684) + (150 * K684) - (300 * L684)) / J684, 2), " ")</f>
        <v>106.28</v>
      </c>
      <c r="AD684" s="3">
        <f>IF(AND(Table1[[#This Row],[Throw Out Rush Def Eff]]="N", Table1[[#This Row],[Against FCS Team]]="N"), 200 - ROUND(((23.2 * U684) + (150 * W684) - (300 * X684)) / V684, 2), " ")</f>
        <v>122.21</v>
      </c>
      <c r="AE684" s="3">
        <f>ROUND(Table1[[#This Row],[Opp Passing Attempts]]/(Table1[[#This Row],[Opp Passing Attempts]]+Table1[[#This Row],[Opp Rushing Attempts]]), 2)</f>
        <v>0.5</v>
      </c>
      <c r="AF684" s="3">
        <f>1-Table1[[#This Row],[Passing Weight]]</f>
        <v>0.5</v>
      </c>
      <c r="AG684" s="3" t="str">
        <f>IF(COUNTIF(A:A,Table1[[#This Row],[Opp Team Name]]) &gt; 0, "N", "Y")</f>
        <v>N</v>
      </c>
      <c r="AH684" s="3" t="str">
        <f>IF(Table1[[#This Row],[Passing Attempts]] &lt;15, "Y", "N")</f>
        <v>Y</v>
      </c>
      <c r="AI684" s="3" t="str">
        <f>IF(Table1[[#This Row],[Rushing Attempts]] &lt; 15, "Y", "N")</f>
        <v>N</v>
      </c>
      <c r="AJ684" s="3" t="str">
        <f>IF(Table1[[#This Row],[Opp Passing Attempts]]&lt;15, "Y", "N")</f>
        <v>N</v>
      </c>
      <c r="AK684" s="3" t="str">
        <f>IF(Table1[[#This Row],[Opp Rushing Attempts]]&lt;15, "Y", "N")</f>
        <v>N</v>
      </c>
      <c r="AL68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8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99.13</v>
      </c>
      <c r="AN68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94.46</v>
      </c>
      <c r="AO68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92.06</v>
      </c>
      <c r="AP684" s="3">
        <f>ABS(Table1[[#This Row],[Team Score]]-Table1[[#This Row],[Opp Team Score]])</f>
        <v>3</v>
      </c>
      <c r="AQ684" s="3">
        <f>SUM(Table1[[#This Row],[Team Score]], Table1[[#This Row],[Opp Team Score]])</f>
        <v>23</v>
      </c>
      <c r="AR68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84" s="3" t="str">
        <f>IF(Table1[[#This Row],[Efficiency Difference]] = " ", " ", ROUND((Table1[[#This Row],[Winning Margin]]*100)/Table1[[#This Row],[Efficiency Difference]], 2))</f>
        <v xml:space="preserve"> </v>
      </c>
    </row>
    <row r="685" spans="1:45">
      <c r="A685" t="s">
        <v>134</v>
      </c>
      <c r="B685">
        <v>694</v>
      </c>
      <c r="C685">
        <v>42</v>
      </c>
      <c r="D685">
        <v>311</v>
      </c>
      <c r="E685">
        <v>25</v>
      </c>
      <c r="F685">
        <v>3</v>
      </c>
      <c r="G685">
        <v>18</v>
      </c>
      <c r="H685">
        <v>0</v>
      </c>
      <c r="I685">
        <v>128</v>
      </c>
      <c r="J685">
        <v>46</v>
      </c>
      <c r="K685">
        <v>2</v>
      </c>
      <c r="L685">
        <v>0</v>
      </c>
      <c r="M685" t="s">
        <v>135</v>
      </c>
      <c r="N685">
        <v>441</v>
      </c>
      <c r="O685">
        <v>16</v>
      </c>
      <c r="P685">
        <v>235</v>
      </c>
      <c r="Q685">
        <v>38</v>
      </c>
      <c r="R685">
        <v>1</v>
      </c>
      <c r="S685">
        <v>20</v>
      </c>
      <c r="T685">
        <v>1</v>
      </c>
      <c r="U685">
        <v>111</v>
      </c>
      <c r="V685">
        <v>30</v>
      </c>
      <c r="W685">
        <v>1</v>
      </c>
      <c r="X685">
        <v>2</v>
      </c>
      <c r="Y685" t="s">
        <v>16</v>
      </c>
      <c r="Z685">
        <v>1</v>
      </c>
      <c r="AA685" t="str">
        <f>IF(AND(Table1[[#This Row],[Throw Out Pass Eff]]="N", Table1[[#This Row],[Against FCS Team]]="N"), ROUND(((5.45 * D685) + (150 * F685) + (100 * G685) - (300 * H685)) / E685, 2), " ")</f>
        <v xml:space="preserve"> </v>
      </c>
      <c r="AB685" t="str">
        <f>IF(AND(Table1[[#This Row],[Throw Out Pass Def Eff]]="N", Table1[[#This Row],[Against FCS Team]]="N"),200 - ROUND(((5.45 * P685) + (150 * R685) + (100 * S685) - (300 * T685)) / Q685, 2), " ")</f>
        <v xml:space="preserve"> </v>
      </c>
      <c r="AC685" t="str">
        <f>IF(AND(Table1[[#This Row],[Throw Out Rush Eff]]="N", Table1[[#This Row],[Against FCS Team]]="N"), ROUND(((23.2 * I685) + (150 * K685) - (300 * L685)) / J685, 2), " ")</f>
        <v xml:space="preserve"> </v>
      </c>
      <c r="AD685" s="3" t="str">
        <f>IF(AND(Table1[[#This Row],[Throw Out Rush Def Eff]]="N", Table1[[#This Row],[Against FCS Team]]="N"), 200 - ROUND(((23.2 * U685) + (150 * W685) - (300 * X685)) / V685, 2), " ")</f>
        <v xml:space="preserve"> </v>
      </c>
      <c r="AE685" s="3">
        <f>ROUND(Table1[[#This Row],[Opp Passing Attempts]]/(Table1[[#This Row],[Opp Passing Attempts]]+Table1[[#This Row],[Opp Rushing Attempts]]), 2)</f>
        <v>0.56000000000000005</v>
      </c>
      <c r="AF685" s="3">
        <f>1-Table1[[#This Row],[Passing Weight]]</f>
        <v>0.43999999999999995</v>
      </c>
      <c r="AG685" s="3" t="str">
        <f>IF(COUNTIF(A:A,Table1[[#This Row],[Opp Team Name]]) &gt; 0, "N", "Y")</f>
        <v>Y</v>
      </c>
      <c r="AH685" s="3" t="str">
        <f>IF(Table1[[#This Row],[Passing Attempts]] &lt;15, "Y", "N")</f>
        <v>N</v>
      </c>
      <c r="AI685" s="3" t="str">
        <f>IF(Table1[[#This Row],[Rushing Attempts]] &lt; 15, "Y", "N")</f>
        <v>N</v>
      </c>
      <c r="AJ685" s="3" t="str">
        <f>IF(Table1[[#This Row],[Opp Passing Attempts]]&lt;15, "Y", "N")</f>
        <v>N</v>
      </c>
      <c r="AK685" s="3" t="str">
        <f>IF(Table1[[#This Row],[Opp Rushing Attempts]]&lt;15, "Y", "N")</f>
        <v>N</v>
      </c>
      <c r="AL68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68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68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68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685" s="3">
        <f>ABS(Table1[[#This Row],[Team Score]]-Table1[[#This Row],[Opp Team Score]])</f>
        <v>26</v>
      </c>
      <c r="AQ685" s="3">
        <f>SUM(Table1[[#This Row],[Team Score]], Table1[[#This Row],[Opp Team Score]])</f>
        <v>58</v>
      </c>
      <c r="AR68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685" s="3" t="str">
        <f>IF(Table1[[#This Row],[Efficiency Difference]] = " ", " ", ROUND((Table1[[#This Row],[Winning Margin]]*100)/Table1[[#This Row],[Efficiency Difference]], 2))</f>
        <v xml:space="preserve"> </v>
      </c>
    </row>
    <row r="686" spans="1:45">
      <c r="A686" t="s">
        <v>134</v>
      </c>
      <c r="B686">
        <v>694</v>
      </c>
      <c r="C686">
        <v>45</v>
      </c>
      <c r="D686">
        <v>405</v>
      </c>
      <c r="E686">
        <v>41</v>
      </c>
      <c r="F686">
        <v>4</v>
      </c>
      <c r="G686">
        <v>34</v>
      </c>
      <c r="H686">
        <v>0</v>
      </c>
      <c r="I686">
        <v>126</v>
      </c>
      <c r="J686">
        <v>35</v>
      </c>
      <c r="K686">
        <v>2</v>
      </c>
      <c r="L686">
        <v>2</v>
      </c>
      <c r="M686" t="s">
        <v>52</v>
      </c>
      <c r="N686">
        <v>140</v>
      </c>
      <c r="O686">
        <v>23</v>
      </c>
      <c r="P686">
        <v>230</v>
      </c>
      <c r="Q686">
        <v>34</v>
      </c>
      <c r="R686">
        <v>2</v>
      </c>
      <c r="S686">
        <v>21</v>
      </c>
      <c r="T686">
        <v>0</v>
      </c>
      <c r="U686">
        <v>166</v>
      </c>
      <c r="V686">
        <v>26</v>
      </c>
      <c r="W686">
        <v>1</v>
      </c>
      <c r="X686">
        <v>0</v>
      </c>
      <c r="Y686" t="s">
        <v>16</v>
      </c>
      <c r="Z686">
        <v>2</v>
      </c>
      <c r="AA686">
        <f>IF(AND(Table1[[#This Row],[Throw Out Pass Eff]]="N", Table1[[#This Row],[Against FCS Team]]="N"), ROUND(((5.45 * D686) + (150 * F686) + (100 * G686) - (300 * H686)) / E686, 2), " ")</f>
        <v>151.4</v>
      </c>
      <c r="AB686">
        <f>IF(AND(Table1[[#This Row],[Throw Out Pass Def Eff]]="N", Table1[[#This Row],[Against FCS Team]]="N"),200 - ROUND(((5.45 * P686) + (150 * R686) + (100 * S686) - (300 * T686)) / Q686, 2), " ")</f>
        <v>92.54</v>
      </c>
      <c r="AC686">
        <f>IF(AND(Table1[[#This Row],[Throw Out Rush Eff]]="N", Table1[[#This Row],[Against FCS Team]]="N"), ROUND(((23.2 * I686) + (150 * K686) - (300 * L686)) / J686, 2), " ")</f>
        <v>74.95</v>
      </c>
      <c r="AD686" s="3">
        <f>IF(AND(Table1[[#This Row],[Throw Out Rush Def Eff]]="N", Table1[[#This Row],[Against FCS Team]]="N"), 200 - ROUND(((23.2 * U686) + (150 * W686) - (300 * X686)) / V686, 2), " ")</f>
        <v>46.110000000000014</v>
      </c>
      <c r="AE686" s="3">
        <f>ROUND(Table1[[#This Row],[Opp Passing Attempts]]/(Table1[[#This Row],[Opp Passing Attempts]]+Table1[[#This Row],[Opp Rushing Attempts]]), 2)</f>
        <v>0.56999999999999995</v>
      </c>
      <c r="AF686" s="3">
        <f>1-Table1[[#This Row],[Passing Weight]]</f>
        <v>0.43000000000000005</v>
      </c>
      <c r="AG686" s="3" t="str">
        <f>IF(COUNTIF(A:A,Table1[[#This Row],[Opp Team Name]]) &gt; 0, "N", "Y")</f>
        <v>N</v>
      </c>
      <c r="AH686" s="3" t="str">
        <f>IF(Table1[[#This Row],[Passing Attempts]] &lt;15, "Y", "N")</f>
        <v>N</v>
      </c>
      <c r="AI686" s="3" t="str">
        <f>IF(Table1[[#This Row],[Rushing Attempts]] &lt; 15, "Y", "N")</f>
        <v>N</v>
      </c>
      <c r="AJ686" s="3" t="str">
        <f>IF(Table1[[#This Row],[Opp Passing Attempts]]&lt;15, "Y", "N")</f>
        <v>N</v>
      </c>
      <c r="AK686" s="3" t="str">
        <f>IF(Table1[[#This Row],[Opp Rushing Attempts]]&lt;15, "Y", "N")</f>
        <v>N</v>
      </c>
      <c r="AL68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149.32</v>
      </c>
      <c r="AM68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97.03</v>
      </c>
      <c r="AN68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127.62</v>
      </c>
      <c r="AO68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50.51</v>
      </c>
      <c r="AP686" s="3">
        <f>ABS(Table1[[#This Row],[Team Score]]-Table1[[#This Row],[Opp Team Score]])</f>
        <v>22</v>
      </c>
      <c r="AQ686" s="3">
        <f>SUM(Table1[[#This Row],[Team Score]], Table1[[#This Row],[Opp Team Score]])</f>
        <v>68</v>
      </c>
      <c r="AR68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34.999999999999943</v>
      </c>
      <c r="AS686" s="3">
        <f>IF(Table1[[#This Row],[Efficiency Difference]] = " ", " ", ROUND((Table1[[#This Row],[Winning Margin]]*100)/Table1[[#This Row],[Efficiency Difference]], 2))</f>
        <v>62.86</v>
      </c>
    </row>
    <row r="687" spans="1:45">
      <c r="A687" t="s">
        <v>134</v>
      </c>
      <c r="B687">
        <v>694</v>
      </c>
      <c r="C687">
        <v>23</v>
      </c>
      <c r="D687">
        <v>288</v>
      </c>
      <c r="E687">
        <v>48</v>
      </c>
      <c r="F687">
        <v>3</v>
      </c>
      <c r="G687">
        <v>26</v>
      </c>
      <c r="H687">
        <v>2</v>
      </c>
      <c r="I687">
        <v>-9</v>
      </c>
      <c r="J687">
        <v>21</v>
      </c>
      <c r="K687">
        <v>0</v>
      </c>
      <c r="L687">
        <v>0</v>
      </c>
      <c r="M687" t="s">
        <v>69</v>
      </c>
      <c r="N687">
        <v>235</v>
      </c>
      <c r="O687">
        <v>33</v>
      </c>
      <c r="P687">
        <v>213</v>
      </c>
      <c r="Q687">
        <v>23</v>
      </c>
      <c r="R687">
        <v>2</v>
      </c>
      <c r="S687">
        <v>14</v>
      </c>
      <c r="T687">
        <v>0</v>
      </c>
      <c r="U687">
        <v>134</v>
      </c>
      <c r="V687">
        <v>40</v>
      </c>
      <c r="W687">
        <v>1</v>
      </c>
      <c r="X687">
        <v>1</v>
      </c>
      <c r="Y687" t="s">
        <v>19</v>
      </c>
      <c r="Z687">
        <v>3</v>
      </c>
      <c r="AA687">
        <f>IF(AND(Table1[[#This Row],[Throw Out Pass Eff]]="N", Table1[[#This Row],[Against FCS Team]]="N"), ROUND(((5.45 * D687) + (150 * F687) + (100 * G687) - (300 * H687)) / E687, 2), " ")</f>
        <v>83.74</v>
      </c>
      <c r="AB687">
        <f>IF(AND(Table1[[#This Row],[Throw Out Pass Def Eff]]="N", Table1[[#This Row],[Against FCS Team]]="N"),200 - ROUND(((5.45 * P687) + (150 * R687) + (100 * S687) - (300 * T687)) / Q687, 2), " ")</f>
        <v>75.62</v>
      </c>
      <c r="AC687">
        <f>IF(AND(Table1[[#This Row],[Throw Out Rush Eff]]="N", Table1[[#This Row],[Against FCS Team]]="N"), ROUND(((23.2 * I687) + (150 * K687) - (300 * L687)) / J687, 2), " ")</f>
        <v>-9.94</v>
      </c>
      <c r="AD687" s="3">
        <f>IF(AND(Table1[[#This Row],[Throw Out Rush Def Eff]]="N", Table1[[#This Row],[Against FCS Team]]="N"), 200 - ROUND(((23.2 * U687) + (150 * W687) - (300 * X687)) / V687, 2), " ")</f>
        <v>126.03</v>
      </c>
      <c r="AE687" s="3">
        <f>ROUND(Table1[[#This Row],[Opp Passing Attempts]]/(Table1[[#This Row],[Opp Passing Attempts]]+Table1[[#This Row],[Opp Rushing Attempts]]), 2)</f>
        <v>0.37</v>
      </c>
      <c r="AF687" s="3">
        <f>1-Table1[[#This Row],[Passing Weight]]</f>
        <v>0.63</v>
      </c>
      <c r="AG687" s="3" t="str">
        <f>IF(COUNTIF(A:A,Table1[[#This Row],[Opp Team Name]]) &gt; 0, "N", "Y")</f>
        <v>N</v>
      </c>
      <c r="AH687" s="3" t="str">
        <f>IF(Table1[[#This Row],[Passing Attempts]] &lt;15, "Y", "N")</f>
        <v>N</v>
      </c>
      <c r="AI687" s="3" t="str">
        <f>IF(Table1[[#This Row],[Rushing Attempts]] &lt; 15, "Y", "N")</f>
        <v>N</v>
      </c>
      <c r="AJ687" s="3" t="str">
        <f>IF(Table1[[#This Row],[Opp Passing Attempts]]&lt;15, "Y", "N")</f>
        <v>N</v>
      </c>
      <c r="AK687" s="3" t="str">
        <f>IF(Table1[[#This Row],[Opp Rushing Attempts]]&lt;15, "Y", "N")</f>
        <v>N</v>
      </c>
      <c r="AL68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</v>
      </c>
      <c r="AM6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69</v>
      </c>
      <c r="AN6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-12.97</v>
      </c>
      <c r="AO6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122.87</v>
      </c>
      <c r="AP687" s="3">
        <f>ABS(Table1[[#This Row],[Team Score]]-Table1[[#This Row],[Opp Team Score]])</f>
        <v>10</v>
      </c>
      <c r="AQ687" s="3">
        <f>SUM(Table1[[#This Row],[Team Score]], Table1[[#This Row],[Opp Team Score]])</f>
        <v>56</v>
      </c>
      <c r="AR68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124.55</v>
      </c>
      <c r="AS687" s="3">
        <f>IF(Table1[[#This Row],[Efficiency Difference]] = " ", " ", ROUND((Table1[[#This Row],[Winning Margin]]*100)/Table1[[#This Row],[Efficiency Difference]], 2))</f>
        <v>8.0299999999999994</v>
      </c>
    </row>
    <row r="688" spans="1:45">
      <c r="A688" t="s">
        <v>134</v>
      </c>
      <c r="B688">
        <v>694</v>
      </c>
      <c r="C688">
        <v>41</v>
      </c>
      <c r="D688">
        <v>342</v>
      </c>
      <c r="E688">
        <v>31</v>
      </c>
      <c r="F688">
        <v>4</v>
      </c>
      <c r="G688">
        <v>21</v>
      </c>
      <c r="H688">
        <v>0</v>
      </c>
      <c r="I688">
        <v>199</v>
      </c>
      <c r="J688">
        <v>44</v>
      </c>
      <c r="K688">
        <v>1</v>
      </c>
      <c r="L688">
        <v>2</v>
      </c>
      <c r="M688" t="s">
        <v>44</v>
      </c>
      <c r="N688">
        <v>86</v>
      </c>
      <c r="O688">
        <v>10</v>
      </c>
      <c r="P688">
        <v>116</v>
      </c>
      <c r="Q688">
        <v>25</v>
      </c>
      <c r="R688">
        <v>0</v>
      </c>
      <c r="S688">
        <v>10</v>
      </c>
      <c r="T688">
        <v>0</v>
      </c>
      <c r="U688">
        <v>148</v>
      </c>
      <c r="V688">
        <v>28</v>
      </c>
      <c r="W688">
        <v>1</v>
      </c>
      <c r="X688">
        <v>1</v>
      </c>
      <c r="Y688" t="s">
        <v>16</v>
      </c>
      <c r="Z688">
        <v>5</v>
      </c>
      <c r="AA688">
        <f>IF(AND(Table1[[#This Row],[Throw Out Pass Eff]]="N", Table1[[#This Row],[Against FCS Team]]="N"), ROUND(((5.45 * D688) + (150 * F688) + (100 * G688) - (300 * H688)) / E688, 2), " ")</f>
        <v>147.22</v>
      </c>
      <c r="AB688">
        <f>IF(AND(Table1[[#This Row],[Throw Out Pass Def Eff]]="N", Table1[[#This Row],[Against FCS Team]]="N"),200 - ROUND(((5.45 * P688) + (150 * R688) + (100 * S688) - (300 * T688)) / Q688, 2), " ")</f>
        <v>134.70999999999998</v>
      </c>
      <c r="AC688">
        <f>IF(AND(Table1[[#This Row],[Throw Out Rush Eff]]="N", Table1[[#This Row],[Against FCS Team]]="N"), ROUND(((23.2 * I688) + (150 * K688) - (300 * L688)) / J688, 2), " ")</f>
        <v>94.7</v>
      </c>
      <c r="AD688" s="3">
        <f>IF(AND(Table1[[#This Row],[Throw Out Rush Def Eff]]="N", Table1[[#This Row],[Against FCS Team]]="N"), 200 - ROUND(((23.2 * U688) + (150 * W688) - (300 * X688)) / V688, 2), " ")</f>
        <v>82.73</v>
      </c>
      <c r="AE688" s="3">
        <f>ROUND(Table1[[#This Row],[Opp Passing Attempts]]/(Table1[[#This Row],[Opp Passing Attempts]]+Table1[[#This Row],[Opp Rushing Attempts]]), 2)</f>
        <v>0.47</v>
      </c>
      <c r="AF688" s="3">
        <f>1-Table1[[#This Row],[Passing Weight]]</f>
        <v>0.53</v>
      </c>
      <c r="AG688" s="3" t="str">
        <f>IF(COUNTIF(A:A,Table1[[#This Row],[Opp Team Name]]) &gt; 0, "N", "Y")</f>
        <v>N</v>
      </c>
      <c r="AH688" s="3" t="str">
        <f>IF(Table1[[#This Row],[Passing Attempts]] &lt;15, "Y", "N")</f>
        <v>N</v>
      </c>
      <c r="AI688" s="3" t="str">
        <f>IF(Table1[[#This Row],[Rushing Attempts]] &lt; 15, "Y", "N")</f>
        <v>N</v>
      </c>
      <c r="AJ688" s="3" t="str">
        <f>IF(Table1[[#This Row],[Opp Passing Attempts]]&lt;15, "Y", "N")</f>
        <v>N</v>
      </c>
      <c r="AK688" s="3" t="str">
        <f>IF(Table1[[#This Row],[Opp Rushing Attempts]]&lt;15, "Y", "N")</f>
        <v>N</v>
      </c>
      <c r="AL68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138.27000000000001</v>
      </c>
      <c r="AM68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113.13</v>
      </c>
      <c r="AN68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78.069999999999993</v>
      </c>
      <c r="AO68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77.010000000000005</v>
      </c>
      <c r="AP688" s="3">
        <f>ABS(Table1[[#This Row],[Team Score]]-Table1[[#This Row],[Opp Team Score]])</f>
        <v>31</v>
      </c>
      <c r="AQ688" s="3">
        <f>SUM(Table1[[#This Row],[Team Score]], Table1[[#This Row],[Opp Team Score]])</f>
        <v>51</v>
      </c>
      <c r="AR68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59.360000000000014</v>
      </c>
      <c r="AS688" s="3">
        <f>IF(Table1[[#This Row],[Efficiency Difference]] = " ", " ", ROUND((Table1[[#This Row],[Winning Margin]]*100)/Table1[[#This Row],[Efficiency Difference]], 2))</f>
        <v>52.22</v>
      </c>
    </row>
    <row r="689" spans="1:45">
      <c r="A689" t="s">
        <v>134</v>
      </c>
      <c r="B689">
        <v>694</v>
      </c>
      <c r="C689">
        <v>12</v>
      </c>
      <c r="D689">
        <v>290</v>
      </c>
      <c r="E689">
        <v>40</v>
      </c>
      <c r="F689">
        <v>0</v>
      </c>
      <c r="G689">
        <v>22</v>
      </c>
      <c r="H689">
        <v>0</v>
      </c>
      <c r="I689">
        <v>-21</v>
      </c>
      <c r="J689">
        <v>23</v>
      </c>
      <c r="K689">
        <v>1</v>
      </c>
      <c r="L689">
        <v>0</v>
      </c>
      <c r="M689" t="s">
        <v>39</v>
      </c>
      <c r="N689">
        <v>257</v>
      </c>
      <c r="O689">
        <v>20</v>
      </c>
      <c r="P689">
        <v>227</v>
      </c>
      <c r="Q689">
        <v>25</v>
      </c>
      <c r="R689">
        <v>0</v>
      </c>
      <c r="S689">
        <v>15</v>
      </c>
      <c r="T689">
        <v>0</v>
      </c>
      <c r="U689">
        <v>139</v>
      </c>
      <c r="V689">
        <v>38</v>
      </c>
      <c r="W689">
        <v>2</v>
      </c>
      <c r="X689">
        <v>0</v>
      </c>
      <c r="Y689" t="s">
        <v>19</v>
      </c>
      <c r="Z689">
        <v>6</v>
      </c>
      <c r="AA689">
        <f>IF(AND(Table1[[#This Row],[Throw Out Pass Eff]]="N", Table1[[#This Row],[Against FCS Team]]="N"), ROUND(((5.45 * D689) + (150 * F689) + (100 * G689) - (300 * H689)) / E689, 2), " ")</f>
        <v>94.51</v>
      </c>
      <c r="AB689">
        <f>IF(AND(Table1[[#This Row],[Throw Out Pass Def Eff]]="N", Table1[[#This Row],[Against FCS Team]]="N"),200 - ROUND(((5.45 * P689) + (150 * R689) + (100 * S689) - (300 * T689)) / Q689, 2), " ")</f>
        <v>90.51</v>
      </c>
      <c r="AC689">
        <f>IF(AND(Table1[[#This Row],[Throw Out Rush Eff]]="N", Table1[[#This Row],[Against FCS Team]]="N"), ROUND(((23.2 * I689) + (150 * K689) - (300 * L689)) / J689, 2), " ")</f>
        <v>-14.66</v>
      </c>
      <c r="AD689" s="3">
        <f>IF(AND(Table1[[#This Row],[Throw Out Rush Def Eff]]="N", Table1[[#This Row],[Against FCS Team]]="N"), 200 - ROUND(((23.2 * U689) + (150 * W689) - (300 * X689)) / V689, 2), " ")</f>
        <v>107.24</v>
      </c>
      <c r="AE689" s="3">
        <f>ROUND(Table1[[#This Row],[Opp Passing Attempts]]/(Table1[[#This Row],[Opp Passing Attempts]]+Table1[[#This Row],[Opp Rushing Attempts]]), 2)</f>
        <v>0.4</v>
      </c>
      <c r="AF689" s="3">
        <f>1-Table1[[#This Row],[Passing Weight]]</f>
        <v>0.6</v>
      </c>
      <c r="AG689" s="3" t="str">
        <f>IF(COUNTIF(A:A,Table1[[#This Row],[Opp Team Name]]) &gt; 0, "N", "Y")</f>
        <v>N</v>
      </c>
      <c r="AH689" s="3" t="str">
        <f>IF(Table1[[#This Row],[Passing Attempts]] &lt;15, "Y", "N")</f>
        <v>N</v>
      </c>
      <c r="AI689" s="3" t="str">
        <f>IF(Table1[[#This Row],[Rushing Attempts]] &lt; 15, "Y", "N")</f>
        <v>N</v>
      </c>
      <c r="AJ689" s="3" t="str">
        <f>IF(Table1[[#This Row],[Opp Passing Attempts]]&lt;15, "Y", "N")</f>
        <v>N</v>
      </c>
      <c r="AK689" s="3" t="str">
        <f>IF(Table1[[#This Row],[Opp Rushing Attempts]]&lt;15, "Y", "N")</f>
        <v>N</v>
      </c>
      <c r="AL68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120.85</v>
      </c>
      <c r="AM6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94.21</v>
      </c>
      <c r="AN6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-19.14</v>
      </c>
      <c r="AO6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97.91</v>
      </c>
      <c r="AP689" s="3">
        <f>ABS(Table1[[#This Row],[Team Score]]-Table1[[#This Row],[Opp Team Score]])</f>
        <v>8</v>
      </c>
      <c r="AQ689" s="3">
        <f>SUM(Table1[[#This Row],[Team Score]], Table1[[#This Row],[Opp Team Score]])</f>
        <v>32</v>
      </c>
      <c r="AR68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122.39999999999999</v>
      </c>
      <c r="AS689" s="3">
        <f>IF(Table1[[#This Row],[Efficiency Difference]] = " ", " ", ROUND((Table1[[#This Row],[Winning Margin]]*100)/Table1[[#This Row],[Efficiency Difference]], 2))</f>
        <v>6.54</v>
      </c>
    </row>
    <row r="690" spans="1:45">
      <c r="A690" t="s">
        <v>134</v>
      </c>
      <c r="B690">
        <v>694</v>
      </c>
      <c r="C690">
        <v>7</v>
      </c>
      <c r="D690">
        <v>128</v>
      </c>
      <c r="E690">
        <v>20</v>
      </c>
      <c r="F690">
        <v>0</v>
      </c>
      <c r="G690">
        <v>6</v>
      </c>
      <c r="H690">
        <v>2</v>
      </c>
      <c r="I690">
        <v>111</v>
      </c>
      <c r="J690">
        <v>29</v>
      </c>
      <c r="K690">
        <v>1</v>
      </c>
      <c r="L690">
        <v>0</v>
      </c>
      <c r="M690" t="s">
        <v>92</v>
      </c>
      <c r="N690">
        <v>365</v>
      </c>
      <c r="O690">
        <v>38</v>
      </c>
      <c r="P690">
        <v>146</v>
      </c>
      <c r="Q690">
        <v>20</v>
      </c>
      <c r="R690">
        <v>3</v>
      </c>
      <c r="S690">
        <v>14</v>
      </c>
      <c r="T690">
        <v>0</v>
      </c>
      <c r="U690">
        <v>237</v>
      </c>
      <c r="V690">
        <v>49</v>
      </c>
      <c r="W690">
        <v>2</v>
      </c>
      <c r="X690">
        <v>0</v>
      </c>
      <c r="Y690" t="s">
        <v>19</v>
      </c>
      <c r="Z690">
        <v>7</v>
      </c>
      <c r="AA690">
        <f>IF(AND(Table1[[#This Row],[Throw Out Pass Eff]]="N", Table1[[#This Row],[Against FCS Team]]="N"), ROUND(((5.45 * D690) + (150 * F690) + (100 * G690) - (300 * H690)) / E690, 2), " ")</f>
        <v>34.880000000000003</v>
      </c>
      <c r="AB690">
        <f>IF(AND(Table1[[#This Row],[Throw Out Pass Def Eff]]="N", Table1[[#This Row],[Against FCS Team]]="N"),200 - ROUND(((5.45 * P690) + (150 * R690) + (100 * S690) - (300 * T690)) / Q690, 2), " ")</f>
        <v>67.710000000000008</v>
      </c>
      <c r="AC690">
        <f>IF(AND(Table1[[#This Row],[Throw Out Rush Eff]]="N", Table1[[#This Row],[Against FCS Team]]="N"), ROUND(((23.2 * I690) + (150 * K690) - (300 * L690)) / J690, 2), " ")</f>
        <v>93.97</v>
      </c>
      <c r="AD690" s="3">
        <f>IF(AND(Table1[[#This Row],[Throw Out Rush Def Eff]]="N", Table1[[#This Row],[Against FCS Team]]="N"), 200 - ROUND(((23.2 * U690) + (150 * W690) - (300 * X690)) / V690, 2), " ")</f>
        <v>81.67</v>
      </c>
      <c r="AE690" s="3">
        <f>ROUND(Table1[[#This Row],[Opp Passing Attempts]]/(Table1[[#This Row],[Opp Passing Attempts]]+Table1[[#This Row],[Opp Rushing Attempts]]), 2)</f>
        <v>0.28999999999999998</v>
      </c>
      <c r="AF690" s="3">
        <f>1-Table1[[#This Row],[Passing Weight]]</f>
        <v>0.71</v>
      </c>
      <c r="AG690" s="3" t="str">
        <f>IF(COUNTIF(A:A,Table1[[#This Row],[Opp Team Name]]) &gt; 0, "N", "Y")</f>
        <v>N</v>
      </c>
      <c r="AH690" s="3" t="str">
        <f>IF(Table1[[#This Row],[Passing Attempts]] &lt;15, "Y", "N")</f>
        <v>N</v>
      </c>
      <c r="AI690" s="3" t="str">
        <f>IF(Table1[[#This Row],[Rushing Attempts]] &lt; 15, "Y", "N")</f>
        <v>N</v>
      </c>
      <c r="AJ690" s="3" t="str">
        <f>IF(Table1[[#This Row],[Opp Passing Attempts]]&lt;15, "Y", "N")</f>
        <v>N</v>
      </c>
      <c r="AK690" s="3" t="str">
        <f>IF(Table1[[#This Row],[Opp Rushing Attempts]]&lt;15, "Y", "N")</f>
        <v>N</v>
      </c>
      <c r="AL6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46.53</v>
      </c>
      <c r="AM69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74.760000000000005</v>
      </c>
      <c r="AN69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131.26</v>
      </c>
      <c r="AO6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88.09</v>
      </c>
      <c r="AP690" s="3">
        <f>ABS(Table1[[#This Row],[Team Score]]-Table1[[#This Row],[Opp Team Score]])</f>
        <v>31</v>
      </c>
      <c r="AQ690" s="3">
        <f>SUM(Table1[[#This Row],[Team Score]], Table1[[#This Row],[Opp Team Score]])</f>
        <v>45</v>
      </c>
      <c r="AR69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121.77000000000001</v>
      </c>
      <c r="AS690" s="3">
        <f>IF(Table1[[#This Row],[Efficiency Difference]] = " ", " ", ROUND((Table1[[#This Row],[Winning Margin]]*100)/Table1[[#This Row],[Efficiency Difference]], 2))</f>
        <v>25.46</v>
      </c>
    </row>
    <row r="691" spans="1:45">
      <c r="A691" t="s">
        <v>134</v>
      </c>
      <c r="B691">
        <v>694</v>
      </c>
      <c r="C691">
        <v>6</v>
      </c>
      <c r="D691">
        <v>63</v>
      </c>
      <c r="E691">
        <v>18</v>
      </c>
      <c r="F691">
        <v>0</v>
      </c>
      <c r="G691">
        <v>9</v>
      </c>
      <c r="H691">
        <v>1</v>
      </c>
      <c r="I691">
        <v>92</v>
      </c>
      <c r="J691">
        <v>32</v>
      </c>
      <c r="K691">
        <v>0</v>
      </c>
      <c r="L691">
        <v>1</v>
      </c>
      <c r="M691" t="s">
        <v>20</v>
      </c>
      <c r="N691">
        <v>8</v>
      </c>
      <c r="O691">
        <v>37</v>
      </c>
      <c r="P691">
        <v>294</v>
      </c>
      <c r="Q691">
        <v>28</v>
      </c>
      <c r="R691">
        <v>1</v>
      </c>
      <c r="S691">
        <v>18</v>
      </c>
      <c r="T691">
        <v>1</v>
      </c>
      <c r="U691">
        <v>143</v>
      </c>
      <c r="V691">
        <v>38</v>
      </c>
      <c r="W691">
        <v>3</v>
      </c>
      <c r="X691">
        <v>0</v>
      </c>
      <c r="Y691" t="s">
        <v>19</v>
      </c>
      <c r="Z691">
        <v>8</v>
      </c>
      <c r="AA691" s="3">
        <f>IF(AND(Table1[[#This Row],[Throw Out Pass Eff]]="N", Table1[[#This Row],[Against FCS Team]]="N"), ROUND(((5.45 * D691) + (150 * F691) + (100 * G691) - (300 * H691)) / E691, 2), " ")</f>
        <v>52.41</v>
      </c>
      <c r="AB691" s="3">
        <f>IF(AND(Table1[[#This Row],[Throw Out Pass Def Eff]]="N", Table1[[#This Row],[Against FCS Team]]="N"),200 - ROUND(((5.45 * P691) + (150 * R691) + (100 * S691) - (300 * T691)) / Q691, 2), " ")</f>
        <v>83.85</v>
      </c>
      <c r="AC691" s="3">
        <f>IF(AND(Table1[[#This Row],[Throw Out Rush Eff]]="N", Table1[[#This Row],[Against FCS Team]]="N"), ROUND(((23.2 * I691) + (150 * K691) - (300 * L691)) / J691, 2), " ")</f>
        <v>57.33</v>
      </c>
      <c r="AD691" s="3">
        <f>IF(AND(Table1[[#This Row],[Throw Out Rush Def Eff]]="N", Table1[[#This Row],[Against FCS Team]]="N"), 200 - ROUND(((23.2 * U691) + (150 * W691) - (300 * X691)) / V691, 2), " ")</f>
        <v>100.85</v>
      </c>
      <c r="AE691" s="3">
        <f>ROUND(Table1[[#This Row],[Opp Passing Attempts]]/(Table1[[#This Row],[Opp Passing Attempts]]+Table1[[#This Row],[Opp Rushing Attempts]]), 2)</f>
        <v>0.42</v>
      </c>
      <c r="AF691" s="3">
        <f>1-Table1[[#This Row],[Passing Weight]]</f>
        <v>0.58000000000000007</v>
      </c>
      <c r="AG691" s="3" t="str">
        <f>IF(COUNTIF(A:A,Table1[[#This Row],[Opp Team Name]]) &gt; 0, "N", "Y")</f>
        <v>N</v>
      </c>
      <c r="AH691" s="3" t="str">
        <f>IF(Table1[[#This Row],[Passing Attempts]] &lt;15, "Y", "N")</f>
        <v>N</v>
      </c>
      <c r="AI691" s="3" t="str">
        <f>IF(Table1[[#This Row],[Rushing Attempts]] &lt; 15, "Y", "N")</f>
        <v>N</v>
      </c>
      <c r="AJ691" s="3" t="str">
        <f>IF(Table1[[#This Row],[Opp Passing Attempts]]&lt;15, "Y", "N")</f>
        <v>N</v>
      </c>
      <c r="AK691" s="3" t="str">
        <f>IF(Table1[[#This Row],[Opp Rushing Attempts]]&lt;15, "Y", "N")</f>
        <v>N</v>
      </c>
      <c r="AL69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70.459999999999994</v>
      </c>
      <c r="AM69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94.32</v>
      </c>
      <c r="AN69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96.46</v>
      </c>
      <c r="AO69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148.66999999999999</v>
      </c>
      <c r="AP691" s="3">
        <f>ABS(Table1[[#This Row],[Team Score]]-Table1[[#This Row],[Opp Team Score]])</f>
        <v>31</v>
      </c>
      <c r="AQ691" s="3">
        <f>SUM(Table1[[#This Row],[Team Score]], Table1[[#This Row],[Opp Team Score]])</f>
        <v>43</v>
      </c>
      <c r="AR69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105.56000000000002</v>
      </c>
      <c r="AS691" s="3">
        <f>IF(Table1[[#This Row],[Efficiency Difference]] = " ", " ", ROUND((Table1[[#This Row],[Winning Margin]]*100)/Table1[[#This Row],[Efficiency Difference]], 2))</f>
        <v>29.37</v>
      </c>
    </row>
    <row r="692" spans="1:45">
      <c r="A692" t="s">
        <v>123</v>
      </c>
      <c r="B692">
        <v>703</v>
      </c>
      <c r="C692">
        <v>34</v>
      </c>
      <c r="D692">
        <v>277</v>
      </c>
      <c r="E692">
        <v>27</v>
      </c>
      <c r="F692">
        <v>2</v>
      </c>
      <c r="G692">
        <v>15</v>
      </c>
      <c r="H692">
        <v>0</v>
      </c>
      <c r="I692">
        <v>229</v>
      </c>
      <c r="J692">
        <v>48</v>
      </c>
      <c r="K692">
        <v>2</v>
      </c>
      <c r="L692">
        <v>1</v>
      </c>
      <c r="M692" t="s">
        <v>122</v>
      </c>
      <c r="N692">
        <v>574</v>
      </c>
      <c r="O692">
        <v>9</v>
      </c>
      <c r="P692">
        <v>94</v>
      </c>
      <c r="Q692">
        <v>30</v>
      </c>
      <c r="R692">
        <v>0</v>
      </c>
      <c r="S692">
        <v>15</v>
      </c>
      <c r="T692">
        <v>0</v>
      </c>
      <c r="U692">
        <v>130</v>
      </c>
      <c r="V692">
        <v>30</v>
      </c>
      <c r="W692">
        <v>0</v>
      </c>
      <c r="X692">
        <v>2</v>
      </c>
      <c r="Y692" t="s">
        <v>16</v>
      </c>
      <c r="Z692">
        <v>1</v>
      </c>
      <c r="AA692">
        <f>IF(AND(Table1[[#This Row],[Throw Out Pass Eff]]="N", Table1[[#This Row],[Against FCS Team]]="N"), ROUND(((5.45 * D692) + (150 * F692) + (100 * G692) - (300 * H692)) / E692, 2), " ")</f>
        <v>122.58</v>
      </c>
      <c r="AB692">
        <f>IF(AND(Table1[[#This Row],[Throw Out Pass Def Eff]]="N", Table1[[#This Row],[Against FCS Team]]="N"),200 - ROUND(((5.45 * P692) + (150 * R692) + (100 * S692) - (300 * T692)) / Q692, 2), " ")</f>
        <v>132.92000000000002</v>
      </c>
      <c r="AC692">
        <f>IF(AND(Table1[[#This Row],[Throw Out Rush Eff]]="N", Table1[[#This Row],[Against FCS Team]]="N"), ROUND(((23.2 * I692) + (150 * K692) - (300 * L692)) / J692, 2), " ")</f>
        <v>110.68</v>
      </c>
      <c r="AD692" s="3">
        <f>IF(AND(Table1[[#This Row],[Throw Out Rush Def Eff]]="N", Table1[[#This Row],[Against FCS Team]]="N"), 200 - ROUND(((23.2 * U692) + (150 * W692) - (300 * X692)) / V692, 2), " ")</f>
        <v>119.47</v>
      </c>
      <c r="AE692" s="3">
        <f>ROUND(Table1[[#This Row],[Opp Passing Attempts]]/(Table1[[#This Row],[Opp Passing Attempts]]+Table1[[#This Row],[Opp Rushing Attempts]]), 2)</f>
        <v>0.5</v>
      </c>
      <c r="AF692" s="3">
        <f>1-Table1[[#This Row],[Passing Weight]]</f>
        <v>0.5</v>
      </c>
      <c r="AG692" s="3" t="str">
        <f>IF(COUNTIF(A:A,Table1[[#This Row],[Opp Team Name]]) &gt; 0, "N", "Y")</f>
        <v>N</v>
      </c>
      <c r="AH692" s="3" t="str">
        <f>IF(Table1[[#This Row],[Passing Attempts]] &lt;15, "Y", "N")</f>
        <v>N</v>
      </c>
      <c r="AI692" s="3" t="str">
        <f>IF(Table1[[#This Row],[Rushing Attempts]] &lt; 15, "Y", "N")</f>
        <v>N</v>
      </c>
      <c r="AJ692" s="3" t="str">
        <f>IF(Table1[[#This Row],[Opp Passing Attempts]]&lt;15, "Y", "N")</f>
        <v>N</v>
      </c>
      <c r="AK692" s="3" t="str">
        <f>IF(Table1[[#This Row],[Opp Rushing Attempts]]&lt;15, "Y", "N")</f>
        <v>N</v>
      </c>
      <c r="AL69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114.57</v>
      </c>
      <c r="AM6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119.98</v>
      </c>
      <c r="AN6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97.91</v>
      </c>
      <c r="AO6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80.97</v>
      </c>
      <c r="AP692" s="3">
        <f>ABS(Table1[[#This Row],[Team Score]]-Table1[[#This Row],[Opp Team Score]])</f>
        <v>25</v>
      </c>
      <c r="AQ692" s="3">
        <f>SUM(Table1[[#This Row],[Team Score]], Table1[[#This Row],[Opp Team Score]])</f>
        <v>43</v>
      </c>
      <c r="AR69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85.65</v>
      </c>
      <c r="AS692" s="3">
        <f>IF(Table1[[#This Row],[Efficiency Difference]] = " ", " ", ROUND((Table1[[#This Row],[Winning Margin]]*100)/Table1[[#This Row],[Efficiency Difference]], 2))</f>
        <v>29.19</v>
      </c>
    </row>
    <row r="693" spans="1:45">
      <c r="A693" t="s">
        <v>123</v>
      </c>
      <c r="B693">
        <v>703</v>
      </c>
      <c r="C693">
        <v>17</v>
      </c>
      <c r="D693">
        <v>123</v>
      </c>
      <c r="E693">
        <v>20</v>
      </c>
      <c r="F693">
        <v>0</v>
      </c>
      <c r="G693">
        <v>12</v>
      </c>
      <c r="H693">
        <v>2</v>
      </c>
      <c r="I693">
        <v>166</v>
      </c>
      <c r="J693">
        <v>43</v>
      </c>
      <c r="K693">
        <v>2</v>
      </c>
      <c r="L693">
        <v>0</v>
      </c>
      <c r="M693" t="s">
        <v>46</v>
      </c>
      <c r="N693">
        <v>77</v>
      </c>
      <c r="O693">
        <v>16</v>
      </c>
      <c r="P693">
        <v>192</v>
      </c>
      <c r="Q693">
        <v>38</v>
      </c>
      <c r="R693">
        <v>1</v>
      </c>
      <c r="S693">
        <v>22</v>
      </c>
      <c r="T693">
        <v>2</v>
      </c>
      <c r="U693">
        <v>43</v>
      </c>
      <c r="V693">
        <v>23</v>
      </c>
      <c r="W693">
        <v>0</v>
      </c>
      <c r="X693">
        <v>0</v>
      </c>
      <c r="Y693" t="s">
        <v>16</v>
      </c>
      <c r="Z693">
        <v>2</v>
      </c>
      <c r="AA693">
        <f>IF(AND(Table1[[#This Row],[Throw Out Pass Eff]]="N", Table1[[#This Row],[Against FCS Team]]="N"), ROUND(((5.45 * D693) + (150 * F693) + (100 * G693) - (300 * H693)) / E693, 2), " ")</f>
        <v>63.52</v>
      </c>
      <c r="AB693">
        <f>IF(AND(Table1[[#This Row],[Throw Out Pass Def Eff]]="N", Table1[[#This Row],[Against FCS Team]]="N"),200 - ROUND(((5.45 * P693) + (150 * R693) + (100 * S693) - (300 * T693)) / Q693, 2), " ")</f>
        <v>126.41</v>
      </c>
      <c r="AC693">
        <f>IF(AND(Table1[[#This Row],[Throw Out Rush Eff]]="N", Table1[[#This Row],[Against FCS Team]]="N"), ROUND(((23.2 * I693) + (150 * K693) - (300 * L693)) / J693, 2), " ")</f>
        <v>96.54</v>
      </c>
      <c r="AD693" s="3">
        <f>IF(AND(Table1[[#This Row],[Throw Out Rush Def Eff]]="N", Table1[[#This Row],[Against FCS Team]]="N"), 200 - ROUND(((23.2 * U693) + (150 * W693) - (300 * X693)) / V693, 2), " ")</f>
        <v>156.63</v>
      </c>
      <c r="AE693" s="3">
        <f>ROUND(Table1[[#This Row],[Opp Passing Attempts]]/(Table1[[#This Row],[Opp Passing Attempts]]+Table1[[#This Row],[Opp Rushing Attempts]]), 2)</f>
        <v>0.62</v>
      </c>
      <c r="AF693" s="3">
        <f>1-Table1[[#This Row],[Passing Weight]]</f>
        <v>0.38</v>
      </c>
      <c r="AG693" s="3" t="str">
        <f>IF(COUNTIF(A:A,Table1[[#This Row],[Opp Team Name]]) &gt; 0, "N", "Y")</f>
        <v>N</v>
      </c>
      <c r="AH693" s="3" t="str">
        <f>IF(Table1[[#This Row],[Passing Attempts]] &lt;15, "Y", "N")</f>
        <v>N</v>
      </c>
      <c r="AI693" s="3" t="str">
        <f>IF(Table1[[#This Row],[Rushing Attempts]] &lt; 15, "Y", "N")</f>
        <v>N</v>
      </c>
      <c r="AJ693" s="3" t="str">
        <f>IF(Table1[[#This Row],[Opp Passing Attempts]]&lt;15, "Y", "N")</f>
        <v>N</v>
      </c>
      <c r="AK693" s="3" t="str">
        <f>IF(Table1[[#This Row],[Opp Rushing Attempts]]&lt;15, "Y", "N")</f>
        <v>N</v>
      </c>
      <c r="AL6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70.33</v>
      </c>
      <c r="AM6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110.19</v>
      </c>
      <c r="AN6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107.29</v>
      </c>
      <c r="AO6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109.17</v>
      </c>
      <c r="AP693" s="3">
        <f>ABS(Table1[[#This Row],[Team Score]]-Table1[[#This Row],[Opp Team Score]])</f>
        <v>1</v>
      </c>
      <c r="AQ693" s="3">
        <f>SUM(Table1[[#This Row],[Team Score]], Table1[[#This Row],[Opp Team Score]])</f>
        <v>33</v>
      </c>
      <c r="AR6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43.099999999999966</v>
      </c>
      <c r="AS693" s="3">
        <f>IF(Table1[[#This Row],[Efficiency Difference]] = " ", " ", ROUND((Table1[[#This Row],[Winning Margin]]*100)/Table1[[#This Row],[Efficiency Difference]], 2))</f>
        <v>2.3199999999999998</v>
      </c>
    </row>
    <row r="694" spans="1:45">
      <c r="A694" t="s">
        <v>123</v>
      </c>
      <c r="B694">
        <v>703</v>
      </c>
      <c r="C694">
        <v>49</v>
      </c>
      <c r="D694">
        <v>204</v>
      </c>
      <c r="E694">
        <v>20</v>
      </c>
      <c r="F694">
        <v>3</v>
      </c>
      <c r="G694">
        <v>16</v>
      </c>
      <c r="H694">
        <v>0</v>
      </c>
      <c r="I694">
        <v>284</v>
      </c>
      <c r="J694">
        <v>50</v>
      </c>
      <c r="K694">
        <v>4</v>
      </c>
      <c r="L694">
        <v>2</v>
      </c>
      <c r="M694" t="s">
        <v>75</v>
      </c>
      <c r="N694">
        <v>110</v>
      </c>
      <c r="O694">
        <v>20</v>
      </c>
      <c r="P694">
        <v>176</v>
      </c>
      <c r="Q694">
        <v>26</v>
      </c>
      <c r="R694">
        <v>0</v>
      </c>
      <c r="S694">
        <v>11</v>
      </c>
      <c r="T694">
        <v>3</v>
      </c>
      <c r="U694">
        <v>141</v>
      </c>
      <c r="V694">
        <v>34</v>
      </c>
      <c r="W694">
        <v>2</v>
      </c>
      <c r="X694">
        <v>1</v>
      </c>
      <c r="Y694" t="s">
        <v>16</v>
      </c>
      <c r="Z694">
        <v>3</v>
      </c>
      <c r="AA694">
        <f>IF(AND(Table1[[#This Row],[Throw Out Pass Eff]]="N", Table1[[#This Row],[Against FCS Team]]="N"), ROUND(((5.45 * D694) + (150 * F694) + (100 * G694) - (300 * H694)) / E694, 2), " ")</f>
        <v>158.09</v>
      </c>
      <c r="AB694">
        <f>IF(AND(Table1[[#This Row],[Throw Out Pass Def Eff]]="N", Table1[[#This Row],[Against FCS Team]]="N"),200 - ROUND(((5.45 * P694) + (150 * R694) + (100 * S694) - (300 * T694)) / Q694, 2), " ")</f>
        <v>155.42000000000002</v>
      </c>
      <c r="AC694">
        <f>IF(AND(Table1[[#This Row],[Throw Out Rush Eff]]="N", Table1[[#This Row],[Against FCS Team]]="N"), ROUND(((23.2 * I694) + (150 * K694) - (300 * L694)) / J694, 2), " ")</f>
        <v>131.78</v>
      </c>
      <c r="AD694" s="3">
        <f>IF(AND(Table1[[#This Row],[Throw Out Rush Def Eff]]="N", Table1[[#This Row],[Against FCS Team]]="N"), 200 - ROUND(((23.2 * U694) + (150 * W694) - (300 * X694)) / V694, 2), " ")</f>
        <v>103.79</v>
      </c>
      <c r="AE694" s="3">
        <f>ROUND(Table1[[#This Row],[Opp Passing Attempts]]/(Table1[[#This Row],[Opp Passing Attempts]]+Table1[[#This Row],[Opp Rushing Attempts]]), 2)</f>
        <v>0.43</v>
      </c>
      <c r="AF694" s="3">
        <f>1-Table1[[#This Row],[Passing Weight]]</f>
        <v>0.57000000000000006</v>
      </c>
      <c r="AG694" s="3" t="str">
        <f>IF(COUNTIF(A:A,Table1[[#This Row],[Opp Team Name]]) &gt; 0, "N", "Y")</f>
        <v>N</v>
      </c>
      <c r="AH694" s="3" t="str">
        <f>IF(Table1[[#This Row],[Passing Attempts]] &lt;15, "Y", "N")</f>
        <v>N</v>
      </c>
      <c r="AI694" s="3" t="str">
        <f>IF(Table1[[#This Row],[Rushing Attempts]] &lt; 15, "Y", "N")</f>
        <v>N</v>
      </c>
      <c r="AJ694" s="3" t="str">
        <f>IF(Table1[[#This Row],[Opp Passing Attempts]]&lt;15, "Y", "N")</f>
        <v>N</v>
      </c>
      <c r="AK694" s="3" t="str">
        <f>IF(Table1[[#This Row],[Opp Rushing Attempts]]&lt;15, "Y", "N")</f>
        <v>N</v>
      </c>
      <c r="AL6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139.32</v>
      </c>
      <c r="AM6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151.94999999999999</v>
      </c>
      <c r="AN6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105.41</v>
      </c>
      <c r="AO6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105.12</v>
      </c>
      <c r="AP694" s="3">
        <f>ABS(Table1[[#This Row],[Team Score]]-Table1[[#This Row],[Opp Team Score]])</f>
        <v>29</v>
      </c>
      <c r="AQ694" s="3">
        <f>SUM(Table1[[#This Row],[Team Score]], Table1[[#This Row],[Opp Team Score]])</f>
        <v>69</v>
      </c>
      <c r="AR6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149.08000000000004</v>
      </c>
      <c r="AS694" s="3">
        <f>IF(Table1[[#This Row],[Efficiency Difference]] = " ", " ", ROUND((Table1[[#This Row],[Winning Margin]]*100)/Table1[[#This Row],[Efficiency Difference]], 2))</f>
        <v>19.45</v>
      </c>
    </row>
    <row r="695" spans="1:45">
      <c r="A695" t="s">
        <v>123</v>
      </c>
      <c r="B695">
        <v>703</v>
      </c>
      <c r="C695">
        <v>37</v>
      </c>
      <c r="D695">
        <v>255</v>
      </c>
      <c r="E695">
        <v>24</v>
      </c>
      <c r="F695">
        <v>2</v>
      </c>
      <c r="G695">
        <v>14</v>
      </c>
      <c r="H695">
        <v>0</v>
      </c>
      <c r="I695">
        <v>145</v>
      </c>
      <c r="J695">
        <v>40</v>
      </c>
      <c r="K695">
        <v>1</v>
      </c>
      <c r="L695">
        <v>0</v>
      </c>
      <c r="M695" t="s">
        <v>78</v>
      </c>
      <c r="N695">
        <v>311</v>
      </c>
      <c r="O695">
        <v>14</v>
      </c>
      <c r="P695">
        <v>251</v>
      </c>
      <c r="Q695">
        <v>51</v>
      </c>
      <c r="R695">
        <v>1</v>
      </c>
      <c r="S695">
        <v>28</v>
      </c>
      <c r="T695">
        <v>1</v>
      </c>
      <c r="U695">
        <v>129</v>
      </c>
      <c r="V695">
        <v>38</v>
      </c>
      <c r="W695">
        <v>1</v>
      </c>
      <c r="X695">
        <v>2</v>
      </c>
      <c r="Y695" t="s">
        <v>16</v>
      </c>
      <c r="Z695">
        <v>5</v>
      </c>
      <c r="AA695">
        <f>IF(AND(Table1[[#This Row],[Throw Out Pass Eff]]="N", Table1[[#This Row],[Against FCS Team]]="N"), ROUND(((5.45 * D695) + (150 * F695) + (100 * G695) - (300 * H695)) / E695, 2), " ")</f>
        <v>128.74</v>
      </c>
      <c r="AB695">
        <f>IF(AND(Table1[[#This Row],[Throw Out Pass Def Eff]]="N", Table1[[#This Row],[Against FCS Team]]="N"),200 - ROUND(((5.45 * P695) + (150 * R695) + (100 * S695) - (300 * T695)) / Q695, 2), " ")</f>
        <v>121.22</v>
      </c>
      <c r="AC695">
        <f>IF(AND(Table1[[#This Row],[Throw Out Rush Eff]]="N", Table1[[#This Row],[Against FCS Team]]="N"), ROUND(((23.2 * I695) + (150 * K695) - (300 * L695)) / J695, 2), " ")</f>
        <v>87.85</v>
      </c>
      <c r="AD695" s="3">
        <f>IF(AND(Table1[[#This Row],[Throw Out Rush Def Eff]]="N", Table1[[#This Row],[Against FCS Team]]="N"), 200 - ROUND(((23.2 * U695) + (150 * W695) - (300 * X695)) / V695, 2), " ")</f>
        <v>133.07999999999998</v>
      </c>
      <c r="AE695" s="3">
        <f>ROUND(Table1[[#This Row],[Opp Passing Attempts]]/(Table1[[#This Row],[Opp Passing Attempts]]+Table1[[#This Row],[Opp Rushing Attempts]]), 2)</f>
        <v>0.56999999999999995</v>
      </c>
      <c r="AF695" s="3">
        <f>1-Table1[[#This Row],[Passing Weight]]</f>
        <v>0.43000000000000005</v>
      </c>
      <c r="AG695" s="3" t="str">
        <f>IF(COUNTIF(A:A,Table1[[#This Row],[Opp Team Name]]) &gt; 0, "N", "Y")</f>
        <v>N</v>
      </c>
      <c r="AH695" s="3" t="str">
        <f>IF(Table1[[#This Row],[Passing Attempts]] &lt;15, "Y", "N")</f>
        <v>N</v>
      </c>
      <c r="AI695" s="3" t="str">
        <f>IF(Table1[[#This Row],[Rushing Attempts]] &lt; 15, "Y", "N")</f>
        <v>N</v>
      </c>
      <c r="AJ695" s="3" t="str">
        <f>IF(Table1[[#This Row],[Opp Passing Attempts]]&lt;15, "Y", "N")</f>
        <v>N</v>
      </c>
      <c r="AK695" s="3" t="str">
        <f>IF(Table1[[#This Row],[Opp Rushing Attempts]]&lt;15, "Y", "N")</f>
        <v>N</v>
      </c>
      <c r="AL69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120.86</v>
      </c>
      <c r="AM69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101.63</v>
      </c>
      <c r="AN69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87.15</v>
      </c>
      <c r="AO69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116.14</v>
      </c>
      <c r="AP695" s="3">
        <f>ABS(Table1[[#This Row],[Team Score]]-Table1[[#This Row],[Opp Team Score]])</f>
        <v>23</v>
      </c>
      <c r="AQ695" s="3">
        <f>SUM(Table1[[#This Row],[Team Score]], Table1[[#This Row],[Opp Team Score]])</f>
        <v>51</v>
      </c>
      <c r="AR69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70.889999999999986</v>
      </c>
      <c r="AS695" s="3">
        <f>IF(Table1[[#This Row],[Efficiency Difference]] = " ", " ", ROUND((Table1[[#This Row],[Winning Margin]]*100)/Table1[[#This Row],[Efficiency Difference]], 2))</f>
        <v>32.44</v>
      </c>
    </row>
    <row r="696" spans="1:45">
      <c r="A696" t="s">
        <v>123</v>
      </c>
      <c r="B696">
        <v>703</v>
      </c>
      <c r="C696">
        <v>17</v>
      </c>
      <c r="D696">
        <v>223</v>
      </c>
      <c r="E696">
        <v>36</v>
      </c>
      <c r="F696">
        <v>1</v>
      </c>
      <c r="G696">
        <v>20</v>
      </c>
      <c r="H696">
        <v>2</v>
      </c>
      <c r="I696">
        <v>36</v>
      </c>
      <c r="J696">
        <v>45</v>
      </c>
      <c r="K696">
        <v>0</v>
      </c>
      <c r="L696">
        <v>3</v>
      </c>
      <c r="M696" t="s">
        <v>116</v>
      </c>
      <c r="N696">
        <v>522</v>
      </c>
      <c r="O696">
        <v>55</v>
      </c>
      <c r="P696">
        <v>367</v>
      </c>
      <c r="Q696">
        <v>52</v>
      </c>
      <c r="R696">
        <v>3</v>
      </c>
      <c r="S696">
        <v>31</v>
      </c>
      <c r="T696">
        <v>0</v>
      </c>
      <c r="U696">
        <v>86</v>
      </c>
      <c r="V696">
        <v>19</v>
      </c>
      <c r="W696">
        <v>1</v>
      </c>
      <c r="X696">
        <v>1</v>
      </c>
      <c r="Y696" t="s">
        <v>19</v>
      </c>
      <c r="Z696">
        <v>6</v>
      </c>
      <c r="AA696">
        <f>IF(AND(Table1[[#This Row],[Throw Out Pass Eff]]="N", Table1[[#This Row],[Against FCS Team]]="N"), ROUND(((5.45 * D696) + (150 * F696) + (100 * G696) - (300 * H696)) / E696, 2), " ")</f>
        <v>76.819999999999993</v>
      </c>
      <c r="AB696">
        <f>IF(AND(Table1[[#This Row],[Throw Out Pass Def Eff]]="N", Table1[[#This Row],[Against FCS Team]]="N"),200 - ROUND(((5.45 * P696) + (150 * R696) + (100 * S696) - (300 * T696)) / Q696, 2), " ")</f>
        <v>93.27</v>
      </c>
      <c r="AC696">
        <f>IF(AND(Table1[[#This Row],[Throw Out Rush Eff]]="N", Table1[[#This Row],[Against FCS Team]]="N"), ROUND(((23.2 * I696) + (150 * K696) - (300 * L696)) / J696, 2), " ")</f>
        <v>-1.44</v>
      </c>
      <c r="AD696" s="3">
        <f>IF(AND(Table1[[#This Row],[Throw Out Rush Def Eff]]="N", Table1[[#This Row],[Against FCS Team]]="N"), 200 - ROUND(((23.2 * U696) + (150 * W696) - (300 * X696)) / V696, 2), " ")</f>
        <v>102.88</v>
      </c>
      <c r="AE696" s="3">
        <f>ROUND(Table1[[#This Row],[Opp Passing Attempts]]/(Table1[[#This Row],[Opp Passing Attempts]]+Table1[[#This Row],[Opp Rushing Attempts]]), 2)</f>
        <v>0.73</v>
      </c>
      <c r="AF696" s="3">
        <f>1-Table1[[#This Row],[Passing Weight]]</f>
        <v>0.27</v>
      </c>
      <c r="AG696" s="3" t="str">
        <f>IF(COUNTIF(A:A,Table1[[#This Row],[Opp Team Name]]) &gt; 0, "N", "Y")</f>
        <v>N</v>
      </c>
      <c r="AH696" s="3" t="str">
        <f>IF(Table1[[#This Row],[Passing Attempts]] &lt;15, "Y", "N")</f>
        <v>N</v>
      </c>
      <c r="AI696" s="3" t="str">
        <f>IF(Table1[[#This Row],[Rushing Attempts]] &lt; 15, "Y", "N")</f>
        <v>N</v>
      </c>
      <c r="AJ696" s="3" t="str">
        <f>IF(Table1[[#This Row],[Opp Passing Attempts]]&lt;15, "Y", "N")</f>
        <v>N</v>
      </c>
      <c r="AK696" s="3" t="str">
        <f>IF(Table1[[#This Row],[Opp Rushing Attempts]]&lt;15, "Y", "N")</f>
        <v>N</v>
      </c>
      <c r="AL69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90.56</v>
      </c>
      <c r="AM69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104.75</v>
      </c>
      <c r="AN69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-1.9</v>
      </c>
      <c r="AO69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111.7</v>
      </c>
      <c r="AP696" s="3">
        <f>ABS(Table1[[#This Row],[Team Score]]-Table1[[#This Row],[Opp Team Score]])</f>
        <v>38</v>
      </c>
      <c r="AQ696" s="3">
        <f>SUM(Table1[[#This Row],[Team Score]], Table1[[#This Row],[Opp Team Score]])</f>
        <v>72</v>
      </c>
      <c r="AR69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128.47000000000003</v>
      </c>
      <c r="AS696" s="3">
        <f>IF(Table1[[#This Row],[Efficiency Difference]] = " ", " ", ROUND((Table1[[#This Row],[Winning Margin]]*100)/Table1[[#This Row],[Efficiency Difference]], 2))</f>
        <v>29.58</v>
      </c>
    </row>
    <row r="697" spans="1:45">
      <c r="A697" t="s">
        <v>123</v>
      </c>
      <c r="B697">
        <v>703</v>
      </c>
      <c r="C697">
        <v>26</v>
      </c>
      <c r="D697">
        <v>139</v>
      </c>
      <c r="E697">
        <v>40</v>
      </c>
      <c r="F697">
        <v>0</v>
      </c>
      <c r="G697">
        <v>22</v>
      </c>
      <c r="H697">
        <v>2</v>
      </c>
      <c r="I697">
        <v>231</v>
      </c>
      <c r="J697">
        <v>49</v>
      </c>
      <c r="K697">
        <v>2</v>
      </c>
      <c r="L697">
        <v>1</v>
      </c>
      <c r="M697" t="s">
        <v>87</v>
      </c>
      <c r="N697">
        <v>521</v>
      </c>
      <c r="O697">
        <v>38</v>
      </c>
      <c r="P697">
        <v>218</v>
      </c>
      <c r="Q697">
        <v>41</v>
      </c>
      <c r="R697">
        <v>1</v>
      </c>
      <c r="S697">
        <v>23</v>
      </c>
      <c r="T697">
        <v>0</v>
      </c>
      <c r="U697">
        <v>202</v>
      </c>
      <c r="V697">
        <v>27</v>
      </c>
      <c r="W697">
        <v>3</v>
      </c>
      <c r="X697">
        <v>1</v>
      </c>
      <c r="Y697" t="s">
        <v>19</v>
      </c>
      <c r="Z697">
        <v>7</v>
      </c>
      <c r="AA697">
        <f>IF(AND(Table1[[#This Row],[Throw Out Pass Eff]]="N", Table1[[#This Row],[Against FCS Team]]="N"), ROUND(((5.45 * D697) + (150 * F697) + (100 * G697) - (300 * H697)) / E697, 2), " ")</f>
        <v>58.94</v>
      </c>
      <c r="AB697">
        <f>IF(AND(Table1[[#This Row],[Throw Out Pass Def Eff]]="N", Table1[[#This Row],[Against FCS Team]]="N"),200 - ROUND(((5.45 * P697) + (150 * R697) + (100 * S697) - (300 * T697)) / Q697, 2), " ")</f>
        <v>111.27</v>
      </c>
      <c r="AC697">
        <f>IF(AND(Table1[[#This Row],[Throw Out Rush Eff]]="N", Table1[[#This Row],[Against FCS Team]]="N"), ROUND(((23.2 * I697) + (150 * K697) - (300 * L697)) / J697, 2), " ")</f>
        <v>109.37</v>
      </c>
      <c r="AD697" s="3">
        <f>IF(AND(Table1[[#This Row],[Throw Out Rush Def Eff]]="N", Table1[[#This Row],[Against FCS Team]]="N"), 200 - ROUND(((23.2 * U697) + (150 * W697) - (300 * X697)) / V697, 2), " ")</f>
        <v>20.870000000000005</v>
      </c>
      <c r="AE697" s="3">
        <f>ROUND(Table1[[#This Row],[Opp Passing Attempts]]/(Table1[[#This Row],[Opp Passing Attempts]]+Table1[[#This Row],[Opp Rushing Attempts]]), 2)</f>
        <v>0.6</v>
      </c>
      <c r="AF697" s="3">
        <f>1-Table1[[#This Row],[Passing Weight]]</f>
        <v>0.4</v>
      </c>
      <c r="AG697" s="3" t="str">
        <f>IF(COUNTIF(A:A,Table1[[#This Row],[Opp Team Name]]) &gt; 0, "N", "Y")</f>
        <v>N</v>
      </c>
      <c r="AH697" s="3" t="str">
        <f>IF(Table1[[#This Row],[Passing Attempts]] &lt;15, "Y", "N")</f>
        <v>N</v>
      </c>
      <c r="AI697" s="3" t="str">
        <f>IF(Table1[[#This Row],[Rushing Attempts]] &lt; 15, "Y", "N")</f>
        <v>N</v>
      </c>
      <c r="AJ697" s="3" t="str">
        <f>IF(Table1[[#This Row],[Opp Passing Attempts]]&lt;15, "Y", "N")</f>
        <v>N</v>
      </c>
      <c r="AK697" s="3" t="str">
        <f>IF(Table1[[#This Row],[Opp Rushing Attempts]]&lt;15, "Y", "N")</f>
        <v>N</v>
      </c>
      <c r="AL69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72.739999999999995</v>
      </c>
      <c r="AM69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131.44</v>
      </c>
      <c r="AN69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113.77</v>
      </c>
      <c r="AO69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25.4</v>
      </c>
      <c r="AP697" s="3">
        <f>ABS(Table1[[#This Row],[Team Score]]-Table1[[#This Row],[Opp Team Score]])</f>
        <v>12</v>
      </c>
      <c r="AQ697" s="3">
        <f>SUM(Table1[[#This Row],[Team Score]], Table1[[#This Row],[Opp Team Score]])</f>
        <v>64</v>
      </c>
      <c r="AR69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99.550000000000011</v>
      </c>
      <c r="AS697" s="3">
        <f>IF(Table1[[#This Row],[Efficiency Difference]] = " ", " ", ROUND((Table1[[#This Row],[Winning Margin]]*100)/Table1[[#This Row],[Efficiency Difference]], 2))</f>
        <v>12.05</v>
      </c>
    </row>
    <row r="698" spans="1:45">
      <c r="A698" t="s">
        <v>187</v>
      </c>
      <c r="B698">
        <v>697</v>
      </c>
      <c r="C698">
        <v>46</v>
      </c>
      <c r="D698">
        <v>246</v>
      </c>
      <c r="E698">
        <v>26</v>
      </c>
      <c r="F698">
        <v>2</v>
      </c>
      <c r="G698">
        <v>21</v>
      </c>
      <c r="H698">
        <v>0</v>
      </c>
      <c r="I698">
        <v>212</v>
      </c>
      <c r="J698">
        <v>39</v>
      </c>
      <c r="K698">
        <v>4</v>
      </c>
      <c r="L698">
        <v>0</v>
      </c>
      <c r="M698" t="s">
        <v>186</v>
      </c>
      <c r="N698">
        <v>663</v>
      </c>
      <c r="O698">
        <v>14</v>
      </c>
      <c r="P698">
        <v>268</v>
      </c>
      <c r="Q698">
        <v>38</v>
      </c>
      <c r="R698">
        <v>1</v>
      </c>
      <c r="S698">
        <v>23</v>
      </c>
      <c r="T698">
        <v>2</v>
      </c>
      <c r="U698">
        <v>79</v>
      </c>
      <c r="V698">
        <v>32</v>
      </c>
      <c r="W698">
        <v>1</v>
      </c>
      <c r="X698">
        <v>0</v>
      </c>
      <c r="Y698" t="s">
        <v>16</v>
      </c>
      <c r="Z698">
        <v>2</v>
      </c>
      <c r="AA698">
        <f>IF(AND(Table1[[#This Row],[Throw Out Pass Eff]]="N", Table1[[#This Row],[Against FCS Team]]="N"), ROUND(((5.45 * D698) + (150 * F698) + (100 * G698) - (300 * H698)) / E698, 2), " ")</f>
        <v>143.87</v>
      </c>
      <c r="AB698">
        <f>IF(AND(Table1[[#This Row],[Throw Out Pass Def Eff]]="N", Table1[[#This Row],[Against FCS Team]]="N"),200 - ROUND(((5.45 * P698) + (150 * R698) + (100 * S698) - (300 * T698)) / Q698, 2), " ")</f>
        <v>112.88</v>
      </c>
      <c r="AC698">
        <f>IF(AND(Table1[[#This Row],[Throw Out Rush Eff]]="N", Table1[[#This Row],[Against FCS Team]]="N"), ROUND(((23.2 * I698) + (150 * K698) - (300 * L698)) / J698, 2), " ")</f>
        <v>141.5</v>
      </c>
      <c r="AD698" s="3">
        <f>IF(AND(Table1[[#This Row],[Throw Out Rush Def Eff]]="N", Table1[[#This Row],[Against FCS Team]]="N"), 200 - ROUND(((23.2 * U698) + (150 * W698) - (300 * X698)) / V698, 2), " ")</f>
        <v>138.04</v>
      </c>
      <c r="AE698" s="3">
        <f>ROUND(Table1[[#This Row],[Opp Passing Attempts]]/(Table1[[#This Row],[Opp Passing Attempts]]+Table1[[#This Row],[Opp Rushing Attempts]]), 2)</f>
        <v>0.54</v>
      </c>
      <c r="AF698" s="3">
        <f>1-Table1[[#This Row],[Passing Weight]]</f>
        <v>0.45999999999999996</v>
      </c>
      <c r="AG698" s="3" t="str">
        <f>IF(COUNTIF(A:A,Table1[[#This Row],[Opp Team Name]]) &gt; 0, "N", "Y")</f>
        <v>N</v>
      </c>
      <c r="AH698" s="3" t="str">
        <f>IF(Table1[[#This Row],[Passing Attempts]] &lt;15, "Y", "N")</f>
        <v>N</v>
      </c>
      <c r="AI698" s="3" t="str">
        <f>IF(Table1[[#This Row],[Rushing Attempts]] &lt; 15, "Y", "N")</f>
        <v>N</v>
      </c>
      <c r="AJ698" s="3" t="str">
        <f>IF(Table1[[#This Row],[Opp Passing Attempts]]&lt;15, "Y", "N")</f>
        <v>N</v>
      </c>
      <c r="AK698" s="3" t="str">
        <f>IF(Table1[[#This Row],[Opp Rushing Attempts]]&lt;15, "Y", "N")</f>
        <v>N</v>
      </c>
      <c r="AL69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132.03</v>
      </c>
      <c r="AM69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108.72</v>
      </c>
      <c r="AN69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183.89</v>
      </c>
      <c r="AO69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158.71</v>
      </c>
      <c r="AP698" s="3">
        <f>ABS(Table1[[#This Row],[Team Score]]-Table1[[#This Row],[Opp Team Score]])</f>
        <v>32</v>
      </c>
      <c r="AQ698" s="3">
        <f>SUM(Table1[[#This Row],[Team Score]], Table1[[#This Row],[Opp Team Score]])</f>
        <v>60</v>
      </c>
      <c r="AR69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136.29</v>
      </c>
      <c r="AS698" s="3">
        <f>IF(Table1[[#This Row],[Efficiency Difference]] = " ", " ", ROUND((Table1[[#This Row],[Winning Margin]]*100)/Table1[[#This Row],[Efficiency Difference]], 2))</f>
        <v>23.48</v>
      </c>
    </row>
    <row r="699" spans="1:45">
      <c r="A699" t="s">
        <v>187</v>
      </c>
      <c r="B699">
        <v>697</v>
      </c>
      <c r="C699">
        <v>37</v>
      </c>
      <c r="D699">
        <v>377</v>
      </c>
      <c r="E699">
        <v>43</v>
      </c>
      <c r="F699">
        <v>2</v>
      </c>
      <c r="G699">
        <v>30</v>
      </c>
      <c r="H699">
        <v>1</v>
      </c>
      <c r="I699">
        <v>140</v>
      </c>
      <c r="J699">
        <v>38</v>
      </c>
      <c r="K699">
        <v>2</v>
      </c>
      <c r="L699">
        <v>1</v>
      </c>
      <c r="M699" t="s">
        <v>43</v>
      </c>
      <c r="N699">
        <v>295</v>
      </c>
      <c r="O699">
        <v>7</v>
      </c>
      <c r="P699">
        <v>131</v>
      </c>
      <c r="Q699">
        <v>29</v>
      </c>
      <c r="R699">
        <v>0</v>
      </c>
      <c r="S699">
        <v>17</v>
      </c>
      <c r="T699">
        <v>0</v>
      </c>
      <c r="U699">
        <v>56</v>
      </c>
      <c r="V699">
        <v>29</v>
      </c>
      <c r="W699">
        <v>1</v>
      </c>
      <c r="X699">
        <v>0</v>
      </c>
      <c r="Y699" t="s">
        <v>16</v>
      </c>
      <c r="Z699">
        <v>3</v>
      </c>
      <c r="AA699">
        <f>IF(AND(Table1[[#This Row],[Throw Out Pass Eff]]="N", Table1[[#This Row],[Against FCS Team]]="N"), ROUND(((5.45 * D699) + (150 * F699) + (100 * G699) - (300 * H699)) / E699, 2), " ")</f>
        <v>117.55</v>
      </c>
      <c r="AB699">
        <f>IF(AND(Table1[[#This Row],[Throw Out Pass Def Eff]]="N", Table1[[#This Row],[Against FCS Team]]="N"),200 - ROUND(((5.45 * P699) + (150 * R699) + (100 * S699) - (300 * T699)) / Q699, 2), " ")</f>
        <v>116.76</v>
      </c>
      <c r="AC699">
        <f>IF(AND(Table1[[#This Row],[Throw Out Rush Eff]]="N", Table1[[#This Row],[Against FCS Team]]="N"), ROUND(((23.2 * I699) + (150 * K699) - (300 * L699)) / J699, 2), " ")</f>
        <v>85.47</v>
      </c>
      <c r="AD699" s="3">
        <f>IF(AND(Table1[[#This Row],[Throw Out Rush Def Eff]]="N", Table1[[#This Row],[Against FCS Team]]="N"), 200 - ROUND(((23.2 * U699) + (150 * W699) - (300 * X699)) / V699, 2), " ")</f>
        <v>150.03</v>
      </c>
      <c r="AE699" s="3">
        <f>ROUND(Table1[[#This Row],[Opp Passing Attempts]]/(Table1[[#This Row],[Opp Passing Attempts]]+Table1[[#This Row],[Opp Rushing Attempts]]), 2)</f>
        <v>0.5</v>
      </c>
      <c r="AF699" s="3">
        <f>1-Table1[[#This Row],[Passing Weight]]</f>
        <v>0.5</v>
      </c>
      <c r="AG699" s="3" t="str">
        <f>IF(COUNTIF(A:A,Table1[[#This Row],[Opp Team Name]]) &gt; 0, "N", "Y")</f>
        <v>N</v>
      </c>
      <c r="AH699" s="3" t="str">
        <f>IF(Table1[[#This Row],[Passing Attempts]] &lt;15, "Y", "N")</f>
        <v>N</v>
      </c>
      <c r="AI699" s="3" t="str">
        <f>IF(Table1[[#This Row],[Rushing Attempts]] &lt; 15, "Y", "N")</f>
        <v>N</v>
      </c>
      <c r="AJ699" s="3" t="str">
        <f>IF(Table1[[#This Row],[Opp Passing Attempts]]&lt;15, "Y", "N")</f>
        <v>N</v>
      </c>
      <c r="AK699" s="3" t="str">
        <f>IF(Table1[[#This Row],[Opp Rushing Attempts]]&lt;15, "Y", "N")</f>
        <v>N</v>
      </c>
      <c r="AL69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102.54</v>
      </c>
      <c r="AM69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84.4</v>
      </c>
      <c r="AN69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91.3</v>
      </c>
      <c r="AO69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73.38</v>
      </c>
      <c r="AP699" s="3">
        <f>ABS(Table1[[#This Row],[Team Score]]-Table1[[#This Row],[Opp Team Score]])</f>
        <v>30</v>
      </c>
      <c r="AQ699" s="3">
        <f>SUM(Table1[[#This Row],[Team Score]], Table1[[#This Row],[Opp Team Score]])</f>
        <v>44</v>
      </c>
      <c r="AR69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69.81</v>
      </c>
      <c r="AS699" s="3">
        <f>IF(Table1[[#This Row],[Efficiency Difference]] = " ", " ", ROUND((Table1[[#This Row],[Winning Margin]]*100)/Table1[[#This Row],[Efficiency Difference]], 2))</f>
        <v>42.97</v>
      </c>
    </row>
    <row r="700" spans="1:45">
      <c r="A700" t="s">
        <v>187</v>
      </c>
      <c r="B700">
        <v>697</v>
      </c>
      <c r="C700">
        <v>29</v>
      </c>
      <c r="D700">
        <v>309</v>
      </c>
      <c r="E700">
        <v>47</v>
      </c>
      <c r="F700">
        <v>2</v>
      </c>
      <c r="G700">
        <v>28</v>
      </c>
      <c r="H700">
        <v>3</v>
      </c>
      <c r="I700">
        <v>162</v>
      </c>
      <c r="J700">
        <v>27</v>
      </c>
      <c r="K700">
        <v>1</v>
      </c>
      <c r="L700">
        <v>1</v>
      </c>
      <c r="M700" t="s">
        <v>87</v>
      </c>
      <c r="N700">
        <v>521</v>
      </c>
      <c r="O700">
        <v>30</v>
      </c>
      <c r="P700">
        <v>438</v>
      </c>
      <c r="Q700">
        <v>60</v>
      </c>
      <c r="R700">
        <v>2</v>
      </c>
      <c r="S700">
        <v>47</v>
      </c>
      <c r="T700">
        <v>0</v>
      </c>
      <c r="U700">
        <v>46</v>
      </c>
      <c r="V700">
        <v>35</v>
      </c>
      <c r="W700">
        <v>1</v>
      </c>
      <c r="X700">
        <v>1</v>
      </c>
      <c r="Y700" t="s">
        <v>19</v>
      </c>
      <c r="Z700">
        <v>4</v>
      </c>
      <c r="AA700">
        <f>IF(AND(Table1[[#This Row],[Throw Out Pass Eff]]="N", Table1[[#This Row],[Against FCS Team]]="N"), ROUND(((5.45 * D700) + (150 * F700) + (100 * G700) - (300 * H700)) / E700, 2), " ")</f>
        <v>82.64</v>
      </c>
      <c r="AB700">
        <f>IF(AND(Table1[[#This Row],[Throw Out Pass Def Eff]]="N", Table1[[#This Row],[Against FCS Team]]="N"),200 - ROUND(((5.45 * P700) + (150 * R700) + (100 * S700) - (300 * T700)) / Q700, 2), " ")</f>
        <v>76.88</v>
      </c>
      <c r="AC700">
        <f>IF(AND(Table1[[#This Row],[Throw Out Rush Eff]]="N", Table1[[#This Row],[Against FCS Team]]="N"), ROUND(((23.2 * I700) + (150 * K700) - (300 * L700)) / J700, 2), " ")</f>
        <v>133.63999999999999</v>
      </c>
      <c r="AD700" s="3">
        <f>IF(AND(Table1[[#This Row],[Throw Out Rush Def Eff]]="N", Table1[[#This Row],[Against FCS Team]]="N"), 200 - ROUND(((23.2 * U700) + (150 * W700) - (300 * X700)) / V700, 2), " ")</f>
        <v>173.79</v>
      </c>
      <c r="AE700" s="3">
        <f>ROUND(Table1[[#This Row],[Opp Passing Attempts]]/(Table1[[#This Row],[Opp Passing Attempts]]+Table1[[#This Row],[Opp Rushing Attempts]]), 2)</f>
        <v>0.63</v>
      </c>
      <c r="AF700" s="3">
        <f>1-Table1[[#This Row],[Passing Weight]]</f>
        <v>0.37</v>
      </c>
      <c r="AG700" s="3" t="str">
        <f>IF(COUNTIF(A:A,Table1[[#This Row],[Opp Team Name]]) &gt; 0, "N", "Y")</f>
        <v>N</v>
      </c>
      <c r="AH700" s="3" t="str">
        <f>IF(Table1[[#This Row],[Passing Attempts]] &lt;15, "Y", "N")</f>
        <v>N</v>
      </c>
      <c r="AI700" s="3" t="str">
        <f>IF(Table1[[#This Row],[Rushing Attempts]] &lt; 15, "Y", "N")</f>
        <v>N</v>
      </c>
      <c r="AJ700" s="3" t="str">
        <f>IF(Table1[[#This Row],[Opp Passing Attempts]]&lt;15, "Y", "N")</f>
        <v>N</v>
      </c>
      <c r="AK700" s="3" t="str">
        <f>IF(Table1[[#This Row],[Opp Rushing Attempts]]&lt;15, "Y", "N")</f>
        <v>N</v>
      </c>
      <c r="AL70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101.99</v>
      </c>
      <c r="AM70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90.82</v>
      </c>
      <c r="AN70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139.02000000000001</v>
      </c>
      <c r="AO70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211.52</v>
      </c>
      <c r="AP700" s="3">
        <f>ABS(Table1[[#This Row],[Team Score]]-Table1[[#This Row],[Opp Team Score]])</f>
        <v>1</v>
      </c>
      <c r="AQ700" s="3">
        <f>SUM(Table1[[#This Row],[Team Score]], Table1[[#This Row],[Opp Team Score]])</f>
        <v>59</v>
      </c>
      <c r="AR70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66.94999999999996</v>
      </c>
      <c r="AS700" s="3">
        <f>IF(Table1[[#This Row],[Efficiency Difference]] = " ", " ", ROUND((Table1[[#This Row],[Winning Margin]]*100)/Table1[[#This Row],[Efficiency Difference]], 2))</f>
        <v>1.49</v>
      </c>
    </row>
    <row r="701" spans="1:45">
      <c r="A701" t="s">
        <v>187</v>
      </c>
      <c r="B701">
        <v>697</v>
      </c>
      <c r="C701">
        <v>38</v>
      </c>
      <c r="D701">
        <v>247</v>
      </c>
      <c r="E701">
        <v>35</v>
      </c>
      <c r="F701">
        <v>0</v>
      </c>
      <c r="G701">
        <v>25</v>
      </c>
      <c r="H701">
        <v>1</v>
      </c>
      <c r="I701">
        <v>381</v>
      </c>
      <c r="J701">
        <v>54</v>
      </c>
      <c r="K701">
        <v>5</v>
      </c>
      <c r="L701">
        <v>1</v>
      </c>
      <c r="M701" t="s">
        <v>26</v>
      </c>
      <c r="N701">
        <v>31</v>
      </c>
      <c r="O701">
        <v>42</v>
      </c>
      <c r="P701">
        <v>510</v>
      </c>
      <c r="Q701">
        <v>51</v>
      </c>
      <c r="R701">
        <v>3</v>
      </c>
      <c r="S701">
        <v>30</v>
      </c>
      <c r="T701">
        <v>0</v>
      </c>
      <c r="U701">
        <v>71</v>
      </c>
      <c r="V701">
        <v>30</v>
      </c>
      <c r="W701">
        <v>2</v>
      </c>
      <c r="X701">
        <v>0</v>
      </c>
      <c r="Y701" t="s">
        <v>19</v>
      </c>
      <c r="Z701">
        <v>5</v>
      </c>
      <c r="AA701">
        <f>IF(AND(Table1[[#This Row],[Throw Out Pass Eff]]="N", Table1[[#This Row],[Against FCS Team]]="N"), ROUND(((5.45 * D701) + (150 * F701) + (100 * G701) - (300 * H701)) / E701, 2), " ")</f>
        <v>101.32</v>
      </c>
      <c r="AB701">
        <f>IF(AND(Table1[[#This Row],[Throw Out Pass Def Eff]]="N", Table1[[#This Row],[Against FCS Team]]="N"),200 - ROUND(((5.45 * P701) + (150 * R701) + (100 * S701) - (300 * T701)) / Q701, 2), " ")</f>
        <v>77.849999999999994</v>
      </c>
      <c r="AC701">
        <f>IF(AND(Table1[[#This Row],[Throw Out Rush Eff]]="N", Table1[[#This Row],[Against FCS Team]]="N"), ROUND(((23.2 * I701) + (150 * K701) - (300 * L701)) / J701, 2), " ")</f>
        <v>172.02</v>
      </c>
      <c r="AD701" s="3">
        <f>IF(AND(Table1[[#This Row],[Throw Out Rush Def Eff]]="N", Table1[[#This Row],[Against FCS Team]]="N"), 200 - ROUND(((23.2 * U701) + (150 * W701) - (300 * X701)) / V701, 2), " ")</f>
        <v>135.09</v>
      </c>
      <c r="AE701" s="3">
        <f>ROUND(Table1[[#This Row],[Opp Passing Attempts]]/(Table1[[#This Row],[Opp Passing Attempts]]+Table1[[#This Row],[Opp Rushing Attempts]]), 2)</f>
        <v>0.63</v>
      </c>
      <c r="AF701" s="3">
        <f>1-Table1[[#This Row],[Passing Weight]]</f>
        <v>0.37</v>
      </c>
      <c r="AG701" s="3" t="str">
        <f>IF(COUNTIF(A:A,Table1[[#This Row],[Opp Team Name]]) &gt; 0, "N", "Y")</f>
        <v>N</v>
      </c>
      <c r="AH701" s="3" t="str">
        <f>IF(Table1[[#This Row],[Passing Attempts]] &lt;15, "Y", "N")</f>
        <v>N</v>
      </c>
      <c r="AI701" s="3" t="str">
        <f>IF(Table1[[#This Row],[Rushing Attempts]] &lt; 15, "Y", "N")</f>
        <v>N</v>
      </c>
      <c r="AJ701" s="3" t="str">
        <f>IF(Table1[[#This Row],[Opp Passing Attempts]]&lt;15, "Y", "N")</f>
        <v>N</v>
      </c>
      <c r="AK701" s="3" t="str">
        <f>IF(Table1[[#This Row],[Opp Rushing Attempts]]&lt;15, "Y", "N")</f>
        <v>N</v>
      </c>
      <c r="AL70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110.28</v>
      </c>
      <c r="AM70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82.77</v>
      </c>
      <c r="AN70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147.87</v>
      </c>
      <c r="AO70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141</v>
      </c>
      <c r="AP701" s="3">
        <f>ABS(Table1[[#This Row],[Team Score]]-Table1[[#This Row],[Opp Team Score]])</f>
        <v>4</v>
      </c>
      <c r="AQ701" s="3">
        <f>SUM(Table1[[#This Row],[Team Score]], Table1[[#This Row],[Opp Team Score]])</f>
        <v>80</v>
      </c>
      <c r="AR70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86.28000000000003</v>
      </c>
      <c r="AS701" s="3">
        <f>IF(Table1[[#This Row],[Efficiency Difference]] = " ", " ", ROUND((Table1[[#This Row],[Winning Margin]]*100)/Table1[[#This Row],[Efficiency Difference]], 2))</f>
        <v>4.6399999999999997</v>
      </c>
    </row>
    <row r="702" spans="1:45">
      <c r="A702" t="s">
        <v>187</v>
      </c>
      <c r="B702">
        <v>697</v>
      </c>
      <c r="C702">
        <v>45</v>
      </c>
      <c r="D702">
        <v>188</v>
      </c>
      <c r="E702">
        <v>26</v>
      </c>
      <c r="F702">
        <v>1</v>
      </c>
      <c r="G702">
        <v>16</v>
      </c>
      <c r="H702">
        <v>0</v>
      </c>
      <c r="I702">
        <v>205</v>
      </c>
      <c r="J702">
        <v>46</v>
      </c>
      <c r="K702">
        <v>4</v>
      </c>
      <c r="L702">
        <v>0</v>
      </c>
      <c r="M702" t="s">
        <v>137</v>
      </c>
      <c r="N702">
        <v>700</v>
      </c>
      <c r="O702">
        <v>40</v>
      </c>
      <c r="P702">
        <v>391</v>
      </c>
      <c r="Q702">
        <v>66</v>
      </c>
      <c r="R702">
        <v>3</v>
      </c>
      <c r="S702">
        <v>44</v>
      </c>
      <c r="T702">
        <v>0</v>
      </c>
      <c r="U702">
        <v>132</v>
      </c>
      <c r="V702">
        <v>39</v>
      </c>
      <c r="W702">
        <v>1</v>
      </c>
      <c r="X702">
        <v>0</v>
      </c>
      <c r="Y702" t="s">
        <v>16</v>
      </c>
      <c r="Z702">
        <v>6</v>
      </c>
      <c r="AA702">
        <f>IF(AND(Table1[[#This Row],[Throw Out Pass Eff]]="N", Table1[[#This Row],[Against FCS Team]]="N"), ROUND(((5.45 * D702) + (150 * F702) + (100 * G702) - (300 * H702)) / E702, 2), " ")</f>
        <v>106.72</v>
      </c>
      <c r="AB702">
        <f>IF(AND(Table1[[#This Row],[Throw Out Pass Def Eff]]="N", Table1[[#This Row],[Against FCS Team]]="N"),200 - ROUND(((5.45 * P702) + (150 * R702) + (100 * S702) - (300 * T702)) / Q702, 2), " ")</f>
        <v>94.23</v>
      </c>
      <c r="AC702">
        <f>IF(AND(Table1[[#This Row],[Throw Out Rush Eff]]="N", Table1[[#This Row],[Against FCS Team]]="N"), ROUND(((23.2 * I702) + (150 * K702) - (300 * L702)) / J702, 2), " ")</f>
        <v>116.43</v>
      </c>
      <c r="AD702" s="3">
        <f>IF(AND(Table1[[#This Row],[Throw Out Rush Def Eff]]="N", Table1[[#This Row],[Against FCS Team]]="N"), 200 - ROUND(((23.2 * U702) + (150 * W702) - (300 * X702)) / V702, 2), " ")</f>
        <v>117.63</v>
      </c>
      <c r="AE702" s="3">
        <f>ROUND(Table1[[#This Row],[Opp Passing Attempts]]/(Table1[[#This Row],[Opp Passing Attempts]]+Table1[[#This Row],[Opp Rushing Attempts]]), 2)</f>
        <v>0.63</v>
      </c>
      <c r="AF702" s="3">
        <f>1-Table1[[#This Row],[Passing Weight]]</f>
        <v>0.37</v>
      </c>
      <c r="AG702" s="3" t="str">
        <f>IF(COUNTIF(A:A,Table1[[#This Row],[Opp Team Name]]) &gt; 0, "N", "Y")</f>
        <v>N</v>
      </c>
      <c r="AH702" s="3" t="str">
        <f>IF(Table1[[#This Row],[Passing Attempts]] &lt;15, "Y", "N")</f>
        <v>N</v>
      </c>
      <c r="AI702" s="3" t="str">
        <f>IF(Table1[[#This Row],[Rushing Attempts]] &lt; 15, "Y", "N")</f>
        <v>N</v>
      </c>
      <c r="AJ702" s="3" t="str">
        <f>IF(Table1[[#This Row],[Opp Passing Attempts]]&lt;15, "Y", "N")</f>
        <v>N</v>
      </c>
      <c r="AK702" s="3" t="str">
        <f>IF(Table1[[#This Row],[Opp Rushing Attempts]]&lt;15, "Y", "N")</f>
        <v>N</v>
      </c>
      <c r="AL70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105.68</v>
      </c>
      <c r="AM70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112.72</v>
      </c>
      <c r="AN70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107.96</v>
      </c>
      <c r="AO70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120.94</v>
      </c>
      <c r="AP702" s="3">
        <f>ABS(Table1[[#This Row],[Team Score]]-Table1[[#This Row],[Opp Team Score]])</f>
        <v>5</v>
      </c>
      <c r="AQ702" s="3">
        <f>SUM(Table1[[#This Row],[Team Score]], Table1[[#This Row],[Opp Team Score]])</f>
        <v>85</v>
      </c>
      <c r="AR70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35.010000000000019</v>
      </c>
      <c r="AS702" s="3">
        <f>IF(Table1[[#This Row],[Efficiency Difference]] = " ", " ", ROUND((Table1[[#This Row],[Winning Margin]]*100)/Table1[[#This Row],[Efficiency Difference]], 2))</f>
        <v>14.28</v>
      </c>
    </row>
    <row r="703" spans="1:45">
      <c r="A703" t="s">
        <v>187</v>
      </c>
      <c r="B703">
        <v>697</v>
      </c>
      <c r="C703">
        <v>55</v>
      </c>
      <c r="D703">
        <v>415</v>
      </c>
      <c r="E703">
        <v>38</v>
      </c>
      <c r="F703">
        <v>6</v>
      </c>
      <c r="G703">
        <v>25</v>
      </c>
      <c r="H703">
        <v>1</v>
      </c>
      <c r="I703">
        <v>266</v>
      </c>
      <c r="J703">
        <v>45</v>
      </c>
      <c r="K703">
        <v>1</v>
      </c>
      <c r="L703">
        <v>0</v>
      </c>
      <c r="M703" t="s">
        <v>36</v>
      </c>
      <c r="N703">
        <v>51</v>
      </c>
      <c r="O703">
        <v>28</v>
      </c>
      <c r="P703">
        <v>430</v>
      </c>
      <c r="Q703">
        <v>40</v>
      </c>
      <c r="R703">
        <v>3</v>
      </c>
      <c r="S703">
        <v>28</v>
      </c>
      <c r="T703">
        <v>1</v>
      </c>
      <c r="U703">
        <v>50</v>
      </c>
      <c r="V703">
        <v>31</v>
      </c>
      <c r="W703">
        <v>1</v>
      </c>
      <c r="X703">
        <v>0</v>
      </c>
      <c r="Y703" t="s">
        <v>16</v>
      </c>
      <c r="Z703">
        <v>7</v>
      </c>
      <c r="AA703">
        <f>IF(AND(Table1[[#This Row],[Throw Out Pass Eff]]="N", Table1[[#This Row],[Against FCS Team]]="N"), ROUND(((5.45 * D703) + (150 * F703) + (100 * G703) - (300 * H703)) / E703, 2), " ")</f>
        <v>141.1</v>
      </c>
      <c r="AB703">
        <f>IF(AND(Table1[[#This Row],[Throw Out Pass Def Eff]]="N", Table1[[#This Row],[Against FCS Team]]="N"),200 - ROUND(((5.45 * P703) + (150 * R703) + (100 * S703) - (300 * T703)) / Q703, 2), " ")</f>
        <v>67.66</v>
      </c>
      <c r="AC703">
        <f>IF(AND(Table1[[#This Row],[Throw Out Rush Eff]]="N", Table1[[#This Row],[Against FCS Team]]="N"), ROUND(((23.2 * I703) + (150 * K703) - (300 * L703)) / J703, 2), " ")</f>
        <v>140.47</v>
      </c>
      <c r="AD703" s="3">
        <f>IF(AND(Table1[[#This Row],[Throw Out Rush Def Eff]]="N", Table1[[#This Row],[Against FCS Team]]="N"), 200 - ROUND(((23.2 * U703) + (150 * W703) - (300 * X703)) / V703, 2), " ")</f>
        <v>157.74</v>
      </c>
      <c r="AE703" s="3">
        <f>ROUND(Table1[[#This Row],[Opp Passing Attempts]]/(Table1[[#This Row],[Opp Passing Attempts]]+Table1[[#This Row],[Opp Rushing Attempts]]), 2)</f>
        <v>0.56000000000000005</v>
      </c>
      <c r="AF703" s="3">
        <f>1-Table1[[#This Row],[Passing Weight]]</f>
        <v>0.43999999999999995</v>
      </c>
      <c r="AG703" s="3" t="str">
        <f>IF(COUNTIF(A:A,Table1[[#This Row],[Opp Team Name]]) &gt; 0, "N", "Y")</f>
        <v>N</v>
      </c>
      <c r="AH703" s="3" t="str">
        <f>IF(Table1[[#This Row],[Passing Attempts]] &lt;15, "Y", "N")</f>
        <v>N</v>
      </c>
      <c r="AI703" s="3" t="str">
        <f>IF(Table1[[#This Row],[Rushing Attempts]] &lt; 15, "Y", "N")</f>
        <v>N</v>
      </c>
      <c r="AJ703" s="3" t="str">
        <f>IF(Table1[[#This Row],[Opp Passing Attempts]]&lt;15, "Y", "N")</f>
        <v>N</v>
      </c>
      <c r="AK703" s="3" t="str">
        <f>IF(Table1[[#This Row],[Opp Rushing Attempts]]&lt;15, "Y", "N")</f>
        <v>N</v>
      </c>
      <c r="AL70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144.43</v>
      </c>
      <c r="AM70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103.97</v>
      </c>
      <c r="AN70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126.58</v>
      </c>
      <c r="AO70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172.95</v>
      </c>
      <c r="AP703" s="3">
        <f>ABS(Table1[[#This Row],[Team Score]]-Table1[[#This Row],[Opp Team Score]])</f>
        <v>27</v>
      </c>
      <c r="AQ703" s="3">
        <f>SUM(Table1[[#This Row],[Team Score]], Table1[[#This Row],[Opp Team Score]])</f>
        <v>83</v>
      </c>
      <c r="AR70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106.97</v>
      </c>
      <c r="AS703" s="3">
        <f>IF(Table1[[#This Row],[Efficiency Difference]] = " ", " ", ROUND((Table1[[#This Row],[Winning Margin]]*100)/Table1[[#This Row],[Efficiency Difference]], 2))</f>
        <v>25.24</v>
      </c>
    </row>
    <row r="704" spans="1:45">
      <c r="A704" t="s">
        <v>187</v>
      </c>
      <c r="B704">
        <v>697</v>
      </c>
      <c r="C704">
        <v>33</v>
      </c>
      <c r="D704">
        <v>263</v>
      </c>
      <c r="E704">
        <v>43</v>
      </c>
      <c r="F704">
        <v>2</v>
      </c>
      <c r="G704">
        <v>24</v>
      </c>
      <c r="H704">
        <v>0</v>
      </c>
      <c r="I704">
        <v>247</v>
      </c>
      <c r="J704">
        <v>47</v>
      </c>
      <c r="K704">
        <v>1</v>
      </c>
      <c r="L704">
        <v>1</v>
      </c>
      <c r="M704" t="s">
        <v>78</v>
      </c>
      <c r="N704">
        <v>311</v>
      </c>
      <c r="O704">
        <v>17</v>
      </c>
      <c r="P704">
        <v>180</v>
      </c>
      <c r="Q704">
        <v>40</v>
      </c>
      <c r="R704">
        <v>0</v>
      </c>
      <c r="S704">
        <v>16</v>
      </c>
      <c r="T704">
        <v>1</v>
      </c>
      <c r="U704">
        <v>125</v>
      </c>
      <c r="V704">
        <v>33</v>
      </c>
      <c r="W704">
        <v>2</v>
      </c>
      <c r="X704">
        <v>0</v>
      </c>
      <c r="Y704" t="s">
        <v>16</v>
      </c>
      <c r="Z704">
        <v>8</v>
      </c>
      <c r="AA704" s="3">
        <f>IF(AND(Table1[[#This Row],[Throw Out Pass Eff]]="N", Table1[[#This Row],[Against FCS Team]]="N"), ROUND(((5.45 * D704) + (150 * F704) + (100 * G704) - (300 * H704)) / E704, 2), " ")</f>
        <v>96.12</v>
      </c>
      <c r="AB704" s="3">
        <f>IF(AND(Table1[[#This Row],[Throw Out Pass Def Eff]]="N", Table1[[#This Row],[Against FCS Team]]="N"),200 - ROUND(((5.45 * P704) + (150 * R704) + (100 * S704) - (300 * T704)) / Q704, 2), " ")</f>
        <v>142.97</v>
      </c>
      <c r="AC704" s="3">
        <f>IF(AND(Table1[[#This Row],[Throw Out Rush Eff]]="N", Table1[[#This Row],[Against FCS Team]]="N"), ROUND(((23.2 * I704) + (150 * K704) - (300 * L704)) / J704, 2), " ")</f>
        <v>118.73</v>
      </c>
      <c r="AD704" s="3">
        <f>IF(AND(Table1[[#This Row],[Throw Out Rush Def Eff]]="N", Table1[[#This Row],[Against FCS Team]]="N"), 200 - ROUND(((23.2 * U704) + (150 * W704) - (300 * X704)) / V704, 2), " ")</f>
        <v>103.03</v>
      </c>
      <c r="AE704" s="3">
        <f>ROUND(Table1[[#This Row],[Opp Passing Attempts]]/(Table1[[#This Row],[Opp Passing Attempts]]+Table1[[#This Row],[Opp Rushing Attempts]]), 2)</f>
        <v>0.55000000000000004</v>
      </c>
      <c r="AF704" s="3">
        <f>1-Table1[[#This Row],[Passing Weight]]</f>
        <v>0.44999999999999996</v>
      </c>
      <c r="AG704" s="3" t="str">
        <f>IF(COUNTIF(A:A,Table1[[#This Row],[Opp Team Name]]) &gt; 0, "N", "Y")</f>
        <v>N</v>
      </c>
      <c r="AH704" s="3" t="str">
        <f>IF(Table1[[#This Row],[Passing Attempts]] &lt;15, "Y", "N")</f>
        <v>N</v>
      </c>
      <c r="AI704" s="3" t="str">
        <f>IF(Table1[[#This Row],[Rushing Attempts]] &lt; 15, "Y", "N")</f>
        <v>N</v>
      </c>
      <c r="AJ704" s="3" t="str">
        <f>IF(Table1[[#This Row],[Opp Passing Attempts]]&lt;15, "Y", "N")</f>
        <v>N</v>
      </c>
      <c r="AK704" s="3" t="str">
        <f>IF(Table1[[#This Row],[Opp Rushing Attempts]]&lt;15, "Y", "N")</f>
        <v>N</v>
      </c>
      <c r="AL70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90.24</v>
      </c>
      <c r="AM70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119.86</v>
      </c>
      <c r="AN70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117.79</v>
      </c>
      <c r="AO70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89.91</v>
      </c>
      <c r="AP704" s="3">
        <f>ABS(Table1[[#This Row],[Team Score]]-Table1[[#This Row],[Opp Team Score]])</f>
        <v>16</v>
      </c>
      <c r="AQ704" s="3">
        <f>SUM(Table1[[#This Row],[Team Score]], Table1[[#This Row],[Opp Team Score]])</f>
        <v>50</v>
      </c>
      <c r="AR70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60.850000000000023</v>
      </c>
      <c r="AS704" s="3">
        <f>IF(Table1[[#This Row],[Efficiency Difference]] = " ", " ", ROUND((Table1[[#This Row],[Winning Margin]]*100)/Table1[[#This Row],[Efficiency Difference]], 2))</f>
        <v>26.29</v>
      </c>
    </row>
    <row r="705" spans="1:45">
      <c r="A705" t="s">
        <v>136</v>
      </c>
      <c r="B705">
        <v>670</v>
      </c>
      <c r="C705">
        <v>38</v>
      </c>
      <c r="D705">
        <v>106</v>
      </c>
      <c r="E705">
        <v>22</v>
      </c>
      <c r="F705">
        <v>0</v>
      </c>
      <c r="G705">
        <v>11</v>
      </c>
      <c r="H705">
        <v>0</v>
      </c>
      <c r="I705">
        <v>235</v>
      </c>
      <c r="J705">
        <v>49</v>
      </c>
      <c r="K705">
        <v>4</v>
      </c>
      <c r="L705">
        <v>0</v>
      </c>
      <c r="M705" t="s">
        <v>201</v>
      </c>
      <c r="N705">
        <v>1395</v>
      </c>
      <c r="O705">
        <v>28</v>
      </c>
      <c r="P705">
        <v>256</v>
      </c>
      <c r="Q705">
        <v>42</v>
      </c>
      <c r="R705">
        <v>1</v>
      </c>
      <c r="S705">
        <v>21</v>
      </c>
      <c r="T705">
        <v>0</v>
      </c>
      <c r="U705">
        <v>45</v>
      </c>
      <c r="V705">
        <v>26</v>
      </c>
      <c r="W705">
        <v>1</v>
      </c>
      <c r="X705">
        <v>1</v>
      </c>
      <c r="Y705" t="s">
        <v>16</v>
      </c>
      <c r="Z705">
        <v>3</v>
      </c>
      <c r="AA705" t="str">
        <f>IF(AND(Table1[[#This Row],[Throw Out Pass Eff]]="N", Table1[[#This Row],[Against FCS Team]]="N"), ROUND(((5.45 * D705) + (150 * F705) + (100 * G705) - (300 * H705)) / E705, 2), " ")</f>
        <v xml:space="preserve"> </v>
      </c>
      <c r="AB705" t="str">
        <f>IF(AND(Table1[[#This Row],[Throw Out Pass Def Eff]]="N", Table1[[#This Row],[Against FCS Team]]="N"),200 - ROUND(((5.45 * P705) + (150 * R705) + (100 * S705) - (300 * T705)) / Q705, 2), " ")</f>
        <v xml:space="preserve"> </v>
      </c>
      <c r="AC705" t="str">
        <f>IF(AND(Table1[[#This Row],[Throw Out Rush Eff]]="N", Table1[[#This Row],[Against FCS Team]]="N"), ROUND(((23.2 * I705) + (150 * K705) - (300 * L705)) / J705, 2), " ")</f>
        <v xml:space="preserve"> </v>
      </c>
      <c r="AD705" s="3" t="str">
        <f>IF(AND(Table1[[#This Row],[Throw Out Rush Def Eff]]="N", Table1[[#This Row],[Against FCS Team]]="N"), 200 - ROUND(((23.2 * U705) + (150 * W705) - (300 * X705)) / V705, 2), " ")</f>
        <v xml:space="preserve"> </v>
      </c>
      <c r="AE705" s="3">
        <f>ROUND(Table1[[#This Row],[Opp Passing Attempts]]/(Table1[[#This Row],[Opp Passing Attempts]]+Table1[[#This Row],[Opp Rushing Attempts]]), 2)</f>
        <v>0.62</v>
      </c>
      <c r="AF705" s="3">
        <f>1-Table1[[#This Row],[Passing Weight]]</f>
        <v>0.38</v>
      </c>
      <c r="AG705" s="3" t="str">
        <f>IF(COUNTIF(A:A,Table1[[#This Row],[Opp Team Name]]) &gt; 0, "N", "Y")</f>
        <v>Y</v>
      </c>
      <c r="AH705" s="3" t="str">
        <f>IF(Table1[[#This Row],[Passing Attempts]] &lt;15, "Y", "N")</f>
        <v>N</v>
      </c>
      <c r="AI705" s="3" t="str">
        <f>IF(Table1[[#This Row],[Rushing Attempts]] &lt; 15, "Y", "N")</f>
        <v>N</v>
      </c>
      <c r="AJ705" s="3" t="str">
        <f>IF(Table1[[#This Row],[Opp Passing Attempts]]&lt;15, "Y", "N")</f>
        <v>N</v>
      </c>
      <c r="AK705" s="3" t="str">
        <f>IF(Table1[[#This Row],[Opp Rushing Attempts]]&lt;15, "Y", "N")</f>
        <v>N</v>
      </c>
      <c r="AL70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0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0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0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05" s="3">
        <f>ABS(Table1[[#This Row],[Team Score]]-Table1[[#This Row],[Opp Team Score]])</f>
        <v>10</v>
      </c>
      <c r="AQ705" s="3">
        <f>SUM(Table1[[#This Row],[Team Score]], Table1[[#This Row],[Opp Team Score]])</f>
        <v>66</v>
      </c>
      <c r="AR70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05" s="3" t="str">
        <f>IF(Table1[[#This Row],[Efficiency Difference]] = " ", " ", ROUND((Table1[[#This Row],[Winning Margin]]*100)/Table1[[#This Row],[Efficiency Difference]], 2))</f>
        <v xml:space="preserve"> </v>
      </c>
    </row>
    <row r="706" spans="1:45">
      <c r="A706" t="s">
        <v>136</v>
      </c>
      <c r="B706">
        <v>670</v>
      </c>
      <c r="C706">
        <v>38</v>
      </c>
      <c r="D706">
        <v>160</v>
      </c>
      <c r="E706">
        <v>18</v>
      </c>
      <c r="F706">
        <v>3</v>
      </c>
      <c r="G706">
        <v>12</v>
      </c>
      <c r="H706">
        <v>1</v>
      </c>
      <c r="I706">
        <v>212</v>
      </c>
      <c r="J706">
        <v>44</v>
      </c>
      <c r="K706">
        <v>1</v>
      </c>
      <c r="L706">
        <v>4</v>
      </c>
      <c r="M706" t="s">
        <v>192</v>
      </c>
      <c r="N706">
        <v>483</v>
      </c>
      <c r="O706">
        <v>12</v>
      </c>
      <c r="P706">
        <v>105</v>
      </c>
      <c r="Q706">
        <v>28</v>
      </c>
      <c r="R706">
        <v>0</v>
      </c>
      <c r="S706">
        <v>11</v>
      </c>
      <c r="T706">
        <v>1</v>
      </c>
      <c r="U706">
        <v>103</v>
      </c>
      <c r="V706">
        <v>36</v>
      </c>
      <c r="W706">
        <v>1</v>
      </c>
      <c r="X706">
        <v>1</v>
      </c>
      <c r="Y706" t="s">
        <v>16</v>
      </c>
      <c r="Z706">
        <v>5</v>
      </c>
      <c r="AA706" t="str">
        <f>IF(AND(Table1[[#This Row],[Throw Out Pass Eff]]="N", Table1[[#This Row],[Against FCS Team]]="N"), ROUND(((5.45 * D706) + (150 * F706) + (100 * G706) - (300 * H706)) / E706, 2), " ")</f>
        <v xml:space="preserve"> </v>
      </c>
      <c r="AB706" t="str">
        <f>IF(AND(Table1[[#This Row],[Throw Out Pass Def Eff]]="N", Table1[[#This Row],[Against FCS Team]]="N"),200 - ROUND(((5.45 * P706) + (150 * R706) + (100 * S706) - (300 * T706)) / Q706, 2), " ")</f>
        <v xml:space="preserve"> </v>
      </c>
      <c r="AC706" t="str">
        <f>IF(AND(Table1[[#This Row],[Throw Out Rush Eff]]="N", Table1[[#This Row],[Against FCS Team]]="N"), ROUND(((23.2 * I706) + (150 * K706) - (300 * L706)) / J706, 2), " ")</f>
        <v xml:space="preserve"> </v>
      </c>
      <c r="AD706" s="3" t="str">
        <f>IF(AND(Table1[[#This Row],[Throw Out Rush Def Eff]]="N", Table1[[#This Row],[Against FCS Team]]="N"), 200 - ROUND(((23.2 * U706) + (150 * W706) - (300 * X706)) / V706, 2), " ")</f>
        <v xml:space="preserve"> </v>
      </c>
      <c r="AE706" s="3">
        <f>ROUND(Table1[[#This Row],[Opp Passing Attempts]]/(Table1[[#This Row],[Opp Passing Attempts]]+Table1[[#This Row],[Opp Rushing Attempts]]), 2)</f>
        <v>0.44</v>
      </c>
      <c r="AF706" s="3">
        <f>1-Table1[[#This Row],[Passing Weight]]</f>
        <v>0.56000000000000005</v>
      </c>
      <c r="AG706" s="3" t="str">
        <f>IF(COUNTIF(A:A,Table1[[#This Row],[Opp Team Name]]) &gt; 0, "N", "Y")</f>
        <v>Y</v>
      </c>
      <c r="AH706" s="3" t="str">
        <f>IF(Table1[[#This Row],[Passing Attempts]] &lt;15, "Y", "N")</f>
        <v>N</v>
      </c>
      <c r="AI706" s="3" t="str">
        <f>IF(Table1[[#This Row],[Rushing Attempts]] &lt; 15, "Y", "N")</f>
        <v>N</v>
      </c>
      <c r="AJ706" s="3" t="str">
        <f>IF(Table1[[#This Row],[Opp Passing Attempts]]&lt;15, "Y", "N")</f>
        <v>N</v>
      </c>
      <c r="AK706" s="3" t="str">
        <f>IF(Table1[[#This Row],[Opp Rushing Attempts]]&lt;15, "Y", "N")</f>
        <v>N</v>
      </c>
      <c r="AL706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0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06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0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06" s="3">
        <f>ABS(Table1[[#This Row],[Team Score]]-Table1[[#This Row],[Opp Team Score]])</f>
        <v>26</v>
      </c>
      <c r="AQ706" s="3">
        <f>SUM(Table1[[#This Row],[Team Score]], Table1[[#This Row],[Opp Team Score]])</f>
        <v>50</v>
      </c>
      <c r="AR70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06" s="3" t="str">
        <f>IF(Table1[[#This Row],[Efficiency Difference]] = " ", " ", ROUND((Table1[[#This Row],[Winning Margin]]*100)/Table1[[#This Row],[Efficiency Difference]], 2))</f>
        <v xml:space="preserve"> </v>
      </c>
    </row>
    <row r="707" spans="1:45">
      <c r="A707" t="s">
        <v>136</v>
      </c>
      <c r="B707">
        <v>670</v>
      </c>
      <c r="C707">
        <v>46</v>
      </c>
      <c r="D707">
        <v>243</v>
      </c>
      <c r="E707">
        <v>28</v>
      </c>
      <c r="F707">
        <v>3</v>
      </c>
      <c r="G707">
        <v>17</v>
      </c>
      <c r="H707">
        <v>1</v>
      </c>
      <c r="I707">
        <v>292</v>
      </c>
      <c r="J707">
        <v>48</v>
      </c>
      <c r="K707">
        <v>3</v>
      </c>
      <c r="L707">
        <v>0</v>
      </c>
      <c r="M707" t="s">
        <v>212</v>
      </c>
      <c r="N707">
        <v>346</v>
      </c>
      <c r="O707">
        <v>21</v>
      </c>
      <c r="P707">
        <v>174</v>
      </c>
      <c r="Q707">
        <v>24</v>
      </c>
      <c r="R707">
        <v>1</v>
      </c>
      <c r="S707">
        <v>10</v>
      </c>
      <c r="T707">
        <v>0</v>
      </c>
      <c r="U707">
        <v>72</v>
      </c>
      <c r="V707">
        <v>29</v>
      </c>
      <c r="W707">
        <v>2</v>
      </c>
      <c r="X707">
        <v>0</v>
      </c>
      <c r="Y707" t="s">
        <v>16</v>
      </c>
      <c r="Z707">
        <v>7</v>
      </c>
      <c r="AA707" t="str">
        <f>IF(AND(Table1[[#This Row],[Throw Out Pass Eff]]="N", Table1[[#This Row],[Against FCS Team]]="N"), ROUND(((5.45 * D707) + (150 * F707) + (100 * G707) - (300 * H707)) / E707, 2), " ")</f>
        <v xml:space="preserve"> </v>
      </c>
      <c r="AB707" t="str">
        <f>IF(AND(Table1[[#This Row],[Throw Out Pass Def Eff]]="N", Table1[[#This Row],[Against FCS Team]]="N"),200 - ROUND(((5.45 * P707) + (150 * R707) + (100 * S707) - (300 * T707)) / Q707, 2), " ")</f>
        <v xml:space="preserve"> </v>
      </c>
      <c r="AC707" t="str">
        <f>IF(AND(Table1[[#This Row],[Throw Out Rush Eff]]="N", Table1[[#This Row],[Against FCS Team]]="N"), ROUND(((23.2 * I707) + (150 * K707) - (300 * L707)) / J707, 2), " ")</f>
        <v xml:space="preserve"> </v>
      </c>
      <c r="AD707" s="3" t="str">
        <f>IF(AND(Table1[[#This Row],[Throw Out Rush Def Eff]]="N", Table1[[#This Row],[Against FCS Team]]="N"), 200 - ROUND(((23.2 * U707) + (150 * W707) - (300 * X707)) / V707, 2), " ")</f>
        <v xml:space="preserve"> </v>
      </c>
      <c r="AE707" s="3">
        <f>ROUND(Table1[[#This Row],[Opp Passing Attempts]]/(Table1[[#This Row],[Opp Passing Attempts]]+Table1[[#This Row],[Opp Rushing Attempts]]), 2)</f>
        <v>0.45</v>
      </c>
      <c r="AF707" s="3">
        <f>1-Table1[[#This Row],[Passing Weight]]</f>
        <v>0.55000000000000004</v>
      </c>
      <c r="AG707" s="3" t="str">
        <f>IF(COUNTIF(A:A,Table1[[#This Row],[Opp Team Name]]) &gt; 0, "N", "Y")</f>
        <v>Y</v>
      </c>
      <c r="AH707" s="3" t="str">
        <f>IF(Table1[[#This Row],[Passing Attempts]] &lt;15, "Y", "N")</f>
        <v>N</v>
      </c>
      <c r="AI707" s="3" t="str">
        <f>IF(Table1[[#This Row],[Rushing Attempts]] &lt; 15, "Y", "N")</f>
        <v>N</v>
      </c>
      <c r="AJ707" s="3" t="str">
        <f>IF(Table1[[#This Row],[Opp Passing Attempts]]&lt;15, "Y", "N")</f>
        <v>N</v>
      </c>
      <c r="AK707" s="3" t="str">
        <f>IF(Table1[[#This Row],[Opp Rushing Attempts]]&lt;15, "Y", "N")</f>
        <v>N</v>
      </c>
      <c r="AL70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0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0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07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07" s="3">
        <f>ABS(Table1[[#This Row],[Team Score]]-Table1[[#This Row],[Opp Team Score]])</f>
        <v>25</v>
      </c>
      <c r="AQ707" s="3">
        <f>SUM(Table1[[#This Row],[Team Score]], Table1[[#This Row],[Opp Team Score]])</f>
        <v>67</v>
      </c>
      <c r="AR70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07" s="3" t="str">
        <f>IF(Table1[[#This Row],[Efficiency Difference]] = " ", " ", ROUND((Table1[[#This Row],[Winning Margin]]*100)/Table1[[#This Row],[Efficiency Difference]], 2))</f>
        <v xml:space="preserve"> </v>
      </c>
    </row>
    <row r="708" spans="1:45">
      <c r="A708" t="s">
        <v>136</v>
      </c>
      <c r="B708">
        <v>670</v>
      </c>
      <c r="C708">
        <v>10</v>
      </c>
      <c r="D708">
        <v>75</v>
      </c>
      <c r="E708">
        <v>21</v>
      </c>
      <c r="F708">
        <v>0</v>
      </c>
      <c r="G708">
        <v>10</v>
      </c>
      <c r="H708">
        <v>0</v>
      </c>
      <c r="I708">
        <v>256</v>
      </c>
      <c r="J708">
        <v>50</v>
      </c>
      <c r="K708">
        <v>1</v>
      </c>
      <c r="L708">
        <v>4</v>
      </c>
      <c r="M708" t="s">
        <v>137</v>
      </c>
      <c r="N708">
        <v>700</v>
      </c>
      <c r="O708">
        <v>50</v>
      </c>
      <c r="P708">
        <v>348</v>
      </c>
      <c r="Q708">
        <v>37</v>
      </c>
      <c r="R708">
        <v>4</v>
      </c>
      <c r="S708">
        <v>25</v>
      </c>
      <c r="T708">
        <v>0</v>
      </c>
      <c r="U708">
        <v>157</v>
      </c>
      <c r="V708">
        <v>33</v>
      </c>
      <c r="W708">
        <v>3</v>
      </c>
      <c r="X708">
        <v>1</v>
      </c>
      <c r="Y708" t="s">
        <v>19</v>
      </c>
      <c r="Z708">
        <v>1</v>
      </c>
      <c r="AA708">
        <f>IF(AND(Table1[[#This Row],[Throw Out Pass Eff]]="N", Table1[[#This Row],[Against FCS Team]]="N"), ROUND(((5.45 * D708) + (150 * F708) + (100 * G708) - (300 * H708)) / E708, 2), " ")</f>
        <v>67.08</v>
      </c>
      <c r="AB708">
        <f>IF(AND(Table1[[#This Row],[Throw Out Pass Def Eff]]="N", Table1[[#This Row],[Against FCS Team]]="N"),200 - ROUND(((5.45 * P708) + (150 * R708) + (100 * S708) - (300 * T708)) / Q708, 2), " ")</f>
        <v>64.960000000000008</v>
      </c>
      <c r="AC708">
        <f>IF(AND(Table1[[#This Row],[Throw Out Rush Eff]]="N", Table1[[#This Row],[Against FCS Team]]="N"), ROUND(((23.2 * I708) + (150 * K708) - (300 * L708)) / J708, 2), " ")</f>
        <v>97.78</v>
      </c>
      <c r="AD708" s="3">
        <f>IF(AND(Table1[[#This Row],[Throw Out Rush Def Eff]]="N", Table1[[#This Row],[Against FCS Team]]="N"), 200 - ROUND(((23.2 * U708) + (150 * W708) - (300 * X708)) / V708, 2), " ")</f>
        <v>85.08</v>
      </c>
      <c r="AE708" s="3">
        <f>ROUND(Table1[[#This Row],[Opp Passing Attempts]]/(Table1[[#This Row],[Opp Passing Attempts]]+Table1[[#This Row],[Opp Rushing Attempts]]), 2)</f>
        <v>0.53</v>
      </c>
      <c r="AF708" s="3">
        <f>1-Table1[[#This Row],[Passing Weight]]</f>
        <v>0.47</v>
      </c>
      <c r="AG708" s="3" t="str">
        <f>IF(COUNTIF(A:A,Table1[[#This Row],[Opp Team Name]]) &gt; 0, "N", "Y")</f>
        <v>N</v>
      </c>
      <c r="AH708" s="3" t="str">
        <f>IF(Table1[[#This Row],[Passing Attempts]] &lt;15, "Y", "N")</f>
        <v>N</v>
      </c>
      <c r="AI708" s="3" t="str">
        <f>IF(Table1[[#This Row],[Rushing Attempts]] &lt; 15, "Y", "N")</f>
        <v>N</v>
      </c>
      <c r="AJ708" s="3" t="str">
        <f>IF(Table1[[#This Row],[Opp Passing Attempts]]&lt;15, "Y", "N")</f>
        <v>N</v>
      </c>
      <c r="AK708" s="3" t="str">
        <f>IF(Table1[[#This Row],[Opp Rushing Attempts]]&lt;15, "Y", "N")</f>
        <v>N</v>
      </c>
      <c r="AL70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66.430000000000007</v>
      </c>
      <c r="AM70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77.709999999999994</v>
      </c>
      <c r="AN70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90.67</v>
      </c>
      <c r="AO70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87.47</v>
      </c>
      <c r="AP708" s="3">
        <f>ABS(Table1[[#This Row],[Team Score]]-Table1[[#This Row],[Opp Team Score]])</f>
        <v>40</v>
      </c>
      <c r="AQ708" s="3">
        <f>SUM(Table1[[#This Row],[Team Score]], Table1[[#This Row],[Opp Team Score]])</f>
        <v>60</v>
      </c>
      <c r="AR70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85.099999999999966</v>
      </c>
      <c r="AS708" s="3">
        <f>IF(Table1[[#This Row],[Efficiency Difference]] = " ", " ", ROUND((Table1[[#This Row],[Winning Margin]]*100)/Table1[[#This Row],[Efficiency Difference]], 2))</f>
        <v>47</v>
      </c>
    </row>
    <row r="709" spans="1:45">
      <c r="A709" t="s">
        <v>136</v>
      </c>
      <c r="B709">
        <v>670</v>
      </c>
      <c r="C709">
        <v>10</v>
      </c>
      <c r="D709">
        <v>112</v>
      </c>
      <c r="E709">
        <v>23</v>
      </c>
      <c r="F709">
        <v>0</v>
      </c>
      <c r="G709">
        <v>12</v>
      </c>
      <c r="H709">
        <v>2</v>
      </c>
      <c r="I709">
        <v>77</v>
      </c>
      <c r="J709">
        <v>34</v>
      </c>
      <c r="K709">
        <v>1</v>
      </c>
      <c r="L709">
        <v>1</v>
      </c>
      <c r="M709" t="s">
        <v>162</v>
      </c>
      <c r="N709">
        <v>811</v>
      </c>
      <c r="O709">
        <v>45</v>
      </c>
      <c r="P709">
        <v>236</v>
      </c>
      <c r="Q709">
        <v>31</v>
      </c>
      <c r="R709">
        <v>1</v>
      </c>
      <c r="S709">
        <v>16</v>
      </c>
      <c r="T709">
        <v>2</v>
      </c>
      <c r="U709">
        <v>382</v>
      </c>
      <c r="V709">
        <v>50</v>
      </c>
      <c r="W709">
        <v>5</v>
      </c>
      <c r="X709">
        <v>0</v>
      </c>
      <c r="Y709" t="s">
        <v>19</v>
      </c>
      <c r="Z709">
        <v>2</v>
      </c>
      <c r="AA709">
        <f>IF(AND(Table1[[#This Row],[Throw Out Pass Eff]]="N", Table1[[#This Row],[Against FCS Team]]="N"), ROUND(((5.45 * D709) + (150 * F709) + (100 * G709) - (300 * H709)) / E709, 2), " ")</f>
        <v>52.63</v>
      </c>
      <c r="AB709">
        <f>IF(AND(Table1[[#This Row],[Throw Out Pass Def Eff]]="N", Table1[[#This Row],[Against FCS Team]]="N"),200 - ROUND(((5.45 * P709) + (150 * R709) + (100 * S709) - (300 * T709)) / Q709, 2), " ")</f>
        <v>121.41</v>
      </c>
      <c r="AC709">
        <f>IF(AND(Table1[[#This Row],[Throw Out Rush Eff]]="N", Table1[[#This Row],[Against FCS Team]]="N"), ROUND(((23.2 * I709) + (150 * K709) - (300 * L709)) / J709, 2), " ")</f>
        <v>48.13</v>
      </c>
      <c r="AD709" s="3">
        <f>IF(AND(Table1[[#This Row],[Throw Out Rush Def Eff]]="N", Table1[[#This Row],[Against FCS Team]]="N"), 200 - ROUND(((23.2 * U709) + (150 * W709) - (300 * X709)) / V709, 2), " ")</f>
        <v>7.75</v>
      </c>
      <c r="AE709" s="3">
        <f>ROUND(Table1[[#This Row],[Opp Passing Attempts]]/(Table1[[#This Row],[Opp Passing Attempts]]+Table1[[#This Row],[Opp Rushing Attempts]]), 2)</f>
        <v>0.38</v>
      </c>
      <c r="AF709" s="3">
        <f>1-Table1[[#This Row],[Passing Weight]]</f>
        <v>0.62</v>
      </c>
      <c r="AG709" s="3" t="str">
        <f>IF(COUNTIF(A:A,Table1[[#This Row],[Opp Team Name]]) &gt; 0, "N", "Y")</f>
        <v>N</v>
      </c>
      <c r="AH709" s="3" t="str">
        <f>IF(Table1[[#This Row],[Passing Attempts]] &lt;15, "Y", "N")</f>
        <v>N</v>
      </c>
      <c r="AI709" s="3" t="str">
        <f>IF(Table1[[#This Row],[Rushing Attempts]] &lt; 15, "Y", "N")</f>
        <v>N</v>
      </c>
      <c r="AJ709" s="3" t="str">
        <f>IF(Table1[[#This Row],[Opp Passing Attempts]]&lt;15, "Y", "N")</f>
        <v>N</v>
      </c>
      <c r="AK709" s="3" t="str">
        <f>IF(Table1[[#This Row],[Opp Rushing Attempts]]&lt;15, "Y", "N")</f>
        <v>N</v>
      </c>
      <c r="AL70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54.71</v>
      </c>
      <c r="AM70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111.88</v>
      </c>
      <c r="AN70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53.46</v>
      </c>
      <c r="AO70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9.11</v>
      </c>
      <c r="AP709" s="3">
        <f>ABS(Table1[[#This Row],[Team Score]]-Table1[[#This Row],[Opp Team Score]])</f>
        <v>35</v>
      </c>
      <c r="AQ709" s="3">
        <f>SUM(Table1[[#This Row],[Team Score]], Table1[[#This Row],[Opp Team Score]])</f>
        <v>55</v>
      </c>
      <c r="AR70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170.08000000000004</v>
      </c>
      <c r="AS709" s="3">
        <f>IF(Table1[[#This Row],[Efficiency Difference]] = " ", " ", ROUND((Table1[[#This Row],[Winning Margin]]*100)/Table1[[#This Row],[Efficiency Difference]], 2))</f>
        <v>20.58</v>
      </c>
    </row>
    <row r="710" spans="1:45">
      <c r="A710" t="s">
        <v>136</v>
      </c>
      <c r="B710">
        <v>670</v>
      </c>
      <c r="C710">
        <v>35</v>
      </c>
      <c r="D710">
        <v>241</v>
      </c>
      <c r="E710">
        <v>17</v>
      </c>
      <c r="F710">
        <v>4</v>
      </c>
      <c r="G710">
        <v>10</v>
      </c>
      <c r="H710">
        <v>1</v>
      </c>
      <c r="I710">
        <v>272</v>
      </c>
      <c r="J710">
        <v>59</v>
      </c>
      <c r="K710">
        <v>1</v>
      </c>
      <c r="L710">
        <v>1</v>
      </c>
      <c r="M710" t="s">
        <v>193</v>
      </c>
      <c r="N710">
        <v>676</v>
      </c>
      <c r="O710">
        <v>26</v>
      </c>
      <c r="P710">
        <v>353</v>
      </c>
      <c r="Q710">
        <v>65</v>
      </c>
      <c r="R710">
        <v>0</v>
      </c>
      <c r="S710">
        <v>32</v>
      </c>
      <c r="T710">
        <v>1</v>
      </c>
      <c r="U710">
        <v>66</v>
      </c>
      <c r="V710">
        <v>17</v>
      </c>
      <c r="W710">
        <v>1</v>
      </c>
      <c r="X710">
        <v>0</v>
      </c>
      <c r="Y710" t="s">
        <v>16</v>
      </c>
      <c r="Z710">
        <v>4</v>
      </c>
      <c r="AA710">
        <f>IF(AND(Table1[[#This Row],[Throw Out Pass Eff]]="N", Table1[[#This Row],[Against FCS Team]]="N"), ROUND(((5.45 * D710) + (150 * F710) + (100 * G710) - (300 * H710)) / E710, 2), " ")</f>
        <v>153.72999999999999</v>
      </c>
      <c r="AB710">
        <f>IF(AND(Table1[[#This Row],[Throw Out Pass Def Eff]]="N", Table1[[#This Row],[Against FCS Team]]="N"),200 - ROUND(((5.45 * P710) + (150 * R710) + (100 * S710) - (300 * T710)) / Q710, 2), " ")</f>
        <v>125.79</v>
      </c>
      <c r="AC710">
        <f>IF(AND(Table1[[#This Row],[Throw Out Rush Eff]]="N", Table1[[#This Row],[Against FCS Team]]="N"), ROUND(((23.2 * I710) + (150 * K710) - (300 * L710)) / J710, 2), " ")</f>
        <v>104.41</v>
      </c>
      <c r="AD710" s="3">
        <f>IF(AND(Table1[[#This Row],[Throw Out Rush Def Eff]]="N", Table1[[#This Row],[Against FCS Team]]="N"), 200 - ROUND(((23.2 * U710) + (150 * W710) - (300 * X710)) / V710, 2), " ")</f>
        <v>101.11</v>
      </c>
      <c r="AE710" s="3">
        <f>ROUND(Table1[[#This Row],[Opp Passing Attempts]]/(Table1[[#This Row],[Opp Passing Attempts]]+Table1[[#This Row],[Opp Rushing Attempts]]), 2)</f>
        <v>0.79</v>
      </c>
      <c r="AF710" s="3">
        <f>1-Table1[[#This Row],[Passing Weight]]</f>
        <v>0.20999999999999996</v>
      </c>
      <c r="AG710" s="3" t="str">
        <f>IF(COUNTIF(A:A,Table1[[#This Row],[Opp Team Name]]) &gt; 0, "N", "Y")</f>
        <v>N</v>
      </c>
      <c r="AH710" s="3" t="str">
        <f>IF(Table1[[#This Row],[Passing Attempts]] &lt;15, "Y", "N")</f>
        <v>N</v>
      </c>
      <c r="AI710" s="3" t="str">
        <f>IF(Table1[[#This Row],[Rushing Attempts]] &lt; 15, "Y", "N")</f>
        <v>N</v>
      </c>
      <c r="AJ710" s="3" t="str">
        <f>IF(Table1[[#This Row],[Opp Passing Attempts]]&lt;15, "Y", "N")</f>
        <v>N</v>
      </c>
      <c r="AK710" s="3" t="str">
        <f>IF(Table1[[#This Row],[Opp Rushing Attempts]]&lt;15, "Y", "N")</f>
        <v>N</v>
      </c>
      <c r="AL7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71.13</v>
      </c>
      <c r="AM7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93.35</v>
      </c>
      <c r="AN7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99.81</v>
      </c>
      <c r="AO7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99.99</v>
      </c>
      <c r="AP710" s="3">
        <f>ABS(Table1[[#This Row],[Team Score]]-Table1[[#This Row],[Opp Team Score]])</f>
        <v>9</v>
      </c>
      <c r="AQ710" s="3">
        <f>SUM(Table1[[#This Row],[Team Score]], Table1[[#This Row],[Opp Team Score]])</f>
        <v>61</v>
      </c>
      <c r="AR7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85.039999999999992</v>
      </c>
      <c r="AS710" s="3">
        <f>IF(Table1[[#This Row],[Efficiency Difference]] = " ", " ", ROUND((Table1[[#This Row],[Winning Margin]]*100)/Table1[[#This Row],[Efficiency Difference]], 2))</f>
        <v>10.58</v>
      </c>
    </row>
    <row r="711" spans="1:45">
      <c r="A711" t="s">
        <v>136</v>
      </c>
      <c r="B711">
        <v>670</v>
      </c>
      <c r="C711">
        <v>21</v>
      </c>
      <c r="D711">
        <v>110</v>
      </c>
      <c r="E711">
        <v>12</v>
      </c>
      <c r="F711">
        <v>1</v>
      </c>
      <c r="G711">
        <v>8</v>
      </c>
      <c r="H711">
        <v>0</v>
      </c>
      <c r="I711">
        <v>139</v>
      </c>
      <c r="J711">
        <v>48</v>
      </c>
      <c r="K711">
        <v>1</v>
      </c>
      <c r="L711">
        <v>0</v>
      </c>
      <c r="M711" t="s">
        <v>81</v>
      </c>
      <c r="N711">
        <v>402</v>
      </c>
      <c r="O711">
        <v>14</v>
      </c>
      <c r="P711">
        <v>145</v>
      </c>
      <c r="Q711">
        <v>27</v>
      </c>
      <c r="R711">
        <v>0</v>
      </c>
      <c r="S711">
        <v>13</v>
      </c>
      <c r="T711">
        <v>1</v>
      </c>
      <c r="U711">
        <v>220</v>
      </c>
      <c r="V711">
        <v>35</v>
      </c>
      <c r="W711">
        <v>2</v>
      </c>
      <c r="X711">
        <v>0</v>
      </c>
      <c r="Y711" t="s">
        <v>16</v>
      </c>
      <c r="Z711">
        <v>6</v>
      </c>
      <c r="AA711" t="str">
        <f>IF(AND(Table1[[#This Row],[Throw Out Pass Eff]]="N", Table1[[#This Row],[Against FCS Team]]="N"), ROUND(((5.45 * D711) + (150 * F711) + (100 * G711) - (300 * H711)) / E711, 2), " ")</f>
        <v xml:space="preserve"> </v>
      </c>
      <c r="AB711">
        <f>IF(AND(Table1[[#This Row],[Throw Out Pass Def Eff]]="N", Table1[[#This Row],[Against FCS Team]]="N"),200 - ROUND(((5.45 * P711) + (150 * R711) + (100 * S711) - (300 * T711)) / Q711, 2), " ")</f>
        <v>133.69</v>
      </c>
      <c r="AC711">
        <f>IF(AND(Table1[[#This Row],[Throw Out Rush Eff]]="N", Table1[[#This Row],[Against FCS Team]]="N"), ROUND(((23.2 * I711) + (150 * K711) - (300 * L711)) / J711, 2), " ")</f>
        <v>70.31</v>
      </c>
      <c r="AD711" s="3">
        <f>IF(AND(Table1[[#This Row],[Throw Out Rush Def Eff]]="N", Table1[[#This Row],[Against FCS Team]]="N"), 200 - ROUND(((23.2 * U711) + (150 * W711) - (300 * X711)) / V711, 2), " ")</f>
        <v>45.599999999999994</v>
      </c>
      <c r="AE711" s="3">
        <f>ROUND(Table1[[#This Row],[Opp Passing Attempts]]/(Table1[[#This Row],[Opp Passing Attempts]]+Table1[[#This Row],[Opp Rushing Attempts]]), 2)</f>
        <v>0.44</v>
      </c>
      <c r="AF711" s="3">
        <f>1-Table1[[#This Row],[Passing Weight]]</f>
        <v>0.56000000000000005</v>
      </c>
      <c r="AG711" s="3" t="str">
        <f>IF(COUNTIF(A:A,Table1[[#This Row],[Opp Team Name]]) &gt; 0, "N", "Y")</f>
        <v>N</v>
      </c>
      <c r="AH711" s="3" t="str">
        <f>IF(Table1[[#This Row],[Passing Attempts]] &lt;15, "Y", "N")</f>
        <v>Y</v>
      </c>
      <c r="AI711" s="3" t="str">
        <f>IF(Table1[[#This Row],[Rushing Attempts]] &lt; 15, "Y", "N")</f>
        <v>N</v>
      </c>
      <c r="AJ711" s="3" t="str">
        <f>IF(Table1[[#This Row],[Opp Passing Attempts]]&lt;15, "Y", "N")</f>
        <v>N</v>
      </c>
      <c r="AK711" s="3" t="str">
        <f>IF(Table1[[#This Row],[Opp Rushing Attempts]]&lt;15, "Y", "N")</f>
        <v>N</v>
      </c>
      <c r="AL71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1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88.65</v>
      </c>
      <c r="AN71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91.19</v>
      </c>
      <c r="AO7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70.41</v>
      </c>
      <c r="AP711" s="3">
        <f>ABS(Table1[[#This Row],[Team Score]]-Table1[[#This Row],[Opp Team Score]])</f>
        <v>7</v>
      </c>
      <c r="AQ711" s="3">
        <f>SUM(Table1[[#This Row],[Team Score]], Table1[[#This Row],[Opp Team Score]])</f>
        <v>35</v>
      </c>
      <c r="AR71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11" s="3" t="str">
        <f>IF(Table1[[#This Row],[Efficiency Difference]] = " ", " ", ROUND((Table1[[#This Row],[Winning Margin]]*100)/Table1[[#This Row],[Efficiency Difference]], 2))</f>
        <v xml:space="preserve"> </v>
      </c>
    </row>
    <row r="712" spans="1:45">
      <c r="A712" t="s">
        <v>136</v>
      </c>
      <c r="B712">
        <v>670</v>
      </c>
      <c r="C712">
        <v>28</v>
      </c>
      <c r="D712">
        <v>172</v>
      </c>
      <c r="E712">
        <v>21</v>
      </c>
      <c r="F712">
        <v>1</v>
      </c>
      <c r="G712">
        <v>12</v>
      </c>
      <c r="H712">
        <v>0</v>
      </c>
      <c r="I712">
        <v>336</v>
      </c>
      <c r="J712">
        <v>45</v>
      </c>
      <c r="K712">
        <v>3</v>
      </c>
      <c r="L712">
        <v>2</v>
      </c>
      <c r="M712" t="s">
        <v>141</v>
      </c>
      <c r="N712">
        <v>655</v>
      </c>
      <c r="O712">
        <v>38</v>
      </c>
      <c r="P712">
        <v>349</v>
      </c>
      <c r="Q712">
        <v>45</v>
      </c>
      <c r="R712">
        <v>0</v>
      </c>
      <c r="S712">
        <v>26</v>
      </c>
      <c r="T712">
        <v>0</v>
      </c>
      <c r="U712">
        <v>147</v>
      </c>
      <c r="V712">
        <v>39</v>
      </c>
      <c r="W712">
        <v>5</v>
      </c>
      <c r="X712">
        <v>0</v>
      </c>
      <c r="Y712" t="s">
        <v>19</v>
      </c>
      <c r="Z712">
        <v>8</v>
      </c>
      <c r="AA712" s="3">
        <f>IF(AND(Table1[[#This Row],[Throw Out Pass Eff]]="N", Table1[[#This Row],[Against FCS Team]]="N"), ROUND(((5.45 * D712) + (150 * F712) + (100 * G712) - (300 * H712)) / E712, 2), " ")</f>
        <v>108.92</v>
      </c>
      <c r="AB712" s="3">
        <f>IF(AND(Table1[[#This Row],[Throw Out Pass Def Eff]]="N", Table1[[#This Row],[Against FCS Team]]="N"),200 - ROUND(((5.45 * P712) + (150 * R712) + (100 * S712) - (300 * T712)) / Q712, 2), " ")</f>
        <v>99.95</v>
      </c>
      <c r="AC712" s="3">
        <f>IF(AND(Table1[[#This Row],[Throw Out Rush Eff]]="N", Table1[[#This Row],[Against FCS Team]]="N"), ROUND(((23.2 * I712) + (150 * K712) - (300 * L712)) / J712, 2), " ")</f>
        <v>169.89</v>
      </c>
      <c r="AD712" s="3">
        <f>IF(AND(Table1[[#This Row],[Throw Out Rush Def Eff]]="N", Table1[[#This Row],[Against FCS Team]]="N"), 200 - ROUND(((23.2 * U712) + (150 * W712) - (300 * X712)) / V712, 2), " ")</f>
        <v>93.32</v>
      </c>
      <c r="AE712" s="3">
        <f>ROUND(Table1[[#This Row],[Opp Passing Attempts]]/(Table1[[#This Row],[Opp Passing Attempts]]+Table1[[#This Row],[Opp Rushing Attempts]]), 2)</f>
        <v>0.54</v>
      </c>
      <c r="AF712" s="3">
        <f>1-Table1[[#This Row],[Passing Weight]]</f>
        <v>0.45999999999999996</v>
      </c>
      <c r="AG712" s="3" t="str">
        <f>IF(COUNTIF(A:A,Table1[[#This Row],[Opp Team Name]]) &gt; 0, "N", "Y")</f>
        <v>N</v>
      </c>
      <c r="AH712" s="3" t="str">
        <f>IF(Table1[[#This Row],[Passing Attempts]] &lt;15, "Y", "N")</f>
        <v>N</v>
      </c>
      <c r="AI712" s="3" t="str">
        <f>IF(Table1[[#This Row],[Rushing Attempts]] &lt; 15, "Y", "N")</f>
        <v>N</v>
      </c>
      <c r="AJ712" s="3" t="str">
        <f>IF(Table1[[#This Row],[Opp Passing Attempts]]&lt;15, "Y", "N")</f>
        <v>N</v>
      </c>
      <c r="AK712" s="3" t="str">
        <f>IF(Table1[[#This Row],[Opp Rushing Attempts]]&lt;15, "Y", "N")</f>
        <v>N</v>
      </c>
      <c r="AL71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99.2</v>
      </c>
      <c r="AM71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</v>
      </c>
      <c r="AN71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51.15</v>
      </c>
      <c r="AO71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99.55</v>
      </c>
      <c r="AP712" s="3">
        <f>ABS(Table1[[#This Row],[Team Score]]-Table1[[#This Row],[Opp Team Score]])</f>
        <v>10</v>
      </c>
      <c r="AQ712" s="3">
        <f>SUM(Table1[[#This Row],[Team Score]], Table1[[#This Row],[Opp Team Score]])</f>
        <v>66</v>
      </c>
      <c r="AR71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72.079999999999984</v>
      </c>
      <c r="AS712" s="3">
        <f>IF(Table1[[#This Row],[Efficiency Difference]] = " ", " ", ROUND((Table1[[#This Row],[Winning Margin]]*100)/Table1[[#This Row],[Efficiency Difference]], 2))</f>
        <v>13.87</v>
      </c>
    </row>
    <row r="713" spans="1:45">
      <c r="A713" t="s">
        <v>137</v>
      </c>
      <c r="B713">
        <v>700</v>
      </c>
      <c r="C713">
        <v>50</v>
      </c>
      <c r="D713">
        <v>348</v>
      </c>
      <c r="E713">
        <v>37</v>
      </c>
      <c r="F713">
        <v>4</v>
      </c>
      <c r="G713">
        <v>25</v>
      </c>
      <c r="H713">
        <v>0</v>
      </c>
      <c r="I713">
        <v>157</v>
      </c>
      <c r="J713">
        <v>33</v>
      </c>
      <c r="K713">
        <v>3</v>
      </c>
      <c r="L713">
        <v>1</v>
      </c>
      <c r="M713" t="s">
        <v>136</v>
      </c>
      <c r="N713">
        <v>670</v>
      </c>
      <c r="O713">
        <v>10</v>
      </c>
      <c r="P713">
        <v>75</v>
      </c>
      <c r="Q713">
        <v>21</v>
      </c>
      <c r="R713">
        <v>0</v>
      </c>
      <c r="S713">
        <v>10</v>
      </c>
      <c r="T713">
        <v>0</v>
      </c>
      <c r="U713">
        <v>256</v>
      </c>
      <c r="V713">
        <v>50</v>
      </c>
      <c r="W713">
        <v>1</v>
      </c>
      <c r="X713">
        <v>4</v>
      </c>
      <c r="Y713" t="s">
        <v>16</v>
      </c>
      <c r="Z713">
        <v>1</v>
      </c>
      <c r="AA713">
        <f>IF(AND(Table1[[#This Row],[Throw Out Pass Eff]]="N", Table1[[#This Row],[Against FCS Team]]="N"), ROUND(((5.45 * D713) + (150 * F713) + (100 * G713) - (300 * H713)) / E713, 2), " ")</f>
        <v>135.04</v>
      </c>
      <c r="AB713">
        <f>IF(AND(Table1[[#This Row],[Throw Out Pass Def Eff]]="N", Table1[[#This Row],[Against FCS Team]]="N"),200 - ROUND(((5.45 * P713) + (150 * R713) + (100 * S713) - (300 * T713)) / Q713, 2), " ")</f>
        <v>132.92000000000002</v>
      </c>
      <c r="AC713">
        <f>IF(AND(Table1[[#This Row],[Throw Out Rush Eff]]="N", Table1[[#This Row],[Against FCS Team]]="N"), ROUND(((23.2 * I713) + (150 * K713) - (300 * L713)) / J713, 2), " ")</f>
        <v>114.92</v>
      </c>
      <c r="AD713" s="3">
        <f>IF(AND(Table1[[#This Row],[Throw Out Rush Def Eff]]="N", Table1[[#This Row],[Against FCS Team]]="N"), 200 - ROUND(((23.2 * U713) + (150 * W713) - (300 * X713)) / V713, 2), " ")</f>
        <v>102.22</v>
      </c>
      <c r="AE713" s="3">
        <f>ROUND(Table1[[#This Row],[Opp Passing Attempts]]/(Table1[[#This Row],[Opp Passing Attempts]]+Table1[[#This Row],[Opp Rushing Attempts]]), 2)</f>
        <v>0.3</v>
      </c>
      <c r="AF713" s="3">
        <f>1-Table1[[#This Row],[Passing Weight]]</f>
        <v>0.7</v>
      </c>
      <c r="AG713" s="3" t="str">
        <f>IF(COUNTIF(A:A,Table1[[#This Row],[Opp Team Name]]) &gt; 0, "N", "Y")</f>
        <v>N</v>
      </c>
      <c r="AH713" s="3" t="str">
        <f>IF(Table1[[#This Row],[Passing Attempts]] &lt;15, "Y", "N")</f>
        <v>N</v>
      </c>
      <c r="AI713" s="3" t="str">
        <f>IF(Table1[[#This Row],[Rushing Attempts]] &lt; 15, "Y", "N")</f>
        <v>N</v>
      </c>
      <c r="AJ713" s="3" t="str">
        <f>IF(Table1[[#This Row],[Opp Passing Attempts]]&lt;15, "Y", "N")</f>
        <v>N</v>
      </c>
      <c r="AK713" s="3" t="str">
        <f>IF(Table1[[#This Row],[Opp Rushing Attempts]]&lt;15, "Y", "N")</f>
        <v>N</v>
      </c>
      <c r="AL7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147.41</v>
      </c>
      <c r="AM7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127.06</v>
      </c>
      <c r="AN7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76.5</v>
      </c>
      <c r="AO7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100.28</v>
      </c>
      <c r="AP713" s="3">
        <f>ABS(Table1[[#This Row],[Team Score]]-Table1[[#This Row],[Opp Team Score]])</f>
        <v>40</v>
      </c>
      <c r="AQ713" s="3">
        <f>SUM(Table1[[#This Row],[Team Score]], Table1[[#This Row],[Opp Team Score]])</f>
        <v>60</v>
      </c>
      <c r="AR7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85.1</v>
      </c>
      <c r="AS713" s="3">
        <f>IF(Table1[[#This Row],[Efficiency Difference]] = " ", " ", ROUND((Table1[[#This Row],[Winning Margin]]*100)/Table1[[#This Row],[Efficiency Difference]], 2))</f>
        <v>47</v>
      </c>
    </row>
    <row r="714" spans="1:45">
      <c r="A714" t="s">
        <v>137</v>
      </c>
      <c r="B714">
        <v>700</v>
      </c>
      <c r="C714">
        <v>59</v>
      </c>
      <c r="D714">
        <v>446</v>
      </c>
      <c r="E714">
        <v>50</v>
      </c>
      <c r="F714">
        <v>6</v>
      </c>
      <c r="G714">
        <v>45</v>
      </c>
      <c r="H714">
        <v>0</v>
      </c>
      <c r="I714">
        <v>178</v>
      </c>
      <c r="J714">
        <v>35</v>
      </c>
      <c r="K714">
        <v>2</v>
      </c>
      <c r="L714">
        <v>1</v>
      </c>
      <c r="M714" t="s">
        <v>59</v>
      </c>
      <c r="N714">
        <v>473</v>
      </c>
      <c r="O714">
        <v>13</v>
      </c>
      <c r="P714">
        <v>228</v>
      </c>
      <c r="Q714">
        <v>29</v>
      </c>
      <c r="R714">
        <v>0</v>
      </c>
      <c r="S714">
        <v>10</v>
      </c>
      <c r="T714">
        <v>1</v>
      </c>
      <c r="U714">
        <v>109</v>
      </c>
      <c r="V714">
        <v>37</v>
      </c>
      <c r="W714">
        <v>1</v>
      </c>
      <c r="X714">
        <v>2</v>
      </c>
      <c r="Y714" t="s">
        <v>16</v>
      </c>
      <c r="Z714">
        <v>3</v>
      </c>
      <c r="AA714">
        <f>IF(AND(Table1[[#This Row],[Throw Out Pass Eff]]="N", Table1[[#This Row],[Against FCS Team]]="N"), ROUND(((5.45 * D714) + (150 * F714) + (100 * G714) - (300 * H714)) / E714, 2), " ")</f>
        <v>156.61000000000001</v>
      </c>
      <c r="AB714">
        <f>IF(AND(Table1[[#This Row],[Throw Out Pass Def Eff]]="N", Table1[[#This Row],[Against FCS Team]]="N"),200 - ROUND(((5.45 * P714) + (150 * R714) + (100 * S714) - (300 * T714)) / Q714, 2), " ")</f>
        <v>133.01</v>
      </c>
      <c r="AC714">
        <f>IF(AND(Table1[[#This Row],[Throw Out Rush Eff]]="N", Table1[[#This Row],[Against FCS Team]]="N"), ROUND(((23.2 * I714) + (150 * K714) - (300 * L714)) / J714, 2), " ")</f>
        <v>117.99</v>
      </c>
      <c r="AD714" s="3">
        <f>IF(AND(Table1[[#This Row],[Throw Out Rush Def Eff]]="N", Table1[[#This Row],[Against FCS Team]]="N"), 200 - ROUND(((23.2 * U714) + (150 * W714) - (300 * X714)) / V714, 2), " ")</f>
        <v>143.82</v>
      </c>
      <c r="AE714" s="3">
        <f>ROUND(Table1[[#This Row],[Opp Passing Attempts]]/(Table1[[#This Row],[Opp Passing Attempts]]+Table1[[#This Row],[Opp Rushing Attempts]]), 2)</f>
        <v>0.44</v>
      </c>
      <c r="AF714" s="3">
        <f>1-Table1[[#This Row],[Passing Weight]]</f>
        <v>0.56000000000000005</v>
      </c>
      <c r="AG714" s="3" t="str">
        <f>IF(COUNTIF(A:A,Table1[[#This Row],[Opp Team Name]]) &gt; 0, "N", "Y")</f>
        <v>N</v>
      </c>
      <c r="AH714" s="3" t="str">
        <f>IF(Table1[[#This Row],[Passing Attempts]] &lt;15, "Y", "N")</f>
        <v>N</v>
      </c>
      <c r="AI714" s="3" t="str">
        <f>IF(Table1[[#This Row],[Rushing Attempts]] &lt; 15, "Y", "N")</f>
        <v>N</v>
      </c>
      <c r="AJ714" s="3" t="str">
        <f>IF(Table1[[#This Row],[Opp Passing Attempts]]&lt;15, "Y", "N")</f>
        <v>N</v>
      </c>
      <c r="AK714" s="3" t="str">
        <f>IF(Table1[[#This Row],[Opp Rushing Attempts]]&lt;15, "Y", "N")</f>
        <v>N</v>
      </c>
      <c r="AL7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104.36</v>
      </c>
      <c r="AM7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113.59</v>
      </c>
      <c r="AN7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79.66</v>
      </c>
      <c r="AO7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104.89</v>
      </c>
      <c r="AP714" s="3">
        <f>ABS(Table1[[#This Row],[Team Score]]-Table1[[#This Row],[Opp Team Score]])</f>
        <v>46</v>
      </c>
      <c r="AQ714" s="3">
        <f>SUM(Table1[[#This Row],[Team Score]], Table1[[#This Row],[Opp Team Score]])</f>
        <v>72</v>
      </c>
      <c r="AR7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151.43</v>
      </c>
      <c r="AS714" s="3">
        <f>IF(Table1[[#This Row],[Efficiency Difference]] = " ", " ", ROUND((Table1[[#This Row],[Winning Margin]]*100)/Table1[[#This Row],[Efficiency Difference]], 2))</f>
        <v>30.38</v>
      </c>
    </row>
    <row r="715" spans="1:45">
      <c r="A715" t="s">
        <v>137</v>
      </c>
      <c r="B715">
        <v>700</v>
      </c>
      <c r="C715">
        <v>35</v>
      </c>
      <c r="D715">
        <v>222</v>
      </c>
      <c r="E715">
        <v>38</v>
      </c>
      <c r="F715">
        <v>3</v>
      </c>
      <c r="G715">
        <v>26</v>
      </c>
      <c r="H715">
        <v>0</v>
      </c>
      <c r="I715">
        <v>219</v>
      </c>
      <c r="J715">
        <v>38</v>
      </c>
      <c r="K715">
        <v>2</v>
      </c>
      <c r="L715">
        <v>0</v>
      </c>
      <c r="M715" t="s">
        <v>181</v>
      </c>
      <c r="N715">
        <v>466</v>
      </c>
      <c r="O715">
        <v>34</v>
      </c>
      <c r="P715">
        <v>250</v>
      </c>
      <c r="Q715">
        <v>24</v>
      </c>
      <c r="R715">
        <v>2</v>
      </c>
      <c r="S715">
        <v>15</v>
      </c>
      <c r="T715">
        <v>0</v>
      </c>
      <c r="U715">
        <v>312</v>
      </c>
      <c r="V715">
        <v>46</v>
      </c>
      <c r="W715">
        <v>2</v>
      </c>
      <c r="X715">
        <v>0</v>
      </c>
      <c r="Y715" t="s">
        <v>16</v>
      </c>
      <c r="Z715">
        <v>4</v>
      </c>
      <c r="AA715">
        <f>IF(AND(Table1[[#This Row],[Throw Out Pass Eff]]="N", Table1[[#This Row],[Against FCS Team]]="N"), ROUND(((5.45 * D715) + (150 * F715) + (100 * G715) - (300 * H715)) / E715, 2), " ")</f>
        <v>112.1</v>
      </c>
      <c r="AB715">
        <f>IF(AND(Table1[[#This Row],[Throw Out Pass Def Eff]]="N", Table1[[#This Row],[Against FCS Team]]="N"),200 - ROUND(((5.45 * P715) + (150 * R715) + (100 * S715) - (300 * T715)) / Q715, 2), " ")</f>
        <v>68.22999999999999</v>
      </c>
      <c r="AC715">
        <f>IF(AND(Table1[[#This Row],[Throw Out Rush Eff]]="N", Table1[[#This Row],[Against FCS Team]]="N"), ROUND(((23.2 * I715) + (150 * K715) - (300 * L715)) / J715, 2), " ")</f>
        <v>141.6</v>
      </c>
      <c r="AD715" s="3">
        <f>IF(AND(Table1[[#This Row],[Throw Out Rush Def Eff]]="N", Table1[[#This Row],[Against FCS Team]]="N"), 200 - ROUND(((23.2 * U715) + (150 * W715) - (300 * X715)) / V715, 2), " ")</f>
        <v>36.120000000000005</v>
      </c>
      <c r="AE715" s="3">
        <f>ROUND(Table1[[#This Row],[Opp Passing Attempts]]/(Table1[[#This Row],[Opp Passing Attempts]]+Table1[[#This Row],[Opp Rushing Attempts]]), 2)</f>
        <v>0.34</v>
      </c>
      <c r="AF715" s="3">
        <f>1-Table1[[#This Row],[Passing Weight]]</f>
        <v>0.65999999999999992</v>
      </c>
      <c r="AG715" s="3" t="str">
        <f>IF(COUNTIF(A:A,Table1[[#This Row],[Opp Team Name]]) &gt; 0, "N", "Y")</f>
        <v>N</v>
      </c>
      <c r="AH715" s="3" t="str">
        <f>IF(Table1[[#This Row],[Passing Attempts]] &lt;15, "Y", "N")</f>
        <v>N</v>
      </c>
      <c r="AI715" s="3" t="str">
        <f>IF(Table1[[#This Row],[Rushing Attempts]] &lt; 15, "Y", "N")</f>
        <v>N</v>
      </c>
      <c r="AJ715" s="3" t="str">
        <f>IF(Table1[[#This Row],[Opp Passing Attempts]]&lt;15, "Y", "N")</f>
        <v>N</v>
      </c>
      <c r="AK715" s="3" t="str">
        <f>IF(Table1[[#This Row],[Opp Rushing Attempts]]&lt;15, "Y", "N")</f>
        <v>N</v>
      </c>
      <c r="AL7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119.11</v>
      </c>
      <c r="AM7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67.55</v>
      </c>
      <c r="AN7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122.23</v>
      </c>
      <c r="AO7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42.52</v>
      </c>
      <c r="AP715" s="3">
        <f>ABS(Table1[[#This Row],[Team Score]]-Table1[[#This Row],[Opp Team Score]])</f>
        <v>1</v>
      </c>
      <c r="AQ715" s="3">
        <f>SUM(Table1[[#This Row],[Team Score]], Table1[[#This Row],[Opp Team Score]])</f>
        <v>69</v>
      </c>
      <c r="AR7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41.949999999999989</v>
      </c>
      <c r="AS715" s="3">
        <f>IF(Table1[[#This Row],[Efficiency Difference]] = " ", " ", ROUND((Table1[[#This Row],[Winning Margin]]*100)/Table1[[#This Row],[Efficiency Difference]], 2))</f>
        <v>2.38</v>
      </c>
    </row>
    <row r="716" spans="1:45">
      <c r="A716" t="s">
        <v>137</v>
      </c>
      <c r="B716">
        <v>700</v>
      </c>
      <c r="C716">
        <v>45</v>
      </c>
      <c r="D716">
        <v>366</v>
      </c>
      <c r="E716">
        <v>46</v>
      </c>
      <c r="F716">
        <v>3</v>
      </c>
      <c r="G716">
        <v>29</v>
      </c>
      <c r="H716">
        <v>1</v>
      </c>
      <c r="I716">
        <v>164</v>
      </c>
      <c r="J716">
        <v>40</v>
      </c>
      <c r="K716">
        <v>3</v>
      </c>
      <c r="L716">
        <v>0</v>
      </c>
      <c r="M716" t="s">
        <v>80</v>
      </c>
      <c r="N716">
        <v>328</v>
      </c>
      <c r="O716">
        <v>34</v>
      </c>
      <c r="P716">
        <v>239</v>
      </c>
      <c r="Q716">
        <v>22</v>
      </c>
      <c r="R716">
        <v>3</v>
      </c>
      <c r="S716">
        <v>16</v>
      </c>
      <c r="T716">
        <v>3</v>
      </c>
      <c r="U716">
        <v>239</v>
      </c>
      <c r="V716">
        <v>51</v>
      </c>
      <c r="W716">
        <v>2</v>
      </c>
      <c r="X716">
        <v>1</v>
      </c>
      <c r="Y716" t="s">
        <v>16</v>
      </c>
      <c r="Z716">
        <v>5</v>
      </c>
      <c r="AA716">
        <f>IF(AND(Table1[[#This Row],[Throw Out Pass Eff]]="N", Table1[[#This Row],[Against FCS Team]]="N"), ROUND(((5.45 * D716) + (150 * F716) + (100 * G716) - (300 * H716)) / E716, 2), " ")</f>
        <v>109.67</v>
      </c>
      <c r="AB716">
        <f>IF(AND(Table1[[#This Row],[Throw Out Pass Def Eff]]="N", Table1[[#This Row],[Against FCS Team]]="N"),200 - ROUND(((5.45 * P716) + (150 * R716) + (100 * S716) - (300 * T716)) / Q716, 2), " ")</f>
        <v>88.52</v>
      </c>
      <c r="AC716">
        <f>IF(AND(Table1[[#This Row],[Throw Out Rush Eff]]="N", Table1[[#This Row],[Against FCS Team]]="N"), ROUND(((23.2 * I716) + (150 * K716) - (300 * L716)) / J716, 2), " ")</f>
        <v>106.37</v>
      </c>
      <c r="AD716" s="3">
        <f>IF(AND(Table1[[#This Row],[Throw Out Rush Def Eff]]="N", Table1[[#This Row],[Against FCS Team]]="N"), 200 - ROUND(((23.2 * U716) + (150 * W716) - (300 * X716)) / V716, 2), " ")</f>
        <v>91.28</v>
      </c>
      <c r="AE716" s="3">
        <f>ROUND(Table1[[#This Row],[Opp Passing Attempts]]/(Table1[[#This Row],[Opp Passing Attempts]]+Table1[[#This Row],[Opp Rushing Attempts]]), 2)</f>
        <v>0.3</v>
      </c>
      <c r="AF716" s="3">
        <f>1-Table1[[#This Row],[Passing Weight]]</f>
        <v>0.7</v>
      </c>
      <c r="AG716" s="3" t="str">
        <f>IF(COUNTIF(A:A,Table1[[#This Row],[Opp Team Name]]) &gt; 0, "N", "Y")</f>
        <v>N</v>
      </c>
      <c r="AH716" s="3" t="str">
        <f>IF(Table1[[#This Row],[Passing Attempts]] &lt;15, "Y", "N")</f>
        <v>N</v>
      </c>
      <c r="AI716" s="3" t="str">
        <f>IF(Table1[[#This Row],[Rushing Attempts]] &lt; 15, "Y", "N")</f>
        <v>N</v>
      </c>
      <c r="AJ716" s="3" t="str">
        <f>IF(Table1[[#This Row],[Opp Passing Attempts]]&lt;15, "Y", "N")</f>
        <v>N</v>
      </c>
      <c r="AK716" s="3" t="str">
        <f>IF(Table1[[#This Row],[Opp Rushing Attempts]]&lt;15, "Y", "N")</f>
        <v>N</v>
      </c>
      <c r="AL7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79.62</v>
      </c>
      <c r="AM7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96.45</v>
      </c>
      <c r="AN7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58.44</v>
      </c>
      <c r="AO7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83.44</v>
      </c>
      <c r="AP716" s="3">
        <f>ABS(Table1[[#This Row],[Team Score]]-Table1[[#This Row],[Opp Team Score]])</f>
        <v>11</v>
      </c>
      <c r="AQ716" s="3">
        <f>SUM(Table1[[#This Row],[Team Score]], Table1[[#This Row],[Opp Team Score]])</f>
        <v>79</v>
      </c>
      <c r="AR7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4.1599999999999682</v>
      </c>
      <c r="AS716" s="3">
        <f>IF(Table1[[#This Row],[Efficiency Difference]] = " ", " ", ROUND((Table1[[#This Row],[Winning Margin]]*100)/Table1[[#This Row],[Efficiency Difference]], 2))</f>
        <v>264.42</v>
      </c>
    </row>
    <row r="717" spans="1:45">
      <c r="A717" t="s">
        <v>137</v>
      </c>
      <c r="B717">
        <v>700</v>
      </c>
      <c r="C717">
        <v>40</v>
      </c>
      <c r="D717">
        <v>391</v>
      </c>
      <c r="E717">
        <v>66</v>
      </c>
      <c r="F717">
        <v>3</v>
      </c>
      <c r="G717">
        <v>44</v>
      </c>
      <c r="H717">
        <v>0</v>
      </c>
      <c r="I717">
        <v>132</v>
      </c>
      <c r="J717">
        <v>39</v>
      </c>
      <c r="K717">
        <v>1</v>
      </c>
      <c r="L717">
        <v>0</v>
      </c>
      <c r="M717" t="s">
        <v>187</v>
      </c>
      <c r="N717">
        <v>697</v>
      </c>
      <c r="O717">
        <v>45</v>
      </c>
      <c r="P717">
        <v>188</v>
      </c>
      <c r="Q717">
        <v>26</v>
      </c>
      <c r="R717">
        <v>1</v>
      </c>
      <c r="S717">
        <v>16</v>
      </c>
      <c r="T717">
        <v>0</v>
      </c>
      <c r="U717">
        <v>205</v>
      </c>
      <c r="V717">
        <v>46</v>
      </c>
      <c r="W717">
        <v>4</v>
      </c>
      <c r="X717">
        <v>0</v>
      </c>
      <c r="Y717" t="s">
        <v>19</v>
      </c>
      <c r="Z717">
        <v>6</v>
      </c>
      <c r="AA717">
        <f>IF(AND(Table1[[#This Row],[Throw Out Pass Eff]]="N", Table1[[#This Row],[Against FCS Team]]="N"), ROUND(((5.45 * D717) + (150 * F717) + (100 * G717) - (300 * H717)) / E717, 2), " ")</f>
        <v>105.77</v>
      </c>
      <c r="AB717">
        <f>IF(AND(Table1[[#This Row],[Throw Out Pass Def Eff]]="N", Table1[[#This Row],[Against FCS Team]]="N"),200 - ROUND(((5.45 * P717) + (150 * R717) + (100 * S717) - (300 * T717)) / Q717, 2), " ")</f>
        <v>93.28</v>
      </c>
      <c r="AC717">
        <f>IF(AND(Table1[[#This Row],[Throw Out Rush Eff]]="N", Table1[[#This Row],[Against FCS Team]]="N"), ROUND(((23.2 * I717) + (150 * K717) - (300 * L717)) / J717, 2), " ")</f>
        <v>82.37</v>
      </c>
      <c r="AD717" s="3">
        <f>IF(AND(Table1[[#This Row],[Throw Out Rush Def Eff]]="N", Table1[[#This Row],[Against FCS Team]]="N"), 200 - ROUND(((23.2 * U717) + (150 * W717) - (300 * X717)) / V717, 2), " ")</f>
        <v>83.57</v>
      </c>
      <c r="AE717" s="3">
        <f>ROUND(Table1[[#This Row],[Opp Passing Attempts]]/(Table1[[#This Row],[Opp Passing Attempts]]+Table1[[#This Row],[Opp Rushing Attempts]]), 2)</f>
        <v>0.36</v>
      </c>
      <c r="AF717" s="3">
        <f>1-Table1[[#This Row],[Passing Weight]]</f>
        <v>0.64</v>
      </c>
      <c r="AG717" s="3" t="str">
        <f>IF(COUNTIF(A:A,Table1[[#This Row],[Opp Team Name]]) &gt; 0, "N", "Y")</f>
        <v>N</v>
      </c>
      <c r="AH717" s="3" t="str">
        <f>IF(Table1[[#This Row],[Passing Attempts]] &lt;15, "Y", "N")</f>
        <v>N</v>
      </c>
      <c r="AI717" s="3" t="str">
        <f>IF(Table1[[#This Row],[Rushing Attempts]] &lt; 15, "Y", "N")</f>
        <v>N</v>
      </c>
      <c r="AJ717" s="3" t="str">
        <f>IF(Table1[[#This Row],[Opp Passing Attempts]]&lt;15, "Y", "N")</f>
        <v>N</v>
      </c>
      <c r="AK717" s="3" t="str">
        <f>IF(Table1[[#This Row],[Opp Rushing Attempts]]&lt;15, "Y", "N")</f>
        <v>N</v>
      </c>
      <c r="AL7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104.14</v>
      </c>
      <c r="AM71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105.18</v>
      </c>
      <c r="AN71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114.77</v>
      </c>
      <c r="AO7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108.43</v>
      </c>
      <c r="AP717" s="3">
        <f>ABS(Table1[[#This Row],[Team Score]]-Table1[[#This Row],[Opp Team Score]])</f>
        <v>5</v>
      </c>
      <c r="AQ717" s="3">
        <f>SUM(Table1[[#This Row],[Team Score]], Table1[[#This Row],[Opp Team Score]])</f>
        <v>85</v>
      </c>
      <c r="AR71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35.010000000000019</v>
      </c>
      <c r="AS717" s="3">
        <f>IF(Table1[[#This Row],[Efficiency Difference]] = " ", " ", ROUND((Table1[[#This Row],[Winning Margin]]*100)/Table1[[#This Row],[Efficiency Difference]], 2))</f>
        <v>14.28</v>
      </c>
    </row>
    <row r="718" spans="1:45">
      <c r="A718" t="s">
        <v>137</v>
      </c>
      <c r="B718">
        <v>700</v>
      </c>
      <c r="C718">
        <v>34</v>
      </c>
      <c r="D718">
        <v>461</v>
      </c>
      <c r="E718">
        <v>63</v>
      </c>
      <c r="F718">
        <v>1</v>
      </c>
      <c r="G718">
        <v>43</v>
      </c>
      <c r="H718">
        <v>3</v>
      </c>
      <c r="I718">
        <v>119</v>
      </c>
      <c r="J718">
        <v>33</v>
      </c>
      <c r="K718">
        <v>3</v>
      </c>
      <c r="L718">
        <v>1</v>
      </c>
      <c r="M718" t="s">
        <v>82</v>
      </c>
      <c r="N718">
        <v>327</v>
      </c>
      <c r="O718">
        <v>41</v>
      </c>
      <c r="P718">
        <v>146</v>
      </c>
      <c r="Q718">
        <v>18</v>
      </c>
      <c r="R718">
        <v>1</v>
      </c>
      <c r="S718">
        <v>12</v>
      </c>
      <c r="T718">
        <v>0</v>
      </c>
      <c r="U718">
        <v>193</v>
      </c>
      <c r="V718">
        <v>47</v>
      </c>
      <c r="W718">
        <v>3</v>
      </c>
      <c r="X718">
        <v>0</v>
      </c>
      <c r="Y718" t="s">
        <v>19</v>
      </c>
      <c r="Z718">
        <v>7</v>
      </c>
      <c r="AA718">
        <f>IF(AND(Table1[[#This Row],[Throw Out Pass Eff]]="N", Table1[[#This Row],[Against FCS Team]]="N"), ROUND(((5.45 * D718) + (150 * F718) + (100 * G718) - (300 * H718)) / E718, 2), " ")</f>
        <v>96.23</v>
      </c>
      <c r="AB718">
        <f>IF(AND(Table1[[#This Row],[Throw Out Pass Def Eff]]="N", Table1[[#This Row],[Against FCS Team]]="N"),200 - ROUND(((5.45 * P718) + (150 * R718) + (100 * S718) - (300 * T718)) / Q718, 2), " ")</f>
        <v>80.790000000000006</v>
      </c>
      <c r="AC718">
        <f>IF(AND(Table1[[#This Row],[Throw Out Rush Eff]]="N", Table1[[#This Row],[Against FCS Team]]="N"), ROUND(((23.2 * I718) + (150 * K718) - (300 * L718)) / J718, 2), " ")</f>
        <v>88.21</v>
      </c>
      <c r="AD718" s="3">
        <f>IF(AND(Table1[[#This Row],[Throw Out Rush Def Eff]]="N", Table1[[#This Row],[Against FCS Team]]="N"), 200 - ROUND(((23.2 * U718) + (150 * W718) - (300 * X718)) / V718, 2), " ")</f>
        <v>95.16</v>
      </c>
      <c r="AE718" s="3">
        <f>ROUND(Table1[[#This Row],[Opp Passing Attempts]]/(Table1[[#This Row],[Opp Passing Attempts]]+Table1[[#This Row],[Opp Rushing Attempts]]), 2)</f>
        <v>0.28000000000000003</v>
      </c>
      <c r="AF718" s="3">
        <f>1-Table1[[#This Row],[Passing Weight]]</f>
        <v>0.72</v>
      </c>
      <c r="AG718" s="3" t="str">
        <f>IF(COUNTIF(A:A,Table1[[#This Row],[Opp Team Name]]) &gt; 0, "N", "Y")</f>
        <v>N</v>
      </c>
      <c r="AH718" s="3" t="str">
        <f>IF(Table1[[#This Row],[Passing Attempts]] &lt;15, "Y", "N")</f>
        <v>N</v>
      </c>
      <c r="AI718" s="3" t="str">
        <f>IF(Table1[[#This Row],[Rushing Attempts]] &lt; 15, "Y", "N")</f>
        <v>N</v>
      </c>
      <c r="AJ718" s="3" t="str">
        <f>IF(Table1[[#This Row],[Opp Passing Attempts]]&lt;15, "Y", "N")</f>
        <v>N</v>
      </c>
      <c r="AK718" s="3" t="str">
        <f>IF(Table1[[#This Row],[Opp Rushing Attempts]]&lt;15, "Y", "N")</f>
        <v>N</v>
      </c>
      <c r="AL71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98.44</v>
      </c>
      <c r="AM71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83.43</v>
      </c>
      <c r="AN71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108.44</v>
      </c>
      <c r="AO71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115.71</v>
      </c>
      <c r="AP718" s="3">
        <f>ABS(Table1[[#This Row],[Team Score]]-Table1[[#This Row],[Opp Team Score]])</f>
        <v>7</v>
      </c>
      <c r="AQ718" s="3">
        <f>SUM(Table1[[#This Row],[Team Score]], Table1[[#This Row],[Opp Team Score]])</f>
        <v>75</v>
      </c>
      <c r="AR71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39.610000000000014</v>
      </c>
      <c r="AS718" s="3">
        <f>IF(Table1[[#This Row],[Efficiency Difference]] = " ", " ", ROUND((Table1[[#This Row],[Winning Margin]]*100)/Table1[[#This Row],[Efficiency Difference]], 2))</f>
        <v>17.670000000000002</v>
      </c>
    </row>
    <row r="719" spans="1:45">
      <c r="A719" t="s">
        <v>137</v>
      </c>
      <c r="B719">
        <v>700</v>
      </c>
      <c r="C719">
        <v>41</v>
      </c>
      <c r="D719">
        <v>452</v>
      </c>
      <c r="E719">
        <v>53</v>
      </c>
      <c r="F719">
        <v>4</v>
      </c>
      <c r="G719">
        <v>34</v>
      </c>
      <c r="H719">
        <v>0</v>
      </c>
      <c r="I719">
        <v>120</v>
      </c>
      <c r="J719">
        <v>43</v>
      </c>
      <c r="K719">
        <v>1</v>
      </c>
      <c r="L719">
        <v>0</v>
      </c>
      <c r="M719" t="s">
        <v>116</v>
      </c>
      <c r="N719">
        <v>522</v>
      </c>
      <c r="O719">
        <v>38</v>
      </c>
      <c r="P719">
        <v>412</v>
      </c>
      <c r="Q719">
        <v>55</v>
      </c>
      <c r="R719">
        <v>5</v>
      </c>
      <c r="S719">
        <v>30</v>
      </c>
      <c r="T719">
        <v>1</v>
      </c>
      <c r="U719">
        <v>124</v>
      </c>
      <c r="V719">
        <v>25</v>
      </c>
      <c r="W719">
        <v>0</v>
      </c>
      <c r="X719">
        <v>1</v>
      </c>
      <c r="Y719" t="s">
        <v>16</v>
      </c>
      <c r="Z719">
        <v>8</v>
      </c>
      <c r="AA719" s="3">
        <f>IF(AND(Table1[[#This Row],[Throw Out Pass Eff]]="N", Table1[[#This Row],[Against FCS Team]]="N"), ROUND(((5.45 * D719) + (150 * F719) + (100 * G719) - (300 * H719)) / E719, 2), " ")</f>
        <v>121.95</v>
      </c>
      <c r="AB719" s="3">
        <f>IF(AND(Table1[[#This Row],[Throw Out Pass Def Eff]]="N", Table1[[#This Row],[Against FCS Team]]="N"),200 - ROUND(((5.45 * P719) + (150 * R719) + (100 * S719) - (300 * T719)) / Q719, 2), " ")</f>
        <v>96.45</v>
      </c>
      <c r="AC719" s="3">
        <f>IF(AND(Table1[[#This Row],[Throw Out Rush Eff]]="N", Table1[[#This Row],[Against FCS Team]]="N"), ROUND(((23.2 * I719) + (150 * K719) - (300 * L719)) / J719, 2), " ")</f>
        <v>68.23</v>
      </c>
      <c r="AD719" s="3">
        <f>IF(AND(Table1[[#This Row],[Throw Out Rush Def Eff]]="N", Table1[[#This Row],[Against FCS Team]]="N"), 200 - ROUND(((23.2 * U719) + (150 * W719) - (300 * X719)) / V719, 2), " ")</f>
        <v>96.93</v>
      </c>
      <c r="AE719" s="3">
        <f>ROUND(Table1[[#This Row],[Opp Passing Attempts]]/(Table1[[#This Row],[Opp Passing Attempts]]+Table1[[#This Row],[Opp Rushing Attempts]]), 2)</f>
        <v>0.69</v>
      </c>
      <c r="AF719" s="3">
        <f>1-Table1[[#This Row],[Passing Weight]]</f>
        <v>0.31000000000000005</v>
      </c>
      <c r="AG719" s="3" t="str">
        <f>IF(COUNTIF(A:A,Table1[[#This Row],[Opp Team Name]]) &gt; 0, "N", "Y")</f>
        <v>N</v>
      </c>
      <c r="AH719" s="3" t="str">
        <f>IF(Table1[[#This Row],[Passing Attempts]] &lt;15, "Y", "N")</f>
        <v>N</v>
      </c>
      <c r="AI719" s="3" t="str">
        <f>IF(Table1[[#This Row],[Rushing Attempts]] &lt; 15, "Y", "N")</f>
        <v>N</v>
      </c>
      <c r="AJ719" s="3" t="str">
        <f>IF(Table1[[#This Row],[Opp Passing Attempts]]&lt;15, "Y", "N")</f>
        <v>N</v>
      </c>
      <c r="AK719" s="3" t="str">
        <f>IF(Table1[[#This Row],[Opp Rushing Attempts]]&lt;15, "Y", "N")</f>
        <v>N</v>
      </c>
      <c r="AL71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143.75</v>
      </c>
      <c r="AM71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108.33</v>
      </c>
      <c r="AN71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89.87</v>
      </c>
      <c r="AO71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105.24</v>
      </c>
      <c r="AP719" s="3">
        <f>ABS(Table1[[#This Row],[Team Score]]-Table1[[#This Row],[Opp Team Score]])</f>
        <v>3</v>
      </c>
      <c r="AQ719" s="3">
        <f>SUM(Table1[[#This Row],[Team Score]], Table1[[#This Row],[Opp Team Score]])</f>
        <v>79</v>
      </c>
      <c r="AR71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16.439999999999998</v>
      </c>
      <c r="AS719" s="3">
        <f>IF(Table1[[#This Row],[Efficiency Difference]] = " ", " ", ROUND((Table1[[#This Row],[Winning Margin]]*100)/Table1[[#This Row],[Efficiency Difference]], 2))</f>
        <v>18.25</v>
      </c>
    </row>
    <row r="720" spans="1:45">
      <c r="A720" t="s">
        <v>138</v>
      </c>
      <c r="B720">
        <v>709</v>
      </c>
      <c r="C720">
        <v>58</v>
      </c>
      <c r="D720">
        <v>304</v>
      </c>
      <c r="E720">
        <v>36</v>
      </c>
      <c r="F720">
        <v>5</v>
      </c>
      <c r="G720">
        <v>27</v>
      </c>
      <c r="H720">
        <v>0</v>
      </c>
      <c r="I720">
        <v>278</v>
      </c>
      <c r="J720">
        <v>47</v>
      </c>
      <c r="K720">
        <v>2</v>
      </c>
      <c r="L720">
        <v>0</v>
      </c>
      <c r="M720" t="s">
        <v>139</v>
      </c>
      <c r="N720">
        <v>469</v>
      </c>
      <c r="O720">
        <v>22</v>
      </c>
      <c r="P720">
        <v>180</v>
      </c>
      <c r="Q720">
        <v>33</v>
      </c>
      <c r="R720">
        <v>1</v>
      </c>
      <c r="S720">
        <v>24</v>
      </c>
      <c r="T720">
        <v>2</v>
      </c>
      <c r="U720">
        <v>152</v>
      </c>
      <c r="V720">
        <v>33</v>
      </c>
      <c r="W720">
        <v>2</v>
      </c>
      <c r="X720">
        <v>3</v>
      </c>
      <c r="Y720" t="s">
        <v>16</v>
      </c>
      <c r="Z720">
        <v>1</v>
      </c>
      <c r="AA720" t="str">
        <f>IF(AND(Table1[[#This Row],[Throw Out Pass Eff]]="N", Table1[[#This Row],[Against FCS Team]]="N"), ROUND(((5.45 * D720) + (150 * F720) + (100 * G720) - (300 * H720)) / E720, 2), " ")</f>
        <v xml:space="preserve"> </v>
      </c>
      <c r="AB720" t="str">
        <f>IF(AND(Table1[[#This Row],[Throw Out Pass Def Eff]]="N", Table1[[#This Row],[Against FCS Team]]="N"),200 - ROUND(((5.45 * P720) + (150 * R720) + (100 * S720) - (300 * T720)) / Q720, 2), " ")</f>
        <v xml:space="preserve"> </v>
      </c>
      <c r="AC720" t="str">
        <f>IF(AND(Table1[[#This Row],[Throw Out Rush Eff]]="N", Table1[[#This Row],[Against FCS Team]]="N"), ROUND(((23.2 * I720) + (150 * K720) - (300 * L720)) / J720, 2), " ")</f>
        <v xml:space="preserve"> </v>
      </c>
      <c r="AD720" s="3" t="str">
        <f>IF(AND(Table1[[#This Row],[Throw Out Rush Def Eff]]="N", Table1[[#This Row],[Against FCS Team]]="N"), 200 - ROUND(((23.2 * U720) + (150 * W720) - (300 * X720)) / V720, 2), " ")</f>
        <v xml:space="preserve"> </v>
      </c>
      <c r="AE720" s="3">
        <f>ROUND(Table1[[#This Row],[Opp Passing Attempts]]/(Table1[[#This Row],[Opp Passing Attempts]]+Table1[[#This Row],[Opp Rushing Attempts]]), 2)</f>
        <v>0.5</v>
      </c>
      <c r="AF720" s="3">
        <f>1-Table1[[#This Row],[Passing Weight]]</f>
        <v>0.5</v>
      </c>
      <c r="AG720" s="3" t="str">
        <f>IF(COUNTIF(A:A,Table1[[#This Row],[Opp Team Name]]) &gt; 0, "N", "Y")</f>
        <v>Y</v>
      </c>
      <c r="AH720" s="3" t="str">
        <f>IF(Table1[[#This Row],[Passing Attempts]] &lt;15, "Y", "N")</f>
        <v>N</v>
      </c>
      <c r="AI720" s="3" t="str">
        <f>IF(Table1[[#This Row],[Rushing Attempts]] &lt; 15, "Y", "N")</f>
        <v>N</v>
      </c>
      <c r="AJ720" s="3" t="str">
        <f>IF(Table1[[#This Row],[Opp Passing Attempts]]&lt;15, "Y", "N")</f>
        <v>N</v>
      </c>
      <c r="AK720" s="3" t="str">
        <f>IF(Table1[[#This Row],[Opp Rushing Attempts]]&lt;15, "Y", "N")</f>
        <v>N</v>
      </c>
      <c r="AL720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20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20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20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20" s="3">
        <f>ABS(Table1[[#This Row],[Team Score]]-Table1[[#This Row],[Opp Team Score]])</f>
        <v>36</v>
      </c>
      <c r="AQ720" s="3">
        <f>SUM(Table1[[#This Row],[Team Score]], Table1[[#This Row],[Opp Team Score]])</f>
        <v>80</v>
      </c>
      <c r="AR72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20" s="3" t="str">
        <f>IF(Table1[[#This Row],[Efficiency Difference]] = " ", " ", ROUND((Table1[[#This Row],[Winning Margin]]*100)/Table1[[#This Row],[Efficiency Difference]], 2))</f>
        <v xml:space="preserve"> </v>
      </c>
    </row>
    <row r="721" spans="1:45">
      <c r="A721" t="s">
        <v>138</v>
      </c>
      <c r="B721">
        <v>709</v>
      </c>
      <c r="C721">
        <v>22</v>
      </c>
      <c r="D721">
        <v>292</v>
      </c>
      <c r="E721">
        <v>42</v>
      </c>
      <c r="F721">
        <v>2</v>
      </c>
      <c r="G721">
        <v>21</v>
      </c>
      <c r="H721">
        <v>1</v>
      </c>
      <c r="I721">
        <v>46</v>
      </c>
      <c r="J721">
        <v>30</v>
      </c>
      <c r="K721">
        <v>1</v>
      </c>
      <c r="L721">
        <v>0</v>
      </c>
      <c r="M721" t="s">
        <v>18</v>
      </c>
      <c r="N721">
        <v>518</v>
      </c>
      <c r="O721">
        <v>27</v>
      </c>
      <c r="P721">
        <v>189</v>
      </c>
      <c r="Q721">
        <v>30</v>
      </c>
      <c r="R721">
        <v>1</v>
      </c>
      <c r="S721">
        <v>16</v>
      </c>
      <c r="T721">
        <v>0</v>
      </c>
      <c r="U721">
        <v>112</v>
      </c>
      <c r="V721">
        <v>34</v>
      </c>
      <c r="W721">
        <v>2</v>
      </c>
      <c r="X721">
        <v>1</v>
      </c>
      <c r="Y721" t="s">
        <v>19</v>
      </c>
      <c r="Z721">
        <v>2</v>
      </c>
      <c r="AA721">
        <f>IF(AND(Table1[[#This Row],[Throw Out Pass Eff]]="N", Table1[[#This Row],[Against FCS Team]]="N"), ROUND(((5.45 * D721) + (150 * F721) + (100 * G721) - (300 * H721)) / E721, 2), " ")</f>
        <v>87.89</v>
      </c>
      <c r="AB721">
        <f>IF(AND(Table1[[#This Row],[Throw Out Pass Def Eff]]="N", Table1[[#This Row],[Against FCS Team]]="N"),200 - ROUND(((5.45 * P721) + (150 * R721) + (100 * S721) - (300 * T721)) / Q721, 2), " ")</f>
        <v>107.33</v>
      </c>
      <c r="AC721">
        <f>IF(AND(Table1[[#This Row],[Throw Out Rush Eff]]="N", Table1[[#This Row],[Against FCS Team]]="N"), ROUND(((23.2 * I721) + (150 * K721) - (300 * L721)) / J721, 2), " ")</f>
        <v>40.57</v>
      </c>
      <c r="AD721" s="3">
        <f>IF(AND(Table1[[#This Row],[Throw Out Rush Def Eff]]="N", Table1[[#This Row],[Against FCS Team]]="N"), 200 - ROUND(((23.2 * U721) + (150 * W721) - (300 * X721)) / V721, 2), " ")</f>
        <v>123.58</v>
      </c>
      <c r="AE721" s="3">
        <f>ROUND(Table1[[#This Row],[Opp Passing Attempts]]/(Table1[[#This Row],[Opp Passing Attempts]]+Table1[[#This Row],[Opp Rushing Attempts]]), 2)</f>
        <v>0.47</v>
      </c>
      <c r="AF721" s="3">
        <f>1-Table1[[#This Row],[Passing Weight]]</f>
        <v>0.53</v>
      </c>
      <c r="AG721" s="3" t="str">
        <f>IF(COUNTIF(A:A,Table1[[#This Row],[Opp Team Name]]) &gt; 0, "N", "Y")</f>
        <v>N</v>
      </c>
      <c r="AH721" s="3" t="str">
        <f>IF(Table1[[#This Row],[Passing Attempts]] &lt;15, "Y", "N")</f>
        <v>N</v>
      </c>
      <c r="AI721" s="3" t="str">
        <f>IF(Table1[[#This Row],[Rushing Attempts]] &lt; 15, "Y", "N")</f>
        <v>N</v>
      </c>
      <c r="AJ721" s="3" t="str">
        <f>IF(Table1[[#This Row],[Opp Passing Attempts]]&lt;15, "Y", "N")</f>
        <v>N</v>
      </c>
      <c r="AK721" s="3" t="str">
        <f>IF(Table1[[#This Row],[Opp Rushing Attempts]]&lt;15, "Y", "N")</f>
        <v>N</v>
      </c>
      <c r="AL7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101.51</v>
      </c>
      <c r="AM7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88.76</v>
      </c>
      <c r="AN7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52.01</v>
      </c>
      <c r="AO7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115.55</v>
      </c>
      <c r="AP721" s="3">
        <f>ABS(Table1[[#This Row],[Team Score]]-Table1[[#This Row],[Opp Team Score]])</f>
        <v>5</v>
      </c>
      <c r="AQ721" s="3">
        <f>SUM(Table1[[#This Row],[Team Score]], Table1[[#This Row],[Opp Team Score]])</f>
        <v>49</v>
      </c>
      <c r="AR7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40.629999999999995</v>
      </c>
      <c r="AS721" s="3">
        <f>IF(Table1[[#This Row],[Efficiency Difference]] = " ", " ", ROUND((Table1[[#This Row],[Winning Margin]]*100)/Table1[[#This Row],[Efficiency Difference]], 2))</f>
        <v>12.31</v>
      </c>
    </row>
    <row r="722" spans="1:45">
      <c r="A722" t="s">
        <v>138</v>
      </c>
      <c r="B722">
        <v>709</v>
      </c>
      <c r="C722">
        <v>15</v>
      </c>
      <c r="D722">
        <v>251</v>
      </c>
      <c r="E722">
        <v>40</v>
      </c>
      <c r="F722">
        <v>1</v>
      </c>
      <c r="G722">
        <v>20</v>
      </c>
      <c r="H722">
        <v>1</v>
      </c>
      <c r="I722">
        <v>98</v>
      </c>
      <c r="J722">
        <v>30</v>
      </c>
      <c r="K722">
        <v>1</v>
      </c>
      <c r="L722">
        <v>1</v>
      </c>
      <c r="M722" t="s">
        <v>38</v>
      </c>
      <c r="N722">
        <v>66</v>
      </c>
      <c r="O722">
        <v>40</v>
      </c>
      <c r="P722">
        <v>465</v>
      </c>
      <c r="Q722">
        <v>43</v>
      </c>
      <c r="R722">
        <v>5</v>
      </c>
      <c r="S722">
        <v>33</v>
      </c>
      <c r="T722">
        <v>1</v>
      </c>
      <c r="U722">
        <v>145</v>
      </c>
      <c r="V722">
        <v>38</v>
      </c>
      <c r="W722">
        <v>1</v>
      </c>
      <c r="X722">
        <v>0</v>
      </c>
      <c r="Y722" t="s">
        <v>19</v>
      </c>
      <c r="Z722">
        <v>3</v>
      </c>
      <c r="AA722">
        <f>IF(AND(Table1[[#This Row],[Throw Out Pass Eff]]="N", Table1[[#This Row],[Against FCS Team]]="N"), ROUND(((5.45 * D722) + (150 * F722) + (100 * G722) - (300 * H722)) / E722, 2), " ")</f>
        <v>80.45</v>
      </c>
      <c r="AB722">
        <f>IF(AND(Table1[[#This Row],[Throw Out Pass Def Eff]]="N", Table1[[#This Row],[Against FCS Team]]="N"),200 - ROUND(((5.45 * P722) + (150 * R722) + (100 * S722) - (300 * T722)) / Q722, 2), " ")</f>
        <v>53.849999999999994</v>
      </c>
      <c r="AC722">
        <f>IF(AND(Table1[[#This Row],[Throw Out Rush Eff]]="N", Table1[[#This Row],[Against FCS Team]]="N"), ROUND(((23.2 * I722) + (150 * K722) - (300 * L722)) / J722, 2), " ")</f>
        <v>70.790000000000006</v>
      </c>
      <c r="AD722" s="3">
        <f>IF(AND(Table1[[#This Row],[Throw Out Rush Def Eff]]="N", Table1[[#This Row],[Against FCS Team]]="N"), 200 - ROUND(((23.2 * U722) + (150 * W722) - (300 * X722)) / V722, 2), " ")</f>
        <v>107.53</v>
      </c>
      <c r="AE722" s="3">
        <f>ROUND(Table1[[#This Row],[Opp Passing Attempts]]/(Table1[[#This Row],[Opp Passing Attempts]]+Table1[[#This Row],[Opp Rushing Attempts]]), 2)</f>
        <v>0.53</v>
      </c>
      <c r="AF722" s="3">
        <f>1-Table1[[#This Row],[Passing Weight]]</f>
        <v>0.47</v>
      </c>
      <c r="AG722" s="3" t="str">
        <f>IF(COUNTIF(A:A,Table1[[#This Row],[Opp Team Name]]) &gt; 0, "N", "Y")</f>
        <v>N</v>
      </c>
      <c r="AH722" s="3" t="str">
        <f>IF(Table1[[#This Row],[Passing Attempts]] &lt;15, "Y", "N")</f>
        <v>N</v>
      </c>
      <c r="AI722" s="3" t="str">
        <f>IF(Table1[[#This Row],[Rushing Attempts]] &lt; 15, "Y", "N")</f>
        <v>N</v>
      </c>
      <c r="AJ722" s="3" t="str">
        <f>IF(Table1[[#This Row],[Opp Passing Attempts]]&lt;15, "Y", "N")</f>
        <v>N</v>
      </c>
      <c r="AK722" s="3" t="str">
        <f>IF(Table1[[#This Row],[Opp Rushing Attempts]]&lt;15, "Y", "N")</f>
        <v>N</v>
      </c>
      <c r="AL7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101.97</v>
      </c>
      <c r="AM7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70.69</v>
      </c>
      <c r="AN7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81.25</v>
      </c>
      <c r="AO7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123.34</v>
      </c>
      <c r="AP722" s="3">
        <f>ABS(Table1[[#This Row],[Team Score]]-Table1[[#This Row],[Opp Team Score]])</f>
        <v>25</v>
      </c>
      <c r="AQ722" s="3">
        <f>SUM(Table1[[#This Row],[Team Score]], Table1[[#This Row],[Opp Team Score]])</f>
        <v>55</v>
      </c>
      <c r="AR7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87.38</v>
      </c>
      <c r="AS722" s="3">
        <f>IF(Table1[[#This Row],[Efficiency Difference]] = " ", " ", ROUND((Table1[[#This Row],[Winning Margin]]*100)/Table1[[#This Row],[Efficiency Difference]], 2))</f>
        <v>28.61</v>
      </c>
    </row>
    <row r="723" spans="1:45">
      <c r="A723" t="s">
        <v>138</v>
      </c>
      <c r="B723">
        <v>709</v>
      </c>
      <c r="C723">
        <v>30</v>
      </c>
      <c r="D723">
        <v>300</v>
      </c>
      <c r="E723">
        <v>42</v>
      </c>
      <c r="F723">
        <v>1</v>
      </c>
      <c r="G723">
        <v>28</v>
      </c>
      <c r="H723">
        <v>1</v>
      </c>
      <c r="I723">
        <v>138</v>
      </c>
      <c r="J723">
        <v>37</v>
      </c>
      <c r="K723">
        <v>2</v>
      </c>
      <c r="L723">
        <v>0</v>
      </c>
      <c r="M723" t="s">
        <v>130</v>
      </c>
      <c r="N723">
        <v>688</v>
      </c>
      <c r="O723">
        <v>33</v>
      </c>
      <c r="P723">
        <v>213</v>
      </c>
      <c r="Q723">
        <v>25</v>
      </c>
      <c r="R723">
        <v>2</v>
      </c>
      <c r="S723">
        <v>16</v>
      </c>
      <c r="T723">
        <v>0</v>
      </c>
      <c r="U723">
        <v>153</v>
      </c>
      <c r="V723">
        <v>41</v>
      </c>
      <c r="W723">
        <v>1</v>
      </c>
      <c r="X723">
        <v>1</v>
      </c>
      <c r="Y723" t="s">
        <v>19</v>
      </c>
      <c r="Z723">
        <v>4</v>
      </c>
      <c r="AA723">
        <f>IF(AND(Table1[[#This Row],[Throw Out Pass Eff]]="N", Table1[[#This Row],[Against FCS Team]]="N"), ROUND(((5.45 * D723) + (150 * F723) + (100 * G723) - (300 * H723)) / E723, 2), " ")</f>
        <v>102.02</v>
      </c>
      <c r="AB723">
        <f>IF(AND(Table1[[#This Row],[Throw Out Pass Def Eff]]="N", Table1[[#This Row],[Against FCS Team]]="N"),200 - ROUND(((5.45 * P723) + (150 * R723) + (100 * S723) - (300 * T723)) / Q723, 2), " ")</f>
        <v>77.569999999999993</v>
      </c>
      <c r="AC723">
        <f>IF(AND(Table1[[#This Row],[Throw Out Rush Eff]]="N", Table1[[#This Row],[Against FCS Team]]="N"), ROUND(((23.2 * I723) + (150 * K723) - (300 * L723)) / J723, 2), " ")</f>
        <v>94.64</v>
      </c>
      <c r="AD723" s="3">
        <f>IF(AND(Table1[[#This Row],[Throw Out Rush Def Eff]]="N", Table1[[#This Row],[Against FCS Team]]="N"), 200 - ROUND(((23.2 * U723) + (150 * W723) - (300 * X723)) / V723, 2), " ")</f>
        <v>117.08</v>
      </c>
      <c r="AE723" s="3">
        <f>ROUND(Table1[[#This Row],[Opp Passing Attempts]]/(Table1[[#This Row],[Opp Passing Attempts]]+Table1[[#This Row],[Opp Rushing Attempts]]), 2)</f>
        <v>0.38</v>
      </c>
      <c r="AF723" s="3">
        <f>1-Table1[[#This Row],[Passing Weight]]</f>
        <v>0.62</v>
      </c>
      <c r="AG723" s="3" t="str">
        <f>IF(COUNTIF(A:A,Table1[[#This Row],[Opp Team Name]]) &gt; 0, "N", "Y")</f>
        <v>N</v>
      </c>
      <c r="AH723" s="3" t="str">
        <f>IF(Table1[[#This Row],[Passing Attempts]] &lt;15, "Y", "N")</f>
        <v>N</v>
      </c>
      <c r="AI723" s="3" t="str">
        <f>IF(Table1[[#This Row],[Rushing Attempts]] &lt; 15, "Y", "N")</f>
        <v>N</v>
      </c>
      <c r="AJ723" s="3" t="str">
        <f>IF(Table1[[#This Row],[Opp Passing Attempts]]&lt;15, "Y", "N")</f>
        <v>N</v>
      </c>
      <c r="AK723" s="3" t="str">
        <f>IF(Table1[[#This Row],[Opp Rushing Attempts]]&lt;15, "Y", "N")</f>
        <v>N</v>
      </c>
      <c r="AL7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91.18</v>
      </c>
      <c r="AM7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82.1</v>
      </c>
      <c r="AN7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127.2</v>
      </c>
      <c r="AO7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106.02</v>
      </c>
      <c r="AP723" s="3">
        <f>ABS(Table1[[#This Row],[Team Score]]-Table1[[#This Row],[Opp Team Score]])</f>
        <v>3</v>
      </c>
      <c r="AQ723" s="3">
        <f>SUM(Table1[[#This Row],[Team Score]], Table1[[#This Row],[Opp Team Score]])</f>
        <v>63</v>
      </c>
      <c r="AR7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8.6900000000000261</v>
      </c>
      <c r="AS723" s="3">
        <f>IF(Table1[[#This Row],[Efficiency Difference]] = " ", " ", ROUND((Table1[[#This Row],[Winning Margin]]*100)/Table1[[#This Row],[Efficiency Difference]], 2))</f>
        <v>34.520000000000003</v>
      </c>
    </row>
    <row r="724" spans="1:45">
      <c r="A724" t="s">
        <v>138</v>
      </c>
      <c r="B724">
        <v>709</v>
      </c>
      <c r="C724">
        <v>36</v>
      </c>
      <c r="D724">
        <v>148</v>
      </c>
      <c r="E724">
        <v>15</v>
      </c>
      <c r="F724">
        <v>2</v>
      </c>
      <c r="G724">
        <v>13</v>
      </c>
      <c r="H724">
        <v>0</v>
      </c>
      <c r="I724">
        <v>157</v>
      </c>
      <c r="J724">
        <v>39</v>
      </c>
      <c r="K724">
        <v>3</v>
      </c>
      <c r="L724">
        <v>1</v>
      </c>
      <c r="M724" t="s">
        <v>132</v>
      </c>
      <c r="N724">
        <v>690</v>
      </c>
      <c r="O724">
        <v>13</v>
      </c>
      <c r="P724">
        <v>173</v>
      </c>
      <c r="Q724">
        <v>20</v>
      </c>
      <c r="R724">
        <v>1</v>
      </c>
      <c r="S724">
        <v>10</v>
      </c>
      <c r="T724">
        <v>2</v>
      </c>
      <c r="U724">
        <v>145</v>
      </c>
      <c r="V724">
        <v>46</v>
      </c>
      <c r="W724">
        <v>0</v>
      </c>
      <c r="X724">
        <v>2</v>
      </c>
      <c r="Y724" t="s">
        <v>16</v>
      </c>
      <c r="Z724">
        <v>5</v>
      </c>
      <c r="AA724">
        <f>IF(AND(Table1[[#This Row],[Throw Out Pass Eff]]="N", Table1[[#This Row],[Against FCS Team]]="N"), ROUND(((5.45 * D724) + (150 * F724) + (100 * G724) - (300 * H724)) / E724, 2), " ")</f>
        <v>160.44</v>
      </c>
      <c r="AB724">
        <f>IF(AND(Table1[[#This Row],[Throw Out Pass Def Eff]]="N", Table1[[#This Row],[Against FCS Team]]="N"),200 - ROUND(((5.45 * P724) + (150 * R724) + (100 * S724) - (300 * T724)) / Q724, 2), " ")</f>
        <v>125.36</v>
      </c>
      <c r="AC724">
        <f>IF(AND(Table1[[#This Row],[Throw Out Rush Eff]]="N", Table1[[#This Row],[Against FCS Team]]="N"), ROUND(((23.2 * I724) + (150 * K724) - (300 * L724)) / J724, 2), " ")</f>
        <v>97.24</v>
      </c>
      <c r="AD724" s="3">
        <f>IF(AND(Table1[[#This Row],[Throw Out Rush Def Eff]]="N", Table1[[#This Row],[Against FCS Team]]="N"), 200 - ROUND(((23.2 * U724) + (150 * W724) - (300 * X724)) / V724, 2), " ")</f>
        <v>139.91</v>
      </c>
      <c r="AE724" s="3">
        <f>ROUND(Table1[[#This Row],[Opp Passing Attempts]]/(Table1[[#This Row],[Opp Passing Attempts]]+Table1[[#This Row],[Opp Rushing Attempts]]), 2)</f>
        <v>0.3</v>
      </c>
      <c r="AF724" s="3">
        <f>1-Table1[[#This Row],[Passing Weight]]</f>
        <v>0.7</v>
      </c>
      <c r="AG724" s="3" t="str">
        <f>IF(COUNTIF(A:A,Table1[[#This Row],[Opp Team Name]]) &gt; 0, "N", "Y")</f>
        <v>N</v>
      </c>
      <c r="AH724" s="3" t="str">
        <f>IF(Table1[[#This Row],[Passing Attempts]] &lt;15, "Y", "N")</f>
        <v>N</v>
      </c>
      <c r="AI724" s="3" t="str">
        <f>IF(Table1[[#This Row],[Rushing Attempts]] &lt; 15, "Y", "N")</f>
        <v>N</v>
      </c>
      <c r="AJ724" s="3" t="str">
        <f>IF(Table1[[#This Row],[Opp Passing Attempts]]&lt;15, "Y", "N")</f>
        <v>N</v>
      </c>
      <c r="AK724" s="3" t="str">
        <f>IF(Table1[[#This Row],[Opp Rushing Attempts]]&lt;15, "Y", "N")</f>
        <v>N</v>
      </c>
      <c r="AL7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183.51</v>
      </c>
      <c r="AM7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84.35</v>
      </c>
      <c r="AN7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134.16999999999999</v>
      </c>
      <c r="AO7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155.52000000000001</v>
      </c>
      <c r="AP724" s="3">
        <f>ABS(Table1[[#This Row],[Team Score]]-Table1[[#This Row],[Opp Team Score]])</f>
        <v>23</v>
      </c>
      <c r="AQ724" s="3">
        <f>SUM(Table1[[#This Row],[Team Score]], Table1[[#This Row],[Opp Team Score]])</f>
        <v>49</v>
      </c>
      <c r="AR7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122.94999999999999</v>
      </c>
      <c r="AS724" s="3">
        <f>IF(Table1[[#This Row],[Efficiency Difference]] = " ", " ", ROUND((Table1[[#This Row],[Winning Margin]]*100)/Table1[[#This Row],[Efficiency Difference]], 2))</f>
        <v>18.71</v>
      </c>
    </row>
    <row r="725" spans="1:45">
      <c r="A725" t="s">
        <v>138</v>
      </c>
      <c r="B725">
        <v>709</v>
      </c>
      <c r="C725">
        <v>54</v>
      </c>
      <c r="D725">
        <v>302</v>
      </c>
      <c r="E725">
        <v>31</v>
      </c>
      <c r="F725">
        <v>4</v>
      </c>
      <c r="G725">
        <v>27</v>
      </c>
      <c r="H725">
        <v>0</v>
      </c>
      <c r="I725">
        <v>240</v>
      </c>
      <c r="J725">
        <v>43</v>
      </c>
      <c r="K725">
        <v>2</v>
      </c>
      <c r="L725">
        <v>1</v>
      </c>
      <c r="M725" t="s">
        <v>167</v>
      </c>
      <c r="N725">
        <v>204</v>
      </c>
      <c r="O725">
        <v>16</v>
      </c>
      <c r="P725">
        <v>138</v>
      </c>
      <c r="Q725">
        <v>24</v>
      </c>
      <c r="R725">
        <v>1</v>
      </c>
      <c r="S725">
        <v>13</v>
      </c>
      <c r="T725">
        <v>2</v>
      </c>
      <c r="U725">
        <v>89</v>
      </c>
      <c r="V725">
        <v>32</v>
      </c>
      <c r="W725">
        <v>1</v>
      </c>
      <c r="X725">
        <v>1</v>
      </c>
      <c r="Y725" t="s">
        <v>16</v>
      </c>
      <c r="Z725">
        <v>6</v>
      </c>
      <c r="AA725">
        <f>IF(AND(Table1[[#This Row],[Throw Out Pass Eff]]="N", Table1[[#This Row],[Against FCS Team]]="N"), ROUND(((5.45 * D725) + (150 * F725) + (100 * G725) - (300 * H725)) / E725, 2), " ")</f>
        <v>159.55000000000001</v>
      </c>
      <c r="AB725">
        <f>IF(AND(Table1[[#This Row],[Throw Out Pass Def Eff]]="N", Table1[[#This Row],[Against FCS Team]]="N"),200 - ROUND(((5.45 * P725) + (150 * R725) + (100 * S725) - (300 * T725)) / Q725, 2), " ")</f>
        <v>133.25</v>
      </c>
      <c r="AC725">
        <f>IF(AND(Table1[[#This Row],[Throw Out Rush Eff]]="N", Table1[[#This Row],[Against FCS Team]]="N"), ROUND(((23.2 * I725) + (150 * K725) - (300 * L725)) / J725, 2), " ")</f>
        <v>129.49</v>
      </c>
      <c r="AD725" s="3">
        <f>IF(AND(Table1[[#This Row],[Throw Out Rush Def Eff]]="N", Table1[[#This Row],[Against FCS Team]]="N"), 200 - ROUND(((23.2 * U725) + (150 * W725) - (300 * X725)) / V725, 2), " ")</f>
        <v>140.16</v>
      </c>
      <c r="AE725" s="3">
        <f>ROUND(Table1[[#This Row],[Opp Passing Attempts]]/(Table1[[#This Row],[Opp Passing Attempts]]+Table1[[#This Row],[Opp Rushing Attempts]]), 2)</f>
        <v>0.43</v>
      </c>
      <c r="AF725" s="3">
        <f>1-Table1[[#This Row],[Passing Weight]]</f>
        <v>0.57000000000000006</v>
      </c>
      <c r="AG725" s="3" t="str">
        <f>IF(COUNTIF(A:A,Table1[[#This Row],[Opp Team Name]]) &gt; 0, "N", "Y")</f>
        <v>N</v>
      </c>
      <c r="AH725" s="3" t="str">
        <f>IF(Table1[[#This Row],[Passing Attempts]] &lt;15, "Y", "N")</f>
        <v>N</v>
      </c>
      <c r="AI725" s="3" t="str">
        <f>IF(Table1[[#This Row],[Rushing Attempts]] &lt; 15, "Y", "N")</f>
        <v>N</v>
      </c>
      <c r="AJ725" s="3" t="str">
        <f>IF(Table1[[#This Row],[Opp Passing Attempts]]&lt;15, "Y", "N")</f>
        <v>N</v>
      </c>
      <c r="AK725" s="3" t="str">
        <f>IF(Table1[[#This Row],[Opp Rushing Attempts]]&lt;15, "Y", "N")</f>
        <v>N</v>
      </c>
      <c r="AL7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143.49</v>
      </c>
      <c r="AM7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100.37</v>
      </c>
      <c r="AN7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118.64</v>
      </c>
      <c r="AO7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128.43</v>
      </c>
      <c r="AP725" s="3">
        <f>ABS(Table1[[#This Row],[Team Score]]-Table1[[#This Row],[Opp Team Score]])</f>
        <v>38</v>
      </c>
      <c r="AQ725" s="3">
        <f>SUM(Table1[[#This Row],[Team Score]], Table1[[#This Row],[Opp Team Score]])</f>
        <v>70</v>
      </c>
      <c r="AR7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162.44999999999999</v>
      </c>
      <c r="AS725" s="3">
        <f>IF(Table1[[#This Row],[Efficiency Difference]] = " ", " ", ROUND((Table1[[#This Row],[Winning Margin]]*100)/Table1[[#This Row],[Efficiency Difference]], 2))</f>
        <v>23.39</v>
      </c>
    </row>
    <row r="726" spans="1:45">
      <c r="A726" t="s">
        <v>138</v>
      </c>
      <c r="B726">
        <v>709</v>
      </c>
      <c r="C726">
        <v>28</v>
      </c>
      <c r="D726">
        <v>188</v>
      </c>
      <c r="E726">
        <v>22</v>
      </c>
      <c r="F726">
        <v>0</v>
      </c>
      <c r="G726">
        <v>14</v>
      </c>
      <c r="H726">
        <v>0</v>
      </c>
      <c r="I726">
        <v>268</v>
      </c>
      <c r="J726">
        <v>47</v>
      </c>
      <c r="K726">
        <v>4</v>
      </c>
      <c r="L726">
        <v>0</v>
      </c>
      <c r="M726" t="s">
        <v>42</v>
      </c>
      <c r="N726">
        <v>71</v>
      </c>
      <c r="O726">
        <v>21</v>
      </c>
      <c r="P726">
        <v>220</v>
      </c>
      <c r="Q726">
        <v>42</v>
      </c>
      <c r="R726">
        <v>1</v>
      </c>
      <c r="S726">
        <v>21</v>
      </c>
      <c r="T726">
        <v>1</v>
      </c>
      <c r="U726">
        <v>123</v>
      </c>
      <c r="V726">
        <v>33</v>
      </c>
      <c r="W726">
        <v>1</v>
      </c>
      <c r="X726">
        <v>0</v>
      </c>
      <c r="Y726" t="s">
        <v>16</v>
      </c>
      <c r="Z726">
        <v>7</v>
      </c>
      <c r="AA726">
        <f>IF(AND(Table1[[#This Row],[Throw Out Pass Eff]]="N", Table1[[#This Row],[Against FCS Team]]="N"), ROUND(((5.45 * D726) + (150 * F726) + (100 * G726) - (300 * H726)) / E726, 2), " ")</f>
        <v>110.21</v>
      </c>
      <c r="AB726">
        <f>IF(AND(Table1[[#This Row],[Throw Out Pass Def Eff]]="N", Table1[[#This Row],[Against FCS Team]]="N"),200 - ROUND(((5.45 * P726) + (150 * R726) + (100 * S726) - (300 * T726)) / Q726, 2), " ")</f>
        <v>125.02</v>
      </c>
      <c r="AC726">
        <f>IF(AND(Table1[[#This Row],[Throw Out Rush Eff]]="N", Table1[[#This Row],[Against FCS Team]]="N"), ROUND(((23.2 * I726) + (150 * K726) - (300 * L726)) / J726, 2), " ")</f>
        <v>145.06</v>
      </c>
      <c r="AD726" s="3">
        <f>IF(AND(Table1[[#This Row],[Throw Out Rush Def Eff]]="N", Table1[[#This Row],[Against FCS Team]]="N"), 200 - ROUND(((23.2 * U726) + (150 * W726) - (300 * X726)) / V726, 2), " ")</f>
        <v>108.98</v>
      </c>
      <c r="AE726" s="3">
        <f>ROUND(Table1[[#This Row],[Opp Passing Attempts]]/(Table1[[#This Row],[Opp Passing Attempts]]+Table1[[#This Row],[Opp Rushing Attempts]]), 2)</f>
        <v>0.56000000000000005</v>
      </c>
      <c r="AF726" s="3">
        <f>1-Table1[[#This Row],[Passing Weight]]</f>
        <v>0.43999999999999995</v>
      </c>
      <c r="AG726" s="3" t="str">
        <f>IF(COUNTIF(A:A,Table1[[#This Row],[Opp Team Name]]) &gt; 0, "N", "Y")</f>
        <v>N</v>
      </c>
      <c r="AH726" s="3" t="str">
        <f>IF(Table1[[#This Row],[Passing Attempts]] &lt;15, "Y", "N")</f>
        <v>N</v>
      </c>
      <c r="AI726" s="3" t="str">
        <f>IF(Table1[[#This Row],[Rushing Attempts]] &lt; 15, "Y", "N")</f>
        <v>N</v>
      </c>
      <c r="AJ726" s="3" t="str">
        <f>IF(Table1[[#This Row],[Opp Passing Attempts]]&lt;15, "Y", "N")</f>
        <v>N</v>
      </c>
      <c r="AK726" s="3" t="str">
        <f>IF(Table1[[#This Row],[Opp Rushing Attempts]]&lt;15, "Y", "N")</f>
        <v>N</v>
      </c>
      <c r="AL7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108.19</v>
      </c>
      <c r="AM7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119.1</v>
      </c>
      <c r="AN7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128.93</v>
      </c>
      <c r="AO7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82.09</v>
      </c>
      <c r="AP726" s="3">
        <f>ABS(Table1[[#This Row],[Team Score]]-Table1[[#This Row],[Opp Team Score]])</f>
        <v>7</v>
      </c>
      <c r="AQ726" s="3">
        <f>SUM(Table1[[#This Row],[Team Score]], Table1[[#This Row],[Opp Team Score]])</f>
        <v>49</v>
      </c>
      <c r="AR7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89.269999999999982</v>
      </c>
      <c r="AS726" s="3">
        <f>IF(Table1[[#This Row],[Efficiency Difference]] = " ", " ", ROUND((Table1[[#This Row],[Winning Margin]]*100)/Table1[[#This Row],[Efficiency Difference]], 2))</f>
        <v>7.84</v>
      </c>
    </row>
    <row r="727" spans="1:45">
      <c r="A727" t="s">
        <v>138</v>
      </c>
      <c r="B727">
        <v>709</v>
      </c>
      <c r="C727">
        <v>49</v>
      </c>
      <c r="D727">
        <v>228</v>
      </c>
      <c r="E727">
        <v>28</v>
      </c>
      <c r="F727">
        <v>2</v>
      </c>
      <c r="G727">
        <v>18</v>
      </c>
      <c r="H727">
        <v>0</v>
      </c>
      <c r="I727">
        <v>269</v>
      </c>
      <c r="J727">
        <v>45</v>
      </c>
      <c r="K727">
        <v>4</v>
      </c>
      <c r="L727">
        <v>0</v>
      </c>
      <c r="M727" t="s">
        <v>96</v>
      </c>
      <c r="N727">
        <v>414</v>
      </c>
      <c r="O727">
        <v>28</v>
      </c>
      <c r="P727">
        <v>394</v>
      </c>
      <c r="Q727">
        <v>43</v>
      </c>
      <c r="R727">
        <v>3</v>
      </c>
      <c r="S727">
        <v>28</v>
      </c>
      <c r="T727">
        <v>2</v>
      </c>
      <c r="U727">
        <v>14</v>
      </c>
      <c r="V727">
        <v>21</v>
      </c>
      <c r="W727">
        <v>1</v>
      </c>
      <c r="X727">
        <v>1</v>
      </c>
      <c r="Y727" t="s">
        <v>16</v>
      </c>
      <c r="Z727">
        <v>8</v>
      </c>
      <c r="AA727" s="3">
        <f>IF(AND(Table1[[#This Row],[Throw Out Pass Eff]]="N", Table1[[#This Row],[Against FCS Team]]="N"), ROUND(((5.45 * D727) + (150 * F727) + (100 * G727) - (300 * H727)) / E727, 2), " ")</f>
        <v>119.38</v>
      </c>
      <c r="AB727" s="3">
        <f>IF(AND(Table1[[#This Row],[Throw Out Pass Def Eff]]="N", Table1[[#This Row],[Against FCS Team]]="N"),200 - ROUND(((5.45 * P727) + (150 * R727) + (100 * S727) - (300 * T727)) / Q727, 2), " ")</f>
        <v>88.43</v>
      </c>
      <c r="AC727" s="3">
        <f>IF(AND(Table1[[#This Row],[Throw Out Rush Eff]]="N", Table1[[#This Row],[Against FCS Team]]="N"), ROUND(((23.2 * I727) + (150 * K727) - (300 * L727)) / J727, 2), " ")</f>
        <v>152.02000000000001</v>
      </c>
      <c r="AD727" s="3">
        <f>IF(AND(Table1[[#This Row],[Throw Out Rush Def Eff]]="N", Table1[[#This Row],[Against FCS Team]]="N"), 200 - ROUND(((23.2 * U727) + (150 * W727) - (300 * X727)) / V727, 2), " ")</f>
        <v>191.68</v>
      </c>
      <c r="AE727" s="3">
        <f>ROUND(Table1[[#This Row],[Opp Passing Attempts]]/(Table1[[#This Row],[Opp Passing Attempts]]+Table1[[#This Row],[Opp Rushing Attempts]]), 2)</f>
        <v>0.67</v>
      </c>
      <c r="AF727" s="3">
        <f>1-Table1[[#This Row],[Passing Weight]]</f>
        <v>0.32999999999999996</v>
      </c>
      <c r="AG727" s="3" t="str">
        <f>IF(COUNTIF(A:A,Table1[[#This Row],[Opp Team Name]]) &gt; 0, "N", "Y")</f>
        <v>N</v>
      </c>
      <c r="AH727" s="3" t="str">
        <f>IF(Table1[[#This Row],[Passing Attempts]] &lt;15, "Y", "N")</f>
        <v>N</v>
      </c>
      <c r="AI727" s="3" t="str">
        <f>IF(Table1[[#This Row],[Rushing Attempts]] &lt; 15, "Y", "N")</f>
        <v>N</v>
      </c>
      <c r="AJ727" s="3" t="str">
        <f>IF(Table1[[#This Row],[Opp Passing Attempts]]&lt;15, "Y", "N")</f>
        <v>N</v>
      </c>
      <c r="AK727" s="3" t="str">
        <f>IF(Table1[[#This Row],[Opp Rushing Attempts]]&lt;15, "Y", "N")</f>
        <v>N</v>
      </c>
      <c r="AL72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121.29</v>
      </c>
      <c r="AM72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85.63</v>
      </c>
      <c r="AN72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153.1</v>
      </c>
      <c r="AO72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79.430000000000007</v>
      </c>
      <c r="AP727" s="3">
        <f>ABS(Table1[[#This Row],[Team Score]]-Table1[[#This Row],[Opp Team Score]])</f>
        <v>21</v>
      </c>
      <c r="AQ727" s="3">
        <f>SUM(Table1[[#This Row],[Team Score]], Table1[[#This Row],[Opp Team Score]])</f>
        <v>77</v>
      </c>
      <c r="AR72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151.51</v>
      </c>
      <c r="AS727" s="3">
        <f>IF(Table1[[#This Row],[Efficiency Difference]] = " ", " ", ROUND((Table1[[#This Row],[Winning Margin]]*100)/Table1[[#This Row],[Efficiency Difference]], 2))</f>
        <v>13.86</v>
      </c>
    </row>
    <row r="728" spans="1:45">
      <c r="A728" t="s">
        <v>55</v>
      </c>
      <c r="B728">
        <v>716</v>
      </c>
      <c r="C728">
        <v>19</v>
      </c>
      <c r="D728">
        <v>258</v>
      </c>
      <c r="E728">
        <v>42</v>
      </c>
      <c r="F728">
        <v>1</v>
      </c>
      <c r="G728">
        <v>24</v>
      </c>
      <c r="H728">
        <v>1</v>
      </c>
      <c r="I728">
        <v>165</v>
      </c>
      <c r="J728">
        <v>36</v>
      </c>
      <c r="K728">
        <v>1</v>
      </c>
      <c r="L728">
        <v>2</v>
      </c>
      <c r="M728" t="s">
        <v>54</v>
      </c>
      <c r="N728">
        <v>147</v>
      </c>
      <c r="O728">
        <v>43</v>
      </c>
      <c r="P728">
        <v>271</v>
      </c>
      <c r="Q728">
        <v>31</v>
      </c>
      <c r="R728">
        <v>3</v>
      </c>
      <c r="S728">
        <v>21</v>
      </c>
      <c r="T728">
        <v>1</v>
      </c>
      <c r="U728">
        <v>197</v>
      </c>
      <c r="V728">
        <v>38</v>
      </c>
      <c r="W728">
        <v>2</v>
      </c>
      <c r="X728">
        <v>0</v>
      </c>
      <c r="Y728" t="s">
        <v>19</v>
      </c>
      <c r="Z728">
        <v>1</v>
      </c>
      <c r="AA728">
        <f>IF(AND(Table1[[#This Row],[Throw Out Pass Eff]]="N", Table1[[#This Row],[Against FCS Team]]="N"), ROUND(((5.45 * D728) + (150 * F728) + (100 * G728) - (300 * H728)) / E728, 2), " ")</f>
        <v>87.05</v>
      </c>
      <c r="AB728">
        <f>IF(AND(Table1[[#This Row],[Throw Out Pass Def Eff]]="N", Table1[[#This Row],[Against FCS Team]]="N"),200 - ROUND(((5.45 * P728) + (150 * R728) + (100 * S728) - (300 * T728)) / Q728, 2), " ")</f>
        <v>79.78</v>
      </c>
      <c r="AC728">
        <f>IF(AND(Table1[[#This Row],[Throw Out Rush Eff]]="N", Table1[[#This Row],[Against FCS Team]]="N"), ROUND(((23.2 * I728) + (150 * K728) - (300 * L728)) / J728, 2), " ")</f>
        <v>93.83</v>
      </c>
      <c r="AD728" s="3">
        <f>IF(AND(Table1[[#This Row],[Throw Out Rush Def Eff]]="N", Table1[[#This Row],[Against FCS Team]]="N"), 200 - ROUND(((23.2 * U728) + (150 * W728) - (300 * X728)) / V728, 2), " ")</f>
        <v>71.830000000000013</v>
      </c>
      <c r="AE728" s="3">
        <f>ROUND(Table1[[#This Row],[Opp Passing Attempts]]/(Table1[[#This Row],[Opp Passing Attempts]]+Table1[[#This Row],[Opp Rushing Attempts]]), 2)</f>
        <v>0.45</v>
      </c>
      <c r="AF728" s="3">
        <f>1-Table1[[#This Row],[Passing Weight]]</f>
        <v>0.55000000000000004</v>
      </c>
      <c r="AG728" s="3" t="str">
        <f>IF(COUNTIF(A:A,Table1[[#This Row],[Opp Team Name]]) &gt; 0, "N", "Y")</f>
        <v>N</v>
      </c>
      <c r="AH728" s="3" t="str">
        <f>IF(Table1[[#This Row],[Passing Attempts]] &lt;15, "Y", "N")</f>
        <v>N</v>
      </c>
      <c r="AI728" s="3" t="str">
        <f>IF(Table1[[#This Row],[Rushing Attempts]] &lt; 15, "Y", "N")</f>
        <v>N</v>
      </c>
      <c r="AJ728" s="3" t="str">
        <f>IF(Table1[[#This Row],[Opp Passing Attempts]]&lt;15, "Y", "N")</f>
        <v>N</v>
      </c>
      <c r="AK728" s="3" t="str">
        <f>IF(Table1[[#This Row],[Opp Rushing Attempts]]&lt;15, "Y", "N")</f>
        <v>N</v>
      </c>
      <c r="AL7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97.45</v>
      </c>
      <c r="AM7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90.95</v>
      </c>
      <c r="AN7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100.51</v>
      </c>
      <c r="AO7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71.08</v>
      </c>
      <c r="AP728" s="3">
        <f>ABS(Table1[[#This Row],[Team Score]]-Table1[[#This Row],[Opp Team Score]])</f>
        <v>24</v>
      </c>
      <c r="AQ728" s="3">
        <f>SUM(Table1[[#This Row],[Team Score]], Table1[[#This Row],[Opp Team Score]])</f>
        <v>62</v>
      </c>
      <c r="AR7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67.509999999999991</v>
      </c>
      <c r="AS728" s="3">
        <f>IF(Table1[[#This Row],[Efficiency Difference]] = " ", " ", ROUND((Table1[[#This Row],[Winning Margin]]*100)/Table1[[#This Row],[Efficiency Difference]], 2))</f>
        <v>35.549999999999997</v>
      </c>
    </row>
    <row r="729" spans="1:45">
      <c r="A729" t="s">
        <v>55</v>
      </c>
      <c r="B729">
        <v>716</v>
      </c>
      <c r="C729">
        <v>28</v>
      </c>
      <c r="D729">
        <v>373</v>
      </c>
      <c r="E729">
        <v>63</v>
      </c>
      <c r="F729">
        <v>3</v>
      </c>
      <c r="G729">
        <v>36</v>
      </c>
      <c r="H729">
        <v>1</v>
      </c>
      <c r="I729">
        <v>84</v>
      </c>
      <c r="J729">
        <v>20</v>
      </c>
      <c r="K729">
        <v>0</v>
      </c>
      <c r="L729">
        <v>0</v>
      </c>
      <c r="M729" t="s">
        <v>26</v>
      </c>
      <c r="N729">
        <v>31</v>
      </c>
      <c r="O729">
        <v>38</v>
      </c>
      <c r="P729">
        <v>303</v>
      </c>
      <c r="Q729">
        <v>36</v>
      </c>
      <c r="R729">
        <v>2</v>
      </c>
      <c r="S729">
        <v>23</v>
      </c>
      <c r="T729">
        <v>1</v>
      </c>
      <c r="U729">
        <v>151</v>
      </c>
      <c r="V729">
        <v>40</v>
      </c>
      <c r="W729">
        <v>3</v>
      </c>
      <c r="X729">
        <v>2</v>
      </c>
      <c r="Y729" t="s">
        <v>19</v>
      </c>
      <c r="Z729">
        <v>3</v>
      </c>
      <c r="AA729">
        <f>IF(AND(Table1[[#This Row],[Throw Out Pass Eff]]="N", Table1[[#This Row],[Against FCS Team]]="N"), ROUND(((5.45 * D729) + (150 * F729) + (100 * G729) - (300 * H729)) / E729, 2), " ")</f>
        <v>91.79</v>
      </c>
      <c r="AB729">
        <f>IF(AND(Table1[[#This Row],[Throw Out Pass Def Eff]]="N", Table1[[#This Row],[Against FCS Team]]="N"),200 - ROUND(((5.45 * P729) + (150 * R729) + (100 * S729) - (300 * T729)) / Q729, 2), " ")</f>
        <v>90.24</v>
      </c>
      <c r="AC729">
        <f>IF(AND(Table1[[#This Row],[Throw Out Rush Eff]]="N", Table1[[#This Row],[Against FCS Team]]="N"), ROUND(((23.2 * I729) + (150 * K729) - (300 * L729)) / J729, 2), " ")</f>
        <v>97.44</v>
      </c>
      <c r="AD729" s="3">
        <f>IF(AND(Table1[[#This Row],[Throw Out Rush Def Eff]]="N", Table1[[#This Row],[Against FCS Team]]="N"), 200 - ROUND(((23.2 * U729) + (150 * W729) - (300 * X729)) / V729, 2), " ")</f>
        <v>116.17</v>
      </c>
      <c r="AE729" s="3">
        <f>ROUND(Table1[[#This Row],[Opp Passing Attempts]]/(Table1[[#This Row],[Opp Passing Attempts]]+Table1[[#This Row],[Opp Rushing Attempts]]), 2)</f>
        <v>0.47</v>
      </c>
      <c r="AF729" s="3">
        <f>1-Table1[[#This Row],[Passing Weight]]</f>
        <v>0.53</v>
      </c>
      <c r="AG729" s="3" t="str">
        <f>IF(COUNTIF(A:A,Table1[[#This Row],[Opp Team Name]]) &gt; 0, "N", "Y")</f>
        <v>N</v>
      </c>
      <c r="AH729" s="3" t="str">
        <f>IF(Table1[[#This Row],[Passing Attempts]] &lt;15, "Y", "N")</f>
        <v>N</v>
      </c>
      <c r="AI729" s="3" t="str">
        <f>IF(Table1[[#This Row],[Rushing Attempts]] &lt; 15, "Y", "N")</f>
        <v>N</v>
      </c>
      <c r="AJ729" s="3" t="str">
        <f>IF(Table1[[#This Row],[Opp Passing Attempts]]&lt;15, "Y", "N")</f>
        <v>N</v>
      </c>
      <c r="AK729" s="3" t="str">
        <f>IF(Table1[[#This Row],[Opp Rushing Attempts]]&lt;15, "Y", "N")</f>
        <v>N</v>
      </c>
      <c r="AL7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99.91</v>
      </c>
      <c r="AM7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95.94</v>
      </c>
      <c r="AN7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83.76</v>
      </c>
      <c r="AO7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121.25</v>
      </c>
      <c r="AP729" s="3">
        <f>ABS(Table1[[#This Row],[Team Score]]-Table1[[#This Row],[Opp Team Score]])</f>
        <v>10</v>
      </c>
      <c r="AQ729" s="3">
        <f>SUM(Table1[[#This Row],[Team Score]], Table1[[#This Row],[Opp Team Score]])</f>
        <v>66</v>
      </c>
      <c r="AR7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4.3599999999999852</v>
      </c>
      <c r="AS729" s="3">
        <f>IF(Table1[[#This Row],[Efficiency Difference]] = " ", " ", ROUND((Table1[[#This Row],[Winning Margin]]*100)/Table1[[#This Row],[Efficiency Difference]], 2))</f>
        <v>229.36</v>
      </c>
    </row>
    <row r="730" spans="1:45">
      <c r="A730" t="s">
        <v>55</v>
      </c>
      <c r="B730">
        <v>716</v>
      </c>
      <c r="C730">
        <v>38</v>
      </c>
      <c r="D730">
        <v>347</v>
      </c>
      <c r="E730">
        <v>42</v>
      </c>
      <c r="F730">
        <v>3</v>
      </c>
      <c r="G730">
        <v>27</v>
      </c>
      <c r="H730">
        <v>1</v>
      </c>
      <c r="I730">
        <v>132</v>
      </c>
      <c r="J730">
        <v>36</v>
      </c>
      <c r="K730">
        <v>1</v>
      </c>
      <c r="L730">
        <v>1</v>
      </c>
      <c r="M730" t="s">
        <v>100</v>
      </c>
      <c r="N730">
        <v>419</v>
      </c>
      <c r="O730">
        <v>35</v>
      </c>
      <c r="P730">
        <v>415</v>
      </c>
      <c r="Q730">
        <v>48</v>
      </c>
      <c r="R730">
        <v>5</v>
      </c>
      <c r="S730">
        <v>28</v>
      </c>
      <c r="T730">
        <v>1</v>
      </c>
      <c r="U730">
        <v>167</v>
      </c>
      <c r="V730">
        <v>42</v>
      </c>
      <c r="W730">
        <v>0</v>
      </c>
      <c r="X730">
        <v>1</v>
      </c>
      <c r="Y730" t="s">
        <v>16</v>
      </c>
      <c r="Z730">
        <v>4</v>
      </c>
      <c r="AA730">
        <f>IF(AND(Table1[[#This Row],[Throw Out Pass Eff]]="N", Table1[[#This Row],[Against FCS Team]]="N"), ROUND(((5.45 * D730) + (150 * F730) + (100 * G730) - (300 * H730)) / E730, 2), " ")</f>
        <v>112.88</v>
      </c>
      <c r="AB730">
        <f>IF(AND(Table1[[#This Row],[Throw Out Pass Def Eff]]="N", Table1[[#This Row],[Against FCS Team]]="N"),200 - ROUND(((5.45 * P730) + (150 * R730) + (100 * S730) - (300 * T730)) / Q730, 2), " ")</f>
        <v>85.17</v>
      </c>
      <c r="AC730">
        <f>IF(AND(Table1[[#This Row],[Throw Out Rush Eff]]="N", Table1[[#This Row],[Against FCS Team]]="N"), ROUND(((23.2 * I730) + (150 * K730) - (300 * L730)) / J730, 2), " ")</f>
        <v>80.900000000000006</v>
      </c>
      <c r="AD730" s="3">
        <f>IF(AND(Table1[[#This Row],[Throw Out Rush Def Eff]]="N", Table1[[#This Row],[Against FCS Team]]="N"), 200 - ROUND(((23.2 * U730) + (150 * W730) - (300 * X730)) / V730, 2), " ")</f>
        <v>114.9</v>
      </c>
      <c r="AE730" s="3">
        <f>ROUND(Table1[[#This Row],[Opp Passing Attempts]]/(Table1[[#This Row],[Opp Passing Attempts]]+Table1[[#This Row],[Opp Rushing Attempts]]), 2)</f>
        <v>0.53</v>
      </c>
      <c r="AF730" s="3">
        <f>1-Table1[[#This Row],[Passing Weight]]</f>
        <v>0.47</v>
      </c>
      <c r="AG730" s="3" t="str">
        <f>IF(COUNTIF(A:A,Table1[[#This Row],[Opp Team Name]]) &gt; 0, "N", "Y")</f>
        <v>N</v>
      </c>
      <c r="AH730" s="3" t="str">
        <f>IF(Table1[[#This Row],[Passing Attempts]] &lt;15, "Y", "N")</f>
        <v>N</v>
      </c>
      <c r="AI730" s="3" t="str">
        <f>IF(Table1[[#This Row],[Rushing Attempts]] &lt; 15, "Y", "N")</f>
        <v>N</v>
      </c>
      <c r="AJ730" s="3" t="str">
        <f>IF(Table1[[#This Row],[Opp Passing Attempts]]&lt;15, "Y", "N")</f>
        <v>N</v>
      </c>
      <c r="AK730" s="3" t="str">
        <f>IF(Table1[[#This Row],[Opp Rushing Attempts]]&lt;15, "Y", "N")</f>
        <v>N</v>
      </c>
      <c r="AL7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117.55</v>
      </c>
      <c r="AM7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83.22</v>
      </c>
      <c r="AN7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88.78</v>
      </c>
      <c r="AO7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124.91</v>
      </c>
      <c r="AP730" s="3">
        <f>ABS(Table1[[#This Row],[Team Score]]-Table1[[#This Row],[Opp Team Score]])</f>
        <v>3</v>
      </c>
      <c r="AQ730" s="3">
        <f>SUM(Table1[[#This Row],[Team Score]], Table1[[#This Row],[Opp Team Score]])</f>
        <v>73</v>
      </c>
      <c r="AR7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6.1500000000000057</v>
      </c>
      <c r="AS730" s="3">
        <f>IF(Table1[[#This Row],[Efficiency Difference]] = " ", " ", ROUND((Table1[[#This Row],[Winning Margin]]*100)/Table1[[#This Row],[Efficiency Difference]], 2))</f>
        <v>48.78</v>
      </c>
    </row>
    <row r="731" spans="1:45">
      <c r="A731" t="s">
        <v>55</v>
      </c>
      <c r="B731">
        <v>716</v>
      </c>
      <c r="C731">
        <v>24</v>
      </c>
      <c r="D731">
        <v>349</v>
      </c>
      <c r="E731">
        <v>50</v>
      </c>
      <c r="F731">
        <v>0</v>
      </c>
      <c r="G731">
        <v>30</v>
      </c>
      <c r="H731">
        <v>1</v>
      </c>
      <c r="I731">
        <v>172</v>
      </c>
      <c r="J731">
        <v>37</v>
      </c>
      <c r="K731">
        <v>3</v>
      </c>
      <c r="L731">
        <v>2</v>
      </c>
      <c r="M731" t="s">
        <v>170</v>
      </c>
      <c r="N731">
        <v>9</v>
      </c>
      <c r="O731">
        <v>23</v>
      </c>
      <c r="P731">
        <v>196</v>
      </c>
      <c r="Q731">
        <v>39</v>
      </c>
      <c r="R731">
        <v>0</v>
      </c>
      <c r="S731">
        <v>19</v>
      </c>
      <c r="T731">
        <v>1</v>
      </c>
      <c r="U731">
        <v>160</v>
      </c>
      <c r="V731">
        <v>39</v>
      </c>
      <c r="W731">
        <v>1</v>
      </c>
      <c r="X731">
        <v>0</v>
      </c>
      <c r="Y731" t="s">
        <v>16</v>
      </c>
      <c r="Z731">
        <v>5</v>
      </c>
      <c r="AA731">
        <f>IF(AND(Table1[[#This Row],[Throw Out Pass Eff]]="N", Table1[[#This Row],[Against FCS Team]]="N"), ROUND(((5.45 * D731) + (150 * F731) + (100 * G731) - (300 * H731)) / E731, 2), " ")</f>
        <v>92.04</v>
      </c>
      <c r="AB731">
        <f>IF(AND(Table1[[#This Row],[Throw Out Pass Def Eff]]="N", Table1[[#This Row],[Against FCS Team]]="N"),200 - ROUND(((5.45 * P731) + (150 * R731) + (100 * S731) - (300 * T731)) / Q731, 2), " ")</f>
        <v>131.57999999999998</v>
      </c>
      <c r="AC731">
        <f>IF(AND(Table1[[#This Row],[Throw Out Rush Eff]]="N", Table1[[#This Row],[Against FCS Team]]="N"), ROUND(((23.2 * I731) + (150 * K731) - (300 * L731)) / J731, 2), " ")</f>
        <v>103.79</v>
      </c>
      <c r="AD731" s="3">
        <f>IF(AND(Table1[[#This Row],[Throw Out Rush Def Eff]]="N", Table1[[#This Row],[Against FCS Team]]="N"), 200 - ROUND(((23.2 * U731) + (150 * W731) - (300 * X731)) / V731, 2), " ")</f>
        <v>100.97</v>
      </c>
      <c r="AE731" s="3">
        <f>ROUND(Table1[[#This Row],[Opp Passing Attempts]]/(Table1[[#This Row],[Opp Passing Attempts]]+Table1[[#This Row],[Opp Rushing Attempts]]), 2)</f>
        <v>0.5</v>
      </c>
      <c r="AF731" s="3">
        <f>1-Table1[[#This Row],[Passing Weight]]</f>
        <v>0.5</v>
      </c>
      <c r="AG731" s="3" t="str">
        <f>IF(COUNTIF(A:A,Table1[[#This Row],[Opp Team Name]]) &gt; 0, "N", "Y")</f>
        <v>N</v>
      </c>
      <c r="AH731" s="3" t="str">
        <f>IF(Table1[[#This Row],[Passing Attempts]] &lt;15, "Y", "N")</f>
        <v>N</v>
      </c>
      <c r="AI731" s="3" t="str">
        <f>IF(Table1[[#This Row],[Rushing Attempts]] &lt; 15, "Y", "N")</f>
        <v>N</v>
      </c>
      <c r="AJ731" s="3" t="str">
        <f>IF(Table1[[#This Row],[Opp Passing Attempts]]&lt;15, "Y", "N")</f>
        <v>N</v>
      </c>
      <c r="AK731" s="3" t="str">
        <f>IF(Table1[[#This Row],[Opp Rushing Attempts]]&lt;15, "Y", "N")</f>
        <v>N</v>
      </c>
      <c r="AL73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74.239999999999995</v>
      </c>
      <c r="AM73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99.06</v>
      </c>
      <c r="AN73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90.54</v>
      </c>
      <c r="AO73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82.18</v>
      </c>
      <c r="AP731" s="3">
        <f>ABS(Table1[[#This Row],[Team Score]]-Table1[[#This Row],[Opp Team Score]])</f>
        <v>1</v>
      </c>
      <c r="AQ731" s="3">
        <f>SUM(Table1[[#This Row],[Team Score]], Table1[[#This Row],[Opp Team Score]])</f>
        <v>47</v>
      </c>
      <c r="AR73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28.379999999999995</v>
      </c>
      <c r="AS731" s="3">
        <f>IF(Table1[[#This Row],[Efficiency Difference]] = " ", " ", ROUND((Table1[[#This Row],[Winning Margin]]*100)/Table1[[#This Row],[Efficiency Difference]], 2))</f>
        <v>3.52</v>
      </c>
    </row>
    <row r="732" spans="1:45">
      <c r="A732" t="s">
        <v>55</v>
      </c>
      <c r="B732">
        <v>716</v>
      </c>
      <c r="C732">
        <v>17</v>
      </c>
      <c r="D732">
        <v>325</v>
      </c>
      <c r="E732">
        <v>55</v>
      </c>
      <c r="F732">
        <v>2</v>
      </c>
      <c r="G732">
        <v>39</v>
      </c>
      <c r="H732">
        <v>1</v>
      </c>
      <c r="I732">
        <v>77</v>
      </c>
      <c r="J732">
        <v>27</v>
      </c>
      <c r="K732">
        <v>0</v>
      </c>
      <c r="L732">
        <v>1</v>
      </c>
      <c r="M732" t="s">
        <v>86</v>
      </c>
      <c r="N732">
        <v>671</v>
      </c>
      <c r="O732">
        <v>31</v>
      </c>
      <c r="P732">
        <v>265</v>
      </c>
      <c r="Q732">
        <v>32</v>
      </c>
      <c r="R732">
        <v>2</v>
      </c>
      <c r="S732">
        <v>23</v>
      </c>
      <c r="T732">
        <v>0</v>
      </c>
      <c r="U732">
        <v>117</v>
      </c>
      <c r="V732">
        <v>40</v>
      </c>
      <c r="W732">
        <v>1</v>
      </c>
      <c r="X732">
        <v>1</v>
      </c>
      <c r="Y732" t="s">
        <v>19</v>
      </c>
      <c r="Z732">
        <v>6</v>
      </c>
      <c r="AA732">
        <f>IF(AND(Table1[[#This Row],[Throw Out Pass Eff]]="N", Table1[[#This Row],[Against FCS Team]]="N"), ROUND(((5.45 * D732) + (150 * F732) + (100 * G732) - (300 * H732)) / E732, 2), " ")</f>
        <v>103.11</v>
      </c>
      <c r="AB732">
        <f>IF(AND(Table1[[#This Row],[Throw Out Pass Def Eff]]="N", Table1[[#This Row],[Against FCS Team]]="N"),200 - ROUND(((5.45 * P732) + (150 * R732) + (100 * S732) - (300 * T732)) / Q732, 2), " ")</f>
        <v>73.62</v>
      </c>
      <c r="AC732">
        <f>IF(AND(Table1[[#This Row],[Throw Out Rush Eff]]="N", Table1[[#This Row],[Against FCS Team]]="N"), ROUND(((23.2 * I732) + (150 * K732) - (300 * L732)) / J732, 2), " ")</f>
        <v>55.05</v>
      </c>
      <c r="AD732" s="3">
        <f>IF(AND(Table1[[#This Row],[Throw Out Rush Def Eff]]="N", Table1[[#This Row],[Against FCS Team]]="N"), 200 - ROUND(((23.2 * U732) + (150 * W732) - (300 * X732)) / V732, 2), " ")</f>
        <v>135.88999999999999</v>
      </c>
      <c r="AE732" s="3">
        <f>ROUND(Table1[[#This Row],[Opp Passing Attempts]]/(Table1[[#This Row],[Opp Passing Attempts]]+Table1[[#This Row],[Opp Rushing Attempts]]), 2)</f>
        <v>0.44</v>
      </c>
      <c r="AF732" s="3">
        <f>1-Table1[[#This Row],[Passing Weight]]</f>
        <v>0.56000000000000005</v>
      </c>
      <c r="AG732" s="3" t="str">
        <f>IF(COUNTIF(A:A,Table1[[#This Row],[Opp Team Name]]) &gt; 0, "N", "Y")</f>
        <v>N</v>
      </c>
      <c r="AH732" s="3" t="str">
        <f>IF(Table1[[#This Row],[Passing Attempts]] &lt;15, "Y", "N")</f>
        <v>N</v>
      </c>
      <c r="AI732" s="3" t="str">
        <f>IF(Table1[[#This Row],[Rushing Attempts]] &lt; 15, "Y", "N")</f>
        <v>N</v>
      </c>
      <c r="AJ732" s="3" t="str">
        <f>IF(Table1[[#This Row],[Opp Passing Attempts]]&lt;15, "Y", "N")</f>
        <v>N</v>
      </c>
      <c r="AK732" s="3" t="str">
        <f>IF(Table1[[#This Row],[Opp Rushing Attempts]]&lt;15, "Y", "N")</f>
        <v>N</v>
      </c>
      <c r="AL73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105.34</v>
      </c>
      <c r="AM73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79.400000000000006</v>
      </c>
      <c r="AN73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63.12</v>
      </c>
      <c r="AO7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105.74</v>
      </c>
      <c r="AP732" s="3">
        <f>ABS(Table1[[#This Row],[Team Score]]-Table1[[#This Row],[Opp Team Score]])</f>
        <v>14</v>
      </c>
      <c r="AQ732" s="3">
        <f>SUM(Table1[[#This Row],[Team Score]], Table1[[#This Row],[Opp Team Score]])</f>
        <v>48</v>
      </c>
      <c r="AR73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32.330000000000013</v>
      </c>
      <c r="AS732" s="3">
        <f>IF(Table1[[#This Row],[Efficiency Difference]] = " ", " ", ROUND((Table1[[#This Row],[Winning Margin]]*100)/Table1[[#This Row],[Efficiency Difference]], 2))</f>
        <v>43.3</v>
      </c>
    </row>
    <row r="733" spans="1:45">
      <c r="A733" t="s">
        <v>55</v>
      </c>
      <c r="B733">
        <v>716</v>
      </c>
      <c r="C733">
        <v>10</v>
      </c>
      <c r="D733">
        <v>140</v>
      </c>
      <c r="E733">
        <v>36</v>
      </c>
      <c r="F733">
        <v>0</v>
      </c>
      <c r="G733">
        <v>20</v>
      </c>
      <c r="H733">
        <v>2</v>
      </c>
      <c r="I733">
        <v>-14</v>
      </c>
      <c r="J733">
        <v>21</v>
      </c>
      <c r="K733">
        <v>1</v>
      </c>
      <c r="L733">
        <v>1</v>
      </c>
      <c r="M733" t="s">
        <v>71</v>
      </c>
      <c r="N733">
        <v>498</v>
      </c>
      <c r="O733">
        <v>38</v>
      </c>
      <c r="P733">
        <v>275</v>
      </c>
      <c r="Q733">
        <v>33</v>
      </c>
      <c r="R733">
        <v>3</v>
      </c>
      <c r="S733">
        <v>23</v>
      </c>
      <c r="T733">
        <v>0</v>
      </c>
      <c r="U733">
        <v>248</v>
      </c>
      <c r="V733">
        <v>44</v>
      </c>
      <c r="W733">
        <v>2</v>
      </c>
      <c r="X733">
        <v>2</v>
      </c>
      <c r="Y733" t="s">
        <v>19</v>
      </c>
      <c r="Z733">
        <v>7</v>
      </c>
      <c r="AA733">
        <f>IF(AND(Table1[[#This Row],[Throw Out Pass Eff]]="N", Table1[[#This Row],[Against FCS Team]]="N"), ROUND(((5.45 * D733) + (150 * F733) + (100 * G733) - (300 * H733)) / E733, 2), " ")</f>
        <v>60.08</v>
      </c>
      <c r="AB733">
        <f>IF(AND(Table1[[#This Row],[Throw Out Pass Def Eff]]="N", Table1[[#This Row],[Against FCS Team]]="N"),200 - ROUND(((5.45 * P733) + (150 * R733) + (100 * S733) - (300 * T733)) / Q733, 2), " ")</f>
        <v>71.25</v>
      </c>
      <c r="AC733">
        <f>IF(AND(Table1[[#This Row],[Throw Out Rush Eff]]="N", Table1[[#This Row],[Against FCS Team]]="N"), ROUND(((23.2 * I733) + (150 * K733) - (300 * L733)) / J733, 2), " ")</f>
        <v>-22.61</v>
      </c>
      <c r="AD733" s="3">
        <f>IF(AND(Table1[[#This Row],[Throw Out Rush Def Eff]]="N", Table1[[#This Row],[Against FCS Team]]="N"), 200 - ROUND(((23.2 * U733) + (150 * W733) - (300 * X733)) / V733, 2), " ")</f>
        <v>76.05</v>
      </c>
      <c r="AE733" s="3">
        <f>ROUND(Table1[[#This Row],[Opp Passing Attempts]]/(Table1[[#This Row],[Opp Passing Attempts]]+Table1[[#This Row],[Opp Rushing Attempts]]), 2)</f>
        <v>0.43</v>
      </c>
      <c r="AF733" s="3">
        <f>1-Table1[[#This Row],[Passing Weight]]</f>
        <v>0.57000000000000006</v>
      </c>
      <c r="AG733" s="3" t="str">
        <f>IF(COUNTIF(A:A,Table1[[#This Row],[Opp Team Name]]) &gt; 0, "N", "Y")</f>
        <v>N</v>
      </c>
      <c r="AH733" s="3" t="str">
        <f>IF(Table1[[#This Row],[Passing Attempts]] &lt;15, "Y", "N")</f>
        <v>N</v>
      </c>
      <c r="AI733" s="3" t="str">
        <f>IF(Table1[[#This Row],[Rushing Attempts]] &lt; 15, "Y", "N")</f>
        <v>N</v>
      </c>
      <c r="AJ733" s="3" t="str">
        <f>IF(Table1[[#This Row],[Opp Passing Attempts]]&lt;15, "Y", "N")</f>
        <v>N</v>
      </c>
      <c r="AK733" s="3" t="str">
        <f>IF(Table1[[#This Row],[Opp Rushing Attempts]]&lt;15, "Y", "N")</f>
        <v>N</v>
      </c>
      <c r="AL7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58.63</v>
      </c>
      <c r="AM7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63.56</v>
      </c>
      <c r="AN7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-28.06</v>
      </c>
      <c r="AO7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54.43</v>
      </c>
      <c r="AP733" s="3">
        <f>ABS(Table1[[#This Row],[Team Score]]-Table1[[#This Row],[Opp Team Score]])</f>
        <v>28</v>
      </c>
      <c r="AQ733" s="3">
        <f>SUM(Table1[[#This Row],[Team Score]], Table1[[#This Row],[Opp Team Score]])</f>
        <v>48</v>
      </c>
      <c r="AR7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215.23</v>
      </c>
      <c r="AS733" s="3">
        <f>IF(Table1[[#This Row],[Efficiency Difference]] = " ", " ", ROUND((Table1[[#This Row],[Winning Margin]]*100)/Table1[[#This Row],[Efficiency Difference]], 2))</f>
        <v>13.01</v>
      </c>
    </row>
    <row r="734" spans="1:45">
      <c r="A734" t="s">
        <v>140</v>
      </c>
      <c r="B734">
        <v>718</v>
      </c>
      <c r="C734">
        <v>47</v>
      </c>
      <c r="D734">
        <v>267</v>
      </c>
      <c r="E734">
        <v>25</v>
      </c>
      <c r="F734">
        <v>3</v>
      </c>
      <c r="G734">
        <v>14</v>
      </c>
      <c r="H734">
        <v>0</v>
      </c>
      <c r="I734">
        <v>126</v>
      </c>
      <c r="J734">
        <v>37</v>
      </c>
      <c r="K734">
        <v>3</v>
      </c>
      <c r="L734">
        <v>0</v>
      </c>
      <c r="M734" t="s">
        <v>141</v>
      </c>
      <c r="N734">
        <v>655</v>
      </c>
      <c r="O734">
        <v>33</v>
      </c>
      <c r="P734">
        <v>295</v>
      </c>
      <c r="Q734">
        <v>45</v>
      </c>
      <c r="R734">
        <v>0</v>
      </c>
      <c r="S734">
        <v>25</v>
      </c>
      <c r="T734">
        <v>1</v>
      </c>
      <c r="U734">
        <v>124</v>
      </c>
      <c r="V734">
        <v>44</v>
      </c>
      <c r="W734">
        <v>4</v>
      </c>
      <c r="X734">
        <v>0</v>
      </c>
      <c r="Y734" t="s">
        <v>16</v>
      </c>
      <c r="Z734">
        <v>1</v>
      </c>
      <c r="AA734">
        <f>IF(AND(Table1[[#This Row],[Throw Out Pass Eff]]="N", Table1[[#This Row],[Against FCS Team]]="N"), ROUND(((5.45 * D734) + (150 * F734) + (100 * G734) - (300 * H734)) / E734, 2), " ")</f>
        <v>132.21</v>
      </c>
      <c r="AB734">
        <f>IF(AND(Table1[[#This Row],[Throw Out Pass Def Eff]]="N", Table1[[#This Row],[Against FCS Team]]="N"),200 - ROUND(((5.45 * P734) + (150 * R734) + (100 * S734) - (300 * T734)) / Q734, 2), " ")</f>
        <v>115.38</v>
      </c>
      <c r="AC734">
        <f>IF(AND(Table1[[#This Row],[Throw Out Rush Eff]]="N", Table1[[#This Row],[Against FCS Team]]="N"), ROUND(((23.2 * I734) + (150 * K734) - (300 * L734)) / J734, 2), " ")</f>
        <v>91.17</v>
      </c>
      <c r="AD734" s="3">
        <f>IF(AND(Table1[[#This Row],[Throw Out Rush Def Eff]]="N", Table1[[#This Row],[Against FCS Team]]="N"), 200 - ROUND(((23.2 * U734) + (150 * W734) - (300 * X734)) / V734, 2), " ")</f>
        <v>120.98</v>
      </c>
      <c r="AE734" s="3">
        <f>ROUND(Table1[[#This Row],[Opp Passing Attempts]]/(Table1[[#This Row],[Opp Passing Attempts]]+Table1[[#This Row],[Opp Rushing Attempts]]), 2)</f>
        <v>0.51</v>
      </c>
      <c r="AF734" s="3">
        <f>1-Table1[[#This Row],[Passing Weight]]</f>
        <v>0.49</v>
      </c>
      <c r="AG734" s="3" t="str">
        <f>IF(COUNTIF(A:A,Table1[[#This Row],[Opp Team Name]]) &gt; 0, "N", "Y")</f>
        <v>N</v>
      </c>
      <c r="AH734" s="3" t="str">
        <f>IF(Table1[[#This Row],[Passing Attempts]] &lt;15, "Y", "N")</f>
        <v>N</v>
      </c>
      <c r="AI734" s="3" t="str">
        <f>IF(Table1[[#This Row],[Rushing Attempts]] &lt; 15, "Y", "N")</f>
        <v>N</v>
      </c>
      <c r="AJ734" s="3" t="str">
        <f>IF(Table1[[#This Row],[Opp Passing Attempts]]&lt;15, "Y", "N")</f>
        <v>N</v>
      </c>
      <c r="AK734" s="3" t="str">
        <f>IF(Table1[[#This Row],[Opp Rushing Attempts]]&lt;15, "Y", "N")</f>
        <v>N</v>
      </c>
      <c r="AL73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120.42</v>
      </c>
      <c r="AM73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115.44</v>
      </c>
      <c r="AN73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27.45</v>
      </c>
      <c r="AO73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129.06</v>
      </c>
      <c r="AP734" s="3">
        <f>ABS(Table1[[#This Row],[Team Score]]-Table1[[#This Row],[Opp Team Score]])</f>
        <v>14</v>
      </c>
      <c r="AQ734" s="3">
        <f>SUM(Table1[[#This Row],[Team Score]], Table1[[#This Row],[Opp Team Score]])</f>
        <v>80</v>
      </c>
      <c r="AR73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59.740000000000009</v>
      </c>
      <c r="AS734" s="3">
        <f>IF(Table1[[#This Row],[Efficiency Difference]] = " ", " ", ROUND((Table1[[#This Row],[Winning Margin]]*100)/Table1[[#This Row],[Efficiency Difference]], 2))</f>
        <v>23.43</v>
      </c>
    </row>
    <row r="735" spans="1:45">
      <c r="A735" t="s">
        <v>140</v>
      </c>
      <c r="B735">
        <v>718</v>
      </c>
      <c r="C735">
        <v>3</v>
      </c>
      <c r="D735">
        <v>176</v>
      </c>
      <c r="E735">
        <v>42</v>
      </c>
      <c r="F735">
        <v>0</v>
      </c>
      <c r="G735">
        <v>19</v>
      </c>
      <c r="H735">
        <v>1</v>
      </c>
      <c r="I735">
        <v>59</v>
      </c>
      <c r="J735">
        <v>35</v>
      </c>
      <c r="K735">
        <v>0</v>
      </c>
      <c r="L735">
        <v>2</v>
      </c>
      <c r="M735" t="s">
        <v>117</v>
      </c>
      <c r="N735">
        <v>719</v>
      </c>
      <c r="O735">
        <v>31</v>
      </c>
      <c r="P735">
        <v>246</v>
      </c>
      <c r="Q735">
        <v>32</v>
      </c>
      <c r="R735">
        <v>3</v>
      </c>
      <c r="S735">
        <v>22</v>
      </c>
      <c r="T735">
        <v>1</v>
      </c>
      <c r="U735">
        <v>166</v>
      </c>
      <c r="V735">
        <v>37</v>
      </c>
      <c r="W735">
        <v>1</v>
      </c>
      <c r="X735">
        <v>1</v>
      </c>
      <c r="Y735" t="s">
        <v>19</v>
      </c>
      <c r="Z735">
        <v>2</v>
      </c>
      <c r="AA735">
        <f>IF(AND(Table1[[#This Row],[Throw Out Pass Eff]]="N", Table1[[#This Row],[Against FCS Team]]="N"), ROUND(((5.45 * D735) + (150 * F735) + (100 * G735) - (300 * H735)) / E735, 2), " ")</f>
        <v>60.93</v>
      </c>
      <c r="AB735">
        <f>IF(AND(Table1[[#This Row],[Throw Out Pass Def Eff]]="N", Table1[[#This Row],[Against FCS Team]]="N"),200 - ROUND(((5.45 * P735) + (150 * R735) + (100 * S735) - (300 * T735)) / Q735, 2), " ")</f>
        <v>84.67</v>
      </c>
      <c r="AC735">
        <f>IF(AND(Table1[[#This Row],[Throw Out Rush Eff]]="N", Table1[[#This Row],[Against FCS Team]]="N"), ROUND(((23.2 * I735) + (150 * K735) - (300 * L735)) / J735, 2), " ")</f>
        <v>21.97</v>
      </c>
      <c r="AD735" s="3">
        <f>IF(AND(Table1[[#This Row],[Throw Out Rush Def Eff]]="N", Table1[[#This Row],[Against FCS Team]]="N"), 200 - ROUND(((23.2 * U735) + (150 * W735) - (300 * X735)) / V735, 2), " ")</f>
        <v>99.97</v>
      </c>
      <c r="AE735" s="3">
        <f>ROUND(Table1[[#This Row],[Opp Passing Attempts]]/(Table1[[#This Row],[Opp Passing Attempts]]+Table1[[#This Row],[Opp Rushing Attempts]]), 2)</f>
        <v>0.46</v>
      </c>
      <c r="AF735" s="3">
        <f>1-Table1[[#This Row],[Passing Weight]]</f>
        <v>0.54</v>
      </c>
      <c r="AG735" s="3" t="str">
        <f>IF(COUNTIF(A:A,Table1[[#This Row],[Opp Team Name]]) &gt; 0, "N", "Y")</f>
        <v>N</v>
      </c>
      <c r="AH735" s="3" t="str">
        <f>IF(Table1[[#This Row],[Passing Attempts]] &lt;15, "Y", "N")</f>
        <v>N</v>
      </c>
      <c r="AI735" s="3" t="str">
        <f>IF(Table1[[#This Row],[Rushing Attempts]] &lt; 15, "Y", "N")</f>
        <v>N</v>
      </c>
      <c r="AJ735" s="3" t="str">
        <f>IF(Table1[[#This Row],[Opp Passing Attempts]]&lt;15, "Y", "N")</f>
        <v>N</v>
      </c>
      <c r="AK735" s="3" t="str">
        <f>IF(Table1[[#This Row],[Opp Rushing Attempts]]&lt;15, "Y", "N")</f>
        <v>N</v>
      </c>
      <c r="AL7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60.45</v>
      </c>
      <c r="AM7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78.900000000000006</v>
      </c>
      <c r="AN7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28.3</v>
      </c>
      <c r="AO7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101.76</v>
      </c>
      <c r="AP735" s="3">
        <f>ABS(Table1[[#This Row],[Team Score]]-Table1[[#This Row],[Opp Team Score]])</f>
        <v>28</v>
      </c>
      <c r="AQ735" s="3">
        <f>SUM(Table1[[#This Row],[Team Score]], Table1[[#This Row],[Opp Team Score]])</f>
        <v>34</v>
      </c>
      <c r="AR73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132.46</v>
      </c>
      <c r="AS735" s="3">
        <f>IF(Table1[[#This Row],[Efficiency Difference]] = " ", " ", ROUND((Table1[[#This Row],[Winning Margin]]*100)/Table1[[#This Row],[Efficiency Difference]], 2))</f>
        <v>21.14</v>
      </c>
    </row>
    <row r="736" spans="1:45">
      <c r="A736" t="s">
        <v>140</v>
      </c>
      <c r="B736">
        <v>718</v>
      </c>
      <c r="C736">
        <v>49</v>
      </c>
      <c r="D736">
        <v>278</v>
      </c>
      <c r="E736">
        <v>27</v>
      </c>
      <c r="F736">
        <v>3</v>
      </c>
      <c r="G736">
        <v>23</v>
      </c>
      <c r="H736">
        <v>0</v>
      </c>
      <c r="I736">
        <v>262</v>
      </c>
      <c r="J736">
        <v>49</v>
      </c>
      <c r="K736">
        <v>2</v>
      </c>
      <c r="L736">
        <v>0</v>
      </c>
      <c r="M736" t="s">
        <v>170</v>
      </c>
      <c r="N736">
        <v>9</v>
      </c>
      <c r="O736">
        <v>10</v>
      </c>
      <c r="P736">
        <v>145</v>
      </c>
      <c r="Q736">
        <v>28</v>
      </c>
      <c r="R736">
        <v>0</v>
      </c>
      <c r="S736">
        <v>10</v>
      </c>
      <c r="T736">
        <v>3</v>
      </c>
      <c r="U736">
        <v>48</v>
      </c>
      <c r="V736">
        <v>17</v>
      </c>
      <c r="W736">
        <v>0</v>
      </c>
      <c r="X736">
        <v>0</v>
      </c>
      <c r="Y736" t="s">
        <v>16</v>
      </c>
      <c r="Z736">
        <v>3</v>
      </c>
      <c r="AA736">
        <f>IF(AND(Table1[[#This Row],[Throw Out Pass Eff]]="N", Table1[[#This Row],[Against FCS Team]]="N"), ROUND(((5.45 * D736) + (150 * F736) + (100 * G736) - (300 * H736)) / E736, 2), " ")</f>
        <v>157.97</v>
      </c>
      <c r="AB736">
        <f>IF(AND(Table1[[#This Row],[Throw Out Pass Def Eff]]="N", Table1[[#This Row],[Against FCS Team]]="N"),200 - ROUND(((5.45 * P736) + (150 * R736) + (100 * S736) - (300 * T736)) / Q736, 2), " ")</f>
        <v>168.21</v>
      </c>
      <c r="AC736">
        <f>IF(AND(Table1[[#This Row],[Throw Out Rush Eff]]="N", Table1[[#This Row],[Against FCS Team]]="N"), ROUND(((23.2 * I736) + (150 * K736) - (300 * L736)) / J736, 2), " ")</f>
        <v>130.16999999999999</v>
      </c>
      <c r="AD736" s="3">
        <f>IF(AND(Table1[[#This Row],[Throw Out Rush Def Eff]]="N", Table1[[#This Row],[Against FCS Team]]="N"), 200 - ROUND(((23.2 * U736) + (150 * W736) - (300 * X736)) / V736, 2), " ")</f>
        <v>134.49</v>
      </c>
      <c r="AE736" s="3">
        <f>ROUND(Table1[[#This Row],[Opp Passing Attempts]]/(Table1[[#This Row],[Opp Passing Attempts]]+Table1[[#This Row],[Opp Rushing Attempts]]), 2)</f>
        <v>0.62</v>
      </c>
      <c r="AF736" s="3">
        <f>1-Table1[[#This Row],[Passing Weight]]</f>
        <v>0.38</v>
      </c>
      <c r="AG736" s="3" t="str">
        <f>IF(COUNTIF(A:A,Table1[[#This Row],[Opp Team Name]]) &gt; 0, "N", "Y")</f>
        <v>N</v>
      </c>
      <c r="AH736" s="3" t="str">
        <f>IF(Table1[[#This Row],[Passing Attempts]] &lt;15, "Y", "N")</f>
        <v>N</v>
      </c>
      <c r="AI736" s="3" t="str">
        <f>IF(Table1[[#This Row],[Rushing Attempts]] &lt; 15, "Y", "N")</f>
        <v>N</v>
      </c>
      <c r="AJ736" s="3" t="str">
        <f>IF(Table1[[#This Row],[Opp Passing Attempts]]&lt;15, "Y", "N")</f>
        <v>N</v>
      </c>
      <c r="AK736" s="3" t="str">
        <f>IF(Table1[[#This Row],[Opp Rushing Attempts]]&lt;15, "Y", "N")</f>
        <v>N</v>
      </c>
      <c r="AL7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127.41</v>
      </c>
      <c r="AM7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126.64</v>
      </c>
      <c r="AN7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113.56</v>
      </c>
      <c r="AO7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109.46</v>
      </c>
      <c r="AP736" s="3">
        <f>ABS(Table1[[#This Row],[Team Score]]-Table1[[#This Row],[Opp Team Score]])</f>
        <v>39</v>
      </c>
      <c r="AQ736" s="3">
        <f>SUM(Table1[[#This Row],[Team Score]], Table1[[#This Row],[Opp Team Score]])</f>
        <v>59</v>
      </c>
      <c r="AR7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190.84000000000003</v>
      </c>
      <c r="AS736" s="3">
        <f>IF(Table1[[#This Row],[Efficiency Difference]] = " ", " ", ROUND((Table1[[#This Row],[Winning Margin]]*100)/Table1[[#This Row],[Efficiency Difference]], 2))</f>
        <v>20.440000000000001</v>
      </c>
    </row>
    <row r="737" spans="1:45">
      <c r="A737" t="s">
        <v>140</v>
      </c>
      <c r="B737">
        <v>718</v>
      </c>
      <c r="C737">
        <v>27</v>
      </c>
      <c r="D737">
        <v>263</v>
      </c>
      <c r="E737">
        <v>37</v>
      </c>
      <c r="F737">
        <v>1</v>
      </c>
      <c r="G737">
        <v>18</v>
      </c>
      <c r="H737">
        <v>1</v>
      </c>
      <c r="I737">
        <v>55</v>
      </c>
      <c r="J737">
        <v>22</v>
      </c>
      <c r="K737">
        <v>1</v>
      </c>
      <c r="L737">
        <v>0</v>
      </c>
      <c r="M737" t="s">
        <v>62</v>
      </c>
      <c r="N737">
        <v>193</v>
      </c>
      <c r="O737">
        <v>48</v>
      </c>
      <c r="P737">
        <v>333</v>
      </c>
      <c r="Q737">
        <v>36</v>
      </c>
      <c r="R737">
        <v>1</v>
      </c>
      <c r="S737">
        <v>24</v>
      </c>
      <c r="T737">
        <v>1</v>
      </c>
      <c r="U737">
        <v>151</v>
      </c>
      <c r="V737">
        <v>43</v>
      </c>
      <c r="W737">
        <v>5</v>
      </c>
      <c r="X737">
        <v>1</v>
      </c>
      <c r="Y737" t="s">
        <v>19</v>
      </c>
      <c r="Z737">
        <v>4</v>
      </c>
      <c r="AA737">
        <f>IF(AND(Table1[[#This Row],[Throw Out Pass Eff]]="N", Table1[[#This Row],[Against FCS Team]]="N"), ROUND(((5.45 * D737) + (150 * F737) + (100 * G737) - (300 * H737)) / E737, 2), " ")</f>
        <v>83.33</v>
      </c>
      <c r="AB737">
        <f>IF(AND(Table1[[#This Row],[Throw Out Pass Def Eff]]="N", Table1[[#This Row],[Against FCS Team]]="N"),200 - ROUND(((5.45 * P737) + (150 * R737) + (100 * S737) - (300 * T737)) / Q737, 2), " ")</f>
        <v>87.09</v>
      </c>
      <c r="AC737">
        <f>IF(AND(Table1[[#This Row],[Throw Out Rush Eff]]="N", Table1[[#This Row],[Against FCS Team]]="N"), ROUND(((23.2 * I737) + (150 * K737) - (300 * L737)) / J737, 2), " ")</f>
        <v>64.819999999999993</v>
      </c>
      <c r="AD737" s="3">
        <f>IF(AND(Table1[[#This Row],[Throw Out Rush Def Eff]]="N", Table1[[#This Row],[Against FCS Team]]="N"), 200 - ROUND(((23.2 * U737) + (150 * W737) - (300 * X737)) / V737, 2), " ")</f>
        <v>108.07</v>
      </c>
      <c r="AE737" s="3">
        <f>ROUND(Table1[[#This Row],[Opp Passing Attempts]]/(Table1[[#This Row],[Opp Passing Attempts]]+Table1[[#This Row],[Opp Rushing Attempts]]), 2)</f>
        <v>0.46</v>
      </c>
      <c r="AF737" s="3">
        <f>1-Table1[[#This Row],[Passing Weight]]</f>
        <v>0.54</v>
      </c>
      <c r="AG737" s="3" t="str">
        <f>IF(COUNTIF(A:A,Table1[[#This Row],[Opp Team Name]]) &gt; 0, "N", "Y")</f>
        <v>N</v>
      </c>
      <c r="AH737" s="3" t="str">
        <f>IF(Table1[[#This Row],[Passing Attempts]] &lt;15, "Y", "N")</f>
        <v>N</v>
      </c>
      <c r="AI737" s="3" t="str">
        <f>IF(Table1[[#This Row],[Rushing Attempts]] &lt; 15, "Y", "N")</f>
        <v>N</v>
      </c>
      <c r="AJ737" s="3" t="str">
        <f>IF(Table1[[#This Row],[Opp Passing Attempts]]&lt;15, "Y", "N")</f>
        <v>N</v>
      </c>
      <c r="AK737" s="3" t="str">
        <f>IF(Table1[[#This Row],[Opp Rushing Attempts]]&lt;15, "Y", "N")</f>
        <v>N</v>
      </c>
      <c r="AL7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73.83</v>
      </c>
      <c r="AM7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90.72</v>
      </c>
      <c r="AN7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63.28</v>
      </c>
      <c r="AO7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69.39</v>
      </c>
      <c r="AP737" s="3">
        <f>ABS(Table1[[#This Row],[Team Score]]-Table1[[#This Row],[Opp Team Score]])</f>
        <v>21</v>
      </c>
      <c r="AQ737" s="3">
        <f>SUM(Table1[[#This Row],[Team Score]], Table1[[#This Row],[Opp Team Score]])</f>
        <v>75</v>
      </c>
      <c r="AR7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56.690000000000026</v>
      </c>
      <c r="AS737" s="3">
        <f>IF(Table1[[#This Row],[Efficiency Difference]] = " ", " ", ROUND((Table1[[#This Row],[Winning Margin]]*100)/Table1[[#This Row],[Efficiency Difference]], 2))</f>
        <v>37.04</v>
      </c>
    </row>
    <row r="738" spans="1:45">
      <c r="A738" t="s">
        <v>140</v>
      </c>
      <c r="B738">
        <v>718</v>
      </c>
      <c r="C738">
        <v>6</v>
      </c>
      <c r="D738">
        <v>74</v>
      </c>
      <c r="E738">
        <v>20</v>
      </c>
      <c r="F738">
        <v>0</v>
      </c>
      <c r="G738">
        <v>10</v>
      </c>
      <c r="H738">
        <v>2</v>
      </c>
      <c r="I738">
        <v>125</v>
      </c>
      <c r="J738">
        <v>28</v>
      </c>
      <c r="K738">
        <v>1</v>
      </c>
      <c r="L738">
        <v>2</v>
      </c>
      <c r="M738" t="s">
        <v>30</v>
      </c>
      <c r="N738">
        <v>725</v>
      </c>
      <c r="O738">
        <v>45</v>
      </c>
      <c r="P738">
        <v>70</v>
      </c>
      <c r="Q738">
        <v>3</v>
      </c>
      <c r="R738">
        <v>1</v>
      </c>
      <c r="S738">
        <v>3</v>
      </c>
      <c r="T738">
        <v>0</v>
      </c>
      <c r="U738">
        <v>353</v>
      </c>
      <c r="V738">
        <v>62</v>
      </c>
      <c r="W738">
        <v>5</v>
      </c>
      <c r="X738">
        <v>2</v>
      </c>
      <c r="Y738" t="s">
        <v>19</v>
      </c>
      <c r="Z738">
        <v>5</v>
      </c>
      <c r="AA738">
        <f>IF(AND(Table1[[#This Row],[Throw Out Pass Eff]]="N", Table1[[#This Row],[Against FCS Team]]="N"), ROUND(((5.45 * D738) + (150 * F738) + (100 * G738) - (300 * H738)) / E738, 2), " ")</f>
        <v>40.17</v>
      </c>
      <c r="AB738" t="str">
        <f>IF(AND(Table1[[#This Row],[Throw Out Pass Def Eff]]="N", Table1[[#This Row],[Against FCS Team]]="N"),200 - ROUND(((5.45 * P738) + (150 * R738) + (100 * S738) - (300 * T738)) / Q738, 2), " ")</f>
        <v xml:space="preserve"> </v>
      </c>
      <c r="AC738">
        <f>IF(AND(Table1[[#This Row],[Throw Out Rush Eff]]="N", Table1[[#This Row],[Against FCS Team]]="N"), ROUND(((23.2 * I738) + (150 * K738) - (300 * L738)) / J738, 2), " ")</f>
        <v>87.5</v>
      </c>
      <c r="AD738" s="3">
        <f>IF(AND(Table1[[#This Row],[Throw Out Rush Def Eff]]="N", Table1[[#This Row],[Against FCS Team]]="N"), 200 - ROUND(((23.2 * U738) + (150 * W738) - (300 * X738)) / V738, 2), " ")</f>
        <v>65.490000000000009</v>
      </c>
      <c r="AE738" s="3">
        <f>ROUND(Table1[[#This Row],[Opp Passing Attempts]]/(Table1[[#This Row],[Opp Passing Attempts]]+Table1[[#This Row],[Opp Rushing Attempts]]), 2)</f>
        <v>0.05</v>
      </c>
      <c r="AF738" s="3">
        <f>1-Table1[[#This Row],[Passing Weight]]</f>
        <v>0.95</v>
      </c>
      <c r="AG738" s="3" t="str">
        <f>IF(COUNTIF(A:A,Table1[[#This Row],[Opp Team Name]]) &gt; 0, "N", "Y")</f>
        <v>N</v>
      </c>
      <c r="AH738" s="3" t="str">
        <f>IF(Table1[[#This Row],[Passing Attempts]] &lt;15, "Y", "N")</f>
        <v>N</v>
      </c>
      <c r="AI738" s="3" t="str">
        <f>IF(Table1[[#This Row],[Rushing Attempts]] &lt; 15, "Y", "N")</f>
        <v>N</v>
      </c>
      <c r="AJ738" s="3" t="str">
        <f>IF(Table1[[#This Row],[Opp Passing Attempts]]&lt;15, "Y", "N")</f>
        <v>Y</v>
      </c>
      <c r="AK738" s="3" t="str">
        <f>IF(Table1[[#This Row],[Opp Rushing Attempts]]&lt;15, "Y", "N")</f>
        <v>N</v>
      </c>
      <c r="AL73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39.29</v>
      </c>
      <c r="AM73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3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69.53</v>
      </c>
      <c r="AO73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81.39</v>
      </c>
      <c r="AP738" s="3">
        <f>ABS(Table1[[#This Row],[Team Score]]-Table1[[#This Row],[Opp Team Score]])</f>
        <v>39</v>
      </c>
      <c r="AQ738" s="3">
        <f>SUM(Table1[[#This Row],[Team Score]], Table1[[#This Row],[Opp Team Score]])</f>
        <v>51</v>
      </c>
      <c r="AR73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38" s="3" t="str">
        <f>IF(Table1[[#This Row],[Efficiency Difference]] = " ", " ", ROUND((Table1[[#This Row],[Winning Margin]]*100)/Table1[[#This Row],[Efficiency Difference]], 2))</f>
        <v xml:space="preserve"> </v>
      </c>
    </row>
    <row r="739" spans="1:45">
      <c r="A739" t="s">
        <v>140</v>
      </c>
      <c r="B739">
        <v>718</v>
      </c>
      <c r="C739">
        <v>34</v>
      </c>
      <c r="D739">
        <v>355</v>
      </c>
      <c r="E739">
        <v>31</v>
      </c>
      <c r="F739">
        <v>2</v>
      </c>
      <c r="G739">
        <v>25</v>
      </c>
      <c r="H739">
        <v>0</v>
      </c>
      <c r="I739">
        <v>116</v>
      </c>
      <c r="J739">
        <v>27</v>
      </c>
      <c r="K739">
        <v>2</v>
      </c>
      <c r="L739">
        <v>2</v>
      </c>
      <c r="M739" t="s">
        <v>130</v>
      </c>
      <c r="N739">
        <v>688</v>
      </c>
      <c r="O739">
        <v>37</v>
      </c>
      <c r="P739">
        <v>186</v>
      </c>
      <c r="Q739">
        <v>34</v>
      </c>
      <c r="R739">
        <v>2</v>
      </c>
      <c r="S739">
        <v>19</v>
      </c>
      <c r="T739">
        <v>0</v>
      </c>
      <c r="U739">
        <v>170</v>
      </c>
      <c r="V739">
        <v>40</v>
      </c>
      <c r="W739">
        <v>2</v>
      </c>
      <c r="X739">
        <v>0</v>
      </c>
      <c r="Y739" t="s">
        <v>19</v>
      </c>
      <c r="Z739">
        <v>6</v>
      </c>
      <c r="AA739">
        <f>IF(AND(Table1[[#This Row],[Throw Out Pass Eff]]="N", Table1[[#This Row],[Against FCS Team]]="N"), ROUND(((5.45 * D739) + (150 * F739) + (100 * G739) - (300 * H739)) / E739, 2), " ")</f>
        <v>152.72999999999999</v>
      </c>
      <c r="AB739">
        <f>IF(AND(Table1[[#This Row],[Throw Out Pass Def Eff]]="N", Table1[[#This Row],[Against FCS Team]]="N"),200 - ROUND(((5.45 * P739) + (150 * R739) + (100 * S739) - (300 * T739)) / Q739, 2), " ")</f>
        <v>105.48</v>
      </c>
      <c r="AC739">
        <f>IF(AND(Table1[[#This Row],[Throw Out Rush Eff]]="N", Table1[[#This Row],[Against FCS Team]]="N"), ROUND(((23.2 * I739) + (150 * K739) - (300 * L739)) / J739, 2), " ")</f>
        <v>88.56</v>
      </c>
      <c r="AD739" s="3">
        <f>IF(AND(Table1[[#This Row],[Throw Out Rush Def Eff]]="N", Table1[[#This Row],[Against FCS Team]]="N"), 200 - ROUND(((23.2 * U739) + (150 * W739) - (300 * X739)) / V739, 2), " ")</f>
        <v>93.9</v>
      </c>
      <c r="AE739" s="3">
        <f>ROUND(Table1[[#This Row],[Opp Passing Attempts]]/(Table1[[#This Row],[Opp Passing Attempts]]+Table1[[#This Row],[Opp Rushing Attempts]]), 2)</f>
        <v>0.46</v>
      </c>
      <c r="AF739" s="3">
        <f>1-Table1[[#This Row],[Passing Weight]]</f>
        <v>0.54</v>
      </c>
      <c r="AG739" s="3" t="str">
        <f>IF(COUNTIF(A:A,Table1[[#This Row],[Opp Team Name]]) &gt; 0, "N", "Y")</f>
        <v>N</v>
      </c>
      <c r="AH739" s="3" t="str">
        <f>IF(Table1[[#This Row],[Passing Attempts]] &lt;15, "Y", "N")</f>
        <v>N</v>
      </c>
      <c r="AI739" s="3" t="str">
        <f>IF(Table1[[#This Row],[Rushing Attempts]] &lt; 15, "Y", "N")</f>
        <v>N</v>
      </c>
      <c r="AJ739" s="3" t="str">
        <f>IF(Table1[[#This Row],[Opp Passing Attempts]]&lt;15, "Y", "N")</f>
        <v>N</v>
      </c>
      <c r="AK739" s="3" t="str">
        <f>IF(Table1[[#This Row],[Opp Rushing Attempts]]&lt;15, "Y", "N")</f>
        <v>N</v>
      </c>
      <c r="AL73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136.5</v>
      </c>
      <c r="AM7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111.63</v>
      </c>
      <c r="AN7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119.03</v>
      </c>
      <c r="AO7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85.03</v>
      </c>
      <c r="AP739" s="3">
        <f>ABS(Table1[[#This Row],[Team Score]]-Table1[[#This Row],[Opp Team Score]])</f>
        <v>3</v>
      </c>
      <c r="AQ739" s="3">
        <f>SUM(Table1[[#This Row],[Team Score]], Table1[[#This Row],[Opp Team Score]])</f>
        <v>71</v>
      </c>
      <c r="AR73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40.669999999999987</v>
      </c>
      <c r="AS739" s="3">
        <f>IF(Table1[[#This Row],[Efficiency Difference]] = " ", " ", ROUND((Table1[[#This Row],[Winning Margin]]*100)/Table1[[#This Row],[Efficiency Difference]], 2))</f>
        <v>7.38</v>
      </c>
    </row>
    <row r="740" spans="1:45">
      <c r="A740" t="s">
        <v>140</v>
      </c>
      <c r="B740">
        <v>718</v>
      </c>
      <c r="C740">
        <v>7</v>
      </c>
      <c r="D740">
        <v>237</v>
      </c>
      <c r="E740">
        <v>48</v>
      </c>
      <c r="F740">
        <v>0</v>
      </c>
      <c r="G740">
        <v>21</v>
      </c>
      <c r="H740">
        <v>4</v>
      </c>
      <c r="I740">
        <v>128</v>
      </c>
      <c r="J740">
        <v>24</v>
      </c>
      <c r="K740">
        <v>1</v>
      </c>
      <c r="L740">
        <v>0</v>
      </c>
      <c r="M740" t="s">
        <v>148</v>
      </c>
      <c r="N740">
        <v>704</v>
      </c>
      <c r="O740">
        <v>44</v>
      </c>
      <c r="P740">
        <v>124</v>
      </c>
      <c r="Q740">
        <v>17</v>
      </c>
      <c r="R740">
        <v>1</v>
      </c>
      <c r="S740">
        <v>7</v>
      </c>
      <c r="T740">
        <v>2</v>
      </c>
      <c r="U740">
        <v>266</v>
      </c>
      <c r="V740">
        <v>43</v>
      </c>
      <c r="W740">
        <v>3</v>
      </c>
      <c r="X740">
        <v>1</v>
      </c>
      <c r="Y740" t="s">
        <v>19</v>
      </c>
      <c r="Z740">
        <v>7</v>
      </c>
      <c r="AA740">
        <f>IF(AND(Table1[[#This Row],[Throw Out Pass Eff]]="N", Table1[[#This Row],[Against FCS Team]]="N"), ROUND(((5.45 * D740) + (150 * F740) + (100 * G740) - (300 * H740)) / E740, 2), " ")</f>
        <v>45.66</v>
      </c>
      <c r="AB740">
        <f>IF(AND(Table1[[#This Row],[Throw Out Pass Def Eff]]="N", Table1[[#This Row],[Against FCS Team]]="N"),200 - ROUND(((5.45 * P740) + (150 * R740) + (100 * S740) - (300 * T740)) / Q740, 2), " ")</f>
        <v>145.54</v>
      </c>
      <c r="AC740">
        <f>IF(AND(Table1[[#This Row],[Throw Out Rush Eff]]="N", Table1[[#This Row],[Against FCS Team]]="N"), ROUND(((23.2 * I740) + (150 * K740) - (300 * L740)) / J740, 2), " ")</f>
        <v>129.97999999999999</v>
      </c>
      <c r="AD740" s="3">
        <f>IF(AND(Table1[[#This Row],[Throw Out Rush Def Eff]]="N", Table1[[#This Row],[Against FCS Team]]="N"), 200 - ROUND(((23.2 * U740) + (150 * W740) - (300 * X740)) / V740, 2), " ")</f>
        <v>53</v>
      </c>
      <c r="AE740" s="3">
        <f>ROUND(Table1[[#This Row],[Opp Passing Attempts]]/(Table1[[#This Row],[Opp Passing Attempts]]+Table1[[#This Row],[Opp Rushing Attempts]]), 2)</f>
        <v>0.28000000000000003</v>
      </c>
      <c r="AF740" s="3">
        <f>1-Table1[[#This Row],[Passing Weight]]</f>
        <v>0.72</v>
      </c>
      <c r="AG740" s="3" t="str">
        <f>IF(COUNTIF(A:A,Table1[[#This Row],[Opp Team Name]]) &gt; 0, "N", "Y")</f>
        <v>N</v>
      </c>
      <c r="AH740" s="3" t="str">
        <f>IF(Table1[[#This Row],[Passing Attempts]] &lt;15, "Y", "N")</f>
        <v>N</v>
      </c>
      <c r="AI740" s="3" t="str">
        <f>IF(Table1[[#This Row],[Rushing Attempts]] &lt; 15, "Y", "N")</f>
        <v>N</v>
      </c>
      <c r="AJ740" s="3" t="str">
        <f>IF(Table1[[#This Row],[Opp Passing Attempts]]&lt;15, "Y", "N")</f>
        <v>N</v>
      </c>
      <c r="AK740" s="3" t="str">
        <f>IF(Table1[[#This Row],[Opp Rushing Attempts]]&lt;15, "Y", "N")</f>
        <v>N</v>
      </c>
      <c r="AL74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49.13</v>
      </c>
      <c r="AM7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112.73</v>
      </c>
      <c r="AN7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110.98</v>
      </c>
      <c r="AO7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64.150000000000006</v>
      </c>
      <c r="AP740" s="3">
        <f>ABS(Table1[[#This Row],[Team Score]]-Table1[[#This Row],[Opp Team Score]])</f>
        <v>37</v>
      </c>
      <c r="AQ740" s="3">
        <f>SUM(Table1[[#This Row],[Team Score]], Table1[[#This Row],[Opp Team Score]])</f>
        <v>51</v>
      </c>
      <c r="AR74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25.820000000000022</v>
      </c>
      <c r="AS740" s="3">
        <f>IF(Table1[[#This Row],[Efficiency Difference]] = " ", " ", ROUND((Table1[[#This Row],[Winning Margin]]*100)/Table1[[#This Row],[Efficiency Difference]], 2))</f>
        <v>143.30000000000001</v>
      </c>
    </row>
    <row r="741" spans="1:45">
      <c r="A741" t="s">
        <v>140</v>
      </c>
      <c r="B741">
        <v>718</v>
      </c>
      <c r="C741">
        <v>17</v>
      </c>
      <c r="D741">
        <v>377</v>
      </c>
      <c r="E741">
        <v>50</v>
      </c>
      <c r="F741">
        <v>1</v>
      </c>
      <c r="G741">
        <v>31</v>
      </c>
      <c r="H741">
        <v>2</v>
      </c>
      <c r="I741">
        <v>82</v>
      </c>
      <c r="J741">
        <v>31</v>
      </c>
      <c r="K741">
        <v>1</v>
      </c>
      <c r="L741">
        <v>1</v>
      </c>
      <c r="M741" t="s">
        <v>94</v>
      </c>
      <c r="N741">
        <v>404</v>
      </c>
      <c r="O741">
        <v>33</v>
      </c>
      <c r="P741">
        <v>213</v>
      </c>
      <c r="Q741">
        <v>26</v>
      </c>
      <c r="R741">
        <v>2</v>
      </c>
      <c r="S741">
        <v>14</v>
      </c>
      <c r="T741">
        <v>1</v>
      </c>
      <c r="U741">
        <v>76</v>
      </c>
      <c r="V741">
        <v>33</v>
      </c>
      <c r="W741">
        <v>2</v>
      </c>
      <c r="X741">
        <v>0</v>
      </c>
      <c r="Y741" t="s">
        <v>19</v>
      </c>
      <c r="Z741">
        <v>8</v>
      </c>
      <c r="AA741" s="3">
        <f>IF(AND(Table1[[#This Row],[Throw Out Pass Eff]]="N", Table1[[#This Row],[Against FCS Team]]="N"), ROUND(((5.45 * D741) + (150 * F741) + (100 * G741) - (300 * H741)) / E741, 2), " ")</f>
        <v>94.09</v>
      </c>
      <c r="AB741" s="3">
        <f>IF(AND(Table1[[#This Row],[Throw Out Pass Def Eff]]="N", Table1[[#This Row],[Against FCS Team]]="N"),200 - ROUND(((5.45 * P741) + (150 * R741) + (100 * S741) - (300 * T741)) / Q741, 2), " ")</f>
        <v>101.51</v>
      </c>
      <c r="AC741" s="3">
        <f>IF(AND(Table1[[#This Row],[Throw Out Rush Eff]]="N", Table1[[#This Row],[Against FCS Team]]="N"), ROUND(((23.2 * I741) + (150 * K741) - (300 * L741)) / J741, 2), " ")</f>
        <v>56.53</v>
      </c>
      <c r="AD741" s="3">
        <f>IF(AND(Table1[[#This Row],[Throw Out Rush Def Eff]]="N", Table1[[#This Row],[Against FCS Team]]="N"), 200 - ROUND(((23.2 * U741) + (150 * W741) - (300 * X741)) / V741, 2), " ")</f>
        <v>137.47999999999999</v>
      </c>
      <c r="AE741" s="3">
        <f>ROUND(Table1[[#This Row],[Opp Passing Attempts]]/(Table1[[#This Row],[Opp Passing Attempts]]+Table1[[#This Row],[Opp Rushing Attempts]]), 2)</f>
        <v>0.44</v>
      </c>
      <c r="AF741" s="3">
        <f>1-Table1[[#This Row],[Passing Weight]]</f>
        <v>0.56000000000000005</v>
      </c>
      <c r="AG741" s="3" t="str">
        <f>IF(COUNTIF(A:A,Table1[[#This Row],[Opp Team Name]]) &gt; 0, "N", "Y")</f>
        <v>N</v>
      </c>
      <c r="AH741" s="3" t="str">
        <f>IF(Table1[[#This Row],[Passing Attempts]] &lt;15, "Y", "N")</f>
        <v>N</v>
      </c>
      <c r="AI741" s="3" t="str">
        <f>IF(Table1[[#This Row],[Rushing Attempts]] &lt; 15, "Y", "N")</f>
        <v>N</v>
      </c>
      <c r="AJ741" s="3" t="str">
        <f>IF(Table1[[#This Row],[Opp Passing Attempts]]&lt;15, "Y", "N")</f>
        <v>N</v>
      </c>
      <c r="AK741" s="3" t="str">
        <f>IF(Table1[[#This Row],[Opp Rushing Attempts]]&lt;15, "Y", "N")</f>
        <v>N</v>
      </c>
      <c r="AL74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76.28</v>
      </c>
      <c r="AM74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84.81</v>
      </c>
      <c r="AN74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46.7</v>
      </c>
      <c r="AO74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64.03</v>
      </c>
      <c r="AP741" s="3">
        <f>ABS(Table1[[#This Row],[Team Score]]-Table1[[#This Row],[Opp Team Score]])</f>
        <v>16</v>
      </c>
      <c r="AQ741" s="3">
        <f>SUM(Table1[[#This Row],[Team Score]], Table1[[#This Row],[Opp Team Score]])</f>
        <v>50</v>
      </c>
      <c r="AR74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10.389999999999986</v>
      </c>
      <c r="AS741" s="3">
        <f>IF(Table1[[#This Row],[Efficiency Difference]] = " ", " ", ROUND((Table1[[#This Row],[Winning Margin]]*100)/Table1[[#This Row],[Efficiency Difference]], 2))</f>
        <v>153.99</v>
      </c>
    </row>
    <row r="742" spans="1:45">
      <c r="A742" t="s">
        <v>117</v>
      </c>
      <c r="B742">
        <v>719</v>
      </c>
      <c r="C742">
        <v>14</v>
      </c>
      <c r="D742">
        <v>271</v>
      </c>
      <c r="E742">
        <v>33</v>
      </c>
      <c r="F742">
        <v>2</v>
      </c>
      <c r="G742">
        <v>18</v>
      </c>
      <c r="H742">
        <v>1</v>
      </c>
      <c r="I742">
        <v>129</v>
      </c>
      <c r="J742">
        <v>31</v>
      </c>
      <c r="K742">
        <v>0</v>
      </c>
      <c r="L742">
        <v>2</v>
      </c>
      <c r="M742" t="s">
        <v>116</v>
      </c>
      <c r="N742">
        <v>522</v>
      </c>
      <c r="O742">
        <v>47</v>
      </c>
      <c r="P742">
        <v>417</v>
      </c>
      <c r="Q742">
        <v>54</v>
      </c>
      <c r="R742">
        <v>1</v>
      </c>
      <c r="S742">
        <v>39</v>
      </c>
      <c r="T742">
        <v>0</v>
      </c>
      <c r="U742">
        <v>246</v>
      </c>
      <c r="V742">
        <v>46</v>
      </c>
      <c r="W742">
        <v>5</v>
      </c>
      <c r="X742">
        <v>1</v>
      </c>
      <c r="Y742" t="s">
        <v>19</v>
      </c>
      <c r="Z742">
        <v>1</v>
      </c>
      <c r="AA742">
        <f>IF(AND(Table1[[#This Row],[Throw Out Pass Eff]]="N", Table1[[#This Row],[Against FCS Team]]="N"), ROUND(((5.45 * D742) + (150 * F742) + (100 * G742) - (300 * H742)) / E742, 2), " ")</f>
        <v>99.3</v>
      </c>
      <c r="AB742">
        <f>IF(AND(Table1[[#This Row],[Throw Out Pass Def Eff]]="N", Table1[[#This Row],[Against FCS Team]]="N"),200 - ROUND(((5.45 * P742) + (150 * R742) + (100 * S742) - (300 * T742)) / Q742, 2), " ")</f>
        <v>82.91</v>
      </c>
      <c r="AC742">
        <f>IF(AND(Table1[[#This Row],[Throw Out Rush Eff]]="N", Table1[[#This Row],[Against FCS Team]]="N"), ROUND(((23.2 * I742) + (150 * K742) - (300 * L742)) / J742, 2), " ")</f>
        <v>77.19</v>
      </c>
      <c r="AD742" s="3">
        <f>IF(AND(Table1[[#This Row],[Throw Out Rush Def Eff]]="N", Table1[[#This Row],[Against FCS Team]]="N"), 200 - ROUND(((23.2 * U742) + (150 * W742) - (300 * X742)) / V742, 2), " ")</f>
        <v>66.150000000000006</v>
      </c>
      <c r="AE742" s="3">
        <f>ROUND(Table1[[#This Row],[Opp Passing Attempts]]/(Table1[[#This Row],[Opp Passing Attempts]]+Table1[[#This Row],[Opp Rushing Attempts]]), 2)</f>
        <v>0.54</v>
      </c>
      <c r="AF742" s="3">
        <f>1-Table1[[#This Row],[Passing Weight]]</f>
        <v>0.45999999999999996</v>
      </c>
      <c r="AG742" s="3" t="str">
        <f>IF(COUNTIF(A:A,Table1[[#This Row],[Opp Team Name]]) &gt; 0, "N", "Y")</f>
        <v>N</v>
      </c>
      <c r="AH742" s="3" t="str">
        <f>IF(Table1[[#This Row],[Passing Attempts]] &lt;15, "Y", "N")</f>
        <v>N</v>
      </c>
      <c r="AI742" s="3" t="str">
        <f>IF(Table1[[#This Row],[Rushing Attempts]] &lt; 15, "Y", "N")</f>
        <v>N</v>
      </c>
      <c r="AJ742" s="3" t="str">
        <f>IF(Table1[[#This Row],[Opp Passing Attempts]]&lt;15, "Y", "N")</f>
        <v>N</v>
      </c>
      <c r="AK742" s="3" t="str">
        <f>IF(Table1[[#This Row],[Opp Rushing Attempts]]&lt;15, "Y", "N")</f>
        <v>N</v>
      </c>
      <c r="AL74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117.05</v>
      </c>
      <c r="AM7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93.12</v>
      </c>
      <c r="AN7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101.67</v>
      </c>
      <c r="AO7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71.819999999999993</v>
      </c>
      <c r="AP742" s="3">
        <f>ABS(Table1[[#This Row],[Team Score]]-Table1[[#This Row],[Opp Team Score]])</f>
        <v>33</v>
      </c>
      <c r="AQ742" s="3">
        <f>SUM(Table1[[#This Row],[Team Score]], Table1[[#This Row],[Opp Team Score]])</f>
        <v>61</v>
      </c>
      <c r="AR74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74.449999999999989</v>
      </c>
      <c r="AS742" s="3">
        <f>IF(Table1[[#This Row],[Efficiency Difference]] = " ", " ", ROUND((Table1[[#This Row],[Winning Margin]]*100)/Table1[[#This Row],[Efficiency Difference]], 2))</f>
        <v>44.33</v>
      </c>
    </row>
    <row r="743" spans="1:45">
      <c r="A743" t="s">
        <v>117</v>
      </c>
      <c r="B743">
        <v>719</v>
      </c>
      <c r="C743">
        <v>31</v>
      </c>
      <c r="D743">
        <v>246</v>
      </c>
      <c r="E743">
        <v>32</v>
      </c>
      <c r="F743">
        <v>3</v>
      </c>
      <c r="G743">
        <v>22</v>
      </c>
      <c r="H743">
        <v>1</v>
      </c>
      <c r="I743">
        <v>166</v>
      </c>
      <c r="J743">
        <v>37</v>
      </c>
      <c r="K743">
        <v>1</v>
      </c>
      <c r="L743">
        <v>1</v>
      </c>
      <c r="M743" t="s">
        <v>140</v>
      </c>
      <c r="N743">
        <v>718</v>
      </c>
      <c r="O743">
        <v>3</v>
      </c>
      <c r="P743">
        <v>176</v>
      </c>
      <c r="Q743">
        <v>42</v>
      </c>
      <c r="R743">
        <v>0</v>
      </c>
      <c r="S743">
        <v>19</v>
      </c>
      <c r="T743">
        <v>1</v>
      </c>
      <c r="U743">
        <v>59</v>
      </c>
      <c r="V743">
        <v>35</v>
      </c>
      <c r="W743">
        <v>0</v>
      </c>
      <c r="X743">
        <v>2</v>
      </c>
      <c r="Y743" t="s">
        <v>16</v>
      </c>
      <c r="Z743">
        <v>2</v>
      </c>
      <c r="AA743">
        <f>IF(AND(Table1[[#This Row],[Throw Out Pass Eff]]="N", Table1[[#This Row],[Against FCS Team]]="N"), ROUND(((5.45 * D743) + (150 * F743) + (100 * G743) - (300 * H743)) / E743, 2), " ")</f>
        <v>115.33</v>
      </c>
      <c r="AB743">
        <f>IF(AND(Table1[[#This Row],[Throw Out Pass Def Eff]]="N", Table1[[#This Row],[Against FCS Team]]="N"),200 - ROUND(((5.45 * P743) + (150 * R743) + (100 * S743) - (300 * T743)) / Q743, 2), " ")</f>
        <v>139.07</v>
      </c>
      <c r="AC743">
        <f>IF(AND(Table1[[#This Row],[Throw Out Rush Eff]]="N", Table1[[#This Row],[Against FCS Team]]="N"), ROUND(((23.2 * I743) + (150 * K743) - (300 * L743)) / J743, 2), " ")</f>
        <v>100.03</v>
      </c>
      <c r="AD743" s="3">
        <f>IF(AND(Table1[[#This Row],[Throw Out Rush Def Eff]]="N", Table1[[#This Row],[Against FCS Team]]="N"), 200 - ROUND(((23.2 * U743) + (150 * W743) - (300 * X743)) / V743, 2), " ")</f>
        <v>178.03</v>
      </c>
      <c r="AE743" s="3">
        <f>ROUND(Table1[[#This Row],[Opp Passing Attempts]]/(Table1[[#This Row],[Opp Passing Attempts]]+Table1[[#This Row],[Opp Rushing Attempts]]), 2)</f>
        <v>0.55000000000000004</v>
      </c>
      <c r="AF743" s="3">
        <f>1-Table1[[#This Row],[Passing Weight]]</f>
        <v>0.44999999999999996</v>
      </c>
      <c r="AG743" s="3" t="str">
        <f>IF(COUNTIF(A:A,Table1[[#This Row],[Opp Team Name]]) &gt; 0, "N", "Y")</f>
        <v>N</v>
      </c>
      <c r="AH743" s="3" t="str">
        <f>IF(Table1[[#This Row],[Passing Attempts]] &lt;15, "Y", "N")</f>
        <v>N</v>
      </c>
      <c r="AI743" s="3" t="str">
        <f>IF(Table1[[#This Row],[Rushing Attempts]] &lt; 15, "Y", "N")</f>
        <v>N</v>
      </c>
      <c r="AJ743" s="3" t="str">
        <f>IF(Table1[[#This Row],[Opp Passing Attempts]]&lt;15, "Y", "N")</f>
        <v>N</v>
      </c>
      <c r="AK743" s="3" t="str">
        <f>IF(Table1[[#This Row],[Opp Rushing Attempts]]&lt;15, "Y", "N")</f>
        <v>N</v>
      </c>
      <c r="AL74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133.1</v>
      </c>
      <c r="AM7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133.35</v>
      </c>
      <c r="AN7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101.7</v>
      </c>
      <c r="AO7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149.26</v>
      </c>
      <c r="AP743" s="3">
        <f>ABS(Table1[[#This Row],[Team Score]]-Table1[[#This Row],[Opp Team Score]])</f>
        <v>28</v>
      </c>
      <c r="AQ743" s="3">
        <f>SUM(Table1[[#This Row],[Team Score]], Table1[[#This Row],[Opp Team Score]])</f>
        <v>34</v>
      </c>
      <c r="AR74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132.46000000000004</v>
      </c>
      <c r="AS743" s="3">
        <f>IF(Table1[[#This Row],[Efficiency Difference]] = " ", " ", ROUND((Table1[[#This Row],[Winning Margin]]*100)/Table1[[#This Row],[Efficiency Difference]], 2))</f>
        <v>21.14</v>
      </c>
    </row>
    <row r="744" spans="1:45">
      <c r="A744" t="s">
        <v>117</v>
      </c>
      <c r="B744">
        <v>719</v>
      </c>
      <c r="C744">
        <v>21</v>
      </c>
      <c r="D744">
        <v>136</v>
      </c>
      <c r="E744">
        <v>26</v>
      </c>
      <c r="F744">
        <v>2</v>
      </c>
      <c r="G744">
        <v>15</v>
      </c>
      <c r="H744">
        <v>4</v>
      </c>
      <c r="I744">
        <v>155</v>
      </c>
      <c r="J744">
        <v>30</v>
      </c>
      <c r="K744">
        <v>1</v>
      </c>
      <c r="L744">
        <v>0</v>
      </c>
      <c r="M744" t="s">
        <v>38</v>
      </c>
      <c r="N744">
        <v>66</v>
      </c>
      <c r="O744">
        <v>41</v>
      </c>
      <c r="P744">
        <v>327</v>
      </c>
      <c r="Q744">
        <v>37</v>
      </c>
      <c r="R744">
        <v>5</v>
      </c>
      <c r="S744">
        <v>28</v>
      </c>
      <c r="T744">
        <v>0</v>
      </c>
      <c r="U744">
        <v>131</v>
      </c>
      <c r="V744">
        <v>45</v>
      </c>
      <c r="W744">
        <v>1</v>
      </c>
      <c r="X744">
        <v>1</v>
      </c>
      <c r="Y744" t="s">
        <v>19</v>
      </c>
      <c r="Z744">
        <v>4</v>
      </c>
      <c r="AA744">
        <f>IF(AND(Table1[[#This Row],[Throw Out Pass Eff]]="N", Table1[[#This Row],[Against FCS Team]]="N"), ROUND(((5.45 * D744) + (150 * F744) + (100 * G744) - (300 * H744)) / E744, 2), " ")</f>
        <v>51.58</v>
      </c>
      <c r="AB744">
        <f>IF(AND(Table1[[#This Row],[Throw Out Pass Def Eff]]="N", Table1[[#This Row],[Against FCS Team]]="N"),200 - ROUND(((5.45 * P744) + (150 * R744) + (100 * S744) - (300 * T744)) / Q744, 2), " ")</f>
        <v>55.889999999999986</v>
      </c>
      <c r="AC744">
        <f>IF(AND(Table1[[#This Row],[Throw Out Rush Eff]]="N", Table1[[#This Row],[Against FCS Team]]="N"), ROUND(((23.2 * I744) + (150 * K744) - (300 * L744)) / J744, 2), " ")</f>
        <v>124.87</v>
      </c>
      <c r="AD744" s="3">
        <f>IF(AND(Table1[[#This Row],[Throw Out Rush Def Eff]]="N", Table1[[#This Row],[Against FCS Team]]="N"), 200 - ROUND(((23.2 * U744) + (150 * W744) - (300 * X744)) / V744, 2), " ")</f>
        <v>135.80000000000001</v>
      </c>
      <c r="AE744" s="3">
        <f>ROUND(Table1[[#This Row],[Opp Passing Attempts]]/(Table1[[#This Row],[Opp Passing Attempts]]+Table1[[#This Row],[Opp Rushing Attempts]]), 2)</f>
        <v>0.45</v>
      </c>
      <c r="AF744" s="3">
        <f>1-Table1[[#This Row],[Passing Weight]]</f>
        <v>0.55000000000000004</v>
      </c>
      <c r="AG744" s="3" t="str">
        <f>IF(COUNTIF(A:A,Table1[[#This Row],[Opp Team Name]]) &gt; 0, "N", "Y")</f>
        <v>N</v>
      </c>
      <c r="AH744" s="3" t="str">
        <f>IF(Table1[[#This Row],[Passing Attempts]] &lt;15, "Y", "N")</f>
        <v>N</v>
      </c>
      <c r="AI744" s="3" t="str">
        <f>IF(Table1[[#This Row],[Rushing Attempts]] &lt; 15, "Y", "N")</f>
        <v>N</v>
      </c>
      <c r="AJ744" s="3" t="str">
        <f>IF(Table1[[#This Row],[Opp Passing Attempts]]&lt;15, "Y", "N")</f>
        <v>N</v>
      </c>
      <c r="AK744" s="3" t="str">
        <f>IF(Table1[[#This Row],[Opp Rushing Attempts]]&lt;15, "Y", "N")</f>
        <v>N</v>
      </c>
      <c r="AL7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65.38</v>
      </c>
      <c r="AM7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73.37</v>
      </c>
      <c r="AN7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143.32</v>
      </c>
      <c r="AO7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155.76</v>
      </c>
      <c r="AP744" s="3">
        <f>ABS(Table1[[#This Row],[Team Score]]-Table1[[#This Row],[Opp Team Score]])</f>
        <v>20</v>
      </c>
      <c r="AQ744" s="3">
        <f>SUM(Table1[[#This Row],[Team Score]], Table1[[#This Row],[Opp Team Score]])</f>
        <v>62</v>
      </c>
      <c r="AR7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31.860000000000014</v>
      </c>
      <c r="AS744" s="3">
        <f>IF(Table1[[#This Row],[Efficiency Difference]] = " ", " ", ROUND((Table1[[#This Row],[Winning Margin]]*100)/Table1[[#This Row],[Efficiency Difference]], 2))</f>
        <v>62.77</v>
      </c>
    </row>
    <row r="745" spans="1:45">
      <c r="A745" t="s">
        <v>117</v>
      </c>
      <c r="B745">
        <v>719</v>
      </c>
      <c r="C745">
        <v>33</v>
      </c>
      <c r="D745">
        <v>117</v>
      </c>
      <c r="E745">
        <v>26</v>
      </c>
      <c r="F745">
        <v>2</v>
      </c>
      <c r="G745">
        <v>8</v>
      </c>
      <c r="H745">
        <v>4</v>
      </c>
      <c r="I745">
        <v>365</v>
      </c>
      <c r="J745">
        <v>59</v>
      </c>
      <c r="K745">
        <v>2</v>
      </c>
      <c r="L745">
        <v>2</v>
      </c>
      <c r="M745" t="s">
        <v>87</v>
      </c>
      <c r="N745">
        <v>521</v>
      </c>
      <c r="O745">
        <v>59</v>
      </c>
      <c r="P745">
        <v>369</v>
      </c>
      <c r="Q745">
        <v>40</v>
      </c>
      <c r="R745">
        <v>3</v>
      </c>
      <c r="S745">
        <v>29</v>
      </c>
      <c r="T745">
        <v>2</v>
      </c>
      <c r="U745">
        <v>174</v>
      </c>
      <c r="V745">
        <v>48</v>
      </c>
      <c r="W745">
        <v>4</v>
      </c>
      <c r="X745">
        <v>0</v>
      </c>
      <c r="Y745" t="s">
        <v>19</v>
      </c>
      <c r="Z745">
        <v>4</v>
      </c>
      <c r="AA745">
        <f>IF(AND(Table1[[#This Row],[Throw Out Pass Eff]]="N", Table1[[#This Row],[Against FCS Team]]="N"), ROUND(((5.45 * D745) + (150 * F745) + (100 * G745) - (300 * H745)) / E745, 2), " ")</f>
        <v>20.68</v>
      </c>
      <c r="AB745">
        <f>IF(AND(Table1[[#This Row],[Throw Out Pass Def Eff]]="N", Table1[[#This Row],[Against FCS Team]]="N"),200 - ROUND(((5.45 * P745) + (150 * R745) + (100 * S745) - (300 * T745)) / Q745, 2), " ")</f>
        <v>80.97</v>
      </c>
      <c r="AC745">
        <f>IF(AND(Table1[[#This Row],[Throw Out Rush Eff]]="N", Table1[[#This Row],[Against FCS Team]]="N"), ROUND(((23.2 * I745) + (150 * K745) - (300 * L745)) / J745, 2), " ")</f>
        <v>138.44</v>
      </c>
      <c r="AD745" s="3">
        <f>IF(AND(Table1[[#This Row],[Throw Out Rush Def Eff]]="N", Table1[[#This Row],[Against FCS Team]]="N"), 200 - ROUND(((23.2 * U745) + (150 * W745) - (300 * X745)) / V745, 2), " ")</f>
        <v>103.4</v>
      </c>
      <c r="AE745" s="3">
        <f>ROUND(Table1[[#This Row],[Opp Passing Attempts]]/(Table1[[#This Row],[Opp Passing Attempts]]+Table1[[#This Row],[Opp Rushing Attempts]]), 2)</f>
        <v>0.45</v>
      </c>
      <c r="AF745" s="3">
        <f>1-Table1[[#This Row],[Passing Weight]]</f>
        <v>0.55000000000000004</v>
      </c>
      <c r="AG745" s="3" t="str">
        <f>IF(COUNTIF(A:A,Table1[[#This Row],[Opp Team Name]]) &gt; 0, "N", "Y")</f>
        <v>N</v>
      </c>
      <c r="AH745" s="3" t="str">
        <f>IF(Table1[[#This Row],[Passing Attempts]] &lt;15, "Y", "N")</f>
        <v>N</v>
      </c>
      <c r="AI745" s="3" t="str">
        <f>IF(Table1[[#This Row],[Rushing Attempts]] &lt; 15, "Y", "N")</f>
        <v>N</v>
      </c>
      <c r="AJ745" s="3" t="str">
        <f>IF(Table1[[#This Row],[Opp Passing Attempts]]&lt;15, "Y", "N")</f>
        <v>N</v>
      </c>
      <c r="AK745" s="3" t="str">
        <f>IF(Table1[[#This Row],[Opp Rushing Attempts]]&lt;15, "Y", "N")</f>
        <v>N</v>
      </c>
      <c r="AL74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25.52</v>
      </c>
      <c r="AM74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95.65</v>
      </c>
      <c r="AN74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144.01</v>
      </c>
      <c r="AO74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125.85</v>
      </c>
      <c r="AP745" s="3">
        <f>ABS(Table1[[#This Row],[Team Score]]-Table1[[#This Row],[Opp Team Score]])</f>
        <v>26</v>
      </c>
      <c r="AQ745" s="3">
        <f>SUM(Table1[[#This Row],[Team Score]], Table1[[#This Row],[Opp Team Score]])</f>
        <v>92</v>
      </c>
      <c r="AR74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56.509999999999991</v>
      </c>
      <c r="AS745" s="3">
        <f>IF(Table1[[#This Row],[Efficiency Difference]] = " ", " ", ROUND((Table1[[#This Row],[Winning Margin]]*100)/Table1[[#This Row],[Efficiency Difference]], 2))</f>
        <v>46.01</v>
      </c>
    </row>
    <row r="746" spans="1:45">
      <c r="A746" t="s">
        <v>117</v>
      </c>
      <c r="B746">
        <v>719</v>
      </c>
      <c r="C746">
        <v>41</v>
      </c>
      <c r="D746">
        <v>314</v>
      </c>
      <c r="E746">
        <v>32</v>
      </c>
      <c r="F746">
        <v>3</v>
      </c>
      <c r="G746">
        <v>20</v>
      </c>
      <c r="H746">
        <v>1</v>
      </c>
      <c r="I746">
        <v>98</v>
      </c>
      <c r="J746">
        <v>24</v>
      </c>
      <c r="K746">
        <v>1</v>
      </c>
      <c r="L746">
        <v>1</v>
      </c>
      <c r="M746" t="s">
        <v>67</v>
      </c>
      <c r="N746">
        <v>497</v>
      </c>
      <c r="O746">
        <v>24</v>
      </c>
      <c r="P746">
        <v>261</v>
      </c>
      <c r="Q746">
        <v>26</v>
      </c>
      <c r="R746">
        <v>2</v>
      </c>
      <c r="S746">
        <v>18</v>
      </c>
      <c r="T746">
        <v>2</v>
      </c>
      <c r="U746">
        <v>130</v>
      </c>
      <c r="V746">
        <v>56</v>
      </c>
      <c r="W746">
        <v>1</v>
      </c>
      <c r="X746">
        <v>0</v>
      </c>
      <c r="Y746" t="s">
        <v>16</v>
      </c>
      <c r="Z746">
        <v>5</v>
      </c>
      <c r="AA746">
        <f>IF(AND(Table1[[#This Row],[Throw Out Pass Eff]]="N", Table1[[#This Row],[Against FCS Team]]="N"), ROUND(((5.45 * D746) + (150 * F746) + (100 * G746) - (300 * H746)) / E746, 2), " ")</f>
        <v>120.67</v>
      </c>
      <c r="AB746">
        <f>IF(AND(Table1[[#This Row],[Throw Out Pass Def Eff]]="N", Table1[[#This Row],[Against FCS Team]]="N"),200 - ROUND(((5.45 * P746) + (150 * R746) + (100 * S746) - (300 * T746)) / Q746, 2), " ")</f>
        <v>87.6</v>
      </c>
      <c r="AC746">
        <f>IF(AND(Table1[[#This Row],[Throw Out Rush Eff]]="N", Table1[[#This Row],[Against FCS Team]]="N"), ROUND(((23.2 * I746) + (150 * K746) - (300 * L746)) / J746, 2), " ")</f>
        <v>88.48</v>
      </c>
      <c r="AD746" s="3">
        <f>IF(AND(Table1[[#This Row],[Throw Out Rush Def Eff]]="N", Table1[[#This Row],[Against FCS Team]]="N"), 200 - ROUND(((23.2 * U746) + (150 * W746) - (300 * X746)) / V746, 2), " ")</f>
        <v>143.46</v>
      </c>
      <c r="AE746" s="3">
        <f>ROUND(Table1[[#This Row],[Opp Passing Attempts]]/(Table1[[#This Row],[Opp Passing Attempts]]+Table1[[#This Row],[Opp Rushing Attempts]]), 2)</f>
        <v>0.32</v>
      </c>
      <c r="AF746" s="3">
        <f>1-Table1[[#This Row],[Passing Weight]]</f>
        <v>0.67999999999999994</v>
      </c>
      <c r="AG746" s="3" t="str">
        <f>IF(COUNTIF(A:A,Table1[[#This Row],[Opp Team Name]]) &gt; 0, "N", "Y")</f>
        <v>N</v>
      </c>
      <c r="AH746" s="3" t="str">
        <f>IF(Table1[[#This Row],[Passing Attempts]] &lt;15, "Y", "N")</f>
        <v>N</v>
      </c>
      <c r="AI746" s="3" t="str">
        <f>IF(Table1[[#This Row],[Rushing Attempts]] &lt; 15, "Y", "N")</f>
        <v>N</v>
      </c>
      <c r="AJ746" s="3" t="str">
        <f>IF(Table1[[#This Row],[Opp Passing Attempts]]&lt;15, "Y", "N")</f>
        <v>N</v>
      </c>
      <c r="AK746" s="3" t="str">
        <f>IF(Table1[[#This Row],[Opp Rushing Attempts]]&lt;15, "Y", "N")</f>
        <v>N</v>
      </c>
      <c r="AL7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112.97</v>
      </c>
      <c r="AM7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78.260000000000005</v>
      </c>
      <c r="AN7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85.59</v>
      </c>
      <c r="AO74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96.62</v>
      </c>
      <c r="AP746" s="3">
        <f>ABS(Table1[[#This Row],[Team Score]]-Table1[[#This Row],[Opp Team Score]])</f>
        <v>17</v>
      </c>
      <c r="AQ746" s="3">
        <f>SUM(Table1[[#This Row],[Team Score]], Table1[[#This Row],[Opp Team Score]])</f>
        <v>65</v>
      </c>
      <c r="AR74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40.210000000000008</v>
      </c>
      <c r="AS746" s="3">
        <f>IF(Table1[[#This Row],[Efficiency Difference]] = " ", " ", ROUND((Table1[[#This Row],[Winning Margin]]*100)/Table1[[#This Row],[Efficiency Difference]], 2))</f>
        <v>42.28</v>
      </c>
    </row>
    <row r="747" spans="1:45">
      <c r="A747" t="s">
        <v>117</v>
      </c>
      <c r="B747">
        <v>719</v>
      </c>
      <c r="C747">
        <v>37</v>
      </c>
      <c r="D747">
        <v>341</v>
      </c>
      <c r="E747">
        <v>43</v>
      </c>
      <c r="F747">
        <v>3</v>
      </c>
      <c r="G747">
        <v>31</v>
      </c>
      <c r="H747">
        <v>1</v>
      </c>
      <c r="I747">
        <v>218</v>
      </c>
      <c r="J747">
        <v>44</v>
      </c>
      <c r="K747">
        <v>1</v>
      </c>
      <c r="L747">
        <v>3</v>
      </c>
      <c r="M747" t="s">
        <v>170</v>
      </c>
      <c r="N747">
        <v>9</v>
      </c>
      <c r="O747">
        <v>20</v>
      </c>
      <c r="P747">
        <v>298</v>
      </c>
      <c r="Q747">
        <v>44</v>
      </c>
      <c r="R747">
        <v>2</v>
      </c>
      <c r="S747">
        <v>21</v>
      </c>
      <c r="T747">
        <v>2</v>
      </c>
      <c r="U747">
        <v>81</v>
      </c>
      <c r="V747">
        <v>27</v>
      </c>
      <c r="W747">
        <v>0</v>
      </c>
      <c r="X747">
        <v>0</v>
      </c>
      <c r="Y747" t="s">
        <v>16</v>
      </c>
      <c r="Z747">
        <v>7</v>
      </c>
      <c r="AA747">
        <f>IF(AND(Table1[[#This Row],[Throw Out Pass Eff]]="N", Table1[[#This Row],[Against FCS Team]]="N"), ROUND(((5.45 * D747) + (150 * F747) + (100 * G747) - (300 * H747)) / E747, 2), " ")</f>
        <v>118.8</v>
      </c>
      <c r="AB747">
        <f>IF(AND(Table1[[#This Row],[Throw Out Pass Def Eff]]="N", Table1[[#This Row],[Against FCS Team]]="N"),200 - ROUND(((5.45 * P747) + (150 * R747) + (100 * S747) - (300 * T747)) / Q747, 2), " ")</f>
        <v>122.18</v>
      </c>
      <c r="AC747">
        <f>IF(AND(Table1[[#This Row],[Throw Out Rush Eff]]="N", Table1[[#This Row],[Against FCS Team]]="N"), ROUND(((23.2 * I747) + (150 * K747) - (300 * L747)) / J747, 2), " ")</f>
        <v>97.9</v>
      </c>
      <c r="AD747" s="3">
        <f>IF(AND(Table1[[#This Row],[Throw Out Rush Def Eff]]="N", Table1[[#This Row],[Against FCS Team]]="N"), 200 - ROUND(((23.2 * U747) + (150 * W747) - (300 * X747)) / V747, 2), " ")</f>
        <v>130.4</v>
      </c>
      <c r="AE747" s="3">
        <f>ROUND(Table1[[#This Row],[Opp Passing Attempts]]/(Table1[[#This Row],[Opp Passing Attempts]]+Table1[[#This Row],[Opp Rushing Attempts]]), 2)</f>
        <v>0.62</v>
      </c>
      <c r="AF747" s="3">
        <f>1-Table1[[#This Row],[Passing Weight]]</f>
        <v>0.38</v>
      </c>
      <c r="AG747" s="3" t="str">
        <f>IF(COUNTIF(A:A,Table1[[#This Row],[Opp Team Name]]) &gt; 0, "N", "Y")</f>
        <v>N</v>
      </c>
      <c r="AH747" s="3" t="str">
        <f>IF(Table1[[#This Row],[Passing Attempts]] &lt;15, "Y", "N")</f>
        <v>N</v>
      </c>
      <c r="AI747" s="3" t="str">
        <f>IF(Table1[[#This Row],[Rushing Attempts]] &lt; 15, "Y", "N")</f>
        <v>N</v>
      </c>
      <c r="AJ747" s="3" t="str">
        <f>IF(Table1[[#This Row],[Opp Passing Attempts]]&lt;15, "Y", "N")</f>
        <v>N</v>
      </c>
      <c r="AK747" s="3" t="str">
        <f>IF(Table1[[#This Row],[Opp Rushing Attempts]]&lt;15, "Y", "N")</f>
        <v>N</v>
      </c>
      <c r="AL7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95.82</v>
      </c>
      <c r="AM7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91.99</v>
      </c>
      <c r="AN74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85.41</v>
      </c>
      <c r="AO7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106.13</v>
      </c>
      <c r="AP747" s="3">
        <f>ABS(Table1[[#This Row],[Team Score]]-Table1[[#This Row],[Opp Team Score]])</f>
        <v>17</v>
      </c>
      <c r="AQ747" s="3">
        <f>SUM(Table1[[#This Row],[Team Score]], Table1[[#This Row],[Opp Team Score]])</f>
        <v>57</v>
      </c>
      <c r="AR74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69.28</v>
      </c>
      <c r="AS747" s="3">
        <f>IF(Table1[[#This Row],[Efficiency Difference]] = " ", " ", ROUND((Table1[[#This Row],[Winning Margin]]*100)/Table1[[#This Row],[Efficiency Difference]], 2))</f>
        <v>24.54</v>
      </c>
    </row>
    <row r="748" spans="1:45">
      <c r="A748" t="s">
        <v>117</v>
      </c>
      <c r="B748">
        <v>719</v>
      </c>
      <c r="C748">
        <v>38</v>
      </c>
      <c r="D748">
        <v>318</v>
      </c>
      <c r="E748">
        <v>34</v>
      </c>
      <c r="F748">
        <v>3</v>
      </c>
      <c r="G748">
        <v>21</v>
      </c>
      <c r="H748">
        <v>0</v>
      </c>
      <c r="I748">
        <v>155</v>
      </c>
      <c r="J748">
        <v>42</v>
      </c>
      <c r="K748">
        <v>2</v>
      </c>
      <c r="L748">
        <v>1</v>
      </c>
      <c r="M748" t="s">
        <v>122</v>
      </c>
      <c r="N748">
        <v>574</v>
      </c>
      <c r="O748">
        <v>20</v>
      </c>
      <c r="P748">
        <v>250</v>
      </c>
      <c r="Q748">
        <v>42</v>
      </c>
      <c r="R748">
        <v>1</v>
      </c>
      <c r="S748">
        <v>22</v>
      </c>
      <c r="T748">
        <v>2</v>
      </c>
      <c r="U748">
        <v>103</v>
      </c>
      <c r="V748">
        <v>35</v>
      </c>
      <c r="W748">
        <v>1</v>
      </c>
      <c r="X748">
        <v>2</v>
      </c>
      <c r="Y748" t="s">
        <v>16</v>
      </c>
      <c r="Z748">
        <v>8</v>
      </c>
      <c r="AA748" s="3">
        <f>IF(AND(Table1[[#This Row],[Throw Out Pass Eff]]="N", Table1[[#This Row],[Against FCS Team]]="N"), ROUND(((5.45 * D748) + (150 * F748) + (100 * G748) - (300 * H748)) / E748, 2), " ")</f>
        <v>125.97</v>
      </c>
      <c r="AB748" s="3">
        <f>IF(AND(Table1[[#This Row],[Throw Out Pass Def Eff]]="N", Table1[[#This Row],[Against FCS Team]]="N"),200 - ROUND(((5.45 * P748) + (150 * R748) + (100 * S748) - (300 * T748)) / Q748, 2), " ")</f>
        <v>125.89</v>
      </c>
      <c r="AC748" s="3">
        <f>IF(AND(Table1[[#This Row],[Throw Out Rush Eff]]="N", Table1[[#This Row],[Against FCS Team]]="N"), ROUND(((23.2 * I748) + (150 * K748) - (300 * L748)) / J748, 2), " ")</f>
        <v>85.62</v>
      </c>
      <c r="AD748" s="3">
        <f>IF(AND(Table1[[#This Row],[Throw Out Rush Def Eff]]="N", Table1[[#This Row],[Against FCS Team]]="N"), 200 - ROUND(((23.2 * U748) + (150 * W748) - (300 * X748)) / V748, 2), " ")</f>
        <v>144.57999999999998</v>
      </c>
      <c r="AE748" s="3">
        <f>ROUND(Table1[[#This Row],[Opp Passing Attempts]]/(Table1[[#This Row],[Opp Passing Attempts]]+Table1[[#This Row],[Opp Rushing Attempts]]), 2)</f>
        <v>0.55000000000000004</v>
      </c>
      <c r="AF748" s="3">
        <f>1-Table1[[#This Row],[Passing Weight]]</f>
        <v>0.44999999999999996</v>
      </c>
      <c r="AG748" s="3" t="str">
        <f>IF(COUNTIF(A:A,Table1[[#This Row],[Opp Team Name]]) &gt; 0, "N", "Y")</f>
        <v>N</v>
      </c>
      <c r="AH748" s="3" t="str">
        <f>IF(Table1[[#This Row],[Passing Attempts]] &lt;15, "Y", "N")</f>
        <v>N</v>
      </c>
      <c r="AI748" s="3" t="str">
        <f>IF(Table1[[#This Row],[Rushing Attempts]] &lt; 15, "Y", "N")</f>
        <v>N</v>
      </c>
      <c r="AJ748" s="3" t="str">
        <f>IF(Table1[[#This Row],[Opp Passing Attempts]]&lt;15, "Y", "N")</f>
        <v>N</v>
      </c>
      <c r="AK748" s="3" t="str">
        <f>IF(Table1[[#This Row],[Opp Rushing Attempts]]&lt;15, "Y", "N")</f>
        <v>N</v>
      </c>
      <c r="AL74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117.74</v>
      </c>
      <c r="AM74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113.63</v>
      </c>
      <c r="AN74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75.739999999999995</v>
      </c>
      <c r="AO74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97.98</v>
      </c>
      <c r="AP748" s="3">
        <f>ABS(Table1[[#This Row],[Team Score]]-Table1[[#This Row],[Opp Team Score]])</f>
        <v>18</v>
      </c>
      <c r="AQ748" s="3">
        <f>SUM(Table1[[#This Row],[Team Score]], Table1[[#This Row],[Opp Team Score]])</f>
        <v>58</v>
      </c>
      <c r="AR74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82.059999999999974</v>
      </c>
      <c r="AS748" s="3">
        <f>IF(Table1[[#This Row],[Efficiency Difference]] = " ", " ", ROUND((Table1[[#This Row],[Winning Margin]]*100)/Table1[[#This Row],[Efficiency Difference]], 2))</f>
        <v>21.94</v>
      </c>
    </row>
    <row r="749" spans="1:45">
      <c r="A749" t="s">
        <v>170</v>
      </c>
      <c r="B749">
        <v>9</v>
      </c>
      <c r="C749">
        <v>0</v>
      </c>
      <c r="D749">
        <v>141</v>
      </c>
      <c r="E749">
        <v>29</v>
      </c>
      <c r="F749">
        <v>0</v>
      </c>
      <c r="G749">
        <v>15</v>
      </c>
      <c r="H749">
        <v>0</v>
      </c>
      <c r="I749">
        <v>71</v>
      </c>
      <c r="J749">
        <v>23</v>
      </c>
      <c r="K749">
        <v>0</v>
      </c>
      <c r="L749">
        <v>1</v>
      </c>
      <c r="M749" t="s">
        <v>69</v>
      </c>
      <c r="N749">
        <v>235</v>
      </c>
      <c r="O749">
        <v>39</v>
      </c>
      <c r="P749">
        <v>212</v>
      </c>
      <c r="Q749">
        <v>20</v>
      </c>
      <c r="R749">
        <v>0</v>
      </c>
      <c r="S749">
        <v>13</v>
      </c>
      <c r="T749">
        <v>0</v>
      </c>
      <c r="U749">
        <v>300</v>
      </c>
      <c r="V749">
        <v>55</v>
      </c>
      <c r="W749">
        <v>4</v>
      </c>
      <c r="X749">
        <v>0</v>
      </c>
      <c r="Y749" t="s">
        <v>19</v>
      </c>
      <c r="Z749">
        <v>2</v>
      </c>
      <c r="AA749">
        <f>IF(AND(Table1[[#This Row],[Throw Out Pass Eff]]="N", Table1[[#This Row],[Against FCS Team]]="N"), ROUND(((5.45 * D749) + (150 * F749) + (100 * G749) - (300 * H749)) / E749, 2), " ")</f>
        <v>78.22</v>
      </c>
      <c r="AB749">
        <f>IF(AND(Table1[[#This Row],[Throw Out Pass Def Eff]]="N", Table1[[#This Row],[Against FCS Team]]="N"),200 - ROUND(((5.45 * P749) + (150 * R749) + (100 * S749) - (300 * T749)) / Q749, 2), " ")</f>
        <v>77.23</v>
      </c>
      <c r="AC749">
        <f>IF(AND(Table1[[#This Row],[Throw Out Rush Eff]]="N", Table1[[#This Row],[Against FCS Team]]="N"), ROUND(((23.2 * I749) + (150 * K749) - (300 * L749)) / J749, 2), " ")</f>
        <v>58.57</v>
      </c>
      <c r="AD749" s="3">
        <f>IF(AND(Table1[[#This Row],[Throw Out Rush Def Eff]]="N", Table1[[#This Row],[Against FCS Team]]="N"), 200 - ROUND(((23.2 * U749) + (150 * W749) - (300 * X749)) / V749, 2), " ")</f>
        <v>62.550000000000011</v>
      </c>
      <c r="AE749" s="3">
        <f>ROUND(Table1[[#This Row],[Opp Passing Attempts]]/(Table1[[#This Row],[Opp Passing Attempts]]+Table1[[#This Row],[Opp Rushing Attempts]]), 2)</f>
        <v>0.27</v>
      </c>
      <c r="AF749" s="3">
        <f>1-Table1[[#This Row],[Passing Weight]]</f>
        <v>0.73</v>
      </c>
      <c r="AG749" s="3" t="str">
        <f>IF(COUNTIF(A:A,Table1[[#This Row],[Opp Team Name]]) &gt; 0, "N", "Y")</f>
        <v>N</v>
      </c>
      <c r="AH749" s="3" t="str">
        <f>IF(Table1[[#This Row],[Passing Attempts]] &lt;15, "Y", "N")</f>
        <v>N</v>
      </c>
      <c r="AI749" s="3" t="str">
        <f>IF(Table1[[#This Row],[Rushing Attempts]] &lt; 15, "Y", "N")</f>
        <v>N</v>
      </c>
      <c r="AJ749" s="3" t="str">
        <f>IF(Table1[[#This Row],[Opp Passing Attempts]]&lt;15, "Y", "N")</f>
        <v>N</v>
      </c>
      <c r="AK749" s="3" t="str">
        <f>IF(Table1[[#This Row],[Opp Rushing Attempts]]&lt;15, "Y", "N")</f>
        <v>N</v>
      </c>
      <c r="AL7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95.28</v>
      </c>
      <c r="AM7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70.47</v>
      </c>
      <c r="AN7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76.44</v>
      </c>
      <c r="AO7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60.98</v>
      </c>
      <c r="AP749" s="3">
        <f>ABS(Table1[[#This Row],[Team Score]]-Table1[[#This Row],[Opp Team Score]])</f>
        <v>39</v>
      </c>
      <c r="AQ749" s="3">
        <f>SUM(Table1[[#This Row],[Team Score]], Table1[[#This Row],[Opp Team Score]])</f>
        <v>39</v>
      </c>
      <c r="AR7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123.42999999999998</v>
      </c>
      <c r="AS749" s="3">
        <f>IF(Table1[[#This Row],[Efficiency Difference]] = " ", " ", ROUND((Table1[[#This Row],[Winning Margin]]*100)/Table1[[#This Row],[Efficiency Difference]], 2))</f>
        <v>31.6</v>
      </c>
    </row>
    <row r="750" spans="1:45">
      <c r="A750" t="s">
        <v>170</v>
      </c>
      <c r="B750">
        <v>9</v>
      </c>
      <c r="C750">
        <v>10</v>
      </c>
      <c r="D750">
        <v>145</v>
      </c>
      <c r="E750">
        <v>28</v>
      </c>
      <c r="F750">
        <v>0</v>
      </c>
      <c r="G750">
        <v>10</v>
      </c>
      <c r="H750">
        <v>3</v>
      </c>
      <c r="I750">
        <v>48</v>
      </c>
      <c r="J750">
        <v>17</v>
      </c>
      <c r="K750">
        <v>0</v>
      </c>
      <c r="L750">
        <v>0</v>
      </c>
      <c r="M750" t="s">
        <v>140</v>
      </c>
      <c r="N750">
        <v>718</v>
      </c>
      <c r="O750">
        <v>49</v>
      </c>
      <c r="P750">
        <v>278</v>
      </c>
      <c r="Q750">
        <v>27</v>
      </c>
      <c r="R750">
        <v>3</v>
      </c>
      <c r="S750">
        <v>23</v>
      </c>
      <c r="T750">
        <v>0</v>
      </c>
      <c r="U750">
        <v>262</v>
      </c>
      <c r="V750">
        <v>49</v>
      </c>
      <c r="W750">
        <v>2</v>
      </c>
      <c r="X750">
        <v>0</v>
      </c>
      <c r="Y750" t="s">
        <v>19</v>
      </c>
      <c r="Z750">
        <v>3</v>
      </c>
      <c r="AA750">
        <f>IF(AND(Table1[[#This Row],[Throw Out Pass Eff]]="N", Table1[[#This Row],[Against FCS Team]]="N"), ROUND(((5.45 * D750) + (150 * F750) + (100 * G750) - (300 * H750)) / E750, 2), " ")</f>
        <v>31.79</v>
      </c>
      <c r="AB750">
        <f>IF(AND(Table1[[#This Row],[Throw Out Pass Def Eff]]="N", Table1[[#This Row],[Against FCS Team]]="N"),200 - ROUND(((5.45 * P750) + (150 * R750) + (100 * S750) - (300 * T750)) / Q750, 2), " ")</f>
        <v>42.03</v>
      </c>
      <c r="AC750">
        <f>IF(AND(Table1[[#This Row],[Throw Out Rush Eff]]="N", Table1[[#This Row],[Against FCS Team]]="N"), ROUND(((23.2 * I750) + (150 * K750) - (300 * L750)) / J750, 2), " ")</f>
        <v>65.510000000000005</v>
      </c>
      <c r="AD750" s="3">
        <f>IF(AND(Table1[[#This Row],[Throw Out Rush Def Eff]]="N", Table1[[#This Row],[Against FCS Team]]="N"), 200 - ROUND(((23.2 * U750) + (150 * W750) - (300 * X750)) / V750, 2), " ")</f>
        <v>69.830000000000013</v>
      </c>
      <c r="AE750" s="3">
        <f>ROUND(Table1[[#This Row],[Opp Passing Attempts]]/(Table1[[#This Row],[Opp Passing Attempts]]+Table1[[#This Row],[Opp Rushing Attempts]]), 2)</f>
        <v>0.36</v>
      </c>
      <c r="AF750" s="3">
        <f>1-Table1[[#This Row],[Passing Weight]]</f>
        <v>0.64</v>
      </c>
      <c r="AG750" s="3" t="str">
        <f>IF(COUNTIF(A:A,Table1[[#This Row],[Opp Team Name]]) &gt; 0, "N", "Y")</f>
        <v>N</v>
      </c>
      <c r="AH750" s="3" t="str">
        <f>IF(Table1[[#This Row],[Passing Attempts]] &lt;15, "Y", "N")</f>
        <v>N</v>
      </c>
      <c r="AI750" s="3" t="str">
        <f>IF(Table1[[#This Row],[Rushing Attempts]] &lt; 15, "Y", "N")</f>
        <v>N</v>
      </c>
      <c r="AJ750" s="3" t="str">
        <f>IF(Table1[[#This Row],[Opp Passing Attempts]]&lt;15, "Y", "N")</f>
        <v>N</v>
      </c>
      <c r="AK750" s="3" t="str">
        <f>IF(Table1[[#This Row],[Opp Rushing Attempts]]&lt;15, "Y", "N")</f>
        <v>N</v>
      </c>
      <c r="AL7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36.69</v>
      </c>
      <c r="AM7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40.299999999999997</v>
      </c>
      <c r="AN7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66.61</v>
      </c>
      <c r="AO7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58.54</v>
      </c>
      <c r="AP750" s="3">
        <f>ABS(Table1[[#This Row],[Team Score]]-Table1[[#This Row],[Opp Team Score]])</f>
        <v>39</v>
      </c>
      <c r="AQ750" s="3">
        <f>SUM(Table1[[#This Row],[Team Score]], Table1[[#This Row],[Opp Team Score]])</f>
        <v>59</v>
      </c>
      <c r="AR7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190.83999999999997</v>
      </c>
      <c r="AS750" s="3">
        <f>IF(Table1[[#This Row],[Efficiency Difference]] = " ", " ", ROUND((Table1[[#This Row],[Winning Margin]]*100)/Table1[[#This Row],[Efficiency Difference]], 2))</f>
        <v>20.440000000000001</v>
      </c>
    </row>
    <row r="751" spans="1:45">
      <c r="A751" t="s">
        <v>170</v>
      </c>
      <c r="B751">
        <v>9</v>
      </c>
      <c r="C751">
        <v>23</v>
      </c>
      <c r="D751">
        <v>283</v>
      </c>
      <c r="E751">
        <v>48</v>
      </c>
      <c r="F751">
        <v>0</v>
      </c>
      <c r="G751">
        <v>31</v>
      </c>
      <c r="H751">
        <v>1</v>
      </c>
      <c r="I751">
        <v>117</v>
      </c>
      <c r="J751">
        <v>33</v>
      </c>
      <c r="K751">
        <v>2</v>
      </c>
      <c r="L751">
        <v>2</v>
      </c>
      <c r="M751" t="s">
        <v>64</v>
      </c>
      <c r="N751">
        <v>196</v>
      </c>
      <c r="O751">
        <v>28</v>
      </c>
      <c r="P751">
        <v>361</v>
      </c>
      <c r="Q751">
        <v>42</v>
      </c>
      <c r="R751">
        <v>3</v>
      </c>
      <c r="S751">
        <v>35</v>
      </c>
      <c r="T751">
        <v>3</v>
      </c>
      <c r="U751">
        <v>181</v>
      </c>
      <c r="V751">
        <v>32</v>
      </c>
      <c r="W751">
        <v>1</v>
      </c>
      <c r="X751">
        <v>4</v>
      </c>
      <c r="Y751" t="s">
        <v>19</v>
      </c>
      <c r="Z751">
        <v>4</v>
      </c>
      <c r="AA751">
        <f>IF(AND(Table1[[#This Row],[Throw Out Pass Eff]]="N", Table1[[#This Row],[Against FCS Team]]="N"), ROUND(((5.45 * D751) + (150 * F751) + (100 * G751) - (300 * H751)) / E751, 2), " ")</f>
        <v>90.47</v>
      </c>
      <c r="AB751">
        <f>IF(AND(Table1[[#This Row],[Throw Out Pass Def Eff]]="N", Table1[[#This Row],[Against FCS Team]]="N"),200 - ROUND(((5.45 * P751) + (150 * R751) + (100 * S751) - (300 * T751)) / Q751, 2), " ")</f>
        <v>80.540000000000006</v>
      </c>
      <c r="AC751">
        <f>IF(AND(Table1[[#This Row],[Throw Out Rush Eff]]="N", Table1[[#This Row],[Against FCS Team]]="N"), ROUND(((23.2 * I751) + (150 * K751) - (300 * L751)) / J751, 2), " ")</f>
        <v>73.16</v>
      </c>
      <c r="AD751" s="3">
        <f>IF(AND(Table1[[#This Row],[Throw Out Rush Def Eff]]="N", Table1[[#This Row],[Against FCS Team]]="N"), 200 - ROUND(((23.2 * U751) + (150 * W751) - (300 * X751)) / V751, 2), " ")</f>
        <v>101.59</v>
      </c>
      <c r="AE751" s="3">
        <f>ROUND(Table1[[#This Row],[Opp Passing Attempts]]/(Table1[[#This Row],[Opp Passing Attempts]]+Table1[[#This Row],[Opp Rushing Attempts]]), 2)</f>
        <v>0.56999999999999995</v>
      </c>
      <c r="AF751" s="3">
        <f>1-Table1[[#This Row],[Passing Weight]]</f>
        <v>0.43000000000000005</v>
      </c>
      <c r="AG751" s="3" t="str">
        <f>IF(COUNTIF(A:A,Table1[[#This Row],[Opp Team Name]]) &gt; 0, "N", "Y")</f>
        <v>N</v>
      </c>
      <c r="AH751" s="3" t="str">
        <f>IF(Table1[[#This Row],[Passing Attempts]] &lt;15, "Y", "N")</f>
        <v>N</v>
      </c>
      <c r="AI751" s="3" t="str">
        <f>IF(Table1[[#This Row],[Rushing Attempts]] &lt; 15, "Y", "N")</f>
        <v>N</v>
      </c>
      <c r="AJ751" s="3" t="str">
        <f>IF(Table1[[#This Row],[Opp Passing Attempts]]&lt;15, "Y", "N")</f>
        <v>N</v>
      </c>
      <c r="AK751" s="3" t="str">
        <f>IF(Table1[[#This Row],[Opp Rushing Attempts]]&lt;15, "Y", "N")</f>
        <v>N</v>
      </c>
      <c r="AL7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93.91</v>
      </c>
      <c r="AM7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83.83</v>
      </c>
      <c r="AN7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66.34</v>
      </c>
      <c r="AO7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52.24</v>
      </c>
      <c r="AP751" s="3">
        <f>ABS(Table1[[#This Row],[Team Score]]-Table1[[#This Row],[Opp Team Score]])</f>
        <v>5</v>
      </c>
      <c r="AQ751" s="3">
        <f>SUM(Table1[[#This Row],[Team Score]], Table1[[#This Row],[Opp Team Score]])</f>
        <v>51</v>
      </c>
      <c r="AR7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54.240000000000009</v>
      </c>
      <c r="AS751" s="3">
        <f>IF(Table1[[#This Row],[Efficiency Difference]] = " ", " ", ROUND((Table1[[#This Row],[Winning Margin]]*100)/Table1[[#This Row],[Efficiency Difference]], 2))</f>
        <v>9.2200000000000006</v>
      </c>
    </row>
    <row r="752" spans="1:45">
      <c r="A752" t="s">
        <v>170</v>
      </c>
      <c r="B752">
        <v>9</v>
      </c>
      <c r="C752">
        <v>23</v>
      </c>
      <c r="D752">
        <v>196</v>
      </c>
      <c r="E752">
        <v>39</v>
      </c>
      <c r="F752">
        <v>0</v>
      </c>
      <c r="G752">
        <v>19</v>
      </c>
      <c r="H752">
        <v>1</v>
      </c>
      <c r="I752">
        <v>160</v>
      </c>
      <c r="J752">
        <v>39</v>
      </c>
      <c r="K752">
        <v>1</v>
      </c>
      <c r="L752">
        <v>0</v>
      </c>
      <c r="M752" t="s">
        <v>55</v>
      </c>
      <c r="N752">
        <v>716</v>
      </c>
      <c r="O752">
        <v>24</v>
      </c>
      <c r="P752">
        <v>349</v>
      </c>
      <c r="Q752">
        <v>50</v>
      </c>
      <c r="R752">
        <v>0</v>
      </c>
      <c r="S752">
        <v>30</v>
      </c>
      <c r="T752">
        <v>1</v>
      </c>
      <c r="U752">
        <v>172</v>
      </c>
      <c r="V752">
        <v>37</v>
      </c>
      <c r="W752">
        <v>3</v>
      </c>
      <c r="X752">
        <v>2</v>
      </c>
      <c r="Y752" t="s">
        <v>19</v>
      </c>
      <c r="Z752">
        <v>5</v>
      </c>
      <c r="AA752">
        <f>IF(AND(Table1[[#This Row],[Throw Out Pass Eff]]="N", Table1[[#This Row],[Against FCS Team]]="N"), ROUND(((5.45 * D752) + (150 * F752) + (100 * G752) - (300 * H752)) / E752, 2), " ")</f>
        <v>68.42</v>
      </c>
      <c r="AB752">
        <f>IF(AND(Table1[[#This Row],[Throw Out Pass Def Eff]]="N", Table1[[#This Row],[Against FCS Team]]="N"),200 - ROUND(((5.45 * P752) + (150 * R752) + (100 * S752) - (300 * T752)) / Q752, 2), " ")</f>
        <v>107.96</v>
      </c>
      <c r="AC752">
        <f>IF(AND(Table1[[#This Row],[Throw Out Rush Eff]]="N", Table1[[#This Row],[Against FCS Team]]="N"), ROUND(((23.2 * I752) + (150 * K752) - (300 * L752)) / J752, 2), " ")</f>
        <v>99.03</v>
      </c>
      <c r="AD752" s="3">
        <f>IF(AND(Table1[[#This Row],[Throw Out Rush Def Eff]]="N", Table1[[#This Row],[Against FCS Team]]="N"), 200 - ROUND(((23.2 * U752) + (150 * W752) - (300 * X752)) / V752, 2), " ")</f>
        <v>96.21</v>
      </c>
      <c r="AE752" s="3">
        <f>ROUND(Table1[[#This Row],[Opp Passing Attempts]]/(Table1[[#This Row],[Opp Passing Attempts]]+Table1[[#This Row],[Opp Rushing Attempts]]), 2)</f>
        <v>0.56999999999999995</v>
      </c>
      <c r="AF752" s="3">
        <f>1-Table1[[#This Row],[Passing Weight]]</f>
        <v>0.43000000000000005</v>
      </c>
      <c r="AG752" s="3" t="str">
        <f>IF(COUNTIF(A:A,Table1[[#This Row],[Opp Team Name]]) &gt; 0, "N", "Y")</f>
        <v>N</v>
      </c>
      <c r="AH752" s="3" t="str">
        <f>IF(Table1[[#This Row],[Passing Attempts]] &lt;15, "Y", "N")</f>
        <v>N</v>
      </c>
      <c r="AI752" s="3" t="str">
        <f>IF(Table1[[#This Row],[Rushing Attempts]] &lt; 15, "Y", "N")</f>
        <v>N</v>
      </c>
      <c r="AJ752" s="3" t="str">
        <f>IF(Table1[[#This Row],[Opp Passing Attempts]]&lt;15, "Y", "N")</f>
        <v>N</v>
      </c>
      <c r="AK752" s="3" t="str">
        <f>IF(Table1[[#This Row],[Opp Rushing Attempts]]&lt;15, "Y", "N")</f>
        <v>N</v>
      </c>
      <c r="AL7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60.62</v>
      </c>
      <c r="AM75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98.41</v>
      </c>
      <c r="AN7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101.64</v>
      </c>
      <c r="AO7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65.489999999999995</v>
      </c>
      <c r="AP752" s="3">
        <f>ABS(Table1[[#This Row],[Team Score]]-Table1[[#This Row],[Opp Team Score]])</f>
        <v>1</v>
      </c>
      <c r="AQ752" s="3">
        <f>SUM(Table1[[#This Row],[Team Score]], Table1[[#This Row],[Opp Team Score]])</f>
        <v>47</v>
      </c>
      <c r="AR75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28.380000000000024</v>
      </c>
      <c r="AS752" s="3">
        <f>IF(Table1[[#This Row],[Efficiency Difference]] = " ", " ", ROUND((Table1[[#This Row],[Winning Margin]]*100)/Table1[[#This Row],[Efficiency Difference]], 2))</f>
        <v>3.52</v>
      </c>
    </row>
    <row r="753" spans="1:45">
      <c r="A753" t="s">
        <v>170</v>
      </c>
      <c r="B753">
        <v>9</v>
      </c>
      <c r="C753">
        <v>3</v>
      </c>
      <c r="D753">
        <v>195</v>
      </c>
      <c r="E753">
        <v>36</v>
      </c>
      <c r="F753">
        <v>0</v>
      </c>
      <c r="G753">
        <v>18</v>
      </c>
      <c r="H753">
        <v>1</v>
      </c>
      <c r="I753">
        <v>145</v>
      </c>
      <c r="J753">
        <v>35</v>
      </c>
      <c r="K753">
        <v>0</v>
      </c>
      <c r="L753">
        <v>1</v>
      </c>
      <c r="M753" t="s">
        <v>95</v>
      </c>
      <c r="N753">
        <v>430</v>
      </c>
      <c r="O753">
        <v>21</v>
      </c>
      <c r="P753">
        <v>212</v>
      </c>
      <c r="Q753">
        <v>23</v>
      </c>
      <c r="R753">
        <v>3</v>
      </c>
      <c r="S753">
        <v>17</v>
      </c>
      <c r="T753">
        <v>0</v>
      </c>
      <c r="U753">
        <v>204</v>
      </c>
      <c r="V753">
        <v>43</v>
      </c>
      <c r="W753">
        <v>0</v>
      </c>
      <c r="X753">
        <v>0</v>
      </c>
      <c r="Y753" t="s">
        <v>19</v>
      </c>
      <c r="Z753">
        <v>6</v>
      </c>
      <c r="AA753">
        <f>IF(AND(Table1[[#This Row],[Throw Out Pass Eff]]="N", Table1[[#This Row],[Against FCS Team]]="N"), ROUND(((5.45 * D753) + (150 * F753) + (100 * G753) - (300 * H753)) / E753, 2), " ")</f>
        <v>71.19</v>
      </c>
      <c r="AB753">
        <f>IF(AND(Table1[[#This Row],[Throw Out Pass Def Eff]]="N", Table1[[#This Row],[Against FCS Team]]="N"),200 - ROUND(((5.45 * P753) + (150 * R753) + (100 * S753) - (300 * T753)) / Q753, 2), " ")</f>
        <v>56.289999999999992</v>
      </c>
      <c r="AC753">
        <f>IF(AND(Table1[[#This Row],[Throw Out Rush Eff]]="N", Table1[[#This Row],[Against FCS Team]]="N"), ROUND(((23.2 * I753) + (150 * K753) - (300 * L753)) / J753, 2), " ")</f>
        <v>87.54</v>
      </c>
      <c r="AD753" s="3">
        <f>IF(AND(Table1[[#This Row],[Throw Out Rush Def Eff]]="N", Table1[[#This Row],[Against FCS Team]]="N"), 200 - ROUND(((23.2 * U753) + (150 * W753) - (300 * X753)) / V753, 2), " ")</f>
        <v>89.93</v>
      </c>
      <c r="AE753" s="3">
        <f>ROUND(Table1[[#This Row],[Opp Passing Attempts]]/(Table1[[#This Row],[Opp Passing Attempts]]+Table1[[#This Row],[Opp Rushing Attempts]]), 2)</f>
        <v>0.35</v>
      </c>
      <c r="AF753" s="3">
        <f>1-Table1[[#This Row],[Passing Weight]]</f>
        <v>0.65</v>
      </c>
      <c r="AG753" s="3" t="str">
        <f>IF(COUNTIF(A:A,Table1[[#This Row],[Opp Team Name]]) &gt; 0, "N", "Y")</f>
        <v>N</v>
      </c>
      <c r="AH753" s="3" t="str">
        <f>IF(Table1[[#This Row],[Passing Attempts]] &lt;15, "Y", "N")</f>
        <v>N</v>
      </c>
      <c r="AI753" s="3" t="str">
        <f>IF(Table1[[#This Row],[Rushing Attempts]] &lt; 15, "Y", "N")</f>
        <v>N</v>
      </c>
      <c r="AJ753" s="3" t="str">
        <f>IF(Table1[[#This Row],[Opp Passing Attempts]]&lt;15, "Y", "N")</f>
        <v>N</v>
      </c>
      <c r="AK753" s="3" t="str">
        <f>IF(Table1[[#This Row],[Opp Rushing Attempts]]&lt;15, "Y", "N")</f>
        <v>N</v>
      </c>
      <c r="AL7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79.400000000000006</v>
      </c>
      <c r="AM7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50.28</v>
      </c>
      <c r="AN7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98.62</v>
      </c>
      <c r="AO7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87.51</v>
      </c>
      <c r="AP753" s="3">
        <f>ABS(Table1[[#This Row],[Team Score]]-Table1[[#This Row],[Opp Team Score]])</f>
        <v>18</v>
      </c>
      <c r="AQ753" s="3">
        <f>SUM(Table1[[#This Row],[Team Score]], Table1[[#This Row],[Opp Team Score]])</f>
        <v>24</v>
      </c>
      <c r="AR7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95.049999999999983</v>
      </c>
      <c r="AS753" s="3">
        <f>IF(Table1[[#This Row],[Efficiency Difference]] = " ", " ", ROUND((Table1[[#This Row],[Winning Margin]]*100)/Table1[[#This Row],[Efficiency Difference]], 2))</f>
        <v>18.940000000000001</v>
      </c>
    </row>
    <row r="754" spans="1:45">
      <c r="A754" t="s">
        <v>170</v>
      </c>
      <c r="B754">
        <v>9</v>
      </c>
      <c r="C754">
        <v>20</v>
      </c>
      <c r="D754">
        <v>298</v>
      </c>
      <c r="E754">
        <v>44</v>
      </c>
      <c r="F754">
        <v>2</v>
      </c>
      <c r="G754">
        <v>21</v>
      </c>
      <c r="H754">
        <v>2</v>
      </c>
      <c r="I754">
        <v>81</v>
      </c>
      <c r="J754">
        <v>27</v>
      </c>
      <c r="K754">
        <v>0</v>
      </c>
      <c r="L754">
        <v>0</v>
      </c>
      <c r="M754" t="s">
        <v>117</v>
      </c>
      <c r="N754">
        <v>719</v>
      </c>
      <c r="O754">
        <v>37</v>
      </c>
      <c r="P754">
        <v>341</v>
      </c>
      <c r="Q754">
        <v>43</v>
      </c>
      <c r="R754">
        <v>3</v>
      </c>
      <c r="S754">
        <v>31</v>
      </c>
      <c r="T754">
        <v>1</v>
      </c>
      <c r="U754">
        <v>218</v>
      </c>
      <c r="V754">
        <v>44</v>
      </c>
      <c r="W754">
        <v>1</v>
      </c>
      <c r="X754">
        <v>3</v>
      </c>
      <c r="Y754" t="s">
        <v>19</v>
      </c>
      <c r="Z754">
        <v>7</v>
      </c>
      <c r="AA754">
        <f>IF(AND(Table1[[#This Row],[Throw Out Pass Eff]]="N", Table1[[#This Row],[Against FCS Team]]="N"), ROUND(((5.45 * D754) + (150 * F754) + (100 * G754) - (300 * H754)) / E754, 2), " ")</f>
        <v>77.819999999999993</v>
      </c>
      <c r="AB754">
        <f>IF(AND(Table1[[#This Row],[Throw Out Pass Def Eff]]="N", Table1[[#This Row],[Against FCS Team]]="N"),200 - ROUND(((5.45 * P754) + (150 * R754) + (100 * S754) - (300 * T754)) / Q754, 2), " ")</f>
        <v>81.2</v>
      </c>
      <c r="AC754">
        <f>IF(AND(Table1[[#This Row],[Throw Out Rush Eff]]="N", Table1[[#This Row],[Against FCS Team]]="N"), ROUND(((23.2 * I754) + (150 * K754) - (300 * L754)) / J754, 2), " ")</f>
        <v>69.599999999999994</v>
      </c>
      <c r="AD754" s="3">
        <f>IF(AND(Table1[[#This Row],[Throw Out Rush Def Eff]]="N", Table1[[#This Row],[Against FCS Team]]="N"), 200 - ROUND(((23.2 * U754) + (150 * W754) - (300 * X754)) / V754, 2), " ")</f>
        <v>102.1</v>
      </c>
      <c r="AE754" s="3">
        <f>ROUND(Table1[[#This Row],[Opp Passing Attempts]]/(Table1[[#This Row],[Opp Passing Attempts]]+Table1[[#This Row],[Opp Rushing Attempts]]), 2)</f>
        <v>0.49</v>
      </c>
      <c r="AF754" s="3">
        <f>1-Table1[[#This Row],[Passing Weight]]</f>
        <v>0.51</v>
      </c>
      <c r="AG754" s="3" t="str">
        <f>IF(COUNTIF(A:A,Table1[[#This Row],[Opp Team Name]]) &gt; 0, "N", "Y")</f>
        <v>N</v>
      </c>
      <c r="AH754" s="3" t="str">
        <f>IF(Table1[[#This Row],[Passing Attempts]] &lt;15, "Y", "N")</f>
        <v>N</v>
      </c>
      <c r="AI754" s="3" t="str">
        <f>IF(Table1[[#This Row],[Rushing Attempts]] &lt; 15, "Y", "N")</f>
        <v>N</v>
      </c>
      <c r="AJ754" s="3" t="str">
        <f>IF(Table1[[#This Row],[Opp Passing Attempts]]&lt;15, "Y", "N")</f>
        <v>N</v>
      </c>
      <c r="AK754" s="3" t="str">
        <f>IF(Table1[[#This Row],[Opp Rushing Attempts]]&lt;15, "Y", "N")</f>
        <v>N</v>
      </c>
      <c r="AL75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77.209999999999994</v>
      </c>
      <c r="AM7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75.67</v>
      </c>
      <c r="AN7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89.67</v>
      </c>
      <c r="AO7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103.93</v>
      </c>
      <c r="AP754" s="3">
        <f>ABS(Table1[[#This Row],[Team Score]]-Table1[[#This Row],[Opp Team Score]])</f>
        <v>17</v>
      </c>
      <c r="AQ754" s="3">
        <f>SUM(Table1[[#This Row],[Team Score]], Table1[[#This Row],[Opp Team Score]])</f>
        <v>57</v>
      </c>
      <c r="AR75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69.28</v>
      </c>
      <c r="AS754" s="3">
        <f>IF(Table1[[#This Row],[Efficiency Difference]] = " ", " ", ROUND((Table1[[#This Row],[Winning Margin]]*100)/Table1[[#This Row],[Efficiency Difference]], 2))</f>
        <v>24.54</v>
      </c>
    </row>
    <row r="755" spans="1:45">
      <c r="A755" t="s">
        <v>170</v>
      </c>
      <c r="B755">
        <v>9</v>
      </c>
      <c r="C755">
        <v>26</v>
      </c>
      <c r="D755">
        <v>327</v>
      </c>
      <c r="E755">
        <v>42</v>
      </c>
      <c r="F755">
        <v>2</v>
      </c>
      <c r="G755">
        <v>31</v>
      </c>
      <c r="H755">
        <v>2</v>
      </c>
      <c r="I755">
        <v>174</v>
      </c>
      <c r="J755">
        <v>36</v>
      </c>
      <c r="K755">
        <v>1</v>
      </c>
      <c r="L755">
        <v>0</v>
      </c>
      <c r="M755" t="s">
        <v>142</v>
      </c>
      <c r="N755">
        <v>128</v>
      </c>
      <c r="O755">
        <v>24</v>
      </c>
      <c r="P755">
        <v>235</v>
      </c>
      <c r="Q755">
        <v>32</v>
      </c>
      <c r="R755">
        <v>0</v>
      </c>
      <c r="S755">
        <v>19</v>
      </c>
      <c r="T755">
        <v>2</v>
      </c>
      <c r="U755">
        <v>96</v>
      </c>
      <c r="V755">
        <v>24</v>
      </c>
      <c r="W755">
        <v>3</v>
      </c>
      <c r="X755">
        <v>0</v>
      </c>
      <c r="Y755" t="s">
        <v>16</v>
      </c>
      <c r="Z755">
        <v>8</v>
      </c>
      <c r="AA755" s="3">
        <f>IF(AND(Table1[[#This Row],[Throw Out Pass Eff]]="N", Table1[[#This Row],[Against FCS Team]]="N"), ROUND(((5.45 * D755) + (150 * F755) + (100 * G755) - (300 * H755)) / E755, 2), " ")</f>
        <v>109.1</v>
      </c>
      <c r="AB755" s="3">
        <f>IF(AND(Table1[[#This Row],[Throw Out Pass Def Eff]]="N", Table1[[#This Row],[Against FCS Team]]="N"),200 - ROUND(((5.45 * P755) + (150 * R755) + (100 * S755) - (300 * T755)) / Q755, 2), " ")</f>
        <v>119.35</v>
      </c>
      <c r="AC755" s="3">
        <f>IF(AND(Table1[[#This Row],[Throw Out Rush Eff]]="N", Table1[[#This Row],[Against FCS Team]]="N"), ROUND(((23.2 * I755) + (150 * K755) - (300 * L755)) / J755, 2), " ")</f>
        <v>116.3</v>
      </c>
      <c r="AD755" s="3">
        <f>IF(AND(Table1[[#This Row],[Throw Out Rush Def Eff]]="N", Table1[[#This Row],[Against FCS Team]]="N"), 200 - ROUND(((23.2 * U755) + (150 * W755) - (300 * X755)) / V755, 2), " ")</f>
        <v>88.45</v>
      </c>
      <c r="AE755" s="3">
        <f>ROUND(Table1[[#This Row],[Opp Passing Attempts]]/(Table1[[#This Row],[Opp Passing Attempts]]+Table1[[#This Row],[Opp Rushing Attempts]]), 2)</f>
        <v>0.56999999999999995</v>
      </c>
      <c r="AF755" s="3">
        <f>1-Table1[[#This Row],[Passing Weight]]</f>
        <v>0.43000000000000005</v>
      </c>
      <c r="AG755" s="3" t="str">
        <f>IF(COUNTIF(A:A,Table1[[#This Row],[Opp Team Name]]) &gt; 0, "N", "Y")</f>
        <v>N</v>
      </c>
      <c r="AH755" s="3" t="str">
        <f>IF(Table1[[#This Row],[Passing Attempts]] &lt;15, "Y", "N")</f>
        <v>N</v>
      </c>
      <c r="AI755" s="3" t="str">
        <f>IF(Table1[[#This Row],[Rushing Attempts]] &lt; 15, "Y", "N")</f>
        <v>N</v>
      </c>
      <c r="AJ755" s="3" t="str">
        <f>IF(Table1[[#This Row],[Opp Passing Attempts]]&lt;15, "Y", "N")</f>
        <v>N</v>
      </c>
      <c r="AK755" s="3" t="str">
        <f>IF(Table1[[#This Row],[Opp Rushing Attempts]]&lt;15, "Y", "N")</f>
        <v>N</v>
      </c>
      <c r="AL75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133.80000000000001</v>
      </c>
      <c r="AM75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124.59</v>
      </c>
      <c r="AN75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128.52000000000001</v>
      </c>
      <c r="AO75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76.39</v>
      </c>
      <c r="AP755" s="3">
        <f>ABS(Table1[[#This Row],[Team Score]]-Table1[[#This Row],[Opp Team Score]])</f>
        <v>2</v>
      </c>
      <c r="AQ755" s="3">
        <f>SUM(Table1[[#This Row],[Team Score]], Table1[[#This Row],[Opp Team Score]])</f>
        <v>50</v>
      </c>
      <c r="AR75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33.199999999999989</v>
      </c>
      <c r="AS755" s="3">
        <f>IF(Table1[[#This Row],[Efficiency Difference]] = " ", " ", ROUND((Table1[[#This Row],[Winning Margin]]*100)/Table1[[#This Row],[Efficiency Difference]], 2))</f>
        <v>6.02</v>
      </c>
    </row>
    <row r="756" spans="1:45">
      <c r="A756" t="s">
        <v>25</v>
      </c>
      <c r="B756">
        <v>108</v>
      </c>
      <c r="C756">
        <v>38</v>
      </c>
      <c r="D756">
        <v>320</v>
      </c>
      <c r="E756">
        <v>30</v>
      </c>
      <c r="F756">
        <v>3</v>
      </c>
      <c r="G756">
        <v>18</v>
      </c>
      <c r="H756">
        <v>0</v>
      </c>
      <c r="I756">
        <v>135</v>
      </c>
      <c r="J756">
        <v>42</v>
      </c>
      <c r="K756">
        <v>2</v>
      </c>
      <c r="L756">
        <v>1</v>
      </c>
      <c r="M756" t="s">
        <v>150</v>
      </c>
      <c r="N756">
        <v>706</v>
      </c>
      <c r="O756">
        <v>17</v>
      </c>
      <c r="P756">
        <v>257</v>
      </c>
      <c r="Q756">
        <v>31</v>
      </c>
      <c r="R756">
        <v>2</v>
      </c>
      <c r="S756">
        <v>22</v>
      </c>
      <c r="T756">
        <v>0</v>
      </c>
      <c r="U756">
        <v>79</v>
      </c>
      <c r="V756">
        <v>22</v>
      </c>
      <c r="W756">
        <v>0</v>
      </c>
      <c r="X756">
        <v>2</v>
      </c>
      <c r="Y756" t="s">
        <v>16</v>
      </c>
      <c r="Z756">
        <v>7</v>
      </c>
      <c r="AA756">
        <f>IF(AND(Table1[[#This Row],[Throw Out Pass Eff]]="N", Table1[[#This Row],[Against FCS Team]]="N"), ROUND(((5.45 * D756) + (150 * F756) + (100 * G756) - (300 * H756)) / E756, 2), " ")</f>
        <v>133.13</v>
      </c>
      <c r="AB756">
        <f>IF(AND(Table1[[#This Row],[Throw Out Pass Def Eff]]="N", Table1[[#This Row],[Against FCS Team]]="N"),200 - ROUND(((5.45 * P756) + (150 * R756) + (100 * S756) - (300 * T756)) / Q756, 2), " ")</f>
        <v>74.17</v>
      </c>
      <c r="AC756">
        <f>IF(AND(Table1[[#This Row],[Throw Out Rush Eff]]="N", Table1[[#This Row],[Against FCS Team]]="N"), ROUND(((23.2 * I756) + (150 * K756) - (300 * L756)) / J756, 2), " ")</f>
        <v>74.569999999999993</v>
      </c>
      <c r="AD756" s="3">
        <f>IF(AND(Table1[[#This Row],[Throw Out Rush Def Eff]]="N", Table1[[#This Row],[Against FCS Team]]="N"), 200 - ROUND(((23.2 * U756) + (150 * W756) - (300 * X756)) / V756, 2), " ")</f>
        <v>143.96</v>
      </c>
      <c r="AE756" s="3">
        <f>ROUND(Table1[[#This Row],[Opp Passing Attempts]]/(Table1[[#This Row],[Opp Passing Attempts]]+Table1[[#This Row],[Opp Rushing Attempts]]), 2)</f>
        <v>0.57999999999999996</v>
      </c>
      <c r="AF756" s="3">
        <f>1-Table1[[#This Row],[Passing Weight]]</f>
        <v>0.42000000000000004</v>
      </c>
      <c r="AG756" s="3" t="str">
        <f>IF(COUNTIF(A:A,Table1[[#This Row],[Opp Team Name]]) &gt; 0, "N", "Y")</f>
        <v>N</v>
      </c>
      <c r="AH756" s="3" t="str">
        <f>IF(Table1[[#This Row],[Passing Attempts]] &lt;15, "Y", "N")</f>
        <v>N</v>
      </c>
      <c r="AI756" s="3" t="str">
        <f>IF(Table1[[#This Row],[Rushing Attempts]] &lt; 15, "Y", "N")</f>
        <v>N</v>
      </c>
      <c r="AJ756" s="3" t="str">
        <f>IF(Table1[[#This Row],[Opp Passing Attempts]]&lt;15, "Y", "N")</f>
        <v>N</v>
      </c>
      <c r="AK756" s="3" t="str">
        <f>IF(Table1[[#This Row],[Opp Rushing Attempts]]&lt;15, "Y", "N")</f>
        <v>N</v>
      </c>
      <c r="AL7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123.31</v>
      </c>
      <c r="AM7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63.16</v>
      </c>
      <c r="AN7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80.819999999999993</v>
      </c>
      <c r="AO7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79.28</v>
      </c>
      <c r="AP756" s="3">
        <f>ABS(Table1[[#This Row],[Team Score]]-Table1[[#This Row],[Opp Team Score]])</f>
        <v>21</v>
      </c>
      <c r="AQ756" s="3">
        <f>SUM(Table1[[#This Row],[Team Score]], Table1[[#This Row],[Opp Team Score]])</f>
        <v>55</v>
      </c>
      <c r="AR75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25.829999999999984</v>
      </c>
      <c r="AS756" s="3">
        <f>IF(Table1[[#This Row],[Efficiency Difference]] = " ", " ", ROUND((Table1[[#This Row],[Winning Margin]]*100)/Table1[[#This Row],[Efficiency Difference]], 2))</f>
        <v>81.3</v>
      </c>
    </row>
    <row r="757" spans="1:45">
      <c r="A757" t="s">
        <v>142</v>
      </c>
      <c r="B757">
        <v>128</v>
      </c>
      <c r="C757">
        <v>62</v>
      </c>
      <c r="D757">
        <v>244</v>
      </c>
      <c r="E757">
        <v>20</v>
      </c>
      <c r="F757">
        <v>0</v>
      </c>
      <c r="G757">
        <v>14</v>
      </c>
      <c r="H757">
        <v>0</v>
      </c>
      <c r="I757">
        <v>316</v>
      </c>
      <c r="J757">
        <v>48</v>
      </c>
      <c r="K757">
        <v>8</v>
      </c>
      <c r="L757">
        <v>1</v>
      </c>
      <c r="M757" t="s">
        <v>143</v>
      </c>
      <c r="N757">
        <v>48</v>
      </c>
      <c r="O757">
        <v>0</v>
      </c>
      <c r="P757">
        <v>70</v>
      </c>
      <c r="Q757">
        <v>18</v>
      </c>
      <c r="R757">
        <v>0</v>
      </c>
      <c r="S757">
        <v>9</v>
      </c>
      <c r="T757">
        <v>1</v>
      </c>
      <c r="U757">
        <v>49</v>
      </c>
      <c r="V757">
        <v>33</v>
      </c>
      <c r="W757">
        <v>0</v>
      </c>
      <c r="X757">
        <v>1</v>
      </c>
      <c r="Y757" t="s">
        <v>16</v>
      </c>
      <c r="Z757">
        <v>1</v>
      </c>
      <c r="AA757" t="str">
        <f>IF(AND(Table1[[#This Row],[Throw Out Pass Eff]]="N", Table1[[#This Row],[Against FCS Team]]="N"), ROUND(((5.45 * D757) + (150 * F757) + (100 * G757) - (300 * H757)) / E757, 2), " ")</f>
        <v xml:space="preserve"> </v>
      </c>
      <c r="AB757" t="str">
        <f>IF(AND(Table1[[#This Row],[Throw Out Pass Def Eff]]="N", Table1[[#This Row],[Against FCS Team]]="N"),200 - ROUND(((5.45 * P757) + (150 * R757) + (100 * S757) - (300 * T757)) / Q757, 2), " ")</f>
        <v xml:space="preserve"> </v>
      </c>
      <c r="AC757" t="str">
        <f>IF(AND(Table1[[#This Row],[Throw Out Rush Eff]]="N", Table1[[#This Row],[Against FCS Team]]="N"), ROUND(((23.2 * I757) + (150 * K757) - (300 * L757)) / J757, 2), " ")</f>
        <v xml:space="preserve"> </v>
      </c>
      <c r="AD757" s="3" t="str">
        <f>IF(AND(Table1[[#This Row],[Throw Out Rush Def Eff]]="N", Table1[[#This Row],[Against FCS Team]]="N"), 200 - ROUND(((23.2 * U757) + (150 * W757) - (300 * X757)) / V757, 2), " ")</f>
        <v xml:space="preserve"> </v>
      </c>
      <c r="AE757" s="3">
        <f>ROUND(Table1[[#This Row],[Opp Passing Attempts]]/(Table1[[#This Row],[Opp Passing Attempts]]+Table1[[#This Row],[Opp Rushing Attempts]]), 2)</f>
        <v>0.35</v>
      </c>
      <c r="AF757" s="3">
        <f>1-Table1[[#This Row],[Passing Weight]]</f>
        <v>0.65</v>
      </c>
      <c r="AG757" s="3" t="str">
        <f>IF(COUNTIF(A:A,Table1[[#This Row],[Opp Team Name]]) &gt; 0, "N", "Y")</f>
        <v>Y</v>
      </c>
      <c r="AH757" s="3" t="str">
        <f>IF(Table1[[#This Row],[Passing Attempts]] &lt;15, "Y", "N")</f>
        <v>N</v>
      </c>
      <c r="AI757" s="3" t="str">
        <f>IF(Table1[[#This Row],[Rushing Attempts]] &lt; 15, "Y", "N")</f>
        <v>N</v>
      </c>
      <c r="AJ757" s="3" t="str">
        <f>IF(Table1[[#This Row],[Opp Passing Attempts]]&lt;15, "Y", "N")</f>
        <v>N</v>
      </c>
      <c r="AK757" s="3" t="str">
        <f>IF(Table1[[#This Row],[Opp Rushing Attempts]]&lt;15, "Y", "N")</f>
        <v>N</v>
      </c>
      <c r="AL75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5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5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57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57" s="3">
        <f>ABS(Table1[[#This Row],[Team Score]]-Table1[[#This Row],[Opp Team Score]])</f>
        <v>62</v>
      </c>
      <c r="AQ757" s="3">
        <f>SUM(Table1[[#This Row],[Team Score]], Table1[[#This Row],[Opp Team Score]])</f>
        <v>62</v>
      </c>
      <c r="AR75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57" s="3" t="str">
        <f>IF(Table1[[#This Row],[Efficiency Difference]] = " ", " ", ROUND((Table1[[#This Row],[Winning Margin]]*100)/Table1[[#This Row],[Efficiency Difference]], 2))</f>
        <v xml:space="preserve"> </v>
      </c>
    </row>
    <row r="758" spans="1:45">
      <c r="A758" t="s">
        <v>142</v>
      </c>
      <c r="B758">
        <v>128</v>
      </c>
      <c r="C758">
        <v>30</v>
      </c>
      <c r="D758">
        <v>187</v>
      </c>
      <c r="E758">
        <v>25</v>
      </c>
      <c r="F758">
        <v>0</v>
      </c>
      <c r="G758">
        <v>20</v>
      </c>
      <c r="H758">
        <v>0</v>
      </c>
      <c r="I758">
        <v>235</v>
      </c>
      <c r="J758">
        <v>45</v>
      </c>
      <c r="K758">
        <v>3</v>
      </c>
      <c r="L758">
        <v>0</v>
      </c>
      <c r="M758" t="s">
        <v>40</v>
      </c>
      <c r="N758">
        <v>67</v>
      </c>
      <c r="O758">
        <v>3</v>
      </c>
      <c r="P758">
        <v>84</v>
      </c>
      <c r="Q758">
        <v>24</v>
      </c>
      <c r="R758">
        <v>0</v>
      </c>
      <c r="S758">
        <v>11</v>
      </c>
      <c r="T758">
        <v>2</v>
      </c>
      <c r="U758">
        <v>57</v>
      </c>
      <c r="V758">
        <v>23</v>
      </c>
      <c r="W758">
        <v>0</v>
      </c>
      <c r="X758">
        <v>0</v>
      </c>
      <c r="Y758" t="s">
        <v>16</v>
      </c>
      <c r="Z758">
        <v>2</v>
      </c>
      <c r="AA758">
        <f>IF(AND(Table1[[#This Row],[Throw Out Pass Eff]]="N", Table1[[#This Row],[Against FCS Team]]="N"), ROUND(((5.45 * D758) + (150 * F758) + (100 * G758) - (300 * H758)) / E758, 2), " ")</f>
        <v>120.77</v>
      </c>
      <c r="AB758">
        <f>IF(AND(Table1[[#This Row],[Throw Out Pass Def Eff]]="N", Table1[[#This Row],[Against FCS Team]]="N"),200 - ROUND(((5.45 * P758) + (150 * R758) + (100 * S758) - (300 * T758)) / Q758, 2), " ")</f>
        <v>160.09</v>
      </c>
      <c r="AC758">
        <f>IF(AND(Table1[[#This Row],[Throw Out Rush Eff]]="N", Table1[[#This Row],[Against FCS Team]]="N"), ROUND(((23.2 * I758) + (150 * K758) - (300 * L758)) / J758, 2), " ")</f>
        <v>131.16</v>
      </c>
      <c r="AD758" s="3">
        <f>IF(AND(Table1[[#This Row],[Throw Out Rush Def Eff]]="N", Table1[[#This Row],[Against FCS Team]]="N"), 200 - ROUND(((23.2 * U758) + (150 * W758) - (300 * X758)) / V758, 2), " ")</f>
        <v>142.5</v>
      </c>
      <c r="AE758" s="3">
        <f>ROUND(Table1[[#This Row],[Opp Passing Attempts]]/(Table1[[#This Row],[Opp Passing Attempts]]+Table1[[#This Row],[Opp Rushing Attempts]]), 2)</f>
        <v>0.51</v>
      </c>
      <c r="AF758" s="3">
        <f>1-Table1[[#This Row],[Passing Weight]]</f>
        <v>0.49</v>
      </c>
      <c r="AG758" s="3" t="str">
        <f>IF(COUNTIF(A:A,Table1[[#This Row],[Opp Team Name]]) &gt; 0, "N", "Y")</f>
        <v>N</v>
      </c>
      <c r="AH758" s="3" t="str">
        <f>IF(Table1[[#This Row],[Passing Attempts]] &lt;15, "Y", "N")</f>
        <v>N</v>
      </c>
      <c r="AI758" s="3" t="str">
        <f>IF(Table1[[#This Row],[Rushing Attempts]] &lt; 15, "Y", "N")</f>
        <v>N</v>
      </c>
      <c r="AJ758" s="3" t="str">
        <f>IF(Table1[[#This Row],[Opp Passing Attempts]]&lt;15, "Y", "N")</f>
        <v>N</v>
      </c>
      <c r="AK758" s="3" t="str">
        <f>IF(Table1[[#This Row],[Opp Rushing Attempts]]&lt;15, "Y", "N")</f>
        <v>N</v>
      </c>
      <c r="AL75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106.57</v>
      </c>
      <c r="AM7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120.6</v>
      </c>
      <c r="AN7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122.84</v>
      </c>
      <c r="AO7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111.18</v>
      </c>
      <c r="AP758" s="3">
        <f>ABS(Table1[[#This Row],[Team Score]]-Table1[[#This Row],[Opp Team Score]])</f>
        <v>27</v>
      </c>
      <c r="AQ758" s="3">
        <f>SUM(Table1[[#This Row],[Team Score]], Table1[[#This Row],[Opp Team Score]])</f>
        <v>33</v>
      </c>
      <c r="AR75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154.52000000000004</v>
      </c>
      <c r="AS758" s="3">
        <f>IF(Table1[[#This Row],[Efficiency Difference]] = " ", " ", ROUND((Table1[[#This Row],[Winning Margin]]*100)/Table1[[#This Row],[Efficiency Difference]], 2))</f>
        <v>17.47</v>
      </c>
    </row>
    <row r="759" spans="1:45">
      <c r="A759" t="s">
        <v>142</v>
      </c>
      <c r="B759">
        <v>128</v>
      </c>
      <c r="C759">
        <v>10</v>
      </c>
      <c r="D759">
        <v>181</v>
      </c>
      <c r="E759">
        <v>27</v>
      </c>
      <c r="F759">
        <v>0</v>
      </c>
      <c r="G759">
        <v>17</v>
      </c>
      <c r="H759">
        <v>0</v>
      </c>
      <c r="I759">
        <v>119</v>
      </c>
      <c r="J759">
        <v>40</v>
      </c>
      <c r="K759">
        <v>1</v>
      </c>
      <c r="L759">
        <v>2</v>
      </c>
      <c r="M759" t="s">
        <v>66</v>
      </c>
      <c r="N759">
        <v>231</v>
      </c>
      <c r="O759">
        <v>17</v>
      </c>
      <c r="P759">
        <v>127</v>
      </c>
      <c r="Q759">
        <v>29</v>
      </c>
      <c r="R759">
        <v>0</v>
      </c>
      <c r="S759">
        <v>15</v>
      </c>
      <c r="T759">
        <v>0</v>
      </c>
      <c r="U759">
        <v>111</v>
      </c>
      <c r="V759">
        <v>30</v>
      </c>
      <c r="W759">
        <v>1</v>
      </c>
      <c r="X759">
        <v>0</v>
      </c>
      <c r="Y759" t="s">
        <v>19</v>
      </c>
      <c r="Z759">
        <v>3</v>
      </c>
      <c r="AA759">
        <f>IF(AND(Table1[[#This Row],[Throw Out Pass Eff]]="N", Table1[[#This Row],[Against FCS Team]]="N"), ROUND(((5.45 * D759) + (150 * F759) + (100 * G759) - (300 * H759)) / E759, 2), " ")</f>
        <v>99.5</v>
      </c>
      <c r="AB759">
        <f>IF(AND(Table1[[#This Row],[Throw Out Pass Def Eff]]="N", Table1[[#This Row],[Against FCS Team]]="N"),200 - ROUND(((5.45 * P759) + (150 * R759) + (100 * S759) - (300 * T759)) / Q759, 2), " ")</f>
        <v>124.41</v>
      </c>
      <c r="AC759">
        <f>IF(AND(Table1[[#This Row],[Throw Out Rush Eff]]="N", Table1[[#This Row],[Against FCS Team]]="N"), ROUND(((23.2 * I759) + (150 * K759) - (300 * L759)) / J759, 2), " ")</f>
        <v>57.77</v>
      </c>
      <c r="AD759" s="3">
        <f>IF(AND(Table1[[#This Row],[Throw Out Rush Def Eff]]="N", Table1[[#This Row],[Against FCS Team]]="N"), 200 - ROUND(((23.2 * U759) + (150 * W759) - (300 * X759)) / V759, 2), " ")</f>
        <v>109.16</v>
      </c>
      <c r="AE759" s="3">
        <f>ROUND(Table1[[#This Row],[Opp Passing Attempts]]/(Table1[[#This Row],[Opp Passing Attempts]]+Table1[[#This Row],[Opp Rushing Attempts]]), 2)</f>
        <v>0.49</v>
      </c>
      <c r="AF759" s="3">
        <f>1-Table1[[#This Row],[Passing Weight]]</f>
        <v>0.51</v>
      </c>
      <c r="AG759" s="3" t="str">
        <f>IF(COUNTIF(A:A,Table1[[#This Row],[Opp Team Name]]) &gt; 0, "N", "Y")</f>
        <v>N</v>
      </c>
      <c r="AH759" s="3" t="str">
        <f>IF(Table1[[#This Row],[Passing Attempts]] &lt;15, "Y", "N")</f>
        <v>N</v>
      </c>
      <c r="AI759" s="3" t="str">
        <f>IF(Table1[[#This Row],[Rushing Attempts]] &lt; 15, "Y", "N")</f>
        <v>N</v>
      </c>
      <c r="AJ759" s="3" t="str">
        <f>IF(Table1[[#This Row],[Opp Passing Attempts]]&lt;15, "Y", "N")</f>
        <v>N</v>
      </c>
      <c r="AK759" s="3" t="str">
        <f>IF(Table1[[#This Row],[Opp Rushing Attempts]]&lt;15, "Y", "N")</f>
        <v>N</v>
      </c>
      <c r="AL7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102.38</v>
      </c>
      <c r="AM7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134.29</v>
      </c>
      <c r="AN7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69.209999999999994</v>
      </c>
      <c r="AO7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94.71</v>
      </c>
      <c r="AP759" s="3">
        <f>ABS(Table1[[#This Row],[Team Score]]-Table1[[#This Row],[Opp Team Score]])</f>
        <v>7</v>
      </c>
      <c r="AQ759" s="3">
        <f>SUM(Table1[[#This Row],[Team Score]], Table1[[#This Row],[Opp Team Score]])</f>
        <v>27</v>
      </c>
      <c r="AR7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9.1599999999999966</v>
      </c>
      <c r="AS759" s="3">
        <f>IF(Table1[[#This Row],[Efficiency Difference]] = " ", " ", ROUND((Table1[[#This Row],[Winning Margin]]*100)/Table1[[#This Row],[Efficiency Difference]], 2))</f>
        <v>76.42</v>
      </c>
    </row>
    <row r="760" spans="1:45">
      <c r="A760" t="s">
        <v>142</v>
      </c>
      <c r="B760">
        <v>128</v>
      </c>
      <c r="C760">
        <v>17</v>
      </c>
      <c r="D760">
        <v>318</v>
      </c>
      <c r="E760">
        <v>31</v>
      </c>
      <c r="F760">
        <v>0</v>
      </c>
      <c r="G760">
        <v>21</v>
      </c>
      <c r="H760">
        <v>1</v>
      </c>
      <c r="I760">
        <v>81</v>
      </c>
      <c r="J760">
        <v>34</v>
      </c>
      <c r="K760">
        <v>2</v>
      </c>
      <c r="L760">
        <v>2</v>
      </c>
      <c r="M760" t="s">
        <v>46</v>
      </c>
      <c r="N760">
        <v>77</v>
      </c>
      <c r="O760">
        <v>24</v>
      </c>
      <c r="P760">
        <v>133</v>
      </c>
      <c r="Q760">
        <v>35</v>
      </c>
      <c r="R760">
        <v>0</v>
      </c>
      <c r="S760">
        <v>16</v>
      </c>
      <c r="T760">
        <v>1</v>
      </c>
      <c r="U760">
        <v>127</v>
      </c>
      <c r="V760">
        <v>32</v>
      </c>
      <c r="W760">
        <v>2</v>
      </c>
      <c r="X760">
        <v>0</v>
      </c>
      <c r="Y760" t="s">
        <v>19</v>
      </c>
      <c r="Z760">
        <v>4</v>
      </c>
      <c r="AA760">
        <f>IF(AND(Table1[[#This Row],[Throw Out Pass Eff]]="N", Table1[[#This Row],[Against FCS Team]]="N"), ROUND(((5.45 * D760) + (150 * F760) + (100 * G760) - (300 * H760)) / E760, 2), " ")</f>
        <v>113.97</v>
      </c>
      <c r="AB760">
        <f>IF(AND(Table1[[#This Row],[Throw Out Pass Def Eff]]="N", Table1[[#This Row],[Against FCS Team]]="N"),200 - ROUND(((5.45 * P760) + (150 * R760) + (100 * S760) - (300 * T760)) / Q760, 2), " ")</f>
        <v>142.15</v>
      </c>
      <c r="AC760">
        <f>IF(AND(Table1[[#This Row],[Throw Out Rush Eff]]="N", Table1[[#This Row],[Against FCS Team]]="N"), ROUND(((23.2 * I760) + (150 * K760) - (300 * L760)) / J760, 2), " ")</f>
        <v>46.45</v>
      </c>
      <c r="AD760" s="3">
        <f>IF(AND(Table1[[#This Row],[Throw Out Rush Def Eff]]="N", Table1[[#This Row],[Against FCS Team]]="N"), 200 - ROUND(((23.2 * U760) + (150 * W760) - (300 * X760)) / V760, 2), " ")</f>
        <v>98.55</v>
      </c>
      <c r="AE760" s="3">
        <f>ROUND(Table1[[#This Row],[Opp Passing Attempts]]/(Table1[[#This Row],[Opp Passing Attempts]]+Table1[[#This Row],[Opp Rushing Attempts]]), 2)</f>
        <v>0.52</v>
      </c>
      <c r="AF760" s="3">
        <f>1-Table1[[#This Row],[Passing Weight]]</f>
        <v>0.48</v>
      </c>
      <c r="AG760" s="3" t="str">
        <f>IF(COUNTIF(A:A,Table1[[#This Row],[Opp Team Name]]) &gt; 0, "N", "Y")</f>
        <v>N</v>
      </c>
      <c r="AH760" s="3" t="str">
        <f>IF(Table1[[#This Row],[Passing Attempts]] &lt;15, "Y", "N")</f>
        <v>N</v>
      </c>
      <c r="AI760" s="3" t="str">
        <f>IF(Table1[[#This Row],[Rushing Attempts]] &lt; 15, "Y", "N")</f>
        <v>N</v>
      </c>
      <c r="AJ760" s="3" t="str">
        <f>IF(Table1[[#This Row],[Opp Passing Attempts]]&lt;15, "Y", "N")</f>
        <v>N</v>
      </c>
      <c r="AK760" s="3" t="str">
        <f>IF(Table1[[#This Row],[Opp Rushing Attempts]]&lt;15, "Y", "N")</f>
        <v>N</v>
      </c>
      <c r="AL7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126.19</v>
      </c>
      <c r="AM7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123.91</v>
      </c>
      <c r="AN7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51.62</v>
      </c>
      <c r="AO7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68.69</v>
      </c>
      <c r="AP760" s="3">
        <f>ABS(Table1[[#This Row],[Team Score]]-Table1[[#This Row],[Opp Team Score]])</f>
        <v>7</v>
      </c>
      <c r="AQ760" s="3">
        <f>SUM(Table1[[#This Row],[Team Score]], Table1[[#This Row],[Opp Team Score]])</f>
        <v>41</v>
      </c>
      <c r="AR7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1.1200000000000045</v>
      </c>
      <c r="AS760" s="3">
        <f>IF(Table1[[#This Row],[Efficiency Difference]] = " ", " ", ROUND((Table1[[#This Row],[Winning Margin]]*100)/Table1[[#This Row],[Efficiency Difference]], 2))</f>
        <v>625</v>
      </c>
    </row>
    <row r="761" spans="1:45">
      <c r="A761" t="s">
        <v>142</v>
      </c>
      <c r="B761">
        <v>128</v>
      </c>
      <c r="C761">
        <v>16</v>
      </c>
      <c r="D761">
        <v>147</v>
      </c>
      <c r="E761">
        <v>22</v>
      </c>
      <c r="F761">
        <v>1</v>
      </c>
      <c r="G761">
        <v>13</v>
      </c>
      <c r="H761">
        <v>1</v>
      </c>
      <c r="I761">
        <v>240</v>
      </c>
      <c r="J761">
        <v>51</v>
      </c>
      <c r="K761">
        <v>1</v>
      </c>
      <c r="L761">
        <v>2</v>
      </c>
      <c r="M761" t="s">
        <v>176</v>
      </c>
      <c r="N761">
        <v>388</v>
      </c>
      <c r="O761">
        <v>6</v>
      </c>
      <c r="P761">
        <v>87</v>
      </c>
      <c r="Q761">
        <v>29</v>
      </c>
      <c r="R761">
        <v>0</v>
      </c>
      <c r="S761">
        <v>11</v>
      </c>
      <c r="T761">
        <v>0</v>
      </c>
      <c r="U761">
        <v>43</v>
      </c>
      <c r="V761">
        <v>21</v>
      </c>
      <c r="W761">
        <v>0</v>
      </c>
      <c r="X761">
        <v>1</v>
      </c>
      <c r="Y761" t="s">
        <v>16</v>
      </c>
      <c r="Z761">
        <v>6</v>
      </c>
      <c r="AA761">
        <f>IF(AND(Table1[[#This Row],[Throw Out Pass Eff]]="N", Table1[[#This Row],[Against FCS Team]]="N"), ROUND(((5.45 * D761) + (150 * F761) + (100 * G761) - (300 * H761)) / E761, 2), " ")</f>
        <v>88.69</v>
      </c>
      <c r="AB761">
        <f>IF(AND(Table1[[#This Row],[Throw Out Pass Def Eff]]="N", Table1[[#This Row],[Against FCS Team]]="N"),200 - ROUND(((5.45 * P761) + (150 * R761) + (100 * S761) - (300 * T761)) / Q761, 2), " ")</f>
        <v>145.72</v>
      </c>
      <c r="AC761">
        <f>IF(AND(Table1[[#This Row],[Throw Out Rush Eff]]="N", Table1[[#This Row],[Against FCS Team]]="N"), ROUND(((23.2 * I761) + (150 * K761) - (300 * L761)) / J761, 2), " ")</f>
        <v>100.35</v>
      </c>
      <c r="AD761" s="3">
        <f>IF(AND(Table1[[#This Row],[Throw Out Rush Def Eff]]="N", Table1[[#This Row],[Against FCS Team]]="N"), 200 - ROUND(((23.2 * U761) + (150 * W761) - (300 * X761)) / V761, 2), " ")</f>
        <v>166.78</v>
      </c>
      <c r="AE761" s="3">
        <f>ROUND(Table1[[#This Row],[Opp Passing Attempts]]/(Table1[[#This Row],[Opp Passing Attempts]]+Table1[[#This Row],[Opp Rushing Attempts]]), 2)</f>
        <v>0.57999999999999996</v>
      </c>
      <c r="AF761" s="3">
        <f>1-Table1[[#This Row],[Passing Weight]]</f>
        <v>0.42000000000000004</v>
      </c>
      <c r="AG761" s="3" t="str">
        <f>IF(COUNTIF(A:A,Table1[[#This Row],[Opp Team Name]]) &gt; 0, "N", "Y")</f>
        <v>N</v>
      </c>
      <c r="AH761" s="3" t="str">
        <f>IF(Table1[[#This Row],[Passing Attempts]] &lt;15, "Y", "N")</f>
        <v>N</v>
      </c>
      <c r="AI761" s="3" t="str">
        <f>IF(Table1[[#This Row],[Rushing Attempts]] &lt; 15, "Y", "N")</f>
        <v>N</v>
      </c>
      <c r="AJ761" s="3" t="str">
        <f>IF(Table1[[#This Row],[Opp Passing Attempts]]&lt;15, "Y", "N")</f>
        <v>N</v>
      </c>
      <c r="AK761" s="3" t="str">
        <f>IF(Table1[[#This Row],[Opp Rushing Attempts]]&lt;15, "Y", "N")</f>
        <v>N</v>
      </c>
      <c r="AL7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78.040000000000006</v>
      </c>
      <c r="AM7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120.35</v>
      </c>
      <c r="AN7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108.42</v>
      </c>
      <c r="AO7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115.02</v>
      </c>
      <c r="AP761" s="3">
        <f>ABS(Table1[[#This Row],[Team Score]]-Table1[[#This Row],[Opp Team Score]])</f>
        <v>10</v>
      </c>
      <c r="AQ761" s="3">
        <f>SUM(Table1[[#This Row],[Team Score]], Table1[[#This Row],[Opp Team Score]])</f>
        <v>22</v>
      </c>
      <c r="AR7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101.53999999999999</v>
      </c>
      <c r="AS761" s="3">
        <f>IF(Table1[[#This Row],[Efficiency Difference]] = " ", " ", ROUND((Table1[[#This Row],[Winning Margin]]*100)/Table1[[#This Row],[Efficiency Difference]], 2))</f>
        <v>9.85</v>
      </c>
    </row>
    <row r="762" spans="1:45">
      <c r="A762" t="s">
        <v>142</v>
      </c>
      <c r="B762">
        <v>128</v>
      </c>
      <c r="C762">
        <v>17</v>
      </c>
      <c r="D762">
        <v>349</v>
      </c>
      <c r="E762">
        <v>44</v>
      </c>
      <c r="F762">
        <v>2</v>
      </c>
      <c r="G762">
        <v>32</v>
      </c>
      <c r="H762">
        <v>0</v>
      </c>
      <c r="I762">
        <v>110</v>
      </c>
      <c r="J762">
        <v>36</v>
      </c>
      <c r="K762">
        <v>0</v>
      </c>
      <c r="L762">
        <v>0</v>
      </c>
      <c r="M762" t="s">
        <v>186</v>
      </c>
      <c r="N762">
        <v>663</v>
      </c>
      <c r="O762">
        <v>38</v>
      </c>
      <c r="P762">
        <v>358</v>
      </c>
      <c r="Q762">
        <v>31</v>
      </c>
      <c r="R762">
        <v>2</v>
      </c>
      <c r="S762">
        <v>20</v>
      </c>
      <c r="T762">
        <v>1</v>
      </c>
      <c r="U762">
        <v>82</v>
      </c>
      <c r="V762">
        <v>16</v>
      </c>
      <c r="W762">
        <v>2</v>
      </c>
      <c r="X762">
        <v>0</v>
      </c>
      <c r="Y762" t="s">
        <v>19</v>
      </c>
      <c r="Z762">
        <v>7</v>
      </c>
      <c r="AA762">
        <f>IF(AND(Table1[[#This Row],[Throw Out Pass Eff]]="N", Table1[[#This Row],[Against FCS Team]]="N"), ROUND(((5.45 * D762) + (150 * F762) + (100 * G762) - (300 * H762)) / E762, 2), " ")</f>
        <v>122.77</v>
      </c>
      <c r="AB762">
        <f>IF(AND(Table1[[#This Row],[Throw Out Pass Def Eff]]="N", Table1[[#This Row],[Against FCS Team]]="N"),200 - ROUND(((5.45 * P762) + (150 * R762) + (100 * S762) - (300 * T762)) / Q762, 2), " ")</f>
        <v>72.55</v>
      </c>
      <c r="AC762">
        <f>IF(AND(Table1[[#This Row],[Throw Out Rush Eff]]="N", Table1[[#This Row],[Against FCS Team]]="N"), ROUND(((23.2 * I762) + (150 * K762) - (300 * L762)) / J762, 2), " ")</f>
        <v>70.89</v>
      </c>
      <c r="AD762" s="3">
        <f>IF(AND(Table1[[#This Row],[Throw Out Rush Def Eff]]="N", Table1[[#This Row],[Against FCS Team]]="N"), 200 - ROUND(((23.2 * U762) + (150 * W762) - (300 * X762)) / V762, 2), " ")</f>
        <v>62.349999999999994</v>
      </c>
      <c r="AE762" s="3">
        <f>ROUND(Table1[[#This Row],[Opp Passing Attempts]]/(Table1[[#This Row],[Opp Passing Attempts]]+Table1[[#This Row],[Opp Rushing Attempts]]), 2)</f>
        <v>0.66</v>
      </c>
      <c r="AF762" s="3">
        <f>1-Table1[[#This Row],[Passing Weight]]</f>
        <v>0.33999999999999997</v>
      </c>
      <c r="AG762" s="3" t="str">
        <f>IF(COUNTIF(A:A,Table1[[#This Row],[Opp Team Name]]) &gt; 0, "N", "Y")</f>
        <v>N</v>
      </c>
      <c r="AH762" s="3" t="str">
        <f>IF(Table1[[#This Row],[Passing Attempts]] &lt;15, "Y", "N")</f>
        <v>N</v>
      </c>
      <c r="AI762" s="3" t="str">
        <f>IF(Table1[[#This Row],[Rushing Attempts]] &lt; 15, "Y", "N")</f>
        <v>N</v>
      </c>
      <c r="AJ762" s="3" t="str">
        <f>IF(Table1[[#This Row],[Opp Passing Attempts]]&lt;15, "Y", "N")</f>
        <v>N</v>
      </c>
      <c r="AK762" s="3" t="str">
        <f>IF(Table1[[#This Row],[Opp Rushing Attempts]]&lt;15, "Y", "N")</f>
        <v>N</v>
      </c>
      <c r="AL76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112.67</v>
      </c>
      <c r="AM76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69.87</v>
      </c>
      <c r="AN76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92.13</v>
      </c>
      <c r="AO76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71.680000000000007</v>
      </c>
      <c r="AP762" s="3">
        <f>ABS(Table1[[#This Row],[Team Score]]-Table1[[#This Row],[Opp Team Score]])</f>
        <v>21</v>
      </c>
      <c r="AQ762" s="3">
        <f>SUM(Table1[[#This Row],[Team Score]], Table1[[#This Row],[Opp Team Score]])</f>
        <v>55</v>
      </c>
      <c r="AR76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71.440000000000026</v>
      </c>
      <c r="AS762" s="3">
        <f>IF(Table1[[#This Row],[Efficiency Difference]] = " ", " ", ROUND((Table1[[#This Row],[Winning Margin]]*100)/Table1[[#This Row],[Efficiency Difference]], 2))</f>
        <v>29.4</v>
      </c>
    </row>
    <row r="763" spans="1:45">
      <c r="A763" t="s">
        <v>142</v>
      </c>
      <c r="B763">
        <v>128</v>
      </c>
      <c r="C763">
        <v>24</v>
      </c>
      <c r="D763">
        <v>235</v>
      </c>
      <c r="E763">
        <v>32</v>
      </c>
      <c r="F763">
        <v>0</v>
      </c>
      <c r="G763">
        <v>19</v>
      </c>
      <c r="H763">
        <v>2</v>
      </c>
      <c r="I763">
        <v>96</v>
      </c>
      <c r="J763">
        <v>24</v>
      </c>
      <c r="K763">
        <v>3</v>
      </c>
      <c r="L763">
        <v>0</v>
      </c>
      <c r="M763" t="s">
        <v>170</v>
      </c>
      <c r="N763">
        <v>9</v>
      </c>
      <c r="O763">
        <v>26</v>
      </c>
      <c r="P763">
        <v>327</v>
      </c>
      <c r="Q763">
        <v>42</v>
      </c>
      <c r="R763">
        <v>2</v>
      </c>
      <c r="S763">
        <v>31</v>
      </c>
      <c r="T763">
        <v>2</v>
      </c>
      <c r="U763">
        <v>174</v>
      </c>
      <c r="V763">
        <v>36</v>
      </c>
      <c r="W763">
        <v>1</v>
      </c>
      <c r="X763">
        <v>0</v>
      </c>
      <c r="Y763" t="s">
        <v>19</v>
      </c>
      <c r="Z763">
        <v>8</v>
      </c>
      <c r="AA763" s="3">
        <f>IF(AND(Table1[[#This Row],[Throw Out Pass Eff]]="N", Table1[[#This Row],[Against FCS Team]]="N"), ROUND(((5.45 * D763) + (150 * F763) + (100 * G763) - (300 * H763)) / E763, 2), " ")</f>
        <v>80.650000000000006</v>
      </c>
      <c r="AB763" s="3">
        <f>IF(AND(Table1[[#This Row],[Throw Out Pass Def Eff]]="N", Table1[[#This Row],[Against FCS Team]]="N"),200 - ROUND(((5.45 * P763) + (150 * R763) + (100 * S763) - (300 * T763)) / Q763, 2), " ")</f>
        <v>90.9</v>
      </c>
      <c r="AC763" s="3">
        <f>IF(AND(Table1[[#This Row],[Throw Out Rush Eff]]="N", Table1[[#This Row],[Against FCS Team]]="N"), ROUND(((23.2 * I763) + (150 * K763) - (300 * L763)) / J763, 2), " ")</f>
        <v>111.55</v>
      </c>
      <c r="AD763" s="3">
        <f>IF(AND(Table1[[#This Row],[Throw Out Rush Def Eff]]="N", Table1[[#This Row],[Against FCS Team]]="N"), 200 - ROUND(((23.2 * U763) + (150 * W763) - (300 * X763)) / V763, 2), " ")</f>
        <v>83.7</v>
      </c>
      <c r="AE763" s="3">
        <f>ROUND(Table1[[#This Row],[Opp Passing Attempts]]/(Table1[[#This Row],[Opp Passing Attempts]]+Table1[[#This Row],[Opp Rushing Attempts]]), 2)</f>
        <v>0.54</v>
      </c>
      <c r="AF763" s="3">
        <f>1-Table1[[#This Row],[Passing Weight]]</f>
        <v>0.45999999999999996</v>
      </c>
      <c r="AG763" s="3" t="str">
        <f>IF(COUNTIF(A:A,Table1[[#This Row],[Opp Team Name]]) &gt; 0, "N", "Y")</f>
        <v>N</v>
      </c>
      <c r="AH763" s="3" t="str">
        <f>IF(Table1[[#This Row],[Passing Attempts]] &lt;15, "Y", "N")</f>
        <v>N</v>
      </c>
      <c r="AI763" s="3" t="str">
        <f>IF(Table1[[#This Row],[Rushing Attempts]] &lt; 15, "Y", "N")</f>
        <v>N</v>
      </c>
      <c r="AJ763" s="3" t="str">
        <f>IF(Table1[[#This Row],[Opp Passing Attempts]]&lt;15, "Y", "N")</f>
        <v>N</v>
      </c>
      <c r="AK763" s="3" t="str">
        <f>IF(Table1[[#This Row],[Opp Rushing Attempts]]&lt;15, "Y", "N")</f>
        <v>N</v>
      </c>
      <c r="AL7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65.05</v>
      </c>
      <c r="AM76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68.44</v>
      </c>
      <c r="AN7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97.31</v>
      </c>
      <c r="AO76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68.12</v>
      </c>
      <c r="AP763" s="3">
        <f>ABS(Table1[[#This Row],[Team Score]]-Table1[[#This Row],[Opp Team Score]])</f>
        <v>2</v>
      </c>
      <c r="AQ763" s="3">
        <f>SUM(Table1[[#This Row],[Team Score]], Table1[[#This Row],[Opp Team Score]])</f>
        <v>50</v>
      </c>
      <c r="AR76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33.199999999999989</v>
      </c>
      <c r="AS763" s="3">
        <f>IF(Table1[[#This Row],[Efficiency Difference]] = " ", " ", ROUND((Table1[[#This Row],[Winning Margin]]*100)/Table1[[#This Row],[Efficiency Difference]], 2))</f>
        <v>6.02</v>
      </c>
    </row>
    <row r="764" spans="1:45">
      <c r="A764" t="s">
        <v>75</v>
      </c>
      <c r="B764">
        <v>110</v>
      </c>
      <c r="C764">
        <v>34</v>
      </c>
      <c r="D764">
        <v>322</v>
      </c>
      <c r="E764">
        <v>29</v>
      </c>
      <c r="F764">
        <v>2</v>
      </c>
      <c r="G764">
        <v>20</v>
      </c>
      <c r="H764">
        <v>0</v>
      </c>
      <c r="I764">
        <v>232</v>
      </c>
      <c r="J764">
        <v>42</v>
      </c>
      <c r="K764">
        <v>3</v>
      </c>
      <c r="L764">
        <v>1</v>
      </c>
      <c r="M764" t="s">
        <v>74</v>
      </c>
      <c r="N764">
        <v>288</v>
      </c>
      <c r="O764">
        <v>38</v>
      </c>
      <c r="P764">
        <v>310</v>
      </c>
      <c r="Q764">
        <v>40</v>
      </c>
      <c r="R764">
        <v>2</v>
      </c>
      <c r="S764">
        <v>30</v>
      </c>
      <c r="T764">
        <v>0</v>
      </c>
      <c r="U764">
        <v>159</v>
      </c>
      <c r="V764">
        <v>31</v>
      </c>
      <c r="W764">
        <v>3</v>
      </c>
      <c r="X764">
        <v>1</v>
      </c>
      <c r="Y764" t="s">
        <v>19</v>
      </c>
      <c r="Z764">
        <v>1</v>
      </c>
      <c r="AA764">
        <f>IF(AND(Table1[[#This Row],[Throw Out Pass Eff]]="N", Table1[[#This Row],[Against FCS Team]]="N"), ROUND(((5.45 * D764) + (150 * F764) + (100 * G764) - (300 * H764)) / E764, 2), " ")</f>
        <v>139.82</v>
      </c>
      <c r="AB764">
        <f>IF(AND(Table1[[#This Row],[Throw Out Pass Def Eff]]="N", Table1[[#This Row],[Against FCS Team]]="N"),200 - ROUND(((5.45 * P764) + (150 * R764) + (100 * S764) - (300 * T764)) / Q764, 2), " ")</f>
        <v>75.260000000000005</v>
      </c>
      <c r="AC764">
        <f>IF(AND(Table1[[#This Row],[Throw Out Rush Eff]]="N", Table1[[#This Row],[Against FCS Team]]="N"), ROUND(((23.2 * I764) + (150 * K764) - (300 * L764)) / J764, 2), " ")</f>
        <v>131.72</v>
      </c>
      <c r="AD764" s="3">
        <f>IF(AND(Table1[[#This Row],[Throw Out Rush Def Eff]]="N", Table1[[#This Row],[Against FCS Team]]="N"), 200 - ROUND(((23.2 * U764) + (150 * W764) - (300 * X764)) / V764, 2), " ")</f>
        <v>76.17</v>
      </c>
      <c r="AE764" s="3">
        <f>ROUND(Table1[[#This Row],[Opp Passing Attempts]]/(Table1[[#This Row],[Opp Passing Attempts]]+Table1[[#This Row],[Opp Rushing Attempts]]), 2)</f>
        <v>0.56000000000000005</v>
      </c>
      <c r="AF764" s="3">
        <f>1-Table1[[#This Row],[Passing Weight]]</f>
        <v>0.43999999999999995</v>
      </c>
      <c r="AG764" s="3" t="str">
        <f>IF(COUNTIF(A:A,Table1[[#This Row],[Opp Team Name]]) &gt; 0, "N", "Y")</f>
        <v>N</v>
      </c>
      <c r="AH764" s="3" t="str">
        <f>IF(Table1[[#This Row],[Passing Attempts]] &lt;15, "Y", "N")</f>
        <v>N</v>
      </c>
      <c r="AI764" s="3" t="str">
        <f>IF(Table1[[#This Row],[Rushing Attempts]] &lt; 15, "Y", "N")</f>
        <v>N</v>
      </c>
      <c r="AJ764" s="3" t="str">
        <f>IF(Table1[[#This Row],[Opp Passing Attempts]]&lt;15, "Y", "N")</f>
        <v>N</v>
      </c>
      <c r="AK764" s="3" t="str">
        <f>IF(Table1[[#This Row],[Opp Rushing Attempts]]&lt;15, "Y", "N")</f>
        <v>N</v>
      </c>
      <c r="AL7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137.21</v>
      </c>
      <c r="AM7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98.69</v>
      </c>
      <c r="AN76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140.22</v>
      </c>
      <c r="AO7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101.52</v>
      </c>
      <c r="AP764" s="3">
        <f>ABS(Table1[[#This Row],[Team Score]]-Table1[[#This Row],[Opp Team Score]])</f>
        <v>4</v>
      </c>
      <c r="AQ764" s="3">
        <f>SUM(Table1[[#This Row],[Team Score]], Table1[[#This Row],[Opp Team Score]])</f>
        <v>72</v>
      </c>
      <c r="AR76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22.96999999999997</v>
      </c>
      <c r="AS764" s="3">
        <f>IF(Table1[[#This Row],[Efficiency Difference]] = " ", " ", ROUND((Table1[[#This Row],[Winning Margin]]*100)/Table1[[#This Row],[Efficiency Difference]], 2))</f>
        <v>17.41</v>
      </c>
    </row>
    <row r="765" spans="1:45">
      <c r="A765" t="s">
        <v>75</v>
      </c>
      <c r="B765">
        <v>110</v>
      </c>
      <c r="C765">
        <v>27</v>
      </c>
      <c r="D765">
        <v>145</v>
      </c>
      <c r="E765">
        <v>23</v>
      </c>
      <c r="F765">
        <v>1</v>
      </c>
      <c r="G765">
        <v>12</v>
      </c>
      <c r="H765">
        <v>0</v>
      </c>
      <c r="I765">
        <v>272</v>
      </c>
      <c r="J765">
        <v>42</v>
      </c>
      <c r="K765">
        <v>2</v>
      </c>
      <c r="L765">
        <v>2</v>
      </c>
      <c r="M765" t="s">
        <v>128</v>
      </c>
      <c r="N765">
        <v>630</v>
      </c>
      <c r="O765">
        <v>17</v>
      </c>
      <c r="P765">
        <v>115</v>
      </c>
      <c r="Q765">
        <v>34</v>
      </c>
      <c r="R765">
        <v>0</v>
      </c>
      <c r="S765">
        <v>16</v>
      </c>
      <c r="T765">
        <v>2</v>
      </c>
      <c r="U765">
        <v>202</v>
      </c>
      <c r="V765">
        <v>29</v>
      </c>
      <c r="W765">
        <v>2</v>
      </c>
      <c r="X765">
        <v>0</v>
      </c>
      <c r="Y765" t="s">
        <v>16</v>
      </c>
      <c r="Z765">
        <v>2</v>
      </c>
      <c r="AA765">
        <f>IF(AND(Table1[[#This Row],[Throw Out Pass Eff]]="N", Table1[[#This Row],[Against FCS Team]]="N"), ROUND(((5.45 * D765) + (150 * F765) + (100 * G765) - (300 * H765)) / E765, 2), " ")</f>
        <v>93.05</v>
      </c>
      <c r="AB765">
        <f>IF(AND(Table1[[#This Row],[Throw Out Pass Def Eff]]="N", Table1[[#This Row],[Against FCS Team]]="N"),200 - ROUND(((5.45 * P765) + (150 * R765) + (100 * S765) - (300 * T765)) / Q765, 2), " ")</f>
        <v>152.15</v>
      </c>
      <c r="AC765">
        <f>IF(AND(Table1[[#This Row],[Throw Out Rush Eff]]="N", Table1[[#This Row],[Against FCS Team]]="N"), ROUND(((23.2 * I765) + (150 * K765) - (300 * L765)) / J765, 2), " ")</f>
        <v>143.1</v>
      </c>
      <c r="AD765" s="3">
        <f>IF(AND(Table1[[#This Row],[Throw Out Rush Def Eff]]="N", Table1[[#This Row],[Against FCS Team]]="N"), 200 - ROUND(((23.2 * U765) + (150 * W765) - (300 * X765)) / V765, 2), " ")</f>
        <v>28.060000000000002</v>
      </c>
      <c r="AE765" s="3">
        <f>ROUND(Table1[[#This Row],[Opp Passing Attempts]]/(Table1[[#This Row],[Opp Passing Attempts]]+Table1[[#This Row],[Opp Rushing Attempts]]), 2)</f>
        <v>0.54</v>
      </c>
      <c r="AF765" s="3">
        <f>1-Table1[[#This Row],[Passing Weight]]</f>
        <v>0.45999999999999996</v>
      </c>
      <c r="AG765" s="3" t="str">
        <f>IF(COUNTIF(A:A,Table1[[#This Row],[Opp Team Name]]) &gt; 0, "N", "Y")</f>
        <v>N</v>
      </c>
      <c r="AH765" s="3" t="str">
        <f>IF(Table1[[#This Row],[Passing Attempts]] &lt;15, "Y", "N")</f>
        <v>N</v>
      </c>
      <c r="AI765" s="3" t="str">
        <f>IF(Table1[[#This Row],[Rushing Attempts]] &lt; 15, "Y", "N")</f>
        <v>N</v>
      </c>
      <c r="AJ765" s="3" t="str">
        <f>IF(Table1[[#This Row],[Opp Passing Attempts]]&lt;15, "Y", "N")</f>
        <v>N</v>
      </c>
      <c r="AK765" s="3" t="str">
        <f>IF(Table1[[#This Row],[Opp Rushing Attempts]]&lt;15, "Y", "N")</f>
        <v>N</v>
      </c>
      <c r="AL76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98.22</v>
      </c>
      <c r="AM7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129.38</v>
      </c>
      <c r="AN7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121.3</v>
      </c>
      <c r="AO7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22.85</v>
      </c>
      <c r="AP765" s="3">
        <f>ABS(Table1[[#This Row],[Team Score]]-Table1[[#This Row],[Opp Team Score]])</f>
        <v>10</v>
      </c>
      <c r="AQ765" s="3">
        <f>SUM(Table1[[#This Row],[Team Score]], Table1[[#This Row],[Opp Team Score]])</f>
        <v>44</v>
      </c>
      <c r="AR76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16.359999999999985</v>
      </c>
      <c r="AS765" s="3">
        <f>IF(Table1[[#This Row],[Efficiency Difference]] = " ", " ", ROUND((Table1[[#This Row],[Winning Margin]]*100)/Table1[[#This Row],[Efficiency Difference]], 2))</f>
        <v>61.12</v>
      </c>
    </row>
    <row r="766" spans="1:45">
      <c r="A766" t="s">
        <v>75</v>
      </c>
      <c r="B766">
        <v>110</v>
      </c>
      <c r="C766">
        <v>20</v>
      </c>
      <c r="D766">
        <v>176</v>
      </c>
      <c r="E766">
        <v>26</v>
      </c>
      <c r="F766">
        <v>0</v>
      </c>
      <c r="G766">
        <v>11</v>
      </c>
      <c r="H766">
        <v>3</v>
      </c>
      <c r="I766">
        <v>141</v>
      </c>
      <c r="J766">
        <v>34</v>
      </c>
      <c r="K766">
        <v>2</v>
      </c>
      <c r="L766">
        <v>1</v>
      </c>
      <c r="M766" t="s">
        <v>123</v>
      </c>
      <c r="N766">
        <v>703</v>
      </c>
      <c r="O766">
        <v>49</v>
      </c>
      <c r="P766">
        <v>204</v>
      </c>
      <c r="Q766">
        <v>20</v>
      </c>
      <c r="R766">
        <v>3</v>
      </c>
      <c r="S766">
        <v>16</v>
      </c>
      <c r="T766">
        <v>0</v>
      </c>
      <c r="U766">
        <v>284</v>
      </c>
      <c r="V766">
        <v>50</v>
      </c>
      <c r="W766">
        <v>4</v>
      </c>
      <c r="X766">
        <v>2</v>
      </c>
      <c r="Y766" t="s">
        <v>19</v>
      </c>
      <c r="Z766">
        <v>3</v>
      </c>
      <c r="AA766">
        <f>IF(AND(Table1[[#This Row],[Throw Out Pass Eff]]="N", Table1[[#This Row],[Against FCS Team]]="N"), ROUND(((5.45 * D766) + (150 * F766) + (100 * G766) - (300 * H766)) / E766, 2), " ")</f>
        <v>44.58</v>
      </c>
      <c r="AB766">
        <f>IF(AND(Table1[[#This Row],[Throw Out Pass Def Eff]]="N", Table1[[#This Row],[Against FCS Team]]="N"),200 - ROUND(((5.45 * P766) + (150 * R766) + (100 * S766) - (300 * T766)) / Q766, 2), " ")</f>
        <v>41.91</v>
      </c>
      <c r="AC766">
        <f>IF(AND(Table1[[#This Row],[Throw Out Rush Eff]]="N", Table1[[#This Row],[Against FCS Team]]="N"), ROUND(((23.2 * I766) + (150 * K766) - (300 * L766)) / J766, 2), " ")</f>
        <v>96.21</v>
      </c>
      <c r="AD766" s="3">
        <f>IF(AND(Table1[[#This Row],[Throw Out Rush Def Eff]]="N", Table1[[#This Row],[Against FCS Team]]="N"), 200 - ROUND(((23.2 * U766) + (150 * W766) - (300 * X766)) / V766, 2), " ")</f>
        <v>68.22</v>
      </c>
      <c r="AE766" s="3">
        <f>ROUND(Table1[[#This Row],[Opp Passing Attempts]]/(Table1[[#This Row],[Opp Passing Attempts]]+Table1[[#This Row],[Opp Rushing Attempts]]), 2)</f>
        <v>0.28999999999999998</v>
      </c>
      <c r="AF766" s="3">
        <f>1-Table1[[#This Row],[Passing Weight]]</f>
        <v>0.71</v>
      </c>
      <c r="AG766" s="3" t="str">
        <f>IF(COUNTIF(A:A,Table1[[#This Row],[Opp Team Name]]) &gt; 0, "N", "Y")</f>
        <v>N</v>
      </c>
      <c r="AH766" s="3" t="str">
        <f>IF(Table1[[#This Row],[Passing Attempts]] &lt;15, "Y", "N")</f>
        <v>N</v>
      </c>
      <c r="AI766" s="3" t="str">
        <f>IF(Table1[[#This Row],[Rushing Attempts]] &lt; 15, "Y", "N")</f>
        <v>N</v>
      </c>
      <c r="AJ766" s="3" t="str">
        <f>IF(Table1[[#This Row],[Opp Passing Attempts]]&lt;15, "Y", "N")</f>
        <v>N</v>
      </c>
      <c r="AK766" s="3" t="str">
        <f>IF(Table1[[#This Row],[Opp Rushing Attempts]]&lt;15, "Y", "N")</f>
        <v>N</v>
      </c>
      <c r="AL7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55.02</v>
      </c>
      <c r="AM7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42.52</v>
      </c>
      <c r="AN7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102.1</v>
      </c>
      <c r="AO7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60.8</v>
      </c>
      <c r="AP766" s="3">
        <f>ABS(Table1[[#This Row],[Team Score]]-Table1[[#This Row],[Opp Team Score]])</f>
        <v>29</v>
      </c>
      <c r="AQ766" s="3">
        <f>SUM(Table1[[#This Row],[Team Score]], Table1[[#This Row],[Opp Team Score]])</f>
        <v>69</v>
      </c>
      <c r="AR7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149.08000000000001</v>
      </c>
      <c r="AS766" s="3">
        <f>IF(Table1[[#This Row],[Efficiency Difference]] = " ", " ", ROUND((Table1[[#This Row],[Winning Margin]]*100)/Table1[[#This Row],[Efficiency Difference]], 2))</f>
        <v>19.45</v>
      </c>
    </row>
    <row r="767" spans="1:45">
      <c r="A767" t="s">
        <v>75</v>
      </c>
      <c r="B767">
        <v>110</v>
      </c>
      <c r="C767">
        <v>27</v>
      </c>
      <c r="D767">
        <v>146</v>
      </c>
      <c r="E767">
        <v>12</v>
      </c>
      <c r="F767">
        <v>1</v>
      </c>
      <c r="G767">
        <v>7</v>
      </c>
      <c r="H767">
        <v>0</v>
      </c>
      <c r="I767">
        <v>211</v>
      </c>
      <c r="J767">
        <v>49</v>
      </c>
      <c r="K767">
        <v>3</v>
      </c>
      <c r="L767">
        <v>0</v>
      </c>
      <c r="M767" t="s">
        <v>118</v>
      </c>
      <c r="N767">
        <v>528</v>
      </c>
      <c r="O767">
        <v>19</v>
      </c>
      <c r="P767">
        <v>287</v>
      </c>
      <c r="Q767">
        <v>40</v>
      </c>
      <c r="R767">
        <v>1</v>
      </c>
      <c r="S767">
        <v>24</v>
      </c>
      <c r="T767">
        <v>1</v>
      </c>
      <c r="U767">
        <v>88</v>
      </c>
      <c r="V767">
        <v>29</v>
      </c>
      <c r="W767">
        <v>0</v>
      </c>
      <c r="X767">
        <v>1</v>
      </c>
      <c r="Y767" t="s">
        <v>16</v>
      </c>
      <c r="Z767">
        <v>4</v>
      </c>
      <c r="AA767" t="str">
        <f>IF(AND(Table1[[#This Row],[Throw Out Pass Eff]]="N", Table1[[#This Row],[Against FCS Team]]="N"), ROUND(((5.45 * D767) + (150 * F767) + (100 * G767) - (300 * H767)) / E767, 2), " ")</f>
        <v xml:space="preserve"> </v>
      </c>
      <c r="AB767">
        <f>IF(AND(Table1[[#This Row],[Throw Out Pass Def Eff]]="N", Table1[[#This Row],[Against FCS Team]]="N"),200 - ROUND(((5.45 * P767) + (150 * R767) + (100 * S767) - (300 * T767)) / Q767, 2), " ")</f>
        <v>104.65</v>
      </c>
      <c r="AC767">
        <f>IF(AND(Table1[[#This Row],[Throw Out Rush Eff]]="N", Table1[[#This Row],[Against FCS Team]]="N"), ROUND(((23.2 * I767) + (150 * K767) - (300 * L767)) / J767, 2), " ")</f>
        <v>109.09</v>
      </c>
      <c r="AD767" s="3">
        <f>IF(AND(Table1[[#This Row],[Throw Out Rush Def Eff]]="N", Table1[[#This Row],[Against FCS Team]]="N"), 200 - ROUND(((23.2 * U767) + (150 * W767) - (300 * X767)) / V767, 2), " ")</f>
        <v>139.94</v>
      </c>
      <c r="AE767" s="3">
        <f>ROUND(Table1[[#This Row],[Opp Passing Attempts]]/(Table1[[#This Row],[Opp Passing Attempts]]+Table1[[#This Row],[Opp Rushing Attempts]]), 2)</f>
        <v>0.57999999999999996</v>
      </c>
      <c r="AF767" s="3">
        <f>1-Table1[[#This Row],[Passing Weight]]</f>
        <v>0.42000000000000004</v>
      </c>
      <c r="AG767" s="3" t="str">
        <f>IF(COUNTIF(A:A,Table1[[#This Row],[Opp Team Name]]) &gt; 0, "N", "Y")</f>
        <v>N</v>
      </c>
      <c r="AH767" s="3" t="str">
        <f>IF(Table1[[#This Row],[Passing Attempts]] &lt;15, "Y", "N")</f>
        <v>Y</v>
      </c>
      <c r="AI767" s="3" t="str">
        <f>IF(Table1[[#This Row],[Rushing Attempts]] &lt; 15, "Y", "N")</f>
        <v>N</v>
      </c>
      <c r="AJ767" s="3" t="str">
        <f>IF(Table1[[#This Row],[Opp Passing Attempts]]&lt;15, "Y", "N")</f>
        <v>N</v>
      </c>
      <c r="AK767" s="3" t="str">
        <f>IF(Table1[[#This Row],[Opp Rushing Attempts]]&lt;15, "Y", "N")</f>
        <v>N</v>
      </c>
      <c r="AL76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106.51</v>
      </c>
      <c r="AN7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119.4</v>
      </c>
      <c r="AO7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92.14</v>
      </c>
      <c r="AP767" s="3">
        <f>ABS(Table1[[#This Row],[Team Score]]-Table1[[#This Row],[Opp Team Score]])</f>
        <v>8</v>
      </c>
      <c r="AQ767" s="3">
        <f>SUM(Table1[[#This Row],[Team Score]], Table1[[#This Row],[Opp Team Score]])</f>
        <v>46</v>
      </c>
      <c r="AR76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67" s="3" t="str">
        <f>IF(Table1[[#This Row],[Efficiency Difference]] = " ", " ", ROUND((Table1[[#This Row],[Winning Margin]]*100)/Table1[[#This Row],[Efficiency Difference]], 2))</f>
        <v xml:space="preserve"> </v>
      </c>
    </row>
    <row r="768" spans="1:45">
      <c r="A768" t="s">
        <v>75</v>
      </c>
      <c r="B768">
        <v>110</v>
      </c>
      <c r="C768">
        <v>19</v>
      </c>
      <c r="D768">
        <v>202</v>
      </c>
      <c r="E768">
        <v>33</v>
      </c>
      <c r="F768">
        <v>2</v>
      </c>
      <c r="G768">
        <v>18</v>
      </c>
      <c r="H768">
        <v>0</v>
      </c>
      <c r="I768">
        <v>141</v>
      </c>
      <c r="J768">
        <v>29</v>
      </c>
      <c r="K768">
        <v>1</v>
      </c>
      <c r="L768">
        <v>2</v>
      </c>
      <c r="M768" t="s">
        <v>129</v>
      </c>
      <c r="N768">
        <v>674</v>
      </c>
      <c r="O768">
        <v>45</v>
      </c>
      <c r="P768">
        <v>240</v>
      </c>
      <c r="Q768">
        <v>28</v>
      </c>
      <c r="R768">
        <v>3</v>
      </c>
      <c r="S768">
        <v>24</v>
      </c>
      <c r="T768">
        <v>0</v>
      </c>
      <c r="U768">
        <v>202</v>
      </c>
      <c r="V768">
        <v>41</v>
      </c>
      <c r="W768">
        <v>3</v>
      </c>
      <c r="X768">
        <v>0</v>
      </c>
      <c r="Y768" t="s">
        <v>19</v>
      </c>
      <c r="Z768">
        <v>5</v>
      </c>
      <c r="AA768">
        <f>IF(AND(Table1[[#This Row],[Throw Out Pass Eff]]="N", Table1[[#This Row],[Against FCS Team]]="N"), ROUND(((5.45 * D768) + (150 * F768) + (100 * G768) - (300 * H768)) / E768, 2), " ")</f>
        <v>97</v>
      </c>
      <c r="AB768">
        <f>IF(AND(Table1[[#This Row],[Throw Out Pass Def Eff]]="N", Table1[[#This Row],[Against FCS Team]]="N"),200 - ROUND(((5.45 * P768) + (150 * R768) + (100 * S768) - (300 * T768)) / Q768, 2), " ")</f>
        <v>51.5</v>
      </c>
      <c r="AC768">
        <f>IF(AND(Table1[[#This Row],[Throw Out Rush Eff]]="N", Table1[[#This Row],[Against FCS Team]]="N"), ROUND(((23.2 * I768) + (150 * K768) - (300 * L768)) / J768, 2), " ")</f>
        <v>97.28</v>
      </c>
      <c r="AD768" s="3">
        <f>IF(AND(Table1[[#This Row],[Throw Out Rush Def Eff]]="N", Table1[[#This Row],[Against FCS Team]]="N"), 200 - ROUND(((23.2 * U768) + (150 * W768) - (300 * X768)) / V768, 2), " ")</f>
        <v>74.72</v>
      </c>
      <c r="AE768" s="3">
        <f>ROUND(Table1[[#This Row],[Opp Passing Attempts]]/(Table1[[#This Row],[Opp Passing Attempts]]+Table1[[#This Row],[Opp Rushing Attempts]]), 2)</f>
        <v>0.41</v>
      </c>
      <c r="AF768" s="3">
        <f>1-Table1[[#This Row],[Passing Weight]]</f>
        <v>0.59000000000000008</v>
      </c>
      <c r="AG768" s="3" t="str">
        <f>IF(COUNTIF(A:A,Table1[[#This Row],[Opp Team Name]]) &gt; 0, "N", "Y")</f>
        <v>N</v>
      </c>
      <c r="AH768" s="3" t="str">
        <f>IF(Table1[[#This Row],[Passing Attempts]] &lt;15, "Y", "N")</f>
        <v>N</v>
      </c>
      <c r="AI768" s="3" t="str">
        <f>IF(Table1[[#This Row],[Rushing Attempts]] &lt; 15, "Y", "N")</f>
        <v>N</v>
      </c>
      <c r="AJ768" s="3" t="str">
        <f>IF(Table1[[#This Row],[Opp Passing Attempts]]&lt;15, "Y", "N")</f>
        <v>N</v>
      </c>
      <c r="AK768" s="3" t="str">
        <f>IF(Table1[[#This Row],[Opp Rushing Attempts]]&lt;15, "Y", "N")</f>
        <v>N</v>
      </c>
      <c r="AL76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100.17</v>
      </c>
      <c r="AM76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68.73</v>
      </c>
      <c r="AN76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138.76</v>
      </c>
      <c r="AO76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107.59</v>
      </c>
      <c r="AP768" s="3">
        <f>ABS(Table1[[#This Row],[Team Score]]-Table1[[#This Row],[Opp Team Score]])</f>
        <v>26</v>
      </c>
      <c r="AQ768" s="3">
        <f>SUM(Table1[[#This Row],[Team Score]], Table1[[#This Row],[Opp Team Score]])</f>
        <v>64</v>
      </c>
      <c r="AR76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79.499999999999972</v>
      </c>
      <c r="AS768" s="3">
        <f>IF(Table1[[#This Row],[Efficiency Difference]] = " ", " ", ROUND((Table1[[#This Row],[Winning Margin]]*100)/Table1[[#This Row],[Efficiency Difference]], 2))</f>
        <v>32.700000000000003</v>
      </c>
    </row>
    <row r="769" spans="1:45">
      <c r="A769" t="s">
        <v>75</v>
      </c>
      <c r="B769">
        <v>110</v>
      </c>
      <c r="C769">
        <v>28</v>
      </c>
      <c r="D769">
        <v>201</v>
      </c>
      <c r="E769">
        <v>20</v>
      </c>
      <c r="F769">
        <v>2</v>
      </c>
      <c r="G769">
        <v>12</v>
      </c>
      <c r="H769">
        <v>1</v>
      </c>
      <c r="I769">
        <v>170</v>
      </c>
      <c r="J769">
        <v>35</v>
      </c>
      <c r="K769">
        <v>2</v>
      </c>
      <c r="L769">
        <v>0</v>
      </c>
      <c r="M769" t="s">
        <v>160</v>
      </c>
      <c r="N769">
        <v>754</v>
      </c>
      <c r="O769">
        <v>25</v>
      </c>
      <c r="P769">
        <v>235</v>
      </c>
      <c r="Q769">
        <v>40</v>
      </c>
      <c r="R769">
        <v>2</v>
      </c>
      <c r="S769">
        <v>28</v>
      </c>
      <c r="T769">
        <v>1</v>
      </c>
      <c r="U769">
        <v>154</v>
      </c>
      <c r="V769">
        <v>40</v>
      </c>
      <c r="W769">
        <v>0</v>
      </c>
      <c r="X769">
        <v>0</v>
      </c>
      <c r="Y769" t="s">
        <v>16</v>
      </c>
      <c r="Z769">
        <v>6</v>
      </c>
      <c r="AA769">
        <f>IF(AND(Table1[[#This Row],[Throw Out Pass Eff]]="N", Table1[[#This Row],[Against FCS Team]]="N"), ROUND(((5.45 * D769) + (150 * F769) + (100 * G769) - (300 * H769)) / E769, 2), " ")</f>
        <v>114.77</v>
      </c>
      <c r="AB769">
        <f>IF(AND(Table1[[#This Row],[Throw Out Pass Def Eff]]="N", Table1[[#This Row],[Against FCS Team]]="N"),200 - ROUND(((5.45 * P769) + (150 * R769) + (100 * S769) - (300 * T769)) / Q769, 2), " ")</f>
        <v>97.98</v>
      </c>
      <c r="AC769">
        <f>IF(AND(Table1[[#This Row],[Throw Out Rush Eff]]="N", Table1[[#This Row],[Against FCS Team]]="N"), ROUND(((23.2 * I769) + (150 * K769) - (300 * L769)) / J769, 2), " ")</f>
        <v>121.26</v>
      </c>
      <c r="AD769" s="3">
        <f>IF(AND(Table1[[#This Row],[Throw Out Rush Def Eff]]="N", Table1[[#This Row],[Against FCS Team]]="N"), 200 - ROUND(((23.2 * U769) + (150 * W769) - (300 * X769)) / V769, 2), " ")</f>
        <v>110.68</v>
      </c>
      <c r="AE769" s="3">
        <f>ROUND(Table1[[#This Row],[Opp Passing Attempts]]/(Table1[[#This Row],[Opp Passing Attempts]]+Table1[[#This Row],[Opp Rushing Attempts]]), 2)</f>
        <v>0.5</v>
      </c>
      <c r="AF769" s="3">
        <f>1-Table1[[#This Row],[Passing Weight]]</f>
        <v>0.5</v>
      </c>
      <c r="AG769" s="3" t="str">
        <f>IF(COUNTIF(A:A,Table1[[#This Row],[Opp Team Name]]) &gt; 0, "N", "Y")</f>
        <v>N</v>
      </c>
      <c r="AH769" s="3" t="str">
        <f>IF(Table1[[#This Row],[Passing Attempts]] &lt;15, "Y", "N")</f>
        <v>N</v>
      </c>
      <c r="AI769" s="3" t="str">
        <f>IF(Table1[[#This Row],[Rushing Attempts]] &lt; 15, "Y", "N")</f>
        <v>N</v>
      </c>
      <c r="AJ769" s="3" t="str">
        <f>IF(Table1[[#This Row],[Opp Passing Attempts]]&lt;15, "Y", "N")</f>
        <v>N</v>
      </c>
      <c r="AK769" s="3" t="str">
        <f>IF(Table1[[#This Row],[Opp Rushing Attempts]]&lt;15, "Y", "N")</f>
        <v>N</v>
      </c>
      <c r="AL76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104.44</v>
      </c>
      <c r="AM76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108.38</v>
      </c>
      <c r="AN76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115.91</v>
      </c>
      <c r="AO76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66.09</v>
      </c>
      <c r="AP769" s="3">
        <f>ABS(Table1[[#This Row],[Team Score]]-Table1[[#This Row],[Opp Team Score]])</f>
        <v>3</v>
      </c>
      <c r="AQ769" s="3">
        <f>SUM(Table1[[#This Row],[Team Score]], Table1[[#This Row],[Opp Team Score]])</f>
        <v>53</v>
      </c>
      <c r="AR76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44.690000000000026</v>
      </c>
      <c r="AS769" s="3">
        <f>IF(Table1[[#This Row],[Efficiency Difference]] = " ", " ", ROUND((Table1[[#This Row],[Winning Margin]]*100)/Table1[[#This Row],[Efficiency Difference]], 2))</f>
        <v>6.71</v>
      </c>
    </row>
    <row r="770" spans="1:45">
      <c r="A770" t="s">
        <v>75</v>
      </c>
      <c r="B770">
        <v>110</v>
      </c>
      <c r="C770">
        <v>12</v>
      </c>
      <c r="D770">
        <v>286</v>
      </c>
      <c r="E770">
        <v>35</v>
      </c>
      <c r="F770">
        <v>1</v>
      </c>
      <c r="G770">
        <v>17</v>
      </c>
      <c r="H770">
        <v>0</v>
      </c>
      <c r="I770">
        <v>37</v>
      </c>
      <c r="J770">
        <v>25</v>
      </c>
      <c r="K770">
        <v>0</v>
      </c>
      <c r="L770">
        <v>2</v>
      </c>
      <c r="M770" t="s">
        <v>22</v>
      </c>
      <c r="N770">
        <v>29</v>
      </c>
      <c r="O770">
        <v>48</v>
      </c>
      <c r="P770">
        <v>319</v>
      </c>
      <c r="Q770">
        <v>44</v>
      </c>
      <c r="R770">
        <v>3</v>
      </c>
      <c r="S770">
        <v>28</v>
      </c>
      <c r="T770">
        <v>1</v>
      </c>
      <c r="U770">
        <v>254</v>
      </c>
      <c r="V770">
        <v>46</v>
      </c>
      <c r="W770">
        <v>3</v>
      </c>
      <c r="X770">
        <v>0</v>
      </c>
      <c r="Y770" t="s">
        <v>19</v>
      </c>
      <c r="Z770">
        <v>8</v>
      </c>
      <c r="AA770" s="3">
        <f>IF(AND(Table1[[#This Row],[Throw Out Pass Eff]]="N", Table1[[#This Row],[Against FCS Team]]="N"), ROUND(((5.45 * D770) + (150 * F770) + (100 * G770) - (300 * H770)) / E770, 2), " ")</f>
        <v>97.39</v>
      </c>
      <c r="AB770" s="3">
        <f>IF(AND(Table1[[#This Row],[Throw Out Pass Def Eff]]="N", Table1[[#This Row],[Against FCS Team]]="N"),200 - ROUND(((5.45 * P770) + (150 * R770) + (100 * S770) - (300 * T770)) / Q770, 2), " ")</f>
        <v>93.44</v>
      </c>
      <c r="AC770" s="3">
        <f>IF(AND(Table1[[#This Row],[Throw Out Rush Eff]]="N", Table1[[#This Row],[Against FCS Team]]="N"), ROUND(((23.2 * I770) + (150 * K770) - (300 * L770)) / J770, 2), " ")</f>
        <v>10.34</v>
      </c>
      <c r="AD770" s="3">
        <f>IF(AND(Table1[[#This Row],[Throw Out Rush Def Eff]]="N", Table1[[#This Row],[Against FCS Team]]="N"), 200 - ROUND(((23.2 * U770) + (150 * W770) - (300 * X770)) / V770, 2), " ")</f>
        <v>62.110000000000014</v>
      </c>
      <c r="AE770" s="3">
        <f>ROUND(Table1[[#This Row],[Opp Passing Attempts]]/(Table1[[#This Row],[Opp Passing Attempts]]+Table1[[#This Row],[Opp Rushing Attempts]]), 2)</f>
        <v>0.49</v>
      </c>
      <c r="AF770" s="3">
        <f>1-Table1[[#This Row],[Passing Weight]]</f>
        <v>0.51</v>
      </c>
      <c r="AG770" s="3" t="str">
        <f>IF(COUNTIF(A:A,Table1[[#This Row],[Opp Team Name]]) &gt; 0, "N", "Y")</f>
        <v>N</v>
      </c>
      <c r="AH770" s="3" t="str">
        <f>IF(Table1[[#This Row],[Passing Attempts]] &lt;15, "Y", "N")</f>
        <v>N</v>
      </c>
      <c r="AI770" s="3" t="str">
        <f>IF(Table1[[#This Row],[Rushing Attempts]] &lt; 15, "Y", "N")</f>
        <v>N</v>
      </c>
      <c r="AJ770" s="3" t="str">
        <f>IF(Table1[[#This Row],[Opp Passing Attempts]]&lt;15, "Y", "N")</f>
        <v>N</v>
      </c>
      <c r="AK770" s="3" t="str">
        <f>IF(Table1[[#This Row],[Opp Rushing Attempts]]&lt;15, "Y", "N")</f>
        <v>N</v>
      </c>
      <c r="AL7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80.069999999999993</v>
      </c>
      <c r="AM77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104.49</v>
      </c>
      <c r="AN7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7.67</v>
      </c>
      <c r="AO7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45.01</v>
      </c>
      <c r="AP770" s="3">
        <f>ABS(Table1[[#This Row],[Team Score]]-Table1[[#This Row],[Opp Team Score]])</f>
        <v>36</v>
      </c>
      <c r="AQ770" s="3">
        <f>SUM(Table1[[#This Row],[Team Score]], Table1[[#This Row],[Opp Team Score]])</f>
        <v>60</v>
      </c>
      <c r="AR77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136.71999999999997</v>
      </c>
      <c r="AS770" s="3">
        <f>IF(Table1[[#This Row],[Efficiency Difference]] = " ", " ", ROUND((Table1[[#This Row],[Winning Margin]]*100)/Table1[[#This Row],[Efficiency Difference]], 2))</f>
        <v>26.33</v>
      </c>
    </row>
    <row r="771" spans="1:45">
      <c r="A771" t="s">
        <v>144</v>
      </c>
      <c r="B771">
        <v>465</v>
      </c>
      <c r="C771">
        <v>17</v>
      </c>
      <c r="D771">
        <v>146</v>
      </c>
      <c r="E771">
        <v>27</v>
      </c>
      <c r="F771">
        <v>2</v>
      </c>
      <c r="G771">
        <v>18</v>
      </c>
      <c r="H771">
        <v>0</v>
      </c>
      <c r="I771">
        <v>146</v>
      </c>
      <c r="J771">
        <v>38</v>
      </c>
      <c r="K771">
        <v>0</v>
      </c>
      <c r="L771">
        <v>0</v>
      </c>
      <c r="M771" t="s">
        <v>145</v>
      </c>
      <c r="N771">
        <v>796</v>
      </c>
      <c r="O771">
        <v>51</v>
      </c>
      <c r="P771">
        <v>258</v>
      </c>
      <c r="Q771">
        <v>15</v>
      </c>
      <c r="R771">
        <v>2</v>
      </c>
      <c r="S771">
        <v>11</v>
      </c>
      <c r="T771">
        <v>0</v>
      </c>
      <c r="U771">
        <v>241</v>
      </c>
      <c r="V771">
        <v>38</v>
      </c>
      <c r="W771">
        <v>5</v>
      </c>
      <c r="X771">
        <v>0</v>
      </c>
      <c r="Y771" t="s">
        <v>19</v>
      </c>
      <c r="Z771">
        <v>1</v>
      </c>
      <c r="AA771">
        <f>IF(AND(Table1[[#This Row],[Throw Out Pass Eff]]="N", Table1[[#This Row],[Against FCS Team]]="N"), ROUND(((5.45 * D771) + (150 * F771) + (100 * G771) - (300 * H771)) / E771, 2), " ")</f>
        <v>107.25</v>
      </c>
      <c r="AB771">
        <f>IF(AND(Table1[[#This Row],[Throw Out Pass Def Eff]]="N", Table1[[#This Row],[Against FCS Team]]="N"),200 - ROUND(((5.45 * P771) + (150 * R771) + (100 * S771) - (300 * T771)) / Q771, 2), " ")</f>
        <v>12.930000000000007</v>
      </c>
      <c r="AC771">
        <f>IF(AND(Table1[[#This Row],[Throw Out Rush Eff]]="N", Table1[[#This Row],[Against FCS Team]]="N"), ROUND(((23.2 * I771) + (150 * K771) - (300 * L771)) / J771, 2), " ")</f>
        <v>89.14</v>
      </c>
      <c r="AD771" s="3">
        <f>IF(AND(Table1[[#This Row],[Throw Out Rush Def Eff]]="N", Table1[[#This Row],[Against FCS Team]]="N"), 200 - ROUND(((23.2 * U771) + (150 * W771) - (300 * X771)) / V771, 2), " ")</f>
        <v>33.129999999999995</v>
      </c>
      <c r="AE771" s="3">
        <f>ROUND(Table1[[#This Row],[Opp Passing Attempts]]/(Table1[[#This Row],[Opp Passing Attempts]]+Table1[[#This Row],[Opp Rushing Attempts]]), 2)</f>
        <v>0.28000000000000003</v>
      </c>
      <c r="AF771" s="3">
        <f>1-Table1[[#This Row],[Passing Weight]]</f>
        <v>0.72</v>
      </c>
      <c r="AG771" s="3" t="str">
        <f>IF(COUNTIF(A:A,Table1[[#This Row],[Opp Team Name]]) &gt; 0, "N", "Y")</f>
        <v>N</v>
      </c>
      <c r="AH771" s="3" t="str">
        <f>IF(Table1[[#This Row],[Passing Attempts]] &lt;15, "Y", "N")</f>
        <v>N</v>
      </c>
      <c r="AI771" s="3" t="str">
        <f>IF(Table1[[#This Row],[Rushing Attempts]] &lt; 15, "Y", "N")</f>
        <v>N</v>
      </c>
      <c r="AJ771" s="3" t="str">
        <f>IF(Table1[[#This Row],[Opp Passing Attempts]]&lt;15, "Y", "N")</f>
        <v>N</v>
      </c>
      <c r="AK771" s="3" t="str">
        <f>IF(Table1[[#This Row],[Opp Rushing Attempts]]&lt;15, "Y", "N")</f>
        <v>N</v>
      </c>
      <c r="AL7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121.14</v>
      </c>
      <c r="AM77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18.27</v>
      </c>
      <c r="AN7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112.46</v>
      </c>
      <c r="AO7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48.36</v>
      </c>
      <c r="AP771" s="3">
        <f>ABS(Table1[[#This Row],[Team Score]]-Table1[[#This Row],[Opp Team Score]])</f>
        <v>34</v>
      </c>
      <c r="AQ771" s="3">
        <f>SUM(Table1[[#This Row],[Team Score]], Table1[[#This Row],[Opp Team Score]])</f>
        <v>68</v>
      </c>
      <c r="AR77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157.55000000000001</v>
      </c>
      <c r="AS771" s="3">
        <f>IF(Table1[[#This Row],[Efficiency Difference]] = " ", " ", ROUND((Table1[[#This Row],[Winning Margin]]*100)/Table1[[#This Row],[Efficiency Difference]], 2))</f>
        <v>21.58</v>
      </c>
    </row>
    <row r="772" spans="1:45">
      <c r="A772" t="s">
        <v>144</v>
      </c>
      <c r="B772">
        <v>465</v>
      </c>
      <c r="C772">
        <v>7</v>
      </c>
      <c r="D772">
        <v>60</v>
      </c>
      <c r="E772">
        <v>20</v>
      </c>
      <c r="F772">
        <v>0</v>
      </c>
      <c r="G772">
        <v>11</v>
      </c>
      <c r="H772">
        <v>0</v>
      </c>
      <c r="I772">
        <v>98</v>
      </c>
      <c r="J772">
        <v>34</v>
      </c>
      <c r="K772">
        <v>0</v>
      </c>
      <c r="L772">
        <v>1</v>
      </c>
      <c r="M772" t="s">
        <v>160</v>
      </c>
      <c r="N772">
        <v>754</v>
      </c>
      <c r="O772">
        <v>59</v>
      </c>
      <c r="P772">
        <v>471</v>
      </c>
      <c r="Q772">
        <v>38</v>
      </c>
      <c r="R772">
        <v>7</v>
      </c>
      <c r="S772">
        <v>29</v>
      </c>
      <c r="T772">
        <v>0</v>
      </c>
      <c r="U772">
        <v>139</v>
      </c>
      <c r="V772">
        <v>39</v>
      </c>
      <c r="W772">
        <v>1</v>
      </c>
      <c r="X772">
        <v>1</v>
      </c>
      <c r="Y772" t="s">
        <v>19</v>
      </c>
      <c r="Z772">
        <v>2</v>
      </c>
      <c r="AA772">
        <f>IF(AND(Table1[[#This Row],[Throw Out Pass Eff]]="N", Table1[[#This Row],[Against FCS Team]]="N"), ROUND(((5.45 * D772) + (150 * F772) + (100 * G772) - (300 * H772)) / E772, 2), " ")</f>
        <v>71.349999999999994</v>
      </c>
      <c r="AB772">
        <f>IF(AND(Table1[[#This Row],[Throw Out Pass Def Eff]]="N", Table1[[#This Row],[Against FCS Team]]="N"),200 - ROUND(((5.45 * P772) + (150 * R772) + (100 * S772) - (300 * T772)) / Q772, 2), " ")</f>
        <v>28.5</v>
      </c>
      <c r="AC772">
        <f>IF(AND(Table1[[#This Row],[Throw Out Rush Eff]]="N", Table1[[#This Row],[Against FCS Team]]="N"), ROUND(((23.2 * I772) + (150 * K772) - (300 * L772)) / J772, 2), " ")</f>
        <v>58.05</v>
      </c>
      <c r="AD772" s="3">
        <f>IF(AND(Table1[[#This Row],[Throw Out Rush Def Eff]]="N", Table1[[#This Row],[Against FCS Team]]="N"), 200 - ROUND(((23.2 * U772) + (150 * W772) - (300 * X772)) / V772, 2), " ")</f>
        <v>121.16</v>
      </c>
      <c r="AE772" s="3">
        <f>ROUND(Table1[[#This Row],[Opp Passing Attempts]]/(Table1[[#This Row],[Opp Passing Attempts]]+Table1[[#This Row],[Opp Rushing Attempts]]), 2)</f>
        <v>0.49</v>
      </c>
      <c r="AF772" s="3">
        <f>1-Table1[[#This Row],[Passing Weight]]</f>
        <v>0.51</v>
      </c>
      <c r="AG772" s="3" t="str">
        <f>IF(COUNTIF(A:A,Table1[[#This Row],[Opp Team Name]]) &gt; 0, "N", "Y")</f>
        <v>N</v>
      </c>
      <c r="AH772" s="3" t="str">
        <f>IF(Table1[[#This Row],[Passing Attempts]] &lt;15, "Y", "N")</f>
        <v>N</v>
      </c>
      <c r="AI772" s="3" t="str">
        <f>IF(Table1[[#This Row],[Rushing Attempts]] &lt; 15, "Y", "N")</f>
        <v>N</v>
      </c>
      <c r="AJ772" s="3" t="str">
        <f>IF(Table1[[#This Row],[Opp Passing Attempts]]&lt;15, "Y", "N")</f>
        <v>N</v>
      </c>
      <c r="AK772" s="3" t="str">
        <f>IF(Table1[[#This Row],[Opp Rushing Attempts]]&lt;15, "Y", "N")</f>
        <v>N</v>
      </c>
      <c r="AL7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64.930000000000007</v>
      </c>
      <c r="AM7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31.52</v>
      </c>
      <c r="AN7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55.49</v>
      </c>
      <c r="AO7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72.34</v>
      </c>
      <c r="AP772" s="3">
        <f>ABS(Table1[[#This Row],[Team Score]]-Table1[[#This Row],[Opp Team Score]])</f>
        <v>52</v>
      </c>
      <c r="AQ772" s="3">
        <f>SUM(Table1[[#This Row],[Team Score]], Table1[[#This Row],[Opp Team Score]])</f>
        <v>66</v>
      </c>
      <c r="AR7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120.94000000000003</v>
      </c>
      <c r="AS772" s="3">
        <f>IF(Table1[[#This Row],[Efficiency Difference]] = " ", " ", ROUND((Table1[[#This Row],[Winning Margin]]*100)/Table1[[#This Row],[Efficiency Difference]], 2))</f>
        <v>43</v>
      </c>
    </row>
    <row r="773" spans="1:45">
      <c r="A773" t="s">
        <v>144</v>
      </c>
      <c r="B773">
        <v>465</v>
      </c>
      <c r="C773">
        <v>40</v>
      </c>
      <c r="D773">
        <v>179</v>
      </c>
      <c r="E773">
        <v>30</v>
      </c>
      <c r="F773">
        <v>2</v>
      </c>
      <c r="G773">
        <v>18</v>
      </c>
      <c r="H773">
        <v>1</v>
      </c>
      <c r="I773">
        <v>186</v>
      </c>
      <c r="J773">
        <v>42</v>
      </c>
      <c r="K773">
        <v>3</v>
      </c>
      <c r="L773">
        <v>0</v>
      </c>
      <c r="M773" t="s">
        <v>57</v>
      </c>
      <c r="N773">
        <v>277</v>
      </c>
      <c r="O773">
        <v>20</v>
      </c>
      <c r="P773">
        <v>284</v>
      </c>
      <c r="Q773">
        <v>41</v>
      </c>
      <c r="R773">
        <v>2</v>
      </c>
      <c r="S773">
        <v>25</v>
      </c>
      <c r="T773">
        <v>0</v>
      </c>
      <c r="U773">
        <v>6</v>
      </c>
      <c r="V773">
        <v>16</v>
      </c>
      <c r="W773">
        <v>1</v>
      </c>
      <c r="X773">
        <v>4</v>
      </c>
      <c r="Y773" t="s">
        <v>16</v>
      </c>
      <c r="Z773">
        <v>3</v>
      </c>
      <c r="AA773">
        <f>IF(AND(Table1[[#This Row],[Throw Out Pass Eff]]="N", Table1[[#This Row],[Against FCS Team]]="N"), ROUND(((5.45 * D773) + (150 * F773) + (100 * G773) - (300 * H773)) / E773, 2), " ")</f>
        <v>92.52</v>
      </c>
      <c r="AB773">
        <f>IF(AND(Table1[[#This Row],[Throw Out Pass Def Eff]]="N", Table1[[#This Row],[Against FCS Team]]="N"),200 - ROUND(((5.45 * P773) + (150 * R773) + (100 * S773) - (300 * T773)) / Q773, 2), " ")</f>
        <v>93.96</v>
      </c>
      <c r="AC773">
        <f>IF(AND(Table1[[#This Row],[Throw Out Rush Eff]]="N", Table1[[#This Row],[Against FCS Team]]="N"), ROUND(((23.2 * I773) + (150 * K773) - (300 * L773)) / J773, 2), " ")</f>
        <v>113.46</v>
      </c>
      <c r="AD773" s="3">
        <f>IF(AND(Table1[[#This Row],[Throw Out Rush Def Eff]]="N", Table1[[#This Row],[Against FCS Team]]="N"), 200 - ROUND(((23.2 * U773) + (150 * W773) - (300 * X773)) / V773, 2), " ")</f>
        <v>256.93</v>
      </c>
      <c r="AE773" s="3">
        <f>ROUND(Table1[[#This Row],[Opp Passing Attempts]]/(Table1[[#This Row],[Opp Passing Attempts]]+Table1[[#This Row],[Opp Rushing Attempts]]), 2)</f>
        <v>0.72</v>
      </c>
      <c r="AF773" s="3">
        <f>1-Table1[[#This Row],[Passing Weight]]</f>
        <v>0.28000000000000003</v>
      </c>
      <c r="AG773" s="3" t="str">
        <f>IF(COUNTIF(A:A,Table1[[#This Row],[Opp Team Name]]) &gt; 0, "N", "Y")</f>
        <v>N</v>
      </c>
      <c r="AH773" s="3" t="str">
        <f>IF(Table1[[#This Row],[Passing Attempts]] &lt;15, "Y", "N")</f>
        <v>N</v>
      </c>
      <c r="AI773" s="3" t="str">
        <f>IF(Table1[[#This Row],[Rushing Attempts]] &lt; 15, "Y", "N")</f>
        <v>N</v>
      </c>
      <c r="AJ773" s="3" t="str">
        <f>IF(Table1[[#This Row],[Opp Passing Attempts]]&lt;15, "Y", "N")</f>
        <v>N</v>
      </c>
      <c r="AK773" s="3" t="str">
        <f>IF(Table1[[#This Row],[Opp Rushing Attempts]]&lt;15, "Y", "N")</f>
        <v>N</v>
      </c>
      <c r="AL77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93.51</v>
      </c>
      <c r="AM77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99.93</v>
      </c>
      <c r="AN77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151.97999999999999</v>
      </c>
      <c r="AO77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232.58</v>
      </c>
      <c r="AP773" s="3">
        <f>ABS(Table1[[#This Row],[Team Score]]-Table1[[#This Row],[Opp Team Score]])</f>
        <v>20</v>
      </c>
      <c r="AQ773" s="3">
        <f>SUM(Table1[[#This Row],[Team Score]], Table1[[#This Row],[Opp Team Score]])</f>
        <v>60</v>
      </c>
      <c r="AR77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156.86999999999998</v>
      </c>
      <c r="AS773" s="3">
        <f>IF(Table1[[#This Row],[Efficiency Difference]] = " ", " ", ROUND((Table1[[#This Row],[Winning Margin]]*100)/Table1[[#This Row],[Efficiency Difference]], 2))</f>
        <v>12.75</v>
      </c>
    </row>
    <row r="774" spans="1:45">
      <c r="A774" t="s">
        <v>144</v>
      </c>
      <c r="B774">
        <v>465</v>
      </c>
      <c r="C774">
        <v>16</v>
      </c>
      <c r="D774">
        <v>294</v>
      </c>
      <c r="E774">
        <v>49</v>
      </c>
      <c r="F774">
        <v>2</v>
      </c>
      <c r="G774">
        <v>29</v>
      </c>
      <c r="H774">
        <v>3</v>
      </c>
      <c r="I774">
        <v>108</v>
      </c>
      <c r="J774">
        <v>38</v>
      </c>
      <c r="K774">
        <v>0</v>
      </c>
      <c r="L774">
        <v>2</v>
      </c>
      <c r="M774" t="s">
        <v>200</v>
      </c>
      <c r="N774">
        <v>667</v>
      </c>
      <c r="O774">
        <v>41</v>
      </c>
      <c r="P774">
        <v>178</v>
      </c>
      <c r="Q774">
        <v>34</v>
      </c>
      <c r="R774">
        <v>0</v>
      </c>
      <c r="S774">
        <v>16</v>
      </c>
      <c r="T774">
        <v>2</v>
      </c>
      <c r="U774">
        <v>78</v>
      </c>
      <c r="V774">
        <v>26</v>
      </c>
      <c r="W774">
        <v>2</v>
      </c>
      <c r="X774">
        <v>0</v>
      </c>
      <c r="Y774" t="s">
        <v>19</v>
      </c>
      <c r="Z774">
        <v>4</v>
      </c>
      <c r="AA774">
        <f>IF(AND(Table1[[#This Row],[Throw Out Pass Eff]]="N", Table1[[#This Row],[Against FCS Team]]="N"), ROUND(((5.45 * D774) + (150 * F774) + (100 * G774) - (300 * H774)) / E774, 2), " ")</f>
        <v>79.64</v>
      </c>
      <c r="AB774">
        <f>IF(AND(Table1[[#This Row],[Throw Out Pass Def Eff]]="N", Table1[[#This Row],[Against FCS Team]]="N"),200 - ROUND(((5.45 * P774) + (150 * R774) + (100 * S774) - (300 * T774)) / Q774, 2), " ")</f>
        <v>142.06</v>
      </c>
      <c r="AC774">
        <f>IF(AND(Table1[[#This Row],[Throw Out Rush Eff]]="N", Table1[[#This Row],[Against FCS Team]]="N"), ROUND(((23.2 * I774) + (150 * K774) - (300 * L774)) / J774, 2), " ")</f>
        <v>50.15</v>
      </c>
      <c r="AD774" s="3">
        <f>IF(AND(Table1[[#This Row],[Throw Out Rush Def Eff]]="N", Table1[[#This Row],[Against FCS Team]]="N"), 200 - ROUND(((23.2 * U774) + (150 * W774) - (300 * X774)) / V774, 2), " ")</f>
        <v>118.86</v>
      </c>
      <c r="AE774" s="3">
        <f>ROUND(Table1[[#This Row],[Opp Passing Attempts]]/(Table1[[#This Row],[Opp Passing Attempts]]+Table1[[#This Row],[Opp Rushing Attempts]]), 2)</f>
        <v>0.56999999999999995</v>
      </c>
      <c r="AF774" s="3">
        <f>1-Table1[[#This Row],[Passing Weight]]</f>
        <v>0.43000000000000005</v>
      </c>
      <c r="AG774" s="3" t="str">
        <f>IF(COUNTIF(A:A,Table1[[#This Row],[Opp Team Name]]) &gt; 0, "N", "Y")</f>
        <v>N</v>
      </c>
      <c r="AH774" s="3" t="str">
        <f>IF(Table1[[#This Row],[Passing Attempts]] &lt;15, "Y", "N")</f>
        <v>N</v>
      </c>
      <c r="AI774" s="3" t="str">
        <f>IF(Table1[[#This Row],[Rushing Attempts]] &lt; 15, "Y", "N")</f>
        <v>N</v>
      </c>
      <c r="AJ774" s="3" t="str">
        <f>IF(Table1[[#This Row],[Opp Passing Attempts]]&lt;15, "Y", "N")</f>
        <v>N</v>
      </c>
      <c r="AK774" s="3" t="str">
        <f>IF(Table1[[#This Row],[Opp Rushing Attempts]]&lt;15, "Y", "N")</f>
        <v>N</v>
      </c>
      <c r="AL7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100.2</v>
      </c>
      <c r="AM7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178.06</v>
      </c>
      <c r="AN7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51.43</v>
      </c>
      <c r="AO7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95.71</v>
      </c>
      <c r="AP774" s="3">
        <f>ABS(Table1[[#This Row],[Team Score]]-Table1[[#This Row],[Opp Team Score]])</f>
        <v>25</v>
      </c>
      <c r="AQ774" s="3">
        <f>SUM(Table1[[#This Row],[Team Score]], Table1[[#This Row],[Opp Team Score]])</f>
        <v>57</v>
      </c>
      <c r="AR7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9.289999999999992</v>
      </c>
      <c r="AS774" s="3">
        <f>IF(Table1[[#This Row],[Efficiency Difference]] = " ", " ", ROUND((Table1[[#This Row],[Winning Margin]]*100)/Table1[[#This Row],[Efficiency Difference]], 2))</f>
        <v>269.11</v>
      </c>
    </row>
    <row r="775" spans="1:45">
      <c r="A775" t="s">
        <v>144</v>
      </c>
      <c r="B775">
        <v>465</v>
      </c>
      <c r="C775">
        <v>0</v>
      </c>
      <c r="D775">
        <v>8</v>
      </c>
      <c r="E775">
        <v>14</v>
      </c>
      <c r="F775">
        <v>0</v>
      </c>
      <c r="G775">
        <v>1</v>
      </c>
      <c r="H775">
        <v>1</v>
      </c>
      <c r="I775">
        <v>102</v>
      </c>
      <c r="J775">
        <v>39</v>
      </c>
      <c r="K775">
        <v>0</v>
      </c>
      <c r="L775">
        <v>1</v>
      </c>
      <c r="M775" t="s">
        <v>181</v>
      </c>
      <c r="N775">
        <v>466</v>
      </c>
      <c r="O775">
        <v>37</v>
      </c>
      <c r="P775">
        <v>459</v>
      </c>
      <c r="Q775">
        <v>44</v>
      </c>
      <c r="R775">
        <v>3</v>
      </c>
      <c r="S775">
        <v>29</v>
      </c>
      <c r="T775">
        <v>3</v>
      </c>
      <c r="U775">
        <v>240</v>
      </c>
      <c r="V775">
        <v>48</v>
      </c>
      <c r="W775">
        <v>1</v>
      </c>
      <c r="X775">
        <v>2</v>
      </c>
      <c r="Y775" t="s">
        <v>19</v>
      </c>
      <c r="Z775">
        <v>6</v>
      </c>
      <c r="AA775" t="str">
        <f>IF(AND(Table1[[#This Row],[Throw Out Pass Eff]]="N", Table1[[#This Row],[Against FCS Team]]="N"), ROUND(((5.45 * D775) + (150 * F775) + (100 * G775) - (300 * H775)) / E775, 2), " ")</f>
        <v xml:space="preserve"> </v>
      </c>
      <c r="AB775">
        <f>IF(AND(Table1[[#This Row],[Throw Out Pass Def Eff]]="N", Table1[[#This Row],[Against FCS Team]]="N"),200 - ROUND(((5.45 * P775) + (150 * R775) + (100 * S775) - (300 * T775)) / Q775, 2), " ")</f>
        <v>87.46</v>
      </c>
      <c r="AC775">
        <f>IF(AND(Table1[[#This Row],[Throw Out Rush Eff]]="N", Table1[[#This Row],[Against FCS Team]]="N"), ROUND(((23.2 * I775) + (150 * K775) - (300 * L775)) / J775, 2), " ")</f>
        <v>52.98</v>
      </c>
      <c r="AD775" s="3">
        <f>IF(AND(Table1[[#This Row],[Throw Out Rush Def Eff]]="N", Table1[[#This Row],[Against FCS Team]]="N"), 200 - ROUND(((23.2 * U775) + (150 * W775) - (300 * X775)) / V775, 2), " ")</f>
        <v>93.37</v>
      </c>
      <c r="AE775" s="3">
        <f>ROUND(Table1[[#This Row],[Opp Passing Attempts]]/(Table1[[#This Row],[Opp Passing Attempts]]+Table1[[#This Row],[Opp Rushing Attempts]]), 2)</f>
        <v>0.48</v>
      </c>
      <c r="AF775" s="3">
        <f>1-Table1[[#This Row],[Passing Weight]]</f>
        <v>0.52</v>
      </c>
      <c r="AG775" s="3" t="str">
        <f>IF(COUNTIF(A:A,Table1[[#This Row],[Opp Team Name]]) &gt; 0, "N", "Y")</f>
        <v>N</v>
      </c>
      <c r="AH775" s="3" t="str">
        <f>IF(Table1[[#This Row],[Passing Attempts]] &lt;15, "Y", "N")</f>
        <v>Y</v>
      </c>
      <c r="AI775" s="3" t="str">
        <f>IF(Table1[[#This Row],[Rushing Attempts]] &lt; 15, "Y", "N")</f>
        <v>N</v>
      </c>
      <c r="AJ775" s="3" t="str">
        <f>IF(Table1[[#This Row],[Opp Passing Attempts]]&lt;15, "Y", "N")</f>
        <v>N</v>
      </c>
      <c r="AK775" s="3" t="str">
        <f>IF(Table1[[#This Row],[Opp Rushing Attempts]]&lt;15, "Y", "N")</f>
        <v>N</v>
      </c>
      <c r="AL77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86.59</v>
      </c>
      <c r="AN7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45.73</v>
      </c>
      <c r="AO7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109.9</v>
      </c>
      <c r="AP775" s="3">
        <f>ABS(Table1[[#This Row],[Team Score]]-Table1[[#This Row],[Opp Team Score]])</f>
        <v>37</v>
      </c>
      <c r="AQ775" s="3">
        <f>SUM(Table1[[#This Row],[Team Score]], Table1[[#This Row],[Opp Team Score]])</f>
        <v>37</v>
      </c>
      <c r="AR77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75" s="3" t="str">
        <f>IF(Table1[[#This Row],[Efficiency Difference]] = " ", " ", ROUND((Table1[[#This Row],[Winning Margin]]*100)/Table1[[#This Row],[Efficiency Difference]], 2))</f>
        <v xml:space="preserve"> </v>
      </c>
    </row>
    <row r="776" spans="1:45">
      <c r="A776" t="s">
        <v>144</v>
      </c>
      <c r="B776">
        <v>465</v>
      </c>
      <c r="C776">
        <v>14</v>
      </c>
      <c r="D776">
        <v>104</v>
      </c>
      <c r="E776">
        <v>21</v>
      </c>
      <c r="F776">
        <v>0</v>
      </c>
      <c r="G776">
        <v>9</v>
      </c>
      <c r="H776">
        <v>1</v>
      </c>
      <c r="I776">
        <v>153</v>
      </c>
      <c r="J776">
        <v>48</v>
      </c>
      <c r="K776">
        <v>2</v>
      </c>
      <c r="L776">
        <v>1</v>
      </c>
      <c r="M776" t="s">
        <v>162</v>
      </c>
      <c r="N776">
        <v>811</v>
      </c>
      <c r="O776">
        <v>41</v>
      </c>
      <c r="P776">
        <v>124</v>
      </c>
      <c r="Q776">
        <v>20</v>
      </c>
      <c r="R776">
        <v>3</v>
      </c>
      <c r="S776">
        <v>11</v>
      </c>
      <c r="T776">
        <v>0</v>
      </c>
      <c r="U776">
        <v>231</v>
      </c>
      <c r="V776">
        <v>45</v>
      </c>
      <c r="W776">
        <v>1</v>
      </c>
      <c r="X776">
        <v>1</v>
      </c>
      <c r="Y776" t="s">
        <v>19</v>
      </c>
      <c r="Z776">
        <v>7</v>
      </c>
      <c r="AA776">
        <f>IF(AND(Table1[[#This Row],[Throw Out Pass Eff]]="N", Table1[[#This Row],[Against FCS Team]]="N"), ROUND(((5.45 * D776) + (150 * F776) + (100 * G776) - (300 * H776)) / E776, 2), " ")</f>
        <v>55.56</v>
      </c>
      <c r="AB776">
        <f>IF(AND(Table1[[#This Row],[Throw Out Pass Def Eff]]="N", Table1[[#This Row],[Against FCS Team]]="N"),200 - ROUND(((5.45 * P776) + (150 * R776) + (100 * S776) - (300 * T776)) / Q776, 2), " ")</f>
        <v>88.71</v>
      </c>
      <c r="AC776">
        <f>IF(AND(Table1[[#This Row],[Throw Out Rush Eff]]="N", Table1[[#This Row],[Against FCS Team]]="N"), ROUND(((23.2 * I776) + (150 * K776) - (300 * L776)) / J776, 2), " ")</f>
        <v>73.95</v>
      </c>
      <c r="AD776" s="3">
        <f>IF(AND(Table1[[#This Row],[Throw Out Rush Def Eff]]="N", Table1[[#This Row],[Against FCS Team]]="N"), 200 - ROUND(((23.2 * U776) + (150 * W776) - (300 * X776)) / V776, 2), " ")</f>
        <v>84.24</v>
      </c>
      <c r="AE776" s="3">
        <f>ROUND(Table1[[#This Row],[Opp Passing Attempts]]/(Table1[[#This Row],[Opp Passing Attempts]]+Table1[[#This Row],[Opp Rushing Attempts]]), 2)</f>
        <v>0.31</v>
      </c>
      <c r="AF776" s="3">
        <f>1-Table1[[#This Row],[Passing Weight]]</f>
        <v>0.69</v>
      </c>
      <c r="AG776" s="3" t="str">
        <f>IF(COUNTIF(A:A,Table1[[#This Row],[Opp Team Name]]) &gt; 0, "N", "Y")</f>
        <v>N</v>
      </c>
      <c r="AH776" s="3" t="str">
        <f>IF(Table1[[#This Row],[Passing Attempts]] &lt;15, "Y", "N")</f>
        <v>N</v>
      </c>
      <c r="AI776" s="3" t="str">
        <f>IF(Table1[[#This Row],[Rushing Attempts]] &lt; 15, "Y", "N")</f>
        <v>N</v>
      </c>
      <c r="AJ776" s="3" t="str">
        <f>IF(Table1[[#This Row],[Opp Passing Attempts]]&lt;15, "Y", "N")</f>
        <v>N</v>
      </c>
      <c r="AK776" s="3" t="str">
        <f>IF(Table1[[#This Row],[Opp Rushing Attempts]]&lt;15, "Y", "N")</f>
        <v>N</v>
      </c>
      <c r="AL77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57.76</v>
      </c>
      <c r="AM77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81.75</v>
      </c>
      <c r="AN77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82.15</v>
      </c>
      <c r="AO77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99.07</v>
      </c>
      <c r="AP776" s="3">
        <f>ABS(Table1[[#This Row],[Team Score]]-Table1[[#This Row],[Opp Team Score]])</f>
        <v>27</v>
      </c>
      <c r="AQ776" s="3">
        <f>SUM(Table1[[#This Row],[Team Score]], Table1[[#This Row],[Opp Team Score]])</f>
        <v>55</v>
      </c>
      <c r="AR77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97.54000000000002</v>
      </c>
      <c r="AS776" s="3">
        <f>IF(Table1[[#This Row],[Efficiency Difference]] = " ", " ", ROUND((Table1[[#This Row],[Winning Margin]]*100)/Table1[[#This Row],[Efficiency Difference]], 2))</f>
        <v>27.68</v>
      </c>
    </row>
    <row r="777" spans="1:45">
      <c r="A777" t="s">
        <v>146</v>
      </c>
      <c r="B777">
        <v>732</v>
      </c>
      <c r="C777">
        <v>27</v>
      </c>
      <c r="D777">
        <v>101</v>
      </c>
      <c r="E777">
        <v>23</v>
      </c>
      <c r="F777">
        <v>2</v>
      </c>
      <c r="G777">
        <v>15</v>
      </c>
      <c r="H777">
        <v>0</v>
      </c>
      <c r="I777">
        <v>191</v>
      </c>
      <c r="J777">
        <v>38</v>
      </c>
      <c r="K777">
        <v>1</v>
      </c>
      <c r="L777">
        <v>0</v>
      </c>
      <c r="M777" t="s">
        <v>147</v>
      </c>
      <c r="N777">
        <v>440</v>
      </c>
      <c r="O777">
        <v>10</v>
      </c>
      <c r="P777">
        <v>183</v>
      </c>
      <c r="Q777">
        <v>29</v>
      </c>
      <c r="R777">
        <v>1</v>
      </c>
      <c r="S777">
        <v>16</v>
      </c>
      <c r="T777">
        <v>2</v>
      </c>
      <c r="U777">
        <v>75</v>
      </c>
      <c r="V777">
        <v>29</v>
      </c>
      <c r="W777">
        <v>0</v>
      </c>
      <c r="X777">
        <v>0</v>
      </c>
      <c r="Y777" t="s">
        <v>16</v>
      </c>
      <c r="Z777">
        <v>1</v>
      </c>
      <c r="AA777" t="str">
        <f>IF(AND(Table1[[#This Row],[Throw Out Pass Eff]]="N", Table1[[#This Row],[Against FCS Team]]="N"), ROUND(((5.45 * D777) + (150 * F777) + (100 * G777) - (300 * H777)) / E777, 2), " ")</f>
        <v xml:space="preserve"> </v>
      </c>
      <c r="AB777" t="str">
        <f>IF(AND(Table1[[#This Row],[Throw Out Pass Def Eff]]="N", Table1[[#This Row],[Against FCS Team]]="N"),200 - ROUND(((5.45 * P777) + (150 * R777) + (100 * S777) - (300 * T777)) / Q777, 2), " ")</f>
        <v xml:space="preserve"> </v>
      </c>
      <c r="AC777" t="str">
        <f>IF(AND(Table1[[#This Row],[Throw Out Rush Eff]]="N", Table1[[#This Row],[Against FCS Team]]="N"), ROUND(((23.2 * I777) + (150 * K777) - (300 * L777)) / J777, 2), " ")</f>
        <v xml:space="preserve"> </v>
      </c>
      <c r="AD777" s="3" t="str">
        <f>IF(AND(Table1[[#This Row],[Throw Out Rush Def Eff]]="N", Table1[[#This Row],[Against FCS Team]]="N"), 200 - ROUND(((23.2 * U777) + (150 * W777) - (300 * X777)) / V777, 2), " ")</f>
        <v xml:space="preserve"> </v>
      </c>
      <c r="AE777" s="3">
        <f>ROUND(Table1[[#This Row],[Opp Passing Attempts]]/(Table1[[#This Row],[Opp Passing Attempts]]+Table1[[#This Row],[Opp Rushing Attempts]]), 2)</f>
        <v>0.5</v>
      </c>
      <c r="AF777" s="3">
        <f>1-Table1[[#This Row],[Passing Weight]]</f>
        <v>0.5</v>
      </c>
      <c r="AG777" s="3" t="str">
        <f>IF(COUNTIF(A:A,Table1[[#This Row],[Opp Team Name]]) &gt; 0, "N", "Y")</f>
        <v>Y</v>
      </c>
      <c r="AH777" s="3" t="str">
        <f>IF(Table1[[#This Row],[Passing Attempts]] &lt;15, "Y", "N")</f>
        <v>N</v>
      </c>
      <c r="AI777" s="3" t="str">
        <f>IF(Table1[[#This Row],[Rushing Attempts]] &lt; 15, "Y", "N")</f>
        <v>N</v>
      </c>
      <c r="AJ777" s="3" t="str">
        <f>IF(Table1[[#This Row],[Opp Passing Attempts]]&lt;15, "Y", "N")</f>
        <v>N</v>
      </c>
      <c r="AK777" s="3" t="str">
        <f>IF(Table1[[#This Row],[Opp Rushing Attempts]]&lt;15, "Y", "N")</f>
        <v>N</v>
      </c>
      <c r="AL77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7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7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77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77" s="3">
        <f>ABS(Table1[[#This Row],[Team Score]]-Table1[[#This Row],[Opp Team Score]])</f>
        <v>17</v>
      </c>
      <c r="AQ777" s="3">
        <f>SUM(Table1[[#This Row],[Team Score]], Table1[[#This Row],[Opp Team Score]])</f>
        <v>37</v>
      </c>
      <c r="AR77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77" s="3" t="str">
        <f>IF(Table1[[#This Row],[Efficiency Difference]] = " ", " ", ROUND((Table1[[#This Row],[Winning Margin]]*100)/Table1[[#This Row],[Efficiency Difference]], 2))</f>
        <v xml:space="preserve"> </v>
      </c>
    </row>
    <row r="778" spans="1:45">
      <c r="A778" t="s">
        <v>146</v>
      </c>
      <c r="B778">
        <v>732</v>
      </c>
      <c r="C778">
        <v>14</v>
      </c>
      <c r="D778">
        <v>238</v>
      </c>
      <c r="E778">
        <v>46</v>
      </c>
      <c r="F778">
        <v>1</v>
      </c>
      <c r="G778">
        <v>23</v>
      </c>
      <c r="H778">
        <v>0</v>
      </c>
      <c r="I778">
        <v>81</v>
      </c>
      <c r="J778">
        <v>25</v>
      </c>
      <c r="K778">
        <v>1</v>
      </c>
      <c r="L778">
        <v>1</v>
      </c>
      <c r="M778" t="s">
        <v>103</v>
      </c>
      <c r="N778">
        <v>657</v>
      </c>
      <c r="O778">
        <v>23</v>
      </c>
      <c r="P778">
        <v>264</v>
      </c>
      <c r="Q778">
        <v>32</v>
      </c>
      <c r="R778">
        <v>1</v>
      </c>
      <c r="S778">
        <v>20</v>
      </c>
      <c r="T778">
        <v>1</v>
      </c>
      <c r="U778">
        <v>152</v>
      </c>
      <c r="V778">
        <v>39</v>
      </c>
      <c r="W778">
        <v>1</v>
      </c>
      <c r="X778">
        <v>2</v>
      </c>
      <c r="Y778" t="s">
        <v>19</v>
      </c>
      <c r="Z778">
        <v>2</v>
      </c>
      <c r="AA778">
        <f>IF(AND(Table1[[#This Row],[Throw Out Pass Eff]]="N", Table1[[#This Row],[Against FCS Team]]="N"), ROUND(((5.45 * D778) + (150 * F778) + (100 * G778) - (300 * H778)) / E778, 2), " ")</f>
        <v>81.459999999999994</v>
      </c>
      <c r="AB778">
        <f>IF(AND(Table1[[#This Row],[Throw Out Pass Def Eff]]="N", Table1[[#This Row],[Against FCS Team]]="N"),200 - ROUND(((5.45 * P778) + (150 * R778) + (100 * S778) - (300 * T778)) / Q778, 2), " ")</f>
        <v>97.22</v>
      </c>
      <c r="AC778">
        <f>IF(AND(Table1[[#This Row],[Throw Out Rush Eff]]="N", Table1[[#This Row],[Against FCS Team]]="N"), ROUND(((23.2 * I778) + (150 * K778) - (300 * L778)) / J778, 2), " ")</f>
        <v>69.17</v>
      </c>
      <c r="AD778" s="3">
        <f>IF(AND(Table1[[#This Row],[Throw Out Rush Def Eff]]="N", Table1[[#This Row],[Against FCS Team]]="N"), 200 - ROUND(((23.2 * U778) + (150 * W778) - (300 * X778)) / V778, 2), " ")</f>
        <v>121.12</v>
      </c>
      <c r="AE778" s="3">
        <f>ROUND(Table1[[#This Row],[Opp Passing Attempts]]/(Table1[[#This Row],[Opp Passing Attempts]]+Table1[[#This Row],[Opp Rushing Attempts]]), 2)</f>
        <v>0.45</v>
      </c>
      <c r="AF778" s="3">
        <f>1-Table1[[#This Row],[Passing Weight]]</f>
        <v>0.55000000000000004</v>
      </c>
      <c r="AG778" s="3" t="str">
        <f>IF(COUNTIF(A:A,Table1[[#This Row],[Opp Team Name]]) &gt; 0, "N", "Y")</f>
        <v>N</v>
      </c>
      <c r="AH778" s="3" t="str">
        <f>IF(Table1[[#This Row],[Passing Attempts]] &lt;15, "Y", "N")</f>
        <v>N</v>
      </c>
      <c r="AI778" s="3" t="str">
        <f>IF(Table1[[#This Row],[Rushing Attempts]] &lt; 15, "Y", "N")</f>
        <v>N</v>
      </c>
      <c r="AJ778" s="3" t="str">
        <f>IF(Table1[[#This Row],[Opp Passing Attempts]]&lt;15, "Y", "N")</f>
        <v>N</v>
      </c>
      <c r="AK778" s="3" t="str">
        <f>IF(Table1[[#This Row],[Opp Rushing Attempts]]&lt;15, "Y", "N")</f>
        <v>N</v>
      </c>
      <c r="AL7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82.79</v>
      </c>
      <c r="AM7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112.22</v>
      </c>
      <c r="AN7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86.45</v>
      </c>
      <c r="AO7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111.1</v>
      </c>
      <c r="AP778" s="3">
        <f>ABS(Table1[[#This Row],[Team Score]]-Table1[[#This Row],[Opp Team Score]])</f>
        <v>9</v>
      </c>
      <c r="AQ778" s="3">
        <f>SUM(Table1[[#This Row],[Team Score]], Table1[[#This Row],[Opp Team Score]])</f>
        <v>37</v>
      </c>
      <c r="AR7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31.03</v>
      </c>
      <c r="AS778" s="3">
        <f>IF(Table1[[#This Row],[Efficiency Difference]] = " ", " ", ROUND((Table1[[#This Row],[Winning Margin]]*100)/Table1[[#This Row],[Efficiency Difference]], 2))</f>
        <v>29</v>
      </c>
    </row>
    <row r="779" spans="1:45">
      <c r="A779" t="s">
        <v>146</v>
      </c>
      <c r="B779">
        <v>732</v>
      </c>
      <c r="C779">
        <v>54</v>
      </c>
      <c r="D779">
        <v>239</v>
      </c>
      <c r="E779">
        <v>31</v>
      </c>
      <c r="F779">
        <v>2</v>
      </c>
      <c r="G779">
        <v>16</v>
      </c>
      <c r="H779">
        <v>1</v>
      </c>
      <c r="I779">
        <v>242</v>
      </c>
      <c r="J779">
        <v>38</v>
      </c>
      <c r="K779">
        <v>3</v>
      </c>
      <c r="L779">
        <v>1</v>
      </c>
      <c r="M779" t="s">
        <v>46</v>
      </c>
      <c r="N779">
        <v>77</v>
      </c>
      <c r="O779">
        <v>10</v>
      </c>
      <c r="P779">
        <v>343</v>
      </c>
      <c r="Q779">
        <v>56</v>
      </c>
      <c r="R779">
        <v>1</v>
      </c>
      <c r="S779">
        <v>30</v>
      </c>
      <c r="T779">
        <v>1</v>
      </c>
      <c r="U779">
        <v>11</v>
      </c>
      <c r="V779">
        <v>22</v>
      </c>
      <c r="W779">
        <v>0</v>
      </c>
      <c r="X779">
        <v>6</v>
      </c>
      <c r="Y779" t="s">
        <v>16</v>
      </c>
      <c r="Z779">
        <v>3</v>
      </c>
      <c r="AA779">
        <f>IF(AND(Table1[[#This Row],[Throw Out Pass Eff]]="N", Table1[[#This Row],[Against FCS Team]]="N"), ROUND(((5.45 * D779) + (150 * F779) + (100 * G779) - (300 * H779)) / E779, 2), " ")</f>
        <v>93.63</v>
      </c>
      <c r="AB779">
        <f>IF(AND(Table1[[#This Row],[Throw Out Pass Def Eff]]="N", Table1[[#This Row],[Against FCS Team]]="N"),200 - ROUND(((5.45 * P779) + (150 * R779) + (100 * S779) - (300 * T779)) / Q779, 2), " ")</f>
        <v>115.73</v>
      </c>
      <c r="AC779">
        <f>IF(AND(Table1[[#This Row],[Throw Out Rush Eff]]="N", Table1[[#This Row],[Against FCS Team]]="N"), ROUND(((23.2 * I779) + (150 * K779) - (300 * L779)) / J779, 2), " ")</f>
        <v>151.69</v>
      </c>
      <c r="AD779" s="3">
        <f>IF(AND(Table1[[#This Row],[Throw Out Rush Def Eff]]="N", Table1[[#This Row],[Against FCS Team]]="N"), 200 - ROUND(((23.2 * U779) + (150 * W779) - (300 * X779)) / V779, 2), " ")</f>
        <v>270.22000000000003</v>
      </c>
      <c r="AE779" s="3">
        <f>ROUND(Table1[[#This Row],[Opp Passing Attempts]]/(Table1[[#This Row],[Opp Passing Attempts]]+Table1[[#This Row],[Opp Rushing Attempts]]), 2)</f>
        <v>0.72</v>
      </c>
      <c r="AF779" s="3">
        <f>1-Table1[[#This Row],[Passing Weight]]</f>
        <v>0.28000000000000003</v>
      </c>
      <c r="AG779" s="3" t="str">
        <f>IF(COUNTIF(A:A,Table1[[#This Row],[Opp Team Name]]) &gt; 0, "N", "Y")</f>
        <v>N</v>
      </c>
      <c r="AH779" s="3" t="str">
        <f>IF(Table1[[#This Row],[Passing Attempts]] &lt;15, "Y", "N")</f>
        <v>N</v>
      </c>
      <c r="AI779" s="3" t="str">
        <f>IF(Table1[[#This Row],[Rushing Attempts]] &lt; 15, "Y", "N")</f>
        <v>N</v>
      </c>
      <c r="AJ779" s="3" t="str">
        <f>IF(Table1[[#This Row],[Opp Passing Attempts]]&lt;15, "Y", "N")</f>
        <v>N</v>
      </c>
      <c r="AK779" s="3" t="str">
        <f>IF(Table1[[#This Row],[Opp Rushing Attempts]]&lt;15, "Y", "N")</f>
        <v>N</v>
      </c>
      <c r="AL7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103.67</v>
      </c>
      <c r="AM7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100.88</v>
      </c>
      <c r="AN7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168.59</v>
      </c>
      <c r="AO7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188.34</v>
      </c>
      <c r="AP779" s="3">
        <f>ABS(Table1[[#This Row],[Team Score]]-Table1[[#This Row],[Opp Team Score]])</f>
        <v>44</v>
      </c>
      <c r="AQ779" s="3">
        <f>SUM(Table1[[#This Row],[Team Score]], Table1[[#This Row],[Opp Team Score]])</f>
        <v>64</v>
      </c>
      <c r="AR7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231.27000000000004</v>
      </c>
      <c r="AS779" s="3">
        <f>IF(Table1[[#This Row],[Efficiency Difference]] = " ", " ", ROUND((Table1[[#This Row],[Winning Margin]]*100)/Table1[[#This Row],[Efficiency Difference]], 2))</f>
        <v>19.03</v>
      </c>
    </row>
    <row r="780" spans="1:45">
      <c r="A780" t="s">
        <v>146</v>
      </c>
      <c r="B780">
        <v>732</v>
      </c>
      <c r="C780">
        <v>14</v>
      </c>
      <c r="D780">
        <v>305</v>
      </c>
      <c r="E780">
        <v>33</v>
      </c>
      <c r="F780">
        <v>2</v>
      </c>
      <c r="G780">
        <v>22</v>
      </c>
      <c r="H780">
        <v>2</v>
      </c>
      <c r="I780">
        <v>17</v>
      </c>
      <c r="J780">
        <v>23</v>
      </c>
      <c r="K780">
        <v>0</v>
      </c>
      <c r="L780">
        <v>3</v>
      </c>
      <c r="M780" t="s">
        <v>158</v>
      </c>
      <c r="N780">
        <v>756</v>
      </c>
      <c r="O780">
        <v>31</v>
      </c>
      <c r="P780">
        <v>226</v>
      </c>
      <c r="Q780">
        <v>30</v>
      </c>
      <c r="R780">
        <v>3</v>
      </c>
      <c r="S780">
        <v>22</v>
      </c>
      <c r="T780">
        <v>1</v>
      </c>
      <c r="U780">
        <v>185</v>
      </c>
      <c r="V780">
        <v>42</v>
      </c>
      <c r="W780">
        <v>0</v>
      </c>
      <c r="X780">
        <v>0</v>
      </c>
      <c r="Y780" t="s">
        <v>19</v>
      </c>
      <c r="Z780">
        <v>5</v>
      </c>
      <c r="AA780">
        <f>IF(AND(Table1[[#This Row],[Throw Out Pass Eff]]="N", Table1[[#This Row],[Against FCS Team]]="N"), ROUND(((5.45 * D780) + (150 * F780) + (100 * G780) - (300 * H780)) / E780, 2), " ")</f>
        <v>107.95</v>
      </c>
      <c r="AB780">
        <f>IF(AND(Table1[[#This Row],[Throw Out Pass Def Eff]]="N", Table1[[#This Row],[Against FCS Team]]="N"),200 - ROUND(((5.45 * P780) + (150 * R780) + (100 * S780) - (300 * T780)) / Q780, 2), " ")</f>
        <v>80.61</v>
      </c>
      <c r="AC780">
        <f>IF(AND(Table1[[#This Row],[Throw Out Rush Eff]]="N", Table1[[#This Row],[Against FCS Team]]="N"), ROUND(((23.2 * I780) + (150 * K780) - (300 * L780)) / J780, 2), " ")</f>
        <v>-21.98</v>
      </c>
      <c r="AD780" s="3">
        <f>IF(AND(Table1[[#This Row],[Throw Out Rush Def Eff]]="N", Table1[[#This Row],[Against FCS Team]]="N"), 200 - ROUND(((23.2 * U780) + (150 * W780) - (300 * X780)) / V780, 2), " ")</f>
        <v>97.81</v>
      </c>
      <c r="AE780" s="3">
        <f>ROUND(Table1[[#This Row],[Opp Passing Attempts]]/(Table1[[#This Row],[Opp Passing Attempts]]+Table1[[#This Row],[Opp Rushing Attempts]]), 2)</f>
        <v>0.42</v>
      </c>
      <c r="AF780" s="3">
        <f>1-Table1[[#This Row],[Passing Weight]]</f>
        <v>0.58000000000000007</v>
      </c>
      <c r="AG780" s="3" t="str">
        <f>IF(COUNTIF(A:A,Table1[[#This Row],[Opp Team Name]]) &gt; 0, "N", "Y")</f>
        <v>N</v>
      </c>
      <c r="AH780" s="3" t="str">
        <f>IF(Table1[[#This Row],[Passing Attempts]] &lt;15, "Y", "N")</f>
        <v>N</v>
      </c>
      <c r="AI780" s="3" t="str">
        <f>IF(Table1[[#This Row],[Rushing Attempts]] &lt; 15, "Y", "N")</f>
        <v>N</v>
      </c>
      <c r="AJ780" s="3" t="str">
        <f>IF(Table1[[#This Row],[Opp Passing Attempts]]&lt;15, "Y", "N")</f>
        <v>N</v>
      </c>
      <c r="AK780" s="3" t="str">
        <f>IF(Table1[[#This Row],[Opp Rushing Attempts]]&lt;15, "Y", "N")</f>
        <v>N</v>
      </c>
      <c r="AL7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101.3</v>
      </c>
      <c r="AM7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101.36</v>
      </c>
      <c r="AN7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-22.87</v>
      </c>
      <c r="AO7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115.58</v>
      </c>
      <c r="AP780" s="3">
        <f>ABS(Table1[[#This Row],[Team Score]]-Table1[[#This Row],[Opp Team Score]])</f>
        <v>17</v>
      </c>
      <c r="AQ780" s="3">
        <f>SUM(Table1[[#This Row],[Team Score]], Table1[[#This Row],[Opp Team Score]])</f>
        <v>45</v>
      </c>
      <c r="AR7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135.60999999999999</v>
      </c>
      <c r="AS780" s="3">
        <f>IF(Table1[[#This Row],[Efficiency Difference]] = " ", " ", ROUND((Table1[[#This Row],[Winning Margin]]*100)/Table1[[#This Row],[Efficiency Difference]], 2))</f>
        <v>12.54</v>
      </c>
    </row>
    <row r="781" spans="1:45">
      <c r="A781" t="s">
        <v>146</v>
      </c>
      <c r="B781">
        <v>732</v>
      </c>
      <c r="C781">
        <v>14</v>
      </c>
      <c r="D781">
        <v>199</v>
      </c>
      <c r="E781">
        <v>30</v>
      </c>
      <c r="F781">
        <v>1</v>
      </c>
      <c r="G781">
        <v>18</v>
      </c>
      <c r="H781">
        <v>3</v>
      </c>
      <c r="I781">
        <v>121</v>
      </c>
      <c r="J781">
        <v>30</v>
      </c>
      <c r="K781">
        <v>1</v>
      </c>
      <c r="L781">
        <v>2</v>
      </c>
      <c r="M781" t="s">
        <v>24</v>
      </c>
      <c r="N781">
        <v>28</v>
      </c>
      <c r="O781">
        <v>35</v>
      </c>
      <c r="P781">
        <v>325</v>
      </c>
      <c r="Q781">
        <v>41</v>
      </c>
      <c r="R781">
        <v>3</v>
      </c>
      <c r="S781">
        <v>25</v>
      </c>
      <c r="T781">
        <v>0</v>
      </c>
      <c r="U781">
        <v>74</v>
      </c>
      <c r="V781">
        <v>38</v>
      </c>
      <c r="W781">
        <v>1</v>
      </c>
      <c r="X781">
        <v>0</v>
      </c>
      <c r="Y781" t="s">
        <v>19</v>
      </c>
      <c r="Z781">
        <v>6</v>
      </c>
      <c r="AA781">
        <f>IF(AND(Table1[[#This Row],[Throw Out Pass Eff]]="N", Table1[[#This Row],[Against FCS Team]]="N"), ROUND(((5.45 * D781) + (150 * F781) + (100 * G781) - (300 * H781)) / E781, 2), " ")</f>
        <v>71.150000000000006</v>
      </c>
      <c r="AB781">
        <f>IF(AND(Table1[[#This Row],[Throw Out Pass Def Eff]]="N", Table1[[#This Row],[Against FCS Team]]="N"),200 - ROUND(((5.45 * P781) + (150 * R781) + (100 * S781) - (300 * T781)) / Q781, 2), " ")</f>
        <v>84.85</v>
      </c>
      <c r="AC781">
        <f>IF(AND(Table1[[#This Row],[Throw Out Rush Eff]]="N", Table1[[#This Row],[Against FCS Team]]="N"), ROUND(((23.2 * I781) + (150 * K781) - (300 * L781)) / J781, 2), " ")</f>
        <v>78.569999999999993</v>
      </c>
      <c r="AD781" s="3">
        <f>IF(AND(Table1[[#This Row],[Throw Out Rush Def Eff]]="N", Table1[[#This Row],[Against FCS Team]]="N"), 200 - ROUND(((23.2 * U781) + (150 * W781) - (300 * X781)) / V781, 2), " ")</f>
        <v>150.87</v>
      </c>
      <c r="AE781" s="3">
        <f>ROUND(Table1[[#This Row],[Opp Passing Attempts]]/(Table1[[#This Row],[Opp Passing Attempts]]+Table1[[#This Row],[Opp Rushing Attempts]]), 2)</f>
        <v>0.52</v>
      </c>
      <c r="AF781" s="3">
        <f>1-Table1[[#This Row],[Passing Weight]]</f>
        <v>0.48</v>
      </c>
      <c r="AG781" s="3" t="str">
        <f>IF(COUNTIF(A:A,Table1[[#This Row],[Opp Team Name]]) &gt; 0, "N", "Y")</f>
        <v>N</v>
      </c>
      <c r="AH781" s="3" t="str">
        <f>IF(Table1[[#This Row],[Passing Attempts]] &lt;15, "Y", "N")</f>
        <v>N</v>
      </c>
      <c r="AI781" s="3" t="str">
        <f>IF(Table1[[#This Row],[Rushing Attempts]] &lt; 15, "Y", "N")</f>
        <v>N</v>
      </c>
      <c r="AJ781" s="3" t="str">
        <f>IF(Table1[[#This Row],[Opp Passing Attempts]]&lt;15, "Y", "N")</f>
        <v>N</v>
      </c>
      <c r="AK781" s="3" t="str">
        <f>IF(Table1[[#This Row],[Opp Rushing Attempts]]&lt;15, "Y", "N")</f>
        <v>N</v>
      </c>
      <c r="AL78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74.97</v>
      </c>
      <c r="AM78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94.42</v>
      </c>
      <c r="AN78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80.319999999999993</v>
      </c>
      <c r="AO78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136.01</v>
      </c>
      <c r="AP781" s="3">
        <f>ABS(Table1[[#This Row],[Team Score]]-Table1[[#This Row],[Opp Team Score]])</f>
        <v>21</v>
      </c>
      <c r="AQ781" s="3">
        <f>SUM(Table1[[#This Row],[Team Score]], Table1[[#This Row],[Opp Team Score]])</f>
        <v>49</v>
      </c>
      <c r="AR78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14.560000000000002</v>
      </c>
      <c r="AS781" s="3">
        <f>IF(Table1[[#This Row],[Efficiency Difference]] = " ", " ", ROUND((Table1[[#This Row],[Winning Margin]]*100)/Table1[[#This Row],[Efficiency Difference]], 2))</f>
        <v>144.22999999999999</v>
      </c>
    </row>
    <row r="782" spans="1:45">
      <c r="A782" t="s">
        <v>146</v>
      </c>
      <c r="B782">
        <v>732</v>
      </c>
      <c r="C782">
        <v>26</v>
      </c>
      <c r="D782">
        <v>127</v>
      </c>
      <c r="E782">
        <v>23</v>
      </c>
      <c r="F782">
        <v>1</v>
      </c>
      <c r="G782">
        <v>14</v>
      </c>
      <c r="H782">
        <v>0</v>
      </c>
      <c r="I782">
        <v>124</v>
      </c>
      <c r="J782">
        <v>52</v>
      </c>
      <c r="K782">
        <v>0</v>
      </c>
      <c r="L782">
        <v>0</v>
      </c>
      <c r="M782" t="s">
        <v>45</v>
      </c>
      <c r="N782">
        <v>545</v>
      </c>
      <c r="O782">
        <v>14</v>
      </c>
      <c r="P782">
        <v>50</v>
      </c>
      <c r="Q782">
        <v>30</v>
      </c>
      <c r="R782">
        <v>0</v>
      </c>
      <c r="S782">
        <v>9</v>
      </c>
      <c r="T782">
        <v>2</v>
      </c>
      <c r="U782">
        <v>70</v>
      </c>
      <c r="V782">
        <v>31</v>
      </c>
      <c r="W782">
        <v>0</v>
      </c>
      <c r="X782">
        <v>1</v>
      </c>
      <c r="Y782" t="s">
        <v>16</v>
      </c>
      <c r="Z782">
        <v>7</v>
      </c>
      <c r="AA782">
        <f>IF(AND(Table1[[#This Row],[Throw Out Pass Eff]]="N", Table1[[#This Row],[Against FCS Team]]="N"), ROUND(((5.45 * D782) + (150 * F782) + (100 * G782) - (300 * H782)) / E782, 2), " ")</f>
        <v>97.48</v>
      </c>
      <c r="AB782">
        <f>IF(AND(Table1[[#This Row],[Throw Out Pass Def Eff]]="N", Table1[[#This Row],[Against FCS Team]]="N"),200 - ROUND(((5.45 * P782) + (150 * R782) + (100 * S782) - (300 * T782)) / Q782, 2), " ")</f>
        <v>180.92000000000002</v>
      </c>
      <c r="AC782">
        <f>IF(AND(Table1[[#This Row],[Throw Out Rush Eff]]="N", Table1[[#This Row],[Against FCS Team]]="N"), ROUND(((23.2 * I782) + (150 * K782) - (300 * L782)) / J782, 2), " ")</f>
        <v>55.32</v>
      </c>
      <c r="AD782" s="3">
        <f>IF(AND(Table1[[#This Row],[Throw Out Rush Def Eff]]="N", Table1[[#This Row],[Against FCS Team]]="N"), 200 - ROUND(((23.2 * U782) + (150 * W782) - (300 * X782)) / V782, 2), " ")</f>
        <v>157.29</v>
      </c>
      <c r="AE782" s="3">
        <f>ROUND(Table1[[#This Row],[Opp Passing Attempts]]/(Table1[[#This Row],[Opp Passing Attempts]]+Table1[[#This Row],[Opp Rushing Attempts]]), 2)</f>
        <v>0.49</v>
      </c>
      <c r="AF782" s="3">
        <f>1-Table1[[#This Row],[Passing Weight]]</f>
        <v>0.51</v>
      </c>
      <c r="AG782" s="3" t="str">
        <f>IF(COUNTIF(A:A,Table1[[#This Row],[Opp Team Name]]) &gt; 0, "N", "Y")</f>
        <v>N</v>
      </c>
      <c r="AH782" s="3" t="str">
        <f>IF(Table1[[#This Row],[Passing Attempts]] &lt;15, "Y", "N")</f>
        <v>N</v>
      </c>
      <c r="AI782" s="3" t="str">
        <f>IF(Table1[[#This Row],[Rushing Attempts]] &lt; 15, "Y", "N")</f>
        <v>N</v>
      </c>
      <c r="AJ782" s="3" t="str">
        <f>IF(Table1[[#This Row],[Opp Passing Attempts]]&lt;15, "Y", "N")</f>
        <v>N</v>
      </c>
      <c r="AK782" s="3" t="str">
        <f>IF(Table1[[#This Row],[Opp Rushing Attempts]]&lt;15, "Y", "N")</f>
        <v>N</v>
      </c>
      <c r="AL78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103.07</v>
      </c>
      <c r="AM78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142.16</v>
      </c>
      <c r="AN78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66.400000000000006</v>
      </c>
      <c r="AO78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145.07</v>
      </c>
      <c r="AP782" s="3">
        <f>ABS(Table1[[#This Row],[Team Score]]-Table1[[#This Row],[Opp Team Score]])</f>
        <v>12</v>
      </c>
      <c r="AQ782" s="3">
        <f>SUM(Table1[[#This Row],[Team Score]], Table1[[#This Row],[Opp Team Score]])</f>
        <v>40</v>
      </c>
      <c r="AR78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91.010000000000048</v>
      </c>
      <c r="AS782" s="3">
        <f>IF(Table1[[#This Row],[Efficiency Difference]] = " ", " ", ROUND((Table1[[#This Row],[Winning Margin]]*100)/Table1[[#This Row],[Efficiency Difference]], 2))</f>
        <v>13.19</v>
      </c>
    </row>
    <row r="783" spans="1:45">
      <c r="A783" t="s">
        <v>146</v>
      </c>
      <c r="B783">
        <v>732</v>
      </c>
      <c r="C783">
        <v>10</v>
      </c>
      <c r="D783">
        <v>165</v>
      </c>
      <c r="E783">
        <v>24</v>
      </c>
      <c r="F783">
        <v>0</v>
      </c>
      <c r="G783">
        <v>12</v>
      </c>
      <c r="H783">
        <v>3</v>
      </c>
      <c r="I783">
        <v>13</v>
      </c>
      <c r="J783">
        <v>26</v>
      </c>
      <c r="K783">
        <v>1</v>
      </c>
      <c r="L783">
        <v>1</v>
      </c>
      <c r="M783" t="s">
        <v>48</v>
      </c>
      <c r="N783">
        <v>107</v>
      </c>
      <c r="O783">
        <v>34</v>
      </c>
      <c r="P783">
        <v>255</v>
      </c>
      <c r="Q783">
        <v>29</v>
      </c>
      <c r="R783">
        <v>1</v>
      </c>
      <c r="S783">
        <v>19</v>
      </c>
      <c r="T783">
        <v>0</v>
      </c>
      <c r="U783">
        <v>129</v>
      </c>
      <c r="V783">
        <v>42</v>
      </c>
      <c r="W783">
        <v>2</v>
      </c>
      <c r="X783">
        <v>0</v>
      </c>
      <c r="Y783" t="s">
        <v>19</v>
      </c>
      <c r="Z783">
        <v>8</v>
      </c>
      <c r="AA783" s="3">
        <f>IF(AND(Table1[[#This Row],[Throw Out Pass Eff]]="N", Table1[[#This Row],[Against FCS Team]]="N"), ROUND(((5.45 * D783) + (150 * F783) + (100 * G783) - (300 * H783)) / E783, 2), " ")</f>
        <v>49.97</v>
      </c>
      <c r="AB783" s="3">
        <f>IF(AND(Table1[[#This Row],[Throw Out Pass Def Eff]]="N", Table1[[#This Row],[Against FCS Team]]="N"),200 - ROUND(((5.45 * P783) + (150 * R783) + (100 * S783) - (300 * T783)) / Q783, 2), " ")</f>
        <v>81.39</v>
      </c>
      <c r="AC783" s="3">
        <f>IF(AND(Table1[[#This Row],[Throw Out Rush Eff]]="N", Table1[[#This Row],[Against FCS Team]]="N"), ROUND(((23.2 * I783) + (150 * K783) - (300 * L783)) / J783, 2), " ")</f>
        <v>5.83</v>
      </c>
      <c r="AD783" s="3">
        <f>IF(AND(Table1[[#This Row],[Throw Out Rush Def Eff]]="N", Table1[[#This Row],[Against FCS Team]]="N"), 200 - ROUND(((23.2 * U783) + (150 * W783) - (300 * X783)) / V783, 2), " ")</f>
        <v>121.6</v>
      </c>
      <c r="AE783" s="3">
        <f>ROUND(Table1[[#This Row],[Opp Passing Attempts]]/(Table1[[#This Row],[Opp Passing Attempts]]+Table1[[#This Row],[Opp Rushing Attempts]]), 2)</f>
        <v>0.41</v>
      </c>
      <c r="AF783" s="3">
        <f>1-Table1[[#This Row],[Passing Weight]]</f>
        <v>0.59000000000000008</v>
      </c>
      <c r="AG783" s="3" t="str">
        <f>IF(COUNTIF(A:A,Table1[[#This Row],[Opp Team Name]]) &gt; 0, "N", "Y")</f>
        <v>N</v>
      </c>
      <c r="AH783" s="3" t="str">
        <f>IF(Table1[[#This Row],[Passing Attempts]] &lt;15, "Y", "N")</f>
        <v>N</v>
      </c>
      <c r="AI783" s="3" t="str">
        <f>IF(Table1[[#This Row],[Rushing Attempts]] &lt; 15, "Y", "N")</f>
        <v>N</v>
      </c>
      <c r="AJ783" s="3" t="str">
        <f>IF(Table1[[#This Row],[Opp Passing Attempts]]&lt;15, "Y", "N")</f>
        <v>N</v>
      </c>
      <c r="AK783" s="3" t="str">
        <f>IF(Table1[[#This Row],[Opp Rushing Attempts]]&lt;15, "Y", "N")</f>
        <v>N</v>
      </c>
      <c r="AL78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49.76</v>
      </c>
      <c r="AM78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76.2</v>
      </c>
      <c r="AN78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7.34</v>
      </c>
      <c r="AO78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96.53</v>
      </c>
      <c r="AP783" s="3">
        <f>ABS(Table1[[#This Row],[Team Score]]-Table1[[#This Row],[Opp Team Score]])</f>
        <v>24</v>
      </c>
      <c r="AQ783" s="3">
        <f>SUM(Table1[[#This Row],[Team Score]], Table1[[#This Row],[Opp Team Score]])</f>
        <v>44</v>
      </c>
      <c r="AR78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141.20999999999998</v>
      </c>
      <c r="AS783" s="3">
        <f>IF(Table1[[#This Row],[Efficiency Difference]] = " ", " ", ROUND((Table1[[#This Row],[Winning Margin]]*100)/Table1[[#This Row],[Efficiency Difference]], 2))</f>
        <v>17</v>
      </c>
    </row>
    <row r="784" spans="1:45">
      <c r="A784" t="s">
        <v>33</v>
      </c>
      <c r="B784">
        <v>731</v>
      </c>
      <c r="C784">
        <v>54</v>
      </c>
      <c r="D784">
        <v>195</v>
      </c>
      <c r="E784">
        <v>17</v>
      </c>
      <c r="F784">
        <v>2</v>
      </c>
      <c r="G784">
        <v>12</v>
      </c>
      <c r="H784">
        <v>0</v>
      </c>
      <c r="I784">
        <v>440</v>
      </c>
      <c r="J784">
        <v>47</v>
      </c>
      <c r="K784">
        <v>5</v>
      </c>
      <c r="L784">
        <v>2</v>
      </c>
      <c r="M784" t="s">
        <v>163</v>
      </c>
      <c r="N784">
        <v>758</v>
      </c>
      <c r="O784">
        <v>17</v>
      </c>
      <c r="P784">
        <v>167</v>
      </c>
      <c r="Q784">
        <v>36</v>
      </c>
      <c r="R784">
        <v>1</v>
      </c>
      <c r="S784">
        <v>22</v>
      </c>
      <c r="T784">
        <v>0</v>
      </c>
      <c r="U784">
        <v>46</v>
      </c>
      <c r="V784">
        <v>33</v>
      </c>
      <c r="W784">
        <v>1</v>
      </c>
      <c r="X784">
        <v>1</v>
      </c>
      <c r="Y784" t="s">
        <v>16</v>
      </c>
      <c r="Z784">
        <v>2</v>
      </c>
      <c r="AA784" t="str">
        <f>IF(AND(Table1[[#This Row],[Throw Out Pass Eff]]="N", Table1[[#This Row],[Against FCS Team]]="N"), ROUND(((5.45 * D784) + (150 * F784) + (100 * G784) - (300 * H784)) / E784, 2), " ")</f>
        <v xml:space="preserve"> </v>
      </c>
      <c r="AB784" t="str">
        <f>IF(AND(Table1[[#This Row],[Throw Out Pass Def Eff]]="N", Table1[[#This Row],[Against FCS Team]]="N"),200 - ROUND(((5.45 * P784) + (150 * R784) + (100 * S784) - (300 * T784)) / Q784, 2), " ")</f>
        <v xml:space="preserve"> </v>
      </c>
      <c r="AC784" t="str">
        <f>IF(AND(Table1[[#This Row],[Throw Out Rush Eff]]="N", Table1[[#This Row],[Against FCS Team]]="N"), ROUND(((23.2 * I784) + (150 * K784) - (300 * L784)) / J784, 2), " ")</f>
        <v xml:space="preserve"> </v>
      </c>
      <c r="AD784" s="3" t="str">
        <f>IF(AND(Table1[[#This Row],[Throw Out Rush Def Eff]]="N", Table1[[#This Row],[Against FCS Team]]="N"), 200 - ROUND(((23.2 * U784) + (150 * W784) - (300 * X784)) / V784, 2), " ")</f>
        <v xml:space="preserve"> </v>
      </c>
      <c r="AE784" s="3">
        <f>ROUND(Table1[[#This Row],[Opp Passing Attempts]]/(Table1[[#This Row],[Opp Passing Attempts]]+Table1[[#This Row],[Opp Rushing Attempts]]), 2)</f>
        <v>0.52</v>
      </c>
      <c r="AF784" s="3">
        <f>1-Table1[[#This Row],[Passing Weight]]</f>
        <v>0.48</v>
      </c>
      <c r="AG784" s="3" t="str">
        <f>IF(COUNTIF(A:A,Table1[[#This Row],[Opp Team Name]]) &gt; 0, "N", "Y")</f>
        <v>Y</v>
      </c>
      <c r="AH784" s="3" t="str">
        <f>IF(Table1[[#This Row],[Passing Attempts]] &lt;15, "Y", "N")</f>
        <v>N</v>
      </c>
      <c r="AI784" s="3" t="str">
        <f>IF(Table1[[#This Row],[Rushing Attempts]] &lt; 15, "Y", "N")</f>
        <v>N</v>
      </c>
      <c r="AJ784" s="3" t="str">
        <f>IF(Table1[[#This Row],[Opp Passing Attempts]]&lt;15, "Y", "N")</f>
        <v>N</v>
      </c>
      <c r="AK784" s="3" t="str">
        <f>IF(Table1[[#This Row],[Opp Rushing Attempts]]&lt;15, "Y", "N")</f>
        <v>N</v>
      </c>
      <c r="AL78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8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8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8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84" s="3">
        <f>ABS(Table1[[#This Row],[Team Score]]-Table1[[#This Row],[Opp Team Score]])</f>
        <v>37</v>
      </c>
      <c r="AQ784" s="3">
        <f>SUM(Table1[[#This Row],[Team Score]], Table1[[#This Row],[Opp Team Score]])</f>
        <v>71</v>
      </c>
      <c r="AR78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84" s="3" t="str">
        <f>IF(Table1[[#This Row],[Efficiency Difference]] = " ", " ", ROUND((Table1[[#This Row],[Winning Margin]]*100)/Table1[[#This Row],[Efficiency Difference]], 2))</f>
        <v xml:space="preserve"> </v>
      </c>
    </row>
    <row r="785" spans="1:45">
      <c r="A785" t="s">
        <v>33</v>
      </c>
      <c r="B785">
        <v>731</v>
      </c>
      <c r="C785">
        <v>38</v>
      </c>
      <c r="D785">
        <v>221</v>
      </c>
      <c r="E785">
        <v>31</v>
      </c>
      <c r="F785">
        <v>0</v>
      </c>
      <c r="G785">
        <v>22</v>
      </c>
      <c r="H785">
        <v>0</v>
      </c>
      <c r="I785">
        <v>227</v>
      </c>
      <c r="J785">
        <v>53</v>
      </c>
      <c r="K785">
        <v>5</v>
      </c>
      <c r="L785">
        <v>0</v>
      </c>
      <c r="M785" t="s">
        <v>32</v>
      </c>
      <c r="N785">
        <v>37</v>
      </c>
      <c r="O785">
        <v>42</v>
      </c>
      <c r="P785">
        <v>286</v>
      </c>
      <c r="Q785">
        <v>24</v>
      </c>
      <c r="R785">
        <v>3</v>
      </c>
      <c r="S785">
        <v>18</v>
      </c>
      <c r="T785">
        <v>0</v>
      </c>
      <c r="U785">
        <v>78</v>
      </c>
      <c r="V785">
        <v>30</v>
      </c>
      <c r="W785">
        <v>2</v>
      </c>
      <c r="X785">
        <v>0</v>
      </c>
      <c r="Y785" t="s">
        <v>19</v>
      </c>
      <c r="Z785">
        <v>1</v>
      </c>
      <c r="AA785">
        <f>IF(AND(Table1[[#This Row],[Throw Out Pass Eff]]="N", Table1[[#This Row],[Against FCS Team]]="N"), ROUND(((5.45 * D785) + (150 * F785) + (100 * G785) - (300 * H785)) / E785, 2), " ")</f>
        <v>109.82</v>
      </c>
      <c r="AB785">
        <f>IF(AND(Table1[[#This Row],[Throw Out Pass Def Eff]]="N", Table1[[#This Row],[Against FCS Team]]="N"),200 - ROUND(((5.45 * P785) + (150 * R785) + (100 * S785) - (300 * T785)) / Q785, 2), " ")</f>
        <v>41.300000000000011</v>
      </c>
      <c r="AC785">
        <f>IF(AND(Table1[[#This Row],[Throw Out Rush Eff]]="N", Table1[[#This Row],[Against FCS Team]]="N"), ROUND(((23.2 * I785) + (150 * K785) - (300 * L785)) / J785, 2), " ")</f>
        <v>113.52</v>
      </c>
      <c r="AD785" s="3">
        <f>IF(AND(Table1[[#This Row],[Throw Out Rush Def Eff]]="N", Table1[[#This Row],[Against FCS Team]]="N"), 200 - ROUND(((23.2 * U785) + (150 * W785) - (300 * X785)) / V785, 2), " ")</f>
        <v>129.68</v>
      </c>
      <c r="AE785" s="3">
        <f>ROUND(Table1[[#This Row],[Opp Passing Attempts]]/(Table1[[#This Row],[Opp Passing Attempts]]+Table1[[#This Row],[Opp Rushing Attempts]]), 2)</f>
        <v>0.44</v>
      </c>
      <c r="AF785" s="3">
        <f>1-Table1[[#This Row],[Passing Weight]]</f>
        <v>0.56000000000000005</v>
      </c>
      <c r="AG785" s="3" t="str">
        <f>IF(COUNTIF(A:A,Table1[[#This Row],[Opp Team Name]]) &gt; 0, "N", "Y")</f>
        <v>N</v>
      </c>
      <c r="AH785" s="3" t="str">
        <f>IF(Table1[[#This Row],[Passing Attempts]] &lt;15, "Y", "N")</f>
        <v>N</v>
      </c>
      <c r="AI785" s="3" t="str">
        <f>IF(Table1[[#This Row],[Rushing Attempts]] &lt; 15, "Y", "N")</f>
        <v>N</v>
      </c>
      <c r="AJ785" s="3" t="str">
        <f>IF(Table1[[#This Row],[Opp Passing Attempts]]&lt;15, "Y", "N")</f>
        <v>N</v>
      </c>
      <c r="AK785" s="3" t="str">
        <f>IF(Table1[[#This Row],[Opp Rushing Attempts]]&lt;15, "Y", "N")</f>
        <v>N</v>
      </c>
      <c r="AL78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111.28</v>
      </c>
      <c r="AM78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34.44</v>
      </c>
      <c r="AN78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113.84</v>
      </c>
      <c r="AO78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136.83000000000001</v>
      </c>
      <c r="AP785" s="3">
        <f>ABS(Table1[[#This Row],[Team Score]]-Table1[[#This Row],[Opp Team Score]])</f>
        <v>4</v>
      </c>
      <c r="AQ785" s="3">
        <f>SUM(Table1[[#This Row],[Team Score]], Table1[[#This Row],[Opp Team Score]])</f>
        <v>80</v>
      </c>
      <c r="AR78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5.6800000000000068</v>
      </c>
      <c r="AS785" s="3">
        <f>IF(Table1[[#This Row],[Efficiency Difference]] = " ", " ", ROUND((Table1[[#This Row],[Winning Margin]]*100)/Table1[[#This Row],[Efficiency Difference]], 2))</f>
        <v>70.42</v>
      </c>
    </row>
    <row r="786" spans="1:45">
      <c r="A786" t="s">
        <v>33</v>
      </c>
      <c r="B786">
        <v>731</v>
      </c>
      <c r="C786">
        <v>34</v>
      </c>
      <c r="D786">
        <v>86</v>
      </c>
      <c r="E786">
        <v>15</v>
      </c>
      <c r="F786">
        <v>0</v>
      </c>
      <c r="G786">
        <v>9</v>
      </c>
      <c r="H786">
        <v>0</v>
      </c>
      <c r="I786">
        <v>279</v>
      </c>
      <c r="J786">
        <v>52</v>
      </c>
      <c r="K786">
        <v>5</v>
      </c>
      <c r="L786">
        <v>4</v>
      </c>
      <c r="M786" t="s">
        <v>58</v>
      </c>
      <c r="N786">
        <v>156</v>
      </c>
      <c r="O786">
        <v>35</v>
      </c>
      <c r="P786">
        <v>108</v>
      </c>
      <c r="Q786">
        <v>28</v>
      </c>
      <c r="R786">
        <v>1</v>
      </c>
      <c r="S786">
        <v>16</v>
      </c>
      <c r="T786">
        <v>0</v>
      </c>
      <c r="U786">
        <v>124</v>
      </c>
      <c r="V786">
        <v>47</v>
      </c>
      <c r="W786">
        <v>2</v>
      </c>
      <c r="X786">
        <v>1</v>
      </c>
      <c r="Y786" t="s">
        <v>19</v>
      </c>
      <c r="Z786">
        <v>4</v>
      </c>
      <c r="AA786">
        <f>IF(AND(Table1[[#This Row],[Throw Out Pass Eff]]="N", Table1[[#This Row],[Against FCS Team]]="N"), ROUND(((5.45 * D786) + (150 * F786) + (100 * G786) - (300 * H786)) / E786, 2), " ")</f>
        <v>91.25</v>
      </c>
      <c r="AB786">
        <f>IF(AND(Table1[[#This Row],[Throw Out Pass Def Eff]]="N", Table1[[#This Row],[Against FCS Team]]="N"),200 - ROUND(((5.45 * P786) + (150 * R786) + (100 * S786) - (300 * T786)) / Q786, 2), " ")</f>
        <v>116.48</v>
      </c>
      <c r="AC786">
        <f>IF(AND(Table1[[#This Row],[Throw Out Rush Eff]]="N", Table1[[#This Row],[Against FCS Team]]="N"), ROUND(((23.2 * I786) + (150 * K786) - (300 * L786)) / J786, 2), " ")</f>
        <v>115.82</v>
      </c>
      <c r="AD786" s="3">
        <f>IF(AND(Table1[[#This Row],[Throw Out Rush Def Eff]]="N", Table1[[#This Row],[Against FCS Team]]="N"), 200 - ROUND(((23.2 * U786) + (150 * W786) - (300 * X786)) / V786, 2), " ")</f>
        <v>138.79</v>
      </c>
      <c r="AE786" s="3">
        <f>ROUND(Table1[[#This Row],[Opp Passing Attempts]]/(Table1[[#This Row],[Opp Passing Attempts]]+Table1[[#This Row],[Opp Rushing Attempts]]), 2)</f>
        <v>0.37</v>
      </c>
      <c r="AF786" s="3">
        <f>1-Table1[[#This Row],[Passing Weight]]</f>
        <v>0.63</v>
      </c>
      <c r="AG786" s="3" t="str">
        <f>IF(COUNTIF(A:A,Table1[[#This Row],[Opp Team Name]]) &gt; 0, "N", "Y")</f>
        <v>N</v>
      </c>
      <c r="AH786" s="3" t="str">
        <f>IF(Table1[[#This Row],[Passing Attempts]] &lt;15, "Y", "N")</f>
        <v>N</v>
      </c>
      <c r="AI786" s="3" t="str">
        <f>IF(Table1[[#This Row],[Rushing Attempts]] &lt; 15, "Y", "N")</f>
        <v>N</v>
      </c>
      <c r="AJ786" s="3" t="str">
        <f>IF(Table1[[#This Row],[Opp Passing Attempts]]&lt;15, "Y", "N")</f>
        <v>N</v>
      </c>
      <c r="AK786" s="3" t="str">
        <f>IF(Table1[[#This Row],[Opp Rushing Attempts]]&lt;15, "Y", "N")</f>
        <v>N</v>
      </c>
      <c r="AL78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83.66</v>
      </c>
      <c r="AM78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112.16</v>
      </c>
      <c r="AN78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84.54</v>
      </c>
      <c r="AO78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81.790000000000006</v>
      </c>
      <c r="AP786" s="3">
        <f>ABS(Table1[[#This Row],[Team Score]]-Table1[[#This Row],[Opp Team Score]])</f>
        <v>1</v>
      </c>
      <c r="AQ786" s="3">
        <f>SUM(Table1[[#This Row],[Team Score]], Table1[[#This Row],[Opp Team Score]])</f>
        <v>69</v>
      </c>
      <c r="AR78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62.339999999999975</v>
      </c>
      <c r="AS786" s="3">
        <f>IF(Table1[[#This Row],[Efficiency Difference]] = " ", " ", ROUND((Table1[[#This Row],[Winning Margin]]*100)/Table1[[#This Row],[Efficiency Difference]], 2))</f>
        <v>1.6</v>
      </c>
    </row>
    <row r="787" spans="1:45">
      <c r="A787" t="s">
        <v>33</v>
      </c>
      <c r="B787">
        <v>731</v>
      </c>
      <c r="C787">
        <v>24</v>
      </c>
      <c r="D787">
        <v>122</v>
      </c>
      <c r="E787">
        <v>26</v>
      </c>
      <c r="F787">
        <v>2</v>
      </c>
      <c r="G787">
        <v>13</v>
      </c>
      <c r="H787">
        <v>0</v>
      </c>
      <c r="I787">
        <v>284</v>
      </c>
      <c r="J787">
        <v>37</v>
      </c>
      <c r="K787">
        <v>1</v>
      </c>
      <c r="L787">
        <v>0</v>
      </c>
      <c r="M787" t="s">
        <v>46</v>
      </c>
      <c r="N787">
        <v>77</v>
      </c>
      <c r="O787">
        <v>27</v>
      </c>
      <c r="P787">
        <v>251</v>
      </c>
      <c r="Q787">
        <v>39</v>
      </c>
      <c r="R787">
        <v>2</v>
      </c>
      <c r="S787">
        <v>21</v>
      </c>
      <c r="T787">
        <v>0</v>
      </c>
      <c r="U787">
        <v>200</v>
      </c>
      <c r="V787">
        <v>46</v>
      </c>
      <c r="W787">
        <v>1</v>
      </c>
      <c r="X787">
        <v>1</v>
      </c>
      <c r="Y787" t="s">
        <v>19</v>
      </c>
      <c r="Z787">
        <v>5</v>
      </c>
      <c r="AA787">
        <f>IF(AND(Table1[[#This Row],[Throw Out Pass Eff]]="N", Table1[[#This Row],[Against FCS Team]]="N"), ROUND(((5.45 * D787) + (150 * F787) + (100 * G787) - (300 * H787)) / E787, 2), " ")</f>
        <v>87.11</v>
      </c>
      <c r="AB787">
        <f>IF(AND(Table1[[#This Row],[Throw Out Pass Def Eff]]="N", Table1[[#This Row],[Against FCS Team]]="N"),200 - ROUND(((5.45 * P787) + (150 * R787) + (100 * S787) - (300 * T787)) / Q787, 2), " ")</f>
        <v>103.39</v>
      </c>
      <c r="AC787">
        <f>IF(AND(Table1[[#This Row],[Throw Out Rush Eff]]="N", Table1[[#This Row],[Against FCS Team]]="N"), ROUND(((23.2 * I787) + (150 * K787) - (300 * L787)) / J787, 2), " ")</f>
        <v>182.13</v>
      </c>
      <c r="AD787" s="3">
        <f>IF(AND(Table1[[#This Row],[Throw Out Rush Def Eff]]="N", Table1[[#This Row],[Against FCS Team]]="N"), 200 - ROUND(((23.2 * U787) + (150 * W787) - (300 * X787)) / V787, 2), " ")</f>
        <v>102.39</v>
      </c>
      <c r="AE787" s="3">
        <f>ROUND(Table1[[#This Row],[Opp Passing Attempts]]/(Table1[[#This Row],[Opp Passing Attempts]]+Table1[[#This Row],[Opp Rushing Attempts]]), 2)</f>
        <v>0.46</v>
      </c>
      <c r="AF787" s="3">
        <f>1-Table1[[#This Row],[Passing Weight]]</f>
        <v>0.54</v>
      </c>
      <c r="AG787" s="3" t="str">
        <f>IF(COUNTIF(A:A,Table1[[#This Row],[Opp Team Name]]) &gt; 0, "N", "Y")</f>
        <v>N</v>
      </c>
      <c r="AH787" s="3" t="str">
        <f>IF(Table1[[#This Row],[Passing Attempts]] &lt;15, "Y", "N")</f>
        <v>N</v>
      </c>
      <c r="AI787" s="3" t="str">
        <f>IF(Table1[[#This Row],[Rushing Attempts]] &lt; 15, "Y", "N")</f>
        <v>N</v>
      </c>
      <c r="AJ787" s="3" t="str">
        <f>IF(Table1[[#This Row],[Opp Passing Attempts]]&lt;15, "Y", "N")</f>
        <v>N</v>
      </c>
      <c r="AK787" s="3" t="str">
        <f>IF(Table1[[#This Row],[Opp Rushing Attempts]]&lt;15, "Y", "N")</f>
        <v>N</v>
      </c>
      <c r="AL78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96.45</v>
      </c>
      <c r="AM78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90.12</v>
      </c>
      <c r="AN78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202.42</v>
      </c>
      <c r="AO78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71.37</v>
      </c>
      <c r="AP787" s="3">
        <f>ABS(Table1[[#This Row],[Team Score]]-Table1[[#This Row],[Opp Team Score]])</f>
        <v>3</v>
      </c>
      <c r="AQ787" s="3">
        <f>SUM(Table1[[#This Row],[Team Score]], Table1[[#This Row],[Opp Team Score]])</f>
        <v>51</v>
      </c>
      <c r="AR78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75.02000000000001</v>
      </c>
      <c r="AS787" s="3">
        <f>IF(Table1[[#This Row],[Efficiency Difference]] = " ", " ", ROUND((Table1[[#This Row],[Winning Margin]]*100)/Table1[[#This Row],[Efficiency Difference]], 2))</f>
        <v>4</v>
      </c>
    </row>
    <row r="788" spans="1:45">
      <c r="A788" t="s">
        <v>33</v>
      </c>
      <c r="B788">
        <v>731</v>
      </c>
      <c r="C788">
        <v>63</v>
      </c>
      <c r="D788">
        <v>245</v>
      </c>
      <c r="E788">
        <v>24</v>
      </c>
      <c r="F788">
        <v>5</v>
      </c>
      <c r="G788">
        <v>18</v>
      </c>
      <c r="H788">
        <v>0</v>
      </c>
      <c r="I788">
        <v>303</v>
      </c>
      <c r="J788">
        <v>52</v>
      </c>
      <c r="K788">
        <v>4</v>
      </c>
      <c r="L788">
        <v>1</v>
      </c>
      <c r="M788" t="s">
        <v>162</v>
      </c>
      <c r="N788">
        <v>811</v>
      </c>
      <c r="O788">
        <v>19</v>
      </c>
      <c r="P788">
        <v>265</v>
      </c>
      <c r="Q788">
        <v>46</v>
      </c>
      <c r="R788">
        <v>0</v>
      </c>
      <c r="S788">
        <v>28</v>
      </c>
      <c r="T788">
        <v>1</v>
      </c>
      <c r="U788">
        <v>108</v>
      </c>
      <c r="V788">
        <v>28</v>
      </c>
      <c r="W788">
        <v>2</v>
      </c>
      <c r="X788">
        <v>1</v>
      </c>
      <c r="Y788" t="s">
        <v>16</v>
      </c>
      <c r="Z788">
        <v>6</v>
      </c>
      <c r="AA788">
        <f>IF(AND(Table1[[#This Row],[Throw Out Pass Eff]]="N", Table1[[#This Row],[Against FCS Team]]="N"), ROUND(((5.45 * D788) + (150 * F788) + (100 * G788) - (300 * H788)) / E788, 2), " ")</f>
        <v>161.88999999999999</v>
      </c>
      <c r="AB788">
        <f>IF(AND(Table1[[#This Row],[Throw Out Pass Def Eff]]="N", Table1[[#This Row],[Against FCS Team]]="N"),200 - ROUND(((5.45 * P788) + (150 * R788) + (100 * S788) - (300 * T788)) / Q788, 2), " ")</f>
        <v>114.26</v>
      </c>
      <c r="AC788">
        <f>IF(AND(Table1[[#This Row],[Throw Out Rush Eff]]="N", Table1[[#This Row],[Against FCS Team]]="N"), ROUND(((23.2 * I788) + (150 * K788) - (300 * L788)) / J788, 2), " ")</f>
        <v>140.94999999999999</v>
      </c>
      <c r="AD788" s="3">
        <f>IF(AND(Table1[[#This Row],[Throw Out Rush Def Eff]]="N", Table1[[#This Row],[Against FCS Team]]="N"), 200 - ROUND(((23.2 * U788) + (150 * W788) - (300 * X788)) / V788, 2), " ")</f>
        <v>110.51</v>
      </c>
      <c r="AE788" s="3">
        <f>ROUND(Table1[[#This Row],[Opp Passing Attempts]]/(Table1[[#This Row],[Opp Passing Attempts]]+Table1[[#This Row],[Opp Rushing Attempts]]), 2)</f>
        <v>0.62</v>
      </c>
      <c r="AF788" s="3">
        <f>1-Table1[[#This Row],[Passing Weight]]</f>
        <v>0.38</v>
      </c>
      <c r="AG788" s="3" t="str">
        <f>IF(COUNTIF(A:A,Table1[[#This Row],[Opp Team Name]]) &gt; 0, "N", "Y")</f>
        <v>N</v>
      </c>
      <c r="AH788" s="3" t="str">
        <f>IF(Table1[[#This Row],[Passing Attempts]] &lt;15, "Y", "N")</f>
        <v>N</v>
      </c>
      <c r="AI788" s="3" t="str">
        <f>IF(Table1[[#This Row],[Rushing Attempts]] &lt; 15, "Y", "N")</f>
        <v>N</v>
      </c>
      <c r="AJ788" s="3" t="str">
        <f>IF(Table1[[#This Row],[Opp Passing Attempts]]&lt;15, "Y", "N")</f>
        <v>N</v>
      </c>
      <c r="AK788" s="3" t="str">
        <f>IF(Table1[[#This Row],[Opp Rushing Attempts]]&lt;15, "Y", "N")</f>
        <v>N</v>
      </c>
      <c r="AL78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168.29</v>
      </c>
      <c r="AM78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105.29</v>
      </c>
      <c r="AN78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156.57</v>
      </c>
      <c r="AO78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129.97</v>
      </c>
      <c r="AP788" s="3">
        <f>ABS(Table1[[#This Row],[Team Score]]-Table1[[#This Row],[Opp Team Score]])</f>
        <v>44</v>
      </c>
      <c r="AQ788" s="3">
        <f>SUM(Table1[[#This Row],[Team Score]], Table1[[#This Row],[Opp Team Score]])</f>
        <v>82</v>
      </c>
      <c r="AR78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127.60999999999999</v>
      </c>
      <c r="AS788" s="3">
        <f>IF(Table1[[#This Row],[Efficiency Difference]] = " ", " ", ROUND((Table1[[#This Row],[Winning Margin]]*100)/Table1[[#This Row],[Efficiency Difference]], 2))</f>
        <v>34.479999999999997</v>
      </c>
    </row>
    <row r="789" spans="1:45">
      <c r="A789" t="s">
        <v>33</v>
      </c>
      <c r="B789">
        <v>731</v>
      </c>
      <c r="C789">
        <v>21</v>
      </c>
      <c r="D789">
        <v>204</v>
      </c>
      <c r="E789">
        <v>32</v>
      </c>
      <c r="F789">
        <v>1</v>
      </c>
      <c r="G789">
        <v>16</v>
      </c>
      <c r="H789">
        <v>0</v>
      </c>
      <c r="I789">
        <v>250</v>
      </c>
      <c r="J789">
        <v>41</v>
      </c>
      <c r="K789">
        <v>2</v>
      </c>
      <c r="L789">
        <v>1</v>
      </c>
      <c r="M789" t="s">
        <v>49</v>
      </c>
      <c r="N789">
        <v>96</v>
      </c>
      <c r="O789">
        <v>31</v>
      </c>
      <c r="P789">
        <v>248</v>
      </c>
      <c r="Q789">
        <v>39</v>
      </c>
      <c r="R789">
        <v>2</v>
      </c>
      <c r="S789">
        <v>23</v>
      </c>
      <c r="T789">
        <v>0</v>
      </c>
      <c r="U789">
        <v>155</v>
      </c>
      <c r="V789">
        <v>36</v>
      </c>
      <c r="W789">
        <v>2</v>
      </c>
      <c r="X789">
        <v>2</v>
      </c>
      <c r="Y789" t="s">
        <v>19</v>
      </c>
      <c r="Z789">
        <v>7</v>
      </c>
      <c r="AA789">
        <f>IF(AND(Table1[[#This Row],[Throw Out Pass Eff]]="N", Table1[[#This Row],[Against FCS Team]]="N"), ROUND(((5.45 * D789) + (150 * F789) + (100 * G789) - (300 * H789)) / E789, 2), " ")</f>
        <v>89.43</v>
      </c>
      <c r="AB789">
        <f>IF(AND(Table1[[#This Row],[Throw Out Pass Def Eff]]="N", Table1[[#This Row],[Against FCS Team]]="N"),200 - ROUND(((5.45 * P789) + (150 * R789) + (100 * S789) - (300 * T789)) / Q789, 2), " ")</f>
        <v>98.68</v>
      </c>
      <c r="AC789">
        <f>IF(AND(Table1[[#This Row],[Throw Out Rush Eff]]="N", Table1[[#This Row],[Against FCS Team]]="N"), ROUND(((23.2 * I789) + (150 * K789) - (300 * L789)) / J789, 2), " ")</f>
        <v>141.46</v>
      </c>
      <c r="AD789" s="3">
        <f>IF(AND(Table1[[#This Row],[Throw Out Rush Def Eff]]="N", Table1[[#This Row],[Against FCS Team]]="N"), 200 - ROUND(((23.2 * U789) + (150 * W789) - (300 * X789)) / V789, 2), " ")</f>
        <v>108.44</v>
      </c>
      <c r="AE789" s="3">
        <f>ROUND(Table1[[#This Row],[Opp Passing Attempts]]/(Table1[[#This Row],[Opp Passing Attempts]]+Table1[[#This Row],[Opp Rushing Attempts]]), 2)</f>
        <v>0.52</v>
      </c>
      <c r="AF789" s="3">
        <f>1-Table1[[#This Row],[Passing Weight]]</f>
        <v>0.48</v>
      </c>
      <c r="AG789" s="3" t="str">
        <f>IF(COUNTIF(A:A,Table1[[#This Row],[Opp Team Name]]) &gt; 0, "N", "Y")</f>
        <v>N</v>
      </c>
      <c r="AH789" s="3" t="str">
        <f>IF(Table1[[#This Row],[Passing Attempts]] &lt;15, "Y", "N")</f>
        <v>N</v>
      </c>
      <c r="AI789" s="3" t="str">
        <f>IF(Table1[[#This Row],[Rushing Attempts]] &lt; 15, "Y", "N")</f>
        <v>N</v>
      </c>
      <c r="AJ789" s="3" t="str">
        <f>IF(Table1[[#This Row],[Opp Passing Attempts]]&lt;15, "Y", "N")</f>
        <v>N</v>
      </c>
      <c r="AK789" s="3" t="str">
        <f>IF(Table1[[#This Row],[Opp Rushing Attempts]]&lt;15, "Y", "N")</f>
        <v>N</v>
      </c>
      <c r="AL78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85.49</v>
      </c>
      <c r="AM78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94.08</v>
      </c>
      <c r="AN78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114.2</v>
      </c>
      <c r="AO78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108.92</v>
      </c>
      <c r="AP789" s="3">
        <f>ABS(Table1[[#This Row],[Team Score]]-Table1[[#This Row],[Opp Team Score]])</f>
        <v>10</v>
      </c>
      <c r="AQ789" s="3">
        <f>SUM(Table1[[#This Row],[Team Score]], Table1[[#This Row],[Opp Team Score]])</f>
        <v>52</v>
      </c>
      <c r="AR78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38.010000000000019</v>
      </c>
      <c r="AS789" s="3">
        <f>IF(Table1[[#This Row],[Efficiency Difference]] = " ", " ", ROUND((Table1[[#This Row],[Winning Margin]]*100)/Table1[[#This Row],[Efficiency Difference]], 2))</f>
        <v>26.31</v>
      </c>
    </row>
    <row r="790" spans="1:45">
      <c r="A790" t="s">
        <v>33</v>
      </c>
      <c r="B790">
        <v>731</v>
      </c>
      <c r="C790">
        <v>17</v>
      </c>
      <c r="D790">
        <v>128</v>
      </c>
      <c r="E790">
        <v>24</v>
      </c>
      <c r="F790">
        <v>0</v>
      </c>
      <c r="G790">
        <v>16</v>
      </c>
      <c r="H790">
        <v>1</v>
      </c>
      <c r="I790">
        <v>166</v>
      </c>
      <c r="J790">
        <v>46</v>
      </c>
      <c r="K790">
        <v>2</v>
      </c>
      <c r="L790">
        <v>0</v>
      </c>
      <c r="M790" t="s">
        <v>88</v>
      </c>
      <c r="N790">
        <v>366</v>
      </c>
      <c r="O790">
        <v>24</v>
      </c>
      <c r="P790">
        <v>146</v>
      </c>
      <c r="Q790">
        <v>29</v>
      </c>
      <c r="R790">
        <v>0</v>
      </c>
      <c r="S790">
        <v>15</v>
      </c>
      <c r="T790">
        <v>0</v>
      </c>
      <c r="U790">
        <v>86</v>
      </c>
      <c r="V790">
        <v>40</v>
      </c>
      <c r="W790">
        <v>2</v>
      </c>
      <c r="X790">
        <v>0</v>
      </c>
      <c r="Y790" t="s">
        <v>19</v>
      </c>
      <c r="Z790">
        <v>8</v>
      </c>
      <c r="AA790" s="3">
        <f>IF(AND(Table1[[#This Row],[Throw Out Pass Eff]]="N", Table1[[#This Row],[Against FCS Team]]="N"), ROUND(((5.45 * D790) + (150 * F790) + (100 * G790) - (300 * H790)) / E790, 2), " ")</f>
        <v>83.23</v>
      </c>
      <c r="AB790" s="3">
        <f>IF(AND(Table1[[#This Row],[Throw Out Pass Def Eff]]="N", Table1[[#This Row],[Against FCS Team]]="N"),200 - ROUND(((5.45 * P790) + (150 * R790) + (100 * S790) - (300 * T790)) / Q790, 2), " ")</f>
        <v>120.84</v>
      </c>
      <c r="AC790" s="3">
        <f>IF(AND(Table1[[#This Row],[Throw Out Rush Eff]]="N", Table1[[#This Row],[Against FCS Team]]="N"), ROUND(((23.2 * I790) + (150 * K790) - (300 * L790)) / J790, 2), " ")</f>
        <v>90.24</v>
      </c>
      <c r="AD790" s="3">
        <f>IF(AND(Table1[[#This Row],[Throw Out Rush Def Eff]]="N", Table1[[#This Row],[Against FCS Team]]="N"), 200 - ROUND(((23.2 * U790) + (150 * W790) - (300 * X790)) / V790, 2), " ")</f>
        <v>142.62</v>
      </c>
      <c r="AE790" s="3">
        <f>ROUND(Table1[[#This Row],[Opp Passing Attempts]]/(Table1[[#This Row],[Opp Passing Attempts]]+Table1[[#This Row],[Opp Rushing Attempts]]), 2)</f>
        <v>0.42</v>
      </c>
      <c r="AF790" s="3">
        <f>1-Table1[[#This Row],[Passing Weight]]</f>
        <v>0.58000000000000007</v>
      </c>
      <c r="AG790" s="3" t="str">
        <f>IF(COUNTIF(A:A,Table1[[#This Row],[Opp Team Name]]) &gt; 0, "N", "Y")</f>
        <v>N</v>
      </c>
      <c r="AH790" s="3" t="str">
        <f>IF(Table1[[#This Row],[Passing Attempts]] &lt;15, "Y", "N")</f>
        <v>N</v>
      </c>
      <c r="AI790" s="3" t="str">
        <f>IF(Table1[[#This Row],[Rushing Attempts]] &lt; 15, "Y", "N")</f>
        <v>N</v>
      </c>
      <c r="AJ790" s="3" t="str">
        <f>IF(Table1[[#This Row],[Opp Passing Attempts]]&lt;15, "Y", "N")</f>
        <v>N</v>
      </c>
      <c r="AK790" s="3" t="str">
        <f>IF(Table1[[#This Row],[Opp Rushing Attempts]]&lt;15, "Y", "N")</f>
        <v>N</v>
      </c>
      <c r="AL79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96.21</v>
      </c>
      <c r="AM79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105.09</v>
      </c>
      <c r="AN79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112.09</v>
      </c>
      <c r="AO79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95.64</v>
      </c>
      <c r="AP790" s="3">
        <f>ABS(Table1[[#This Row],[Team Score]]-Table1[[#This Row],[Opp Team Score]])</f>
        <v>7</v>
      </c>
      <c r="AQ790" s="3">
        <f>SUM(Table1[[#This Row],[Team Score]], Table1[[#This Row],[Opp Team Score]])</f>
        <v>41</v>
      </c>
      <c r="AR79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36.930000000000035</v>
      </c>
      <c r="AS790" s="3">
        <f>IF(Table1[[#This Row],[Efficiency Difference]] = " ", " ", ROUND((Table1[[#This Row],[Winning Margin]]*100)/Table1[[#This Row],[Efficiency Difference]], 2))</f>
        <v>18.95</v>
      </c>
    </row>
    <row r="791" spans="1:45">
      <c r="A791" t="s">
        <v>148</v>
      </c>
      <c r="B791">
        <v>704</v>
      </c>
      <c r="C791">
        <v>31</v>
      </c>
      <c r="D791">
        <v>365</v>
      </c>
      <c r="E791">
        <v>38</v>
      </c>
      <c r="F791">
        <v>3</v>
      </c>
      <c r="G791">
        <v>24</v>
      </c>
      <c r="H791">
        <v>2</v>
      </c>
      <c r="I791">
        <v>36</v>
      </c>
      <c r="J791">
        <v>23</v>
      </c>
      <c r="K791">
        <v>1</v>
      </c>
      <c r="L791">
        <v>2</v>
      </c>
      <c r="M791" t="s">
        <v>149</v>
      </c>
      <c r="N791">
        <v>683</v>
      </c>
      <c r="O791">
        <v>24</v>
      </c>
      <c r="P791">
        <v>179</v>
      </c>
      <c r="Q791">
        <v>29</v>
      </c>
      <c r="R791">
        <v>0</v>
      </c>
      <c r="S791">
        <v>16</v>
      </c>
      <c r="T791">
        <v>1</v>
      </c>
      <c r="U791">
        <v>231</v>
      </c>
      <c r="V791">
        <v>43</v>
      </c>
      <c r="W791">
        <v>2</v>
      </c>
      <c r="X791">
        <v>0</v>
      </c>
      <c r="Y791" t="s">
        <v>16</v>
      </c>
      <c r="Z791">
        <v>1</v>
      </c>
      <c r="AA791" t="str">
        <f>IF(AND(Table1[[#This Row],[Throw Out Pass Eff]]="N", Table1[[#This Row],[Against FCS Team]]="N"), ROUND(((5.45 * D791) + (150 * F791) + (100 * G791) - (300 * H791)) / E791, 2), " ")</f>
        <v xml:space="preserve"> </v>
      </c>
      <c r="AB791" t="str">
        <f>IF(AND(Table1[[#This Row],[Throw Out Pass Def Eff]]="N", Table1[[#This Row],[Against FCS Team]]="N"),200 - ROUND(((5.45 * P791) + (150 * R791) + (100 * S791) - (300 * T791)) / Q791, 2), " ")</f>
        <v xml:space="preserve"> </v>
      </c>
      <c r="AC791" t="str">
        <f>IF(AND(Table1[[#This Row],[Throw Out Rush Eff]]="N", Table1[[#This Row],[Against FCS Team]]="N"), ROUND(((23.2 * I791) + (150 * K791) - (300 * L791)) / J791, 2), " ")</f>
        <v xml:space="preserve"> </v>
      </c>
      <c r="AD791" s="3" t="str">
        <f>IF(AND(Table1[[#This Row],[Throw Out Rush Def Eff]]="N", Table1[[#This Row],[Against FCS Team]]="N"), 200 - ROUND(((23.2 * U791) + (150 * W791) - (300 * X791)) / V791, 2), " ")</f>
        <v xml:space="preserve"> </v>
      </c>
      <c r="AE791" s="3">
        <f>ROUND(Table1[[#This Row],[Opp Passing Attempts]]/(Table1[[#This Row],[Opp Passing Attempts]]+Table1[[#This Row],[Opp Rushing Attempts]]), 2)</f>
        <v>0.4</v>
      </c>
      <c r="AF791" s="3">
        <f>1-Table1[[#This Row],[Passing Weight]]</f>
        <v>0.6</v>
      </c>
      <c r="AG791" s="3" t="str">
        <f>IF(COUNTIF(A:A,Table1[[#This Row],[Opp Team Name]]) &gt; 0, "N", "Y")</f>
        <v>Y</v>
      </c>
      <c r="AH791" s="3" t="str">
        <f>IF(Table1[[#This Row],[Passing Attempts]] &lt;15, "Y", "N")</f>
        <v>N</v>
      </c>
      <c r="AI791" s="3" t="str">
        <f>IF(Table1[[#This Row],[Rushing Attempts]] &lt; 15, "Y", "N")</f>
        <v>N</v>
      </c>
      <c r="AJ791" s="3" t="str">
        <f>IF(Table1[[#This Row],[Opp Passing Attempts]]&lt;15, "Y", "N")</f>
        <v>N</v>
      </c>
      <c r="AK791" s="3" t="str">
        <f>IF(Table1[[#This Row],[Opp Rushing Attempts]]&lt;15, "Y", "N")</f>
        <v>N</v>
      </c>
      <c r="AL79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9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9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9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91" s="3">
        <f>ABS(Table1[[#This Row],[Team Score]]-Table1[[#This Row],[Opp Team Score]])</f>
        <v>7</v>
      </c>
      <c r="AQ791" s="3">
        <f>SUM(Table1[[#This Row],[Team Score]], Table1[[#This Row],[Opp Team Score]])</f>
        <v>55</v>
      </c>
      <c r="AR79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91" s="3" t="str">
        <f>IF(Table1[[#This Row],[Efficiency Difference]] = " ", " ", ROUND((Table1[[#This Row],[Winning Margin]]*100)/Table1[[#This Row],[Efficiency Difference]], 2))</f>
        <v xml:space="preserve"> </v>
      </c>
    </row>
    <row r="792" spans="1:45">
      <c r="A792" t="s">
        <v>148</v>
      </c>
      <c r="B792">
        <v>704</v>
      </c>
      <c r="C792">
        <v>17</v>
      </c>
      <c r="D792">
        <v>276</v>
      </c>
      <c r="E792">
        <v>47</v>
      </c>
      <c r="F792">
        <v>0</v>
      </c>
      <c r="G792">
        <v>24</v>
      </c>
      <c r="H792">
        <v>1</v>
      </c>
      <c r="I792">
        <v>30</v>
      </c>
      <c r="J792">
        <v>26</v>
      </c>
      <c r="K792">
        <v>2</v>
      </c>
      <c r="L792">
        <v>1</v>
      </c>
      <c r="M792" t="s">
        <v>186</v>
      </c>
      <c r="N792">
        <v>663</v>
      </c>
      <c r="O792">
        <v>28</v>
      </c>
      <c r="P792">
        <v>244</v>
      </c>
      <c r="Q792">
        <v>31</v>
      </c>
      <c r="R792">
        <v>0</v>
      </c>
      <c r="S792">
        <v>18</v>
      </c>
      <c r="T792">
        <v>1</v>
      </c>
      <c r="U792">
        <v>146</v>
      </c>
      <c r="V792">
        <v>27</v>
      </c>
      <c r="W792">
        <v>3</v>
      </c>
      <c r="X792">
        <v>2</v>
      </c>
      <c r="Y792" t="s">
        <v>19</v>
      </c>
      <c r="Z792">
        <v>2</v>
      </c>
      <c r="AA792">
        <f>IF(AND(Table1[[#This Row],[Throw Out Pass Eff]]="N", Table1[[#This Row],[Against FCS Team]]="N"), ROUND(((5.45 * D792) + (150 * F792) + (100 * G792) - (300 * H792)) / E792, 2), " ")</f>
        <v>76.69</v>
      </c>
      <c r="AB792">
        <f>IF(AND(Table1[[#This Row],[Throw Out Pass Def Eff]]="N", Table1[[#This Row],[Against FCS Team]]="N"),200 - ROUND(((5.45 * P792) + (150 * R792) + (100 * S792) - (300 * T792)) / Q792, 2), " ")</f>
        <v>108.72</v>
      </c>
      <c r="AC792">
        <f>IF(AND(Table1[[#This Row],[Throw Out Rush Eff]]="N", Table1[[#This Row],[Against FCS Team]]="N"), ROUND(((23.2 * I792) + (150 * K792) - (300 * L792)) / J792, 2), " ")</f>
        <v>26.77</v>
      </c>
      <c r="AD792" s="3">
        <f>IF(AND(Table1[[#This Row],[Throw Out Rush Def Eff]]="N", Table1[[#This Row],[Against FCS Team]]="N"), 200 - ROUND(((23.2 * U792) + (150 * W792) - (300 * X792)) / V792, 2), " ")</f>
        <v>80.099999999999994</v>
      </c>
      <c r="AE792" s="3">
        <f>ROUND(Table1[[#This Row],[Opp Passing Attempts]]/(Table1[[#This Row],[Opp Passing Attempts]]+Table1[[#This Row],[Opp Rushing Attempts]]), 2)</f>
        <v>0.53</v>
      </c>
      <c r="AF792" s="3">
        <f>1-Table1[[#This Row],[Passing Weight]]</f>
        <v>0.47</v>
      </c>
      <c r="AG792" s="3" t="str">
        <f>IF(COUNTIF(A:A,Table1[[#This Row],[Opp Team Name]]) &gt; 0, "N", "Y")</f>
        <v>N</v>
      </c>
      <c r="AH792" s="3" t="str">
        <f>IF(Table1[[#This Row],[Passing Attempts]] &lt;15, "Y", "N")</f>
        <v>N</v>
      </c>
      <c r="AI792" s="3" t="str">
        <f>IF(Table1[[#This Row],[Rushing Attempts]] &lt; 15, "Y", "N")</f>
        <v>N</v>
      </c>
      <c r="AJ792" s="3" t="str">
        <f>IF(Table1[[#This Row],[Opp Passing Attempts]]&lt;15, "Y", "N")</f>
        <v>N</v>
      </c>
      <c r="AK792" s="3" t="str">
        <f>IF(Table1[[#This Row],[Opp Rushing Attempts]]&lt;15, "Y", "N")</f>
        <v>N</v>
      </c>
      <c r="AL79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70.38</v>
      </c>
      <c r="AM79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104.71</v>
      </c>
      <c r="AN79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34.79</v>
      </c>
      <c r="AO79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92.09</v>
      </c>
      <c r="AP792" s="3">
        <f>ABS(Table1[[#This Row],[Team Score]]-Table1[[#This Row],[Opp Team Score]])</f>
        <v>11</v>
      </c>
      <c r="AQ792" s="3">
        <f>SUM(Table1[[#This Row],[Team Score]], Table1[[#This Row],[Opp Team Score]])</f>
        <v>45</v>
      </c>
      <c r="AR79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107.72000000000001</v>
      </c>
      <c r="AS792" s="3">
        <f>IF(Table1[[#This Row],[Efficiency Difference]] = " ", " ", ROUND((Table1[[#This Row],[Winning Margin]]*100)/Table1[[#This Row],[Efficiency Difference]], 2))</f>
        <v>10.210000000000001</v>
      </c>
    </row>
    <row r="793" spans="1:45">
      <c r="A793" t="s">
        <v>148</v>
      </c>
      <c r="B793">
        <v>704</v>
      </c>
      <c r="C793">
        <v>16</v>
      </c>
      <c r="D793">
        <v>124</v>
      </c>
      <c r="E793">
        <v>28</v>
      </c>
      <c r="F793">
        <v>0</v>
      </c>
      <c r="G793">
        <v>9</v>
      </c>
      <c r="H793">
        <v>1</v>
      </c>
      <c r="I793">
        <v>185</v>
      </c>
      <c r="J793">
        <v>42</v>
      </c>
      <c r="K793">
        <v>1</v>
      </c>
      <c r="L793">
        <v>1</v>
      </c>
      <c r="M793" t="s">
        <v>108</v>
      </c>
      <c r="N793">
        <v>472</v>
      </c>
      <c r="O793">
        <v>10</v>
      </c>
      <c r="P793">
        <v>242</v>
      </c>
      <c r="Q793">
        <v>37</v>
      </c>
      <c r="R793">
        <v>1</v>
      </c>
      <c r="S793">
        <v>20</v>
      </c>
      <c r="T793">
        <v>0</v>
      </c>
      <c r="U793">
        <v>16</v>
      </c>
      <c r="V793">
        <v>29</v>
      </c>
      <c r="W793">
        <v>0</v>
      </c>
      <c r="X793">
        <v>2</v>
      </c>
      <c r="Y793" t="s">
        <v>16</v>
      </c>
      <c r="Z793">
        <v>3</v>
      </c>
      <c r="AA793">
        <f>IF(AND(Table1[[#This Row],[Throw Out Pass Eff]]="N", Table1[[#This Row],[Against FCS Team]]="N"), ROUND(((5.45 * D793) + (150 * F793) + (100 * G793) - (300 * H793)) / E793, 2), " ")</f>
        <v>45.56</v>
      </c>
      <c r="AB793">
        <f>IF(AND(Table1[[#This Row],[Throw Out Pass Def Eff]]="N", Table1[[#This Row],[Against FCS Team]]="N"),200 - ROUND(((5.45 * P793) + (150 * R793) + (100 * S793) - (300 * T793)) / Q793, 2), " ")</f>
        <v>106.25</v>
      </c>
      <c r="AC793">
        <f>IF(AND(Table1[[#This Row],[Throw Out Rush Eff]]="N", Table1[[#This Row],[Against FCS Team]]="N"), ROUND(((23.2 * I793) + (150 * K793) - (300 * L793)) / J793, 2), " ")</f>
        <v>98.62</v>
      </c>
      <c r="AD793" s="3">
        <f>IF(AND(Table1[[#This Row],[Throw Out Rush Def Eff]]="N", Table1[[#This Row],[Against FCS Team]]="N"), 200 - ROUND(((23.2 * U793) + (150 * W793) - (300 * X793)) / V793, 2), " ")</f>
        <v>207.89</v>
      </c>
      <c r="AE793" s="3">
        <f>ROUND(Table1[[#This Row],[Opp Passing Attempts]]/(Table1[[#This Row],[Opp Passing Attempts]]+Table1[[#This Row],[Opp Rushing Attempts]]), 2)</f>
        <v>0.56000000000000005</v>
      </c>
      <c r="AF793" s="3">
        <f>1-Table1[[#This Row],[Passing Weight]]</f>
        <v>0.43999999999999995</v>
      </c>
      <c r="AG793" s="3" t="str">
        <f>IF(COUNTIF(A:A,Table1[[#This Row],[Opp Team Name]]) &gt; 0, "N", "Y")</f>
        <v>N</v>
      </c>
      <c r="AH793" s="3" t="str">
        <f>IF(Table1[[#This Row],[Passing Attempts]] &lt;15, "Y", "N")</f>
        <v>N</v>
      </c>
      <c r="AI793" s="3" t="str">
        <f>IF(Table1[[#This Row],[Rushing Attempts]] &lt; 15, "Y", "N")</f>
        <v>N</v>
      </c>
      <c r="AJ793" s="3" t="str">
        <f>IF(Table1[[#This Row],[Opp Passing Attempts]]&lt;15, "Y", "N")</f>
        <v>N</v>
      </c>
      <c r="AK793" s="3" t="str">
        <f>IF(Table1[[#This Row],[Opp Rushing Attempts]]&lt;15, "Y", "N")</f>
        <v>N</v>
      </c>
      <c r="AL79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52.06</v>
      </c>
      <c r="AM79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117.81</v>
      </c>
      <c r="AN79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81.92</v>
      </c>
      <c r="AO79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165.83</v>
      </c>
      <c r="AP793" s="3">
        <f>ABS(Table1[[#This Row],[Team Score]]-Table1[[#This Row],[Opp Team Score]])</f>
        <v>6</v>
      </c>
      <c r="AQ793" s="3">
        <f>SUM(Table1[[#This Row],[Team Score]], Table1[[#This Row],[Opp Team Score]])</f>
        <v>26</v>
      </c>
      <c r="AR79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58.319999999999993</v>
      </c>
      <c r="AS793" s="3">
        <f>IF(Table1[[#This Row],[Efficiency Difference]] = " ", " ", ROUND((Table1[[#This Row],[Winning Margin]]*100)/Table1[[#This Row],[Efficiency Difference]], 2))</f>
        <v>10.29</v>
      </c>
    </row>
    <row r="794" spans="1:45">
      <c r="A794" t="s">
        <v>148</v>
      </c>
      <c r="B794">
        <v>704</v>
      </c>
      <c r="C794">
        <v>24</v>
      </c>
      <c r="D794">
        <v>244</v>
      </c>
      <c r="E794">
        <v>42</v>
      </c>
      <c r="F794">
        <v>2</v>
      </c>
      <c r="G794">
        <v>27</v>
      </c>
      <c r="H794">
        <v>3</v>
      </c>
      <c r="I794">
        <v>95</v>
      </c>
      <c r="J794">
        <v>32</v>
      </c>
      <c r="K794">
        <v>1</v>
      </c>
      <c r="L794">
        <v>0</v>
      </c>
      <c r="M794" t="s">
        <v>115</v>
      </c>
      <c r="N794">
        <v>651</v>
      </c>
      <c r="O794">
        <v>52</v>
      </c>
      <c r="P794">
        <v>202</v>
      </c>
      <c r="Q794">
        <v>24</v>
      </c>
      <c r="R794">
        <v>2</v>
      </c>
      <c r="S794">
        <v>15</v>
      </c>
      <c r="T794">
        <v>0</v>
      </c>
      <c r="U794">
        <v>373</v>
      </c>
      <c r="V794">
        <v>45</v>
      </c>
      <c r="W794">
        <v>4</v>
      </c>
      <c r="X794">
        <v>0</v>
      </c>
      <c r="Y794" t="s">
        <v>19</v>
      </c>
      <c r="Z794">
        <v>4</v>
      </c>
      <c r="AA794">
        <f>IF(AND(Table1[[#This Row],[Throw Out Pass Eff]]="N", Table1[[#This Row],[Against FCS Team]]="N"), ROUND(((5.45 * D794) + (150 * F794) + (100 * G794) - (300 * H794)) / E794, 2), " ")</f>
        <v>81.66</v>
      </c>
      <c r="AB794">
        <f>IF(AND(Table1[[#This Row],[Throw Out Pass Def Eff]]="N", Table1[[#This Row],[Against FCS Team]]="N"),200 - ROUND(((5.45 * P794) + (150 * R794) + (100 * S794) - (300 * T794)) / Q794, 2), " ")</f>
        <v>79.13</v>
      </c>
      <c r="AC794">
        <f>IF(AND(Table1[[#This Row],[Throw Out Rush Eff]]="N", Table1[[#This Row],[Against FCS Team]]="N"), ROUND(((23.2 * I794) + (150 * K794) - (300 * L794)) / J794, 2), " ")</f>
        <v>73.56</v>
      </c>
      <c r="AD794" s="3">
        <f>IF(AND(Table1[[#This Row],[Throw Out Rush Def Eff]]="N", Table1[[#This Row],[Against FCS Team]]="N"), 200 - ROUND(((23.2 * U794) + (150 * W794) - (300 * X794)) / V794, 2), " ")</f>
        <v>-5.6399999999999864</v>
      </c>
      <c r="AE794" s="3">
        <f>ROUND(Table1[[#This Row],[Opp Passing Attempts]]/(Table1[[#This Row],[Opp Passing Attempts]]+Table1[[#This Row],[Opp Rushing Attempts]]), 2)</f>
        <v>0.35</v>
      </c>
      <c r="AF794" s="3">
        <f>1-Table1[[#This Row],[Passing Weight]]</f>
        <v>0.65</v>
      </c>
      <c r="AG794" s="3" t="str">
        <f>IF(COUNTIF(A:A,Table1[[#This Row],[Opp Team Name]]) &gt; 0, "N", "Y")</f>
        <v>N</v>
      </c>
      <c r="AH794" s="3" t="str">
        <f>IF(Table1[[#This Row],[Passing Attempts]] &lt;15, "Y", "N")</f>
        <v>N</v>
      </c>
      <c r="AI794" s="3" t="str">
        <f>IF(Table1[[#This Row],[Rushing Attempts]] &lt; 15, "Y", "N")</f>
        <v>N</v>
      </c>
      <c r="AJ794" s="3" t="str">
        <f>IF(Table1[[#This Row],[Opp Passing Attempts]]&lt;15, "Y", "N")</f>
        <v>N</v>
      </c>
      <c r="AK794" s="3" t="str">
        <f>IF(Table1[[#This Row],[Opp Rushing Attempts]]&lt;15, "Y", "N")</f>
        <v>N</v>
      </c>
      <c r="AL79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85.53</v>
      </c>
      <c r="AM79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74.78</v>
      </c>
      <c r="AN79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93.66</v>
      </c>
      <c r="AO79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-5.86</v>
      </c>
      <c r="AP794" s="3">
        <f>ABS(Table1[[#This Row],[Team Score]]-Table1[[#This Row],[Opp Team Score]])</f>
        <v>28</v>
      </c>
      <c r="AQ794" s="3">
        <f>SUM(Table1[[#This Row],[Team Score]], Table1[[#This Row],[Opp Team Score]])</f>
        <v>76</v>
      </c>
      <c r="AR79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171.29</v>
      </c>
      <c r="AS794" s="3">
        <f>IF(Table1[[#This Row],[Efficiency Difference]] = " ", " ", ROUND((Table1[[#This Row],[Winning Margin]]*100)/Table1[[#This Row],[Efficiency Difference]], 2))</f>
        <v>16.350000000000001</v>
      </c>
    </row>
    <row r="795" spans="1:45">
      <c r="A795" t="s">
        <v>148</v>
      </c>
      <c r="B795">
        <v>704</v>
      </c>
      <c r="C795">
        <v>42</v>
      </c>
      <c r="D795">
        <v>267</v>
      </c>
      <c r="E795">
        <v>29</v>
      </c>
      <c r="F795">
        <v>3</v>
      </c>
      <c r="G795">
        <v>19</v>
      </c>
      <c r="H795">
        <v>1</v>
      </c>
      <c r="I795">
        <v>271</v>
      </c>
      <c r="J795">
        <v>41</v>
      </c>
      <c r="K795">
        <v>3</v>
      </c>
      <c r="L795">
        <v>1</v>
      </c>
      <c r="M795" t="s">
        <v>74</v>
      </c>
      <c r="N795">
        <v>288</v>
      </c>
      <c r="O795">
        <v>49</v>
      </c>
      <c r="P795">
        <v>471</v>
      </c>
      <c r="Q795">
        <v>46</v>
      </c>
      <c r="R795">
        <v>2</v>
      </c>
      <c r="S795">
        <v>30</v>
      </c>
      <c r="T795">
        <v>0</v>
      </c>
      <c r="U795">
        <v>239</v>
      </c>
      <c r="V795">
        <v>31</v>
      </c>
      <c r="W795">
        <v>3</v>
      </c>
      <c r="X795">
        <v>0</v>
      </c>
      <c r="Y795" t="s">
        <v>19</v>
      </c>
      <c r="Z795">
        <v>5</v>
      </c>
      <c r="AA795">
        <f>IF(AND(Table1[[#This Row],[Throw Out Pass Eff]]="N", Table1[[#This Row],[Against FCS Team]]="N"), ROUND(((5.45 * D795) + (150 * F795) + (100 * G795) - (300 * H795)) / E795, 2), " ")</f>
        <v>120.87</v>
      </c>
      <c r="AB795">
        <f>IF(AND(Table1[[#This Row],[Throw Out Pass Def Eff]]="N", Table1[[#This Row],[Against FCS Team]]="N"),200 - ROUND(((5.45 * P795) + (150 * R795) + (100 * S795) - (300 * T795)) / Q795, 2), " ")</f>
        <v>72.459999999999994</v>
      </c>
      <c r="AC795">
        <f>IF(AND(Table1[[#This Row],[Throw Out Rush Eff]]="N", Table1[[#This Row],[Against FCS Team]]="N"), ROUND(((23.2 * I795) + (150 * K795) - (300 * L795)) / J795, 2), " ")</f>
        <v>157</v>
      </c>
      <c r="AD795" s="3">
        <f>IF(AND(Table1[[#This Row],[Throw Out Rush Def Eff]]="N", Table1[[#This Row],[Against FCS Team]]="N"), 200 - ROUND(((23.2 * U795) + (150 * W795) - (300 * X795)) / V795, 2), " ")</f>
        <v>6.6200000000000045</v>
      </c>
      <c r="AE795" s="3">
        <f>ROUND(Table1[[#This Row],[Opp Passing Attempts]]/(Table1[[#This Row],[Opp Passing Attempts]]+Table1[[#This Row],[Opp Rushing Attempts]]), 2)</f>
        <v>0.6</v>
      </c>
      <c r="AF795" s="3">
        <f>1-Table1[[#This Row],[Passing Weight]]</f>
        <v>0.4</v>
      </c>
      <c r="AG795" s="3" t="str">
        <f>IF(COUNTIF(A:A,Table1[[#This Row],[Opp Team Name]]) &gt; 0, "N", "Y")</f>
        <v>N</v>
      </c>
      <c r="AH795" s="3" t="str">
        <f>IF(Table1[[#This Row],[Passing Attempts]] &lt;15, "Y", "N")</f>
        <v>N</v>
      </c>
      <c r="AI795" s="3" t="str">
        <f>IF(Table1[[#This Row],[Rushing Attempts]] &lt; 15, "Y", "N")</f>
        <v>N</v>
      </c>
      <c r="AJ795" s="3" t="str">
        <f>IF(Table1[[#This Row],[Opp Passing Attempts]]&lt;15, "Y", "N")</f>
        <v>N</v>
      </c>
      <c r="AK795" s="3" t="str">
        <f>IF(Table1[[#This Row],[Opp Rushing Attempts]]&lt;15, "Y", "N")</f>
        <v>N</v>
      </c>
      <c r="AL79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118.62</v>
      </c>
      <c r="AM79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95.02</v>
      </c>
      <c r="AN79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167.14</v>
      </c>
      <c r="AO79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8.82</v>
      </c>
      <c r="AP795" s="3">
        <f>ABS(Table1[[#This Row],[Team Score]]-Table1[[#This Row],[Opp Team Score]])</f>
        <v>7</v>
      </c>
      <c r="AQ795" s="3">
        <f>SUM(Table1[[#This Row],[Team Score]], Table1[[#This Row],[Opp Team Score]])</f>
        <v>91</v>
      </c>
      <c r="AR79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43.050000000000011</v>
      </c>
      <c r="AS795" s="3">
        <f>IF(Table1[[#This Row],[Efficiency Difference]] = " ", " ", ROUND((Table1[[#This Row],[Winning Margin]]*100)/Table1[[#This Row],[Efficiency Difference]], 2))</f>
        <v>16.260000000000002</v>
      </c>
    </row>
    <row r="796" spans="1:45">
      <c r="A796" t="s">
        <v>148</v>
      </c>
      <c r="B796">
        <v>704</v>
      </c>
      <c r="C796">
        <v>44</v>
      </c>
      <c r="D796">
        <v>124</v>
      </c>
      <c r="E796">
        <v>17</v>
      </c>
      <c r="F796">
        <v>1</v>
      </c>
      <c r="G796">
        <v>7</v>
      </c>
      <c r="H796">
        <v>2</v>
      </c>
      <c r="I796">
        <v>266</v>
      </c>
      <c r="J796">
        <v>43</v>
      </c>
      <c r="K796">
        <v>3</v>
      </c>
      <c r="L796">
        <v>1</v>
      </c>
      <c r="M796" t="s">
        <v>140</v>
      </c>
      <c r="N796">
        <v>718</v>
      </c>
      <c r="O796">
        <v>7</v>
      </c>
      <c r="P796">
        <v>237</v>
      </c>
      <c r="Q796">
        <v>48</v>
      </c>
      <c r="R796">
        <v>0</v>
      </c>
      <c r="S796">
        <v>21</v>
      </c>
      <c r="T796">
        <v>4</v>
      </c>
      <c r="U796">
        <v>128</v>
      </c>
      <c r="V796">
        <v>24</v>
      </c>
      <c r="W796">
        <v>1</v>
      </c>
      <c r="X796">
        <v>0</v>
      </c>
      <c r="Y796" t="s">
        <v>16</v>
      </c>
      <c r="Z796">
        <v>7</v>
      </c>
      <c r="AA796">
        <f>IF(AND(Table1[[#This Row],[Throw Out Pass Eff]]="N", Table1[[#This Row],[Against FCS Team]]="N"), ROUND(((5.45 * D796) + (150 * F796) + (100 * G796) - (300 * H796)) / E796, 2), " ")</f>
        <v>54.46</v>
      </c>
      <c r="AB796">
        <f>IF(AND(Table1[[#This Row],[Throw Out Pass Def Eff]]="N", Table1[[#This Row],[Against FCS Team]]="N"),200 - ROUND(((5.45 * P796) + (150 * R796) + (100 * S796) - (300 * T796)) / Q796, 2), " ")</f>
        <v>154.34</v>
      </c>
      <c r="AC796">
        <f>IF(AND(Table1[[#This Row],[Throw Out Rush Eff]]="N", Table1[[#This Row],[Against FCS Team]]="N"), ROUND(((23.2 * I796) + (150 * K796) - (300 * L796)) / J796, 2), " ")</f>
        <v>147</v>
      </c>
      <c r="AD796" s="3">
        <f>IF(AND(Table1[[#This Row],[Throw Out Rush Def Eff]]="N", Table1[[#This Row],[Against FCS Team]]="N"), 200 - ROUND(((23.2 * U796) + (150 * W796) - (300 * X796)) / V796, 2), " ")</f>
        <v>70.02000000000001</v>
      </c>
      <c r="AE796" s="3">
        <f>ROUND(Table1[[#This Row],[Opp Passing Attempts]]/(Table1[[#This Row],[Opp Passing Attempts]]+Table1[[#This Row],[Opp Rushing Attempts]]), 2)</f>
        <v>0.67</v>
      </c>
      <c r="AF796" s="3">
        <f>1-Table1[[#This Row],[Passing Weight]]</f>
        <v>0.32999999999999996</v>
      </c>
      <c r="AG796" s="3" t="str">
        <f>IF(COUNTIF(A:A,Table1[[#This Row],[Opp Team Name]]) &gt; 0, "N", "Y")</f>
        <v>N</v>
      </c>
      <c r="AH796" s="3" t="str">
        <f>IF(Table1[[#This Row],[Passing Attempts]] &lt;15, "Y", "N")</f>
        <v>N</v>
      </c>
      <c r="AI796" s="3" t="str">
        <f>IF(Table1[[#This Row],[Rushing Attempts]] &lt; 15, "Y", "N")</f>
        <v>N</v>
      </c>
      <c r="AJ796" s="3" t="str">
        <f>IF(Table1[[#This Row],[Opp Passing Attempts]]&lt;15, "Y", "N")</f>
        <v>N</v>
      </c>
      <c r="AK796" s="3" t="str">
        <f>IF(Table1[[#This Row],[Opp Rushing Attempts]]&lt;15, "Y", "N")</f>
        <v>N</v>
      </c>
      <c r="AL79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62.85</v>
      </c>
      <c r="AM79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147.99</v>
      </c>
      <c r="AN79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149.46</v>
      </c>
      <c r="AO79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58.7</v>
      </c>
      <c r="AP796" s="3">
        <f>ABS(Table1[[#This Row],[Team Score]]-Table1[[#This Row],[Opp Team Score]])</f>
        <v>37</v>
      </c>
      <c r="AQ796" s="3">
        <f>SUM(Table1[[#This Row],[Team Score]], Table1[[#This Row],[Opp Team Score]])</f>
        <v>51</v>
      </c>
      <c r="AR79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25.820000000000022</v>
      </c>
      <c r="AS796" s="3">
        <f>IF(Table1[[#This Row],[Efficiency Difference]] = " ", " ", ROUND((Table1[[#This Row],[Winning Margin]]*100)/Table1[[#This Row],[Efficiency Difference]], 2))</f>
        <v>143.30000000000001</v>
      </c>
    </row>
    <row r="797" spans="1:45">
      <c r="A797" t="s">
        <v>148</v>
      </c>
      <c r="B797">
        <v>704</v>
      </c>
      <c r="C797">
        <v>31</v>
      </c>
      <c r="D797">
        <v>116</v>
      </c>
      <c r="E797">
        <v>15</v>
      </c>
      <c r="F797">
        <v>1</v>
      </c>
      <c r="G797">
        <v>8</v>
      </c>
      <c r="H797">
        <v>1</v>
      </c>
      <c r="I797">
        <v>340</v>
      </c>
      <c r="J797">
        <v>36</v>
      </c>
      <c r="K797">
        <v>3</v>
      </c>
      <c r="L797">
        <v>1</v>
      </c>
      <c r="M797" t="s">
        <v>58</v>
      </c>
      <c r="N797">
        <v>156</v>
      </c>
      <c r="O797">
        <v>17</v>
      </c>
      <c r="P797">
        <v>162</v>
      </c>
      <c r="Q797">
        <v>33</v>
      </c>
      <c r="R797">
        <v>0</v>
      </c>
      <c r="S797">
        <v>19</v>
      </c>
      <c r="T797">
        <v>1</v>
      </c>
      <c r="U797">
        <v>93</v>
      </c>
      <c r="V797">
        <v>43</v>
      </c>
      <c r="W797">
        <v>1</v>
      </c>
      <c r="X797">
        <v>1</v>
      </c>
      <c r="Y797" t="s">
        <v>16</v>
      </c>
      <c r="Z797">
        <v>8</v>
      </c>
      <c r="AA797" s="3">
        <f>IF(AND(Table1[[#This Row],[Throw Out Pass Eff]]="N", Table1[[#This Row],[Against FCS Team]]="N"), ROUND(((5.45 * D797) + (150 * F797) + (100 * G797) - (300 * H797)) / E797, 2), " ")</f>
        <v>85.48</v>
      </c>
      <c r="AB797" s="3">
        <f>IF(AND(Table1[[#This Row],[Throw Out Pass Def Eff]]="N", Table1[[#This Row],[Against FCS Team]]="N"),200 - ROUND(((5.45 * P797) + (150 * R797) + (100 * S797) - (300 * T797)) / Q797, 2), " ")</f>
        <v>124.76</v>
      </c>
      <c r="AC797" s="3">
        <f>IF(AND(Table1[[#This Row],[Throw Out Rush Eff]]="N", Table1[[#This Row],[Against FCS Team]]="N"), ROUND(((23.2 * I797) + (150 * K797) - (300 * L797)) / J797, 2), " ")</f>
        <v>223.28</v>
      </c>
      <c r="AD797" s="3">
        <f>IF(AND(Table1[[#This Row],[Throw Out Rush Def Eff]]="N", Table1[[#This Row],[Against FCS Team]]="N"), 200 - ROUND(((23.2 * U797) + (150 * W797) - (300 * X797)) / V797, 2), " ")</f>
        <v>153.31</v>
      </c>
      <c r="AE797" s="3">
        <f>ROUND(Table1[[#This Row],[Opp Passing Attempts]]/(Table1[[#This Row],[Opp Passing Attempts]]+Table1[[#This Row],[Opp Rushing Attempts]]), 2)</f>
        <v>0.43</v>
      </c>
      <c r="AF797" s="3">
        <f>1-Table1[[#This Row],[Passing Weight]]</f>
        <v>0.57000000000000006</v>
      </c>
      <c r="AG797" s="3" t="str">
        <f>IF(COUNTIF(A:A,Table1[[#This Row],[Opp Team Name]]) &gt; 0, "N", "Y")</f>
        <v>N</v>
      </c>
      <c r="AH797" s="3" t="str">
        <f>IF(Table1[[#This Row],[Passing Attempts]] &lt;15, "Y", "N")</f>
        <v>N</v>
      </c>
      <c r="AI797" s="3" t="str">
        <f>IF(Table1[[#This Row],[Rushing Attempts]] &lt; 15, "Y", "N")</f>
        <v>N</v>
      </c>
      <c r="AJ797" s="3" t="str">
        <f>IF(Table1[[#This Row],[Opp Passing Attempts]]&lt;15, "Y", "N")</f>
        <v>N</v>
      </c>
      <c r="AK797" s="3" t="str">
        <f>IF(Table1[[#This Row],[Opp Rushing Attempts]]&lt;15, "Y", "N")</f>
        <v>N</v>
      </c>
      <c r="AL79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78.37</v>
      </c>
      <c r="AM79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120.13</v>
      </c>
      <c r="AN79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162.99</v>
      </c>
      <c r="AO79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90.35</v>
      </c>
      <c r="AP797" s="3">
        <f>ABS(Table1[[#This Row],[Team Score]]-Table1[[#This Row],[Opp Team Score]])</f>
        <v>14</v>
      </c>
      <c r="AQ797" s="3">
        <f>SUM(Table1[[#This Row],[Team Score]], Table1[[#This Row],[Opp Team Score]])</f>
        <v>48</v>
      </c>
      <c r="AR79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186.82999999999998</v>
      </c>
      <c r="AS797" s="3">
        <f>IF(Table1[[#This Row],[Efficiency Difference]] = " ", " ", ROUND((Table1[[#This Row],[Winning Margin]]*100)/Table1[[#This Row],[Efficiency Difference]], 2))</f>
        <v>7.49</v>
      </c>
    </row>
    <row r="798" spans="1:45">
      <c r="A798" t="s">
        <v>150</v>
      </c>
      <c r="B798">
        <v>706</v>
      </c>
      <c r="C798">
        <v>31</v>
      </c>
      <c r="D798">
        <v>237</v>
      </c>
      <c r="E798">
        <v>29</v>
      </c>
      <c r="F798">
        <v>2</v>
      </c>
      <c r="G798">
        <v>17</v>
      </c>
      <c r="H798">
        <v>0</v>
      </c>
      <c r="I798">
        <v>136</v>
      </c>
      <c r="J798">
        <v>34</v>
      </c>
      <c r="K798">
        <v>2</v>
      </c>
      <c r="L798">
        <v>0</v>
      </c>
      <c r="M798" t="s">
        <v>151</v>
      </c>
      <c r="N798">
        <v>12810</v>
      </c>
      <c r="O798">
        <v>3</v>
      </c>
      <c r="P798">
        <v>271</v>
      </c>
      <c r="Q798">
        <v>35</v>
      </c>
      <c r="R798">
        <v>0</v>
      </c>
      <c r="S798">
        <v>22</v>
      </c>
      <c r="T798">
        <v>0</v>
      </c>
      <c r="U798">
        <v>36</v>
      </c>
      <c r="V798">
        <v>29</v>
      </c>
      <c r="W798">
        <v>0</v>
      </c>
      <c r="X798">
        <v>2</v>
      </c>
      <c r="Y798" t="s">
        <v>16</v>
      </c>
      <c r="Z798">
        <v>1</v>
      </c>
      <c r="AA798" t="str">
        <f>IF(AND(Table1[[#This Row],[Throw Out Pass Eff]]="N", Table1[[#This Row],[Against FCS Team]]="N"), ROUND(((5.45 * D798) + (150 * F798) + (100 * G798) - (300 * H798)) / E798, 2), " ")</f>
        <v xml:space="preserve"> </v>
      </c>
      <c r="AB798" t="str">
        <f>IF(AND(Table1[[#This Row],[Throw Out Pass Def Eff]]="N", Table1[[#This Row],[Against FCS Team]]="N"),200 - ROUND(((5.45 * P798) + (150 * R798) + (100 * S798) - (300 * T798)) / Q798, 2), " ")</f>
        <v xml:space="preserve"> </v>
      </c>
      <c r="AC798" t="str">
        <f>IF(AND(Table1[[#This Row],[Throw Out Rush Eff]]="N", Table1[[#This Row],[Against FCS Team]]="N"), ROUND(((23.2 * I798) + (150 * K798) - (300 * L798)) / J798, 2), " ")</f>
        <v xml:space="preserve"> </v>
      </c>
      <c r="AD798" s="3" t="str">
        <f>IF(AND(Table1[[#This Row],[Throw Out Rush Def Eff]]="N", Table1[[#This Row],[Against FCS Team]]="N"), 200 - ROUND(((23.2 * U798) + (150 * W798) - (300 * X798)) / V798, 2), " ")</f>
        <v xml:space="preserve"> </v>
      </c>
      <c r="AE798" s="3">
        <f>ROUND(Table1[[#This Row],[Opp Passing Attempts]]/(Table1[[#This Row],[Opp Passing Attempts]]+Table1[[#This Row],[Opp Rushing Attempts]]), 2)</f>
        <v>0.55000000000000004</v>
      </c>
      <c r="AF798" s="3">
        <f>1-Table1[[#This Row],[Passing Weight]]</f>
        <v>0.44999999999999996</v>
      </c>
      <c r="AG798" s="3" t="str">
        <f>IF(COUNTIF(A:A,Table1[[#This Row],[Opp Team Name]]) &gt; 0, "N", "Y")</f>
        <v>Y</v>
      </c>
      <c r="AH798" s="3" t="str">
        <f>IF(Table1[[#This Row],[Passing Attempts]] &lt;15, "Y", "N")</f>
        <v>N</v>
      </c>
      <c r="AI798" s="3" t="str">
        <f>IF(Table1[[#This Row],[Rushing Attempts]] &lt; 15, "Y", "N")</f>
        <v>N</v>
      </c>
      <c r="AJ798" s="3" t="str">
        <f>IF(Table1[[#This Row],[Opp Passing Attempts]]&lt;15, "Y", "N")</f>
        <v>N</v>
      </c>
      <c r="AK798" s="3" t="str">
        <f>IF(Table1[[#This Row],[Opp Rushing Attempts]]&lt;15, "Y", "N")</f>
        <v>N</v>
      </c>
      <c r="AL79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9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9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9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98" s="3">
        <f>ABS(Table1[[#This Row],[Team Score]]-Table1[[#This Row],[Opp Team Score]])</f>
        <v>28</v>
      </c>
      <c r="AQ798" s="3">
        <f>SUM(Table1[[#This Row],[Team Score]], Table1[[#This Row],[Opp Team Score]])</f>
        <v>34</v>
      </c>
      <c r="AR79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98" s="3" t="str">
        <f>IF(Table1[[#This Row],[Efficiency Difference]] = " ", " ", ROUND((Table1[[#This Row],[Winning Margin]]*100)/Table1[[#This Row],[Efficiency Difference]], 2))</f>
        <v xml:space="preserve"> </v>
      </c>
    </row>
    <row r="799" spans="1:45">
      <c r="A799" t="s">
        <v>150</v>
      </c>
      <c r="B799">
        <v>706</v>
      </c>
      <c r="C799">
        <v>21</v>
      </c>
      <c r="D799">
        <v>255</v>
      </c>
      <c r="E799">
        <v>28</v>
      </c>
      <c r="F799">
        <v>2</v>
      </c>
      <c r="G799">
        <v>15</v>
      </c>
      <c r="H799">
        <v>1</v>
      </c>
      <c r="I799">
        <v>232</v>
      </c>
      <c r="J799">
        <v>43</v>
      </c>
      <c r="K799">
        <v>1</v>
      </c>
      <c r="L799">
        <v>0</v>
      </c>
      <c r="M799" t="s">
        <v>189</v>
      </c>
      <c r="N799">
        <v>8530</v>
      </c>
      <c r="O799">
        <v>24</v>
      </c>
      <c r="P799">
        <v>372</v>
      </c>
      <c r="Q799">
        <v>45</v>
      </c>
      <c r="R799">
        <v>1</v>
      </c>
      <c r="S799">
        <v>29</v>
      </c>
      <c r="T799">
        <v>1</v>
      </c>
      <c r="U799">
        <v>3</v>
      </c>
      <c r="V799">
        <v>20</v>
      </c>
      <c r="W799">
        <v>1</v>
      </c>
      <c r="X799">
        <v>1</v>
      </c>
      <c r="Y799" t="s">
        <v>19</v>
      </c>
      <c r="Z799">
        <v>2</v>
      </c>
      <c r="AA799" t="str">
        <f>IF(AND(Table1[[#This Row],[Throw Out Pass Eff]]="N", Table1[[#This Row],[Against FCS Team]]="N"), ROUND(((5.45 * D799) + (150 * F799) + (100 * G799) - (300 * H799)) / E799, 2), " ")</f>
        <v xml:space="preserve"> </v>
      </c>
      <c r="AB799" t="str">
        <f>IF(AND(Table1[[#This Row],[Throw Out Pass Def Eff]]="N", Table1[[#This Row],[Against FCS Team]]="N"),200 - ROUND(((5.45 * P799) + (150 * R799) + (100 * S799) - (300 * T799)) / Q799, 2), " ")</f>
        <v xml:space="preserve"> </v>
      </c>
      <c r="AC799" t="str">
        <f>IF(AND(Table1[[#This Row],[Throw Out Rush Eff]]="N", Table1[[#This Row],[Against FCS Team]]="N"), ROUND(((23.2 * I799) + (150 * K799) - (300 * L799)) / J799, 2), " ")</f>
        <v xml:space="preserve"> </v>
      </c>
      <c r="AD799" s="3" t="str">
        <f>IF(AND(Table1[[#This Row],[Throw Out Rush Def Eff]]="N", Table1[[#This Row],[Against FCS Team]]="N"), 200 - ROUND(((23.2 * U799) + (150 * W799) - (300 * X799)) / V799, 2), " ")</f>
        <v xml:space="preserve"> </v>
      </c>
      <c r="AE799" s="3">
        <f>ROUND(Table1[[#This Row],[Opp Passing Attempts]]/(Table1[[#This Row],[Opp Passing Attempts]]+Table1[[#This Row],[Opp Rushing Attempts]]), 2)</f>
        <v>0.69</v>
      </c>
      <c r="AF799" s="3">
        <f>1-Table1[[#This Row],[Passing Weight]]</f>
        <v>0.31000000000000005</v>
      </c>
      <c r="AG799" s="3" t="str">
        <f>IF(COUNTIF(A:A,Table1[[#This Row],[Opp Team Name]]) &gt; 0, "N", "Y")</f>
        <v>Y</v>
      </c>
      <c r="AH799" s="3" t="str">
        <f>IF(Table1[[#This Row],[Passing Attempts]] &lt;15, "Y", "N")</f>
        <v>N</v>
      </c>
      <c r="AI799" s="3" t="str">
        <f>IF(Table1[[#This Row],[Rushing Attempts]] &lt; 15, "Y", "N")</f>
        <v>N</v>
      </c>
      <c r="AJ799" s="3" t="str">
        <f>IF(Table1[[#This Row],[Opp Passing Attempts]]&lt;15, "Y", "N")</f>
        <v>N</v>
      </c>
      <c r="AK799" s="3" t="str">
        <f>IF(Table1[[#This Row],[Opp Rushing Attempts]]&lt;15, "Y", "N")</f>
        <v>N</v>
      </c>
      <c r="AL79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799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799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799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799" s="3">
        <f>ABS(Table1[[#This Row],[Team Score]]-Table1[[#This Row],[Opp Team Score]])</f>
        <v>3</v>
      </c>
      <c r="AQ799" s="3">
        <f>SUM(Table1[[#This Row],[Team Score]], Table1[[#This Row],[Opp Team Score]])</f>
        <v>45</v>
      </c>
      <c r="AR79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799" s="3" t="str">
        <f>IF(Table1[[#This Row],[Efficiency Difference]] = " ", " ", ROUND((Table1[[#This Row],[Winning Margin]]*100)/Table1[[#This Row],[Efficiency Difference]], 2))</f>
        <v xml:space="preserve"> </v>
      </c>
    </row>
    <row r="800" spans="1:45">
      <c r="A800" t="s">
        <v>150</v>
      </c>
      <c r="B800">
        <v>706</v>
      </c>
      <c r="C800">
        <v>54</v>
      </c>
      <c r="D800">
        <v>200</v>
      </c>
      <c r="E800">
        <v>25</v>
      </c>
      <c r="F800">
        <v>2</v>
      </c>
      <c r="G800">
        <v>13</v>
      </c>
      <c r="H800">
        <v>0</v>
      </c>
      <c r="I800">
        <v>216</v>
      </c>
      <c r="J800">
        <v>45</v>
      </c>
      <c r="K800">
        <v>3</v>
      </c>
      <c r="L800">
        <v>2</v>
      </c>
      <c r="M800" t="s">
        <v>209</v>
      </c>
      <c r="N800">
        <v>506174</v>
      </c>
      <c r="O800">
        <v>7</v>
      </c>
      <c r="P800">
        <v>189</v>
      </c>
      <c r="Q800">
        <v>27</v>
      </c>
      <c r="R800">
        <v>1</v>
      </c>
      <c r="S800">
        <v>12</v>
      </c>
      <c r="T800">
        <v>3</v>
      </c>
      <c r="U800">
        <v>71</v>
      </c>
      <c r="V800">
        <v>31</v>
      </c>
      <c r="W800">
        <v>0</v>
      </c>
      <c r="X800">
        <v>2</v>
      </c>
      <c r="Y800" t="s">
        <v>16</v>
      </c>
      <c r="Z800">
        <v>4</v>
      </c>
      <c r="AA800" t="str">
        <f>IF(AND(Table1[[#This Row],[Throw Out Pass Eff]]="N", Table1[[#This Row],[Against FCS Team]]="N"), ROUND(((5.45 * D800) + (150 * F800) + (100 * G800) - (300 * H800)) / E800, 2), " ")</f>
        <v xml:space="preserve"> </v>
      </c>
      <c r="AB800" t="str">
        <f>IF(AND(Table1[[#This Row],[Throw Out Pass Def Eff]]="N", Table1[[#This Row],[Against FCS Team]]="N"),200 - ROUND(((5.45 * P800) + (150 * R800) + (100 * S800) - (300 * T800)) / Q800, 2), " ")</f>
        <v xml:space="preserve"> </v>
      </c>
      <c r="AC800" t="str">
        <f>IF(AND(Table1[[#This Row],[Throw Out Rush Eff]]="N", Table1[[#This Row],[Against FCS Team]]="N"), ROUND(((23.2 * I800) + (150 * K800) - (300 * L800)) / J800, 2), " ")</f>
        <v xml:space="preserve"> </v>
      </c>
      <c r="AD800" s="3" t="str">
        <f>IF(AND(Table1[[#This Row],[Throw Out Rush Def Eff]]="N", Table1[[#This Row],[Against FCS Team]]="N"), 200 - ROUND(((23.2 * U800) + (150 * W800) - (300 * X800)) / V800, 2), " ")</f>
        <v xml:space="preserve"> </v>
      </c>
      <c r="AE800" s="3">
        <f>ROUND(Table1[[#This Row],[Opp Passing Attempts]]/(Table1[[#This Row],[Opp Passing Attempts]]+Table1[[#This Row],[Opp Rushing Attempts]]), 2)</f>
        <v>0.47</v>
      </c>
      <c r="AF800" s="3">
        <f>1-Table1[[#This Row],[Passing Weight]]</f>
        <v>0.53</v>
      </c>
      <c r="AG800" s="3" t="str">
        <f>IF(COUNTIF(A:A,Table1[[#This Row],[Opp Team Name]]) &gt; 0, "N", "Y")</f>
        <v>Y</v>
      </c>
      <c r="AH800" s="3" t="str">
        <f>IF(Table1[[#This Row],[Passing Attempts]] &lt;15, "Y", "N")</f>
        <v>N</v>
      </c>
      <c r="AI800" s="3" t="str">
        <f>IF(Table1[[#This Row],[Rushing Attempts]] &lt; 15, "Y", "N")</f>
        <v>N</v>
      </c>
      <c r="AJ800" s="3" t="str">
        <f>IF(Table1[[#This Row],[Opp Passing Attempts]]&lt;15, "Y", "N")</f>
        <v>N</v>
      </c>
      <c r="AK800" s="3" t="str">
        <f>IF(Table1[[#This Row],[Opp Rushing Attempts]]&lt;15, "Y", "N")</f>
        <v>N</v>
      </c>
      <c r="AL800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00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00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00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00" s="3">
        <f>ABS(Table1[[#This Row],[Team Score]]-Table1[[#This Row],[Opp Team Score]])</f>
        <v>47</v>
      </c>
      <c r="AQ800" s="3">
        <f>SUM(Table1[[#This Row],[Team Score]], Table1[[#This Row],[Opp Team Score]])</f>
        <v>61</v>
      </c>
      <c r="AR800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00" s="3" t="str">
        <f>IF(Table1[[#This Row],[Efficiency Difference]] = " ", " ", ROUND((Table1[[#This Row],[Winning Margin]]*100)/Table1[[#This Row],[Efficiency Difference]], 2))</f>
        <v xml:space="preserve"> </v>
      </c>
    </row>
    <row r="801" spans="1:45">
      <c r="A801" t="s">
        <v>150</v>
      </c>
      <c r="B801">
        <v>706</v>
      </c>
      <c r="C801">
        <v>27</v>
      </c>
      <c r="D801">
        <v>263</v>
      </c>
      <c r="E801">
        <v>22</v>
      </c>
      <c r="F801">
        <v>2</v>
      </c>
      <c r="G801">
        <v>15</v>
      </c>
      <c r="H801">
        <v>0</v>
      </c>
      <c r="I801">
        <v>146</v>
      </c>
      <c r="J801">
        <v>46</v>
      </c>
      <c r="K801">
        <v>1</v>
      </c>
      <c r="L801">
        <v>1</v>
      </c>
      <c r="M801" t="s">
        <v>197</v>
      </c>
      <c r="N801">
        <v>646</v>
      </c>
      <c r="O801">
        <v>30</v>
      </c>
      <c r="P801">
        <v>176</v>
      </c>
      <c r="Q801">
        <v>17</v>
      </c>
      <c r="R801">
        <v>0</v>
      </c>
      <c r="S801">
        <v>11</v>
      </c>
      <c r="T801">
        <v>1</v>
      </c>
      <c r="U801">
        <v>176</v>
      </c>
      <c r="V801">
        <v>38</v>
      </c>
      <c r="W801">
        <v>4</v>
      </c>
      <c r="X801">
        <v>1</v>
      </c>
      <c r="Y801" t="s">
        <v>19</v>
      </c>
      <c r="Z801">
        <v>6</v>
      </c>
      <c r="AA801" t="str">
        <f>IF(AND(Table1[[#This Row],[Throw Out Pass Eff]]="N", Table1[[#This Row],[Against FCS Team]]="N"), ROUND(((5.45 * D801) + (150 * F801) + (100 * G801) - (300 * H801)) / E801, 2), " ")</f>
        <v xml:space="preserve"> </v>
      </c>
      <c r="AB801" t="str">
        <f>IF(AND(Table1[[#This Row],[Throw Out Pass Def Eff]]="N", Table1[[#This Row],[Against FCS Team]]="N"),200 - ROUND(((5.45 * P801) + (150 * R801) + (100 * S801) - (300 * T801)) / Q801, 2), " ")</f>
        <v xml:space="preserve"> </v>
      </c>
      <c r="AC801" t="str">
        <f>IF(AND(Table1[[#This Row],[Throw Out Rush Eff]]="N", Table1[[#This Row],[Against FCS Team]]="N"), ROUND(((23.2 * I801) + (150 * K801) - (300 * L801)) / J801, 2), " ")</f>
        <v xml:space="preserve"> </v>
      </c>
      <c r="AD801" s="3" t="str">
        <f>IF(AND(Table1[[#This Row],[Throw Out Rush Def Eff]]="N", Table1[[#This Row],[Against FCS Team]]="N"), 200 - ROUND(((23.2 * U801) + (150 * W801) - (300 * X801)) / V801, 2), " ")</f>
        <v xml:space="preserve"> </v>
      </c>
      <c r="AE801" s="3">
        <f>ROUND(Table1[[#This Row],[Opp Passing Attempts]]/(Table1[[#This Row],[Opp Passing Attempts]]+Table1[[#This Row],[Opp Rushing Attempts]]), 2)</f>
        <v>0.31</v>
      </c>
      <c r="AF801" s="3">
        <f>1-Table1[[#This Row],[Passing Weight]]</f>
        <v>0.69</v>
      </c>
      <c r="AG801" s="3" t="str">
        <f>IF(COUNTIF(A:A,Table1[[#This Row],[Opp Team Name]]) &gt; 0, "N", "Y")</f>
        <v>Y</v>
      </c>
      <c r="AH801" s="3" t="str">
        <f>IF(Table1[[#This Row],[Passing Attempts]] &lt;15, "Y", "N")</f>
        <v>N</v>
      </c>
      <c r="AI801" s="3" t="str">
        <f>IF(Table1[[#This Row],[Rushing Attempts]] &lt; 15, "Y", "N")</f>
        <v>N</v>
      </c>
      <c r="AJ801" s="3" t="str">
        <f>IF(Table1[[#This Row],[Opp Passing Attempts]]&lt;15, "Y", "N")</f>
        <v>N</v>
      </c>
      <c r="AK801" s="3" t="str">
        <f>IF(Table1[[#This Row],[Opp Rushing Attempts]]&lt;15, "Y", "N")</f>
        <v>N</v>
      </c>
      <c r="AL80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0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0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0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01" s="3">
        <f>ABS(Table1[[#This Row],[Team Score]]-Table1[[#This Row],[Opp Team Score]])</f>
        <v>3</v>
      </c>
      <c r="AQ801" s="3">
        <f>SUM(Table1[[#This Row],[Team Score]], Table1[[#This Row],[Opp Team Score]])</f>
        <v>57</v>
      </c>
      <c r="AR80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01" s="3" t="str">
        <f>IF(Table1[[#This Row],[Efficiency Difference]] = " ", " ", ROUND((Table1[[#This Row],[Winning Margin]]*100)/Table1[[#This Row],[Efficiency Difference]], 2))</f>
        <v xml:space="preserve"> </v>
      </c>
    </row>
    <row r="802" spans="1:45">
      <c r="A802" t="s">
        <v>150</v>
      </c>
      <c r="B802">
        <v>706</v>
      </c>
      <c r="C802">
        <v>22</v>
      </c>
      <c r="D802">
        <v>147</v>
      </c>
      <c r="E802">
        <v>29</v>
      </c>
      <c r="F802">
        <v>1</v>
      </c>
      <c r="G802">
        <v>15</v>
      </c>
      <c r="H802">
        <v>1</v>
      </c>
      <c r="I802">
        <v>147</v>
      </c>
      <c r="J802">
        <v>35</v>
      </c>
      <c r="K802">
        <v>2</v>
      </c>
      <c r="L802">
        <v>1</v>
      </c>
      <c r="M802" t="s">
        <v>200</v>
      </c>
      <c r="N802">
        <v>667</v>
      </c>
      <c r="O802">
        <v>45</v>
      </c>
      <c r="P802">
        <v>305</v>
      </c>
      <c r="Q802">
        <v>36</v>
      </c>
      <c r="R802">
        <v>3</v>
      </c>
      <c r="S802">
        <v>24</v>
      </c>
      <c r="T802">
        <v>0</v>
      </c>
      <c r="U802">
        <v>118</v>
      </c>
      <c r="V802">
        <v>34</v>
      </c>
      <c r="W802">
        <v>2</v>
      </c>
      <c r="X802">
        <v>1</v>
      </c>
      <c r="Y802" t="s">
        <v>19</v>
      </c>
      <c r="Z802">
        <v>3</v>
      </c>
      <c r="AA802">
        <f>IF(AND(Table1[[#This Row],[Throw Out Pass Eff]]="N", Table1[[#This Row],[Against FCS Team]]="N"), ROUND(((5.45 * D802) + (150 * F802) + (100 * G802) - (300 * H802)) / E802, 2), " ")</f>
        <v>74.180000000000007</v>
      </c>
      <c r="AB802">
        <f>IF(AND(Table1[[#This Row],[Throw Out Pass Def Eff]]="N", Table1[[#This Row],[Against FCS Team]]="N"),200 - ROUND(((5.45 * P802) + (150 * R802) + (100 * S802) - (300 * T802)) / Q802, 2), " ")</f>
        <v>74.66</v>
      </c>
      <c r="AC802">
        <f>IF(AND(Table1[[#This Row],[Throw Out Rush Eff]]="N", Table1[[#This Row],[Against FCS Team]]="N"), ROUND(((23.2 * I802) + (150 * K802) - (300 * L802)) / J802, 2), " ")</f>
        <v>97.44</v>
      </c>
      <c r="AD802" s="3">
        <f>IF(AND(Table1[[#This Row],[Throw Out Rush Def Eff]]="N", Table1[[#This Row],[Against FCS Team]]="N"), 200 - ROUND(((23.2 * U802) + (150 * W802) - (300 * X802)) / V802, 2), " ")</f>
        <v>119.48</v>
      </c>
      <c r="AE802" s="3">
        <f>ROUND(Table1[[#This Row],[Opp Passing Attempts]]/(Table1[[#This Row],[Opp Passing Attempts]]+Table1[[#This Row],[Opp Rushing Attempts]]), 2)</f>
        <v>0.51</v>
      </c>
      <c r="AF802" s="3">
        <f>1-Table1[[#This Row],[Passing Weight]]</f>
        <v>0.49</v>
      </c>
      <c r="AG802" s="3" t="str">
        <f>IF(COUNTIF(A:A,Table1[[#This Row],[Opp Team Name]]) &gt; 0, "N", "Y")</f>
        <v>N</v>
      </c>
      <c r="AH802" s="3" t="str">
        <f>IF(Table1[[#This Row],[Passing Attempts]] &lt;15, "Y", "N")</f>
        <v>N</v>
      </c>
      <c r="AI802" s="3" t="str">
        <f>IF(Table1[[#This Row],[Rushing Attempts]] &lt; 15, "Y", "N")</f>
        <v>N</v>
      </c>
      <c r="AJ802" s="3" t="str">
        <f>IF(Table1[[#This Row],[Opp Passing Attempts]]&lt;15, "Y", "N")</f>
        <v>N</v>
      </c>
      <c r="AK802" s="3" t="str">
        <f>IF(Table1[[#This Row],[Opp Rushing Attempts]]&lt;15, "Y", "N")</f>
        <v>N</v>
      </c>
      <c r="AL80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93.33</v>
      </c>
      <c r="AM80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93.58</v>
      </c>
      <c r="AN80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99.93</v>
      </c>
      <c r="AO80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96.21</v>
      </c>
      <c r="AP802" s="3">
        <f>ABS(Table1[[#This Row],[Team Score]]-Table1[[#This Row],[Opp Team Score]])</f>
        <v>23</v>
      </c>
      <c r="AQ802" s="3">
        <f>SUM(Table1[[#This Row],[Team Score]], Table1[[#This Row],[Opp Team Score]])</f>
        <v>67</v>
      </c>
      <c r="AR80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34.240000000000009</v>
      </c>
      <c r="AS802" s="3">
        <f>IF(Table1[[#This Row],[Efficiency Difference]] = " ", " ", ROUND((Table1[[#This Row],[Winning Margin]]*100)/Table1[[#This Row],[Efficiency Difference]], 2))</f>
        <v>67.17</v>
      </c>
    </row>
    <row r="803" spans="1:45">
      <c r="A803" t="s">
        <v>150</v>
      </c>
      <c r="B803">
        <v>706</v>
      </c>
      <c r="C803">
        <v>7</v>
      </c>
      <c r="D803">
        <v>217</v>
      </c>
      <c r="E803">
        <v>52</v>
      </c>
      <c r="F803">
        <v>0</v>
      </c>
      <c r="G803">
        <v>26</v>
      </c>
      <c r="H803">
        <v>3</v>
      </c>
      <c r="I803">
        <v>29</v>
      </c>
      <c r="J803">
        <v>19</v>
      </c>
      <c r="K803">
        <v>1</v>
      </c>
      <c r="L803">
        <v>2</v>
      </c>
      <c r="M803" t="s">
        <v>207</v>
      </c>
      <c r="N803">
        <v>624</v>
      </c>
      <c r="O803">
        <v>22</v>
      </c>
      <c r="P803">
        <v>126</v>
      </c>
      <c r="Q803">
        <v>21</v>
      </c>
      <c r="R803">
        <v>1</v>
      </c>
      <c r="S803">
        <v>8</v>
      </c>
      <c r="T803">
        <v>1</v>
      </c>
      <c r="U803">
        <v>222</v>
      </c>
      <c r="V803">
        <v>43</v>
      </c>
      <c r="W803">
        <v>2</v>
      </c>
      <c r="X803">
        <v>1</v>
      </c>
      <c r="Y803" t="s">
        <v>19</v>
      </c>
      <c r="Z803">
        <v>5</v>
      </c>
      <c r="AA803">
        <f>IF(AND(Table1[[#This Row],[Throw Out Pass Eff]]="N", Table1[[#This Row],[Against FCS Team]]="N"), ROUND(((5.45 * D803) + (150 * F803) + (100 * G803) - (300 * H803)) / E803, 2), " ")</f>
        <v>55.44</v>
      </c>
      <c r="AB803">
        <f>IF(AND(Table1[[#This Row],[Throw Out Pass Def Eff]]="N", Table1[[#This Row],[Against FCS Team]]="N"),200 - ROUND(((5.45 * P803) + (150 * R803) + (100 * S803) - (300 * T803)) / Q803, 2), " ")</f>
        <v>136.35</v>
      </c>
      <c r="AC803">
        <f>IF(AND(Table1[[#This Row],[Throw Out Rush Eff]]="N", Table1[[#This Row],[Against FCS Team]]="N"), ROUND(((23.2 * I803) + (150 * K803) - (300 * L803)) / J803, 2), " ")</f>
        <v>11.73</v>
      </c>
      <c r="AD803" s="3">
        <f>IF(AND(Table1[[#This Row],[Throw Out Rush Def Eff]]="N", Table1[[#This Row],[Against FCS Team]]="N"), 200 - ROUND(((23.2 * U803) + (150 * W803) - (300 * X803)) / V803, 2), " ")</f>
        <v>80.22</v>
      </c>
      <c r="AE803" s="3">
        <f>ROUND(Table1[[#This Row],[Opp Passing Attempts]]/(Table1[[#This Row],[Opp Passing Attempts]]+Table1[[#This Row],[Opp Rushing Attempts]]), 2)</f>
        <v>0.33</v>
      </c>
      <c r="AF803" s="3">
        <f>1-Table1[[#This Row],[Passing Weight]]</f>
        <v>0.66999999999999993</v>
      </c>
      <c r="AG803" s="3" t="str">
        <f>IF(COUNTIF(A:A,Table1[[#This Row],[Opp Team Name]]) &gt; 0, "N", "Y")</f>
        <v>N</v>
      </c>
      <c r="AH803" s="3" t="str">
        <f>IF(Table1[[#This Row],[Passing Attempts]] &lt;15, "Y", "N")</f>
        <v>N</v>
      </c>
      <c r="AI803" s="3" t="str">
        <f>IF(Table1[[#This Row],[Rushing Attempts]] &lt; 15, "Y", "N")</f>
        <v>N</v>
      </c>
      <c r="AJ803" s="3" t="str">
        <f>IF(Table1[[#This Row],[Opp Passing Attempts]]&lt;15, "Y", "N")</f>
        <v>N</v>
      </c>
      <c r="AK803" s="3" t="str">
        <f>IF(Table1[[#This Row],[Opp Rushing Attempts]]&lt;15, "Y", "N")</f>
        <v>N</v>
      </c>
      <c r="AL80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80.14</v>
      </c>
      <c r="AM80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86.79</v>
      </c>
      <c r="AN80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22.08</v>
      </c>
      <c r="AO80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96.09</v>
      </c>
      <c r="AP803" s="3">
        <f>ABS(Table1[[#This Row],[Team Score]]-Table1[[#This Row],[Opp Team Score]])</f>
        <v>15</v>
      </c>
      <c r="AQ803" s="3">
        <f>SUM(Table1[[#This Row],[Team Score]], Table1[[#This Row],[Opp Team Score]])</f>
        <v>29</v>
      </c>
      <c r="AR80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116.26</v>
      </c>
      <c r="AS803" s="3">
        <f>IF(Table1[[#This Row],[Efficiency Difference]] = " ", " ", ROUND((Table1[[#This Row],[Winning Margin]]*100)/Table1[[#This Row],[Efficiency Difference]], 2))</f>
        <v>12.9</v>
      </c>
    </row>
    <row r="804" spans="1:45">
      <c r="A804" t="s">
        <v>150</v>
      </c>
      <c r="B804">
        <v>706</v>
      </c>
      <c r="C804">
        <v>17</v>
      </c>
      <c r="D804">
        <v>257</v>
      </c>
      <c r="E804">
        <v>31</v>
      </c>
      <c r="F804">
        <v>2</v>
      </c>
      <c r="G804">
        <v>22</v>
      </c>
      <c r="H804">
        <v>0</v>
      </c>
      <c r="I804">
        <v>79</v>
      </c>
      <c r="J804">
        <v>22</v>
      </c>
      <c r="K804">
        <v>0</v>
      </c>
      <c r="L804">
        <v>2</v>
      </c>
      <c r="M804" t="s">
        <v>25</v>
      </c>
      <c r="N804">
        <v>108</v>
      </c>
      <c r="O804">
        <v>38</v>
      </c>
      <c r="P804">
        <v>320</v>
      </c>
      <c r="Q804">
        <v>30</v>
      </c>
      <c r="R804">
        <v>3</v>
      </c>
      <c r="S804">
        <v>18</v>
      </c>
      <c r="T804">
        <v>0</v>
      </c>
      <c r="U804">
        <v>135</v>
      </c>
      <c r="V804">
        <v>42</v>
      </c>
      <c r="W804">
        <v>2</v>
      </c>
      <c r="X804">
        <v>1</v>
      </c>
      <c r="Y804" t="s">
        <v>19</v>
      </c>
      <c r="Z804">
        <v>7</v>
      </c>
      <c r="AA804">
        <f>IF(AND(Table1[[#This Row],[Throw Out Pass Eff]]="N", Table1[[#This Row],[Against FCS Team]]="N"), ROUND(((5.45 * D804) + (150 * F804) + (100 * G804) - (300 * H804)) / E804, 2), " ")</f>
        <v>125.83</v>
      </c>
      <c r="AB804">
        <f>IF(AND(Table1[[#This Row],[Throw Out Pass Def Eff]]="N", Table1[[#This Row],[Against FCS Team]]="N"),200 - ROUND(((5.45 * P804) + (150 * R804) + (100 * S804) - (300 * T804)) / Q804, 2), " ")</f>
        <v>66.87</v>
      </c>
      <c r="AC804">
        <f>IF(AND(Table1[[#This Row],[Throw Out Rush Eff]]="N", Table1[[#This Row],[Against FCS Team]]="N"), ROUND(((23.2 * I804) + (150 * K804) - (300 * L804)) / J804, 2), " ")</f>
        <v>56.04</v>
      </c>
      <c r="AD804" s="3">
        <f>IF(AND(Table1[[#This Row],[Throw Out Rush Def Eff]]="N", Table1[[#This Row],[Against FCS Team]]="N"), 200 - ROUND(((23.2 * U804) + (150 * W804) - (300 * X804)) / V804, 2), " ")</f>
        <v>125.43</v>
      </c>
      <c r="AE804" s="3">
        <f>ROUND(Table1[[#This Row],[Opp Passing Attempts]]/(Table1[[#This Row],[Opp Passing Attempts]]+Table1[[#This Row],[Opp Rushing Attempts]]), 2)</f>
        <v>0.42</v>
      </c>
      <c r="AF804" s="3">
        <f>1-Table1[[#This Row],[Passing Weight]]</f>
        <v>0.58000000000000007</v>
      </c>
      <c r="AG804" s="3" t="str">
        <f>IF(COUNTIF(A:A,Table1[[#This Row],[Opp Team Name]]) &gt; 0, "N", "Y")</f>
        <v>N</v>
      </c>
      <c r="AH804" s="3" t="str">
        <f>IF(Table1[[#This Row],[Passing Attempts]] &lt;15, "Y", "N")</f>
        <v>N</v>
      </c>
      <c r="AI804" s="3" t="str">
        <f>IF(Table1[[#This Row],[Rushing Attempts]] &lt; 15, "Y", "N")</f>
        <v>N</v>
      </c>
      <c r="AJ804" s="3" t="str">
        <f>IF(Table1[[#This Row],[Opp Passing Attempts]]&lt;15, "Y", "N")</f>
        <v>N</v>
      </c>
      <c r="AK804" s="3" t="str">
        <f>IF(Table1[[#This Row],[Opp Rushing Attempts]]&lt;15, "Y", "N")</f>
        <v>N</v>
      </c>
      <c r="AL80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93.33</v>
      </c>
      <c r="AM80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89.02</v>
      </c>
      <c r="AN80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80.680000000000007</v>
      </c>
      <c r="AO80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93.53</v>
      </c>
      <c r="AP804" s="3">
        <f>ABS(Table1[[#This Row],[Team Score]]-Table1[[#This Row],[Opp Team Score]])</f>
        <v>21</v>
      </c>
      <c r="AQ804" s="3">
        <f>SUM(Table1[[#This Row],[Team Score]], Table1[[#This Row],[Opp Team Score]])</f>
        <v>55</v>
      </c>
      <c r="AR80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25.829999999999984</v>
      </c>
      <c r="AS804" s="3">
        <f>IF(Table1[[#This Row],[Efficiency Difference]] = " ", " ", ROUND((Table1[[#This Row],[Winning Margin]]*100)/Table1[[#This Row],[Efficiency Difference]], 2))</f>
        <v>81.3</v>
      </c>
    </row>
    <row r="805" spans="1:45">
      <c r="A805" t="s">
        <v>152</v>
      </c>
      <c r="B805">
        <v>736</v>
      </c>
      <c r="C805">
        <v>45</v>
      </c>
      <c r="D805">
        <v>177</v>
      </c>
      <c r="E805">
        <v>31</v>
      </c>
      <c r="F805">
        <v>3</v>
      </c>
      <c r="G805">
        <v>16</v>
      </c>
      <c r="H805">
        <v>0</v>
      </c>
      <c r="I805">
        <v>132</v>
      </c>
      <c r="J805">
        <v>24</v>
      </c>
      <c r="K805">
        <v>2</v>
      </c>
      <c r="L805">
        <v>0</v>
      </c>
      <c r="M805" t="s">
        <v>153</v>
      </c>
      <c r="N805">
        <v>1068</v>
      </c>
      <c r="O805">
        <v>14</v>
      </c>
      <c r="P805">
        <v>240</v>
      </c>
      <c r="Q805">
        <v>31</v>
      </c>
      <c r="R805">
        <v>1</v>
      </c>
      <c r="S805">
        <v>18</v>
      </c>
      <c r="T805">
        <v>2</v>
      </c>
      <c r="U805">
        <v>83</v>
      </c>
      <c r="V805">
        <v>37</v>
      </c>
      <c r="W805">
        <v>1</v>
      </c>
      <c r="X805">
        <v>1</v>
      </c>
      <c r="Y805" t="s">
        <v>16</v>
      </c>
      <c r="Z805">
        <v>1</v>
      </c>
      <c r="AA805" t="str">
        <f>IF(AND(Table1[[#This Row],[Throw Out Pass Eff]]="N", Table1[[#This Row],[Against FCS Team]]="N"), ROUND(((5.45 * D805) + (150 * F805) + (100 * G805) - (300 * H805)) / E805, 2), " ")</f>
        <v xml:space="preserve"> </v>
      </c>
      <c r="AB805" t="str">
        <f>IF(AND(Table1[[#This Row],[Throw Out Pass Def Eff]]="N", Table1[[#This Row],[Against FCS Team]]="N"),200 - ROUND(((5.45 * P805) + (150 * R805) + (100 * S805) - (300 * T805)) / Q805, 2), " ")</f>
        <v xml:space="preserve"> </v>
      </c>
      <c r="AC805" t="str">
        <f>IF(AND(Table1[[#This Row],[Throw Out Rush Eff]]="N", Table1[[#This Row],[Against FCS Team]]="N"), ROUND(((23.2 * I805) + (150 * K805) - (300 * L805)) / J805, 2), " ")</f>
        <v xml:space="preserve"> </v>
      </c>
      <c r="AD805" s="3" t="str">
        <f>IF(AND(Table1[[#This Row],[Throw Out Rush Def Eff]]="N", Table1[[#This Row],[Against FCS Team]]="N"), 200 - ROUND(((23.2 * U805) + (150 * W805) - (300 * X805)) / V805, 2), " ")</f>
        <v xml:space="preserve"> </v>
      </c>
      <c r="AE805" s="3">
        <f>ROUND(Table1[[#This Row],[Opp Passing Attempts]]/(Table1[[#This Row],[Opp Passing Attempts]]+Table1[[#This Row],[Opp Rushing Attempts]]), 2)</f>
        <v>0.46</v>
      </c>
      <c r="AF805" s="3">
        <f>1-Table1[[#This Row],[Passing Weight]]</f>
        <v>0.54</v>
      </c>
      <c r="AG805" s="3" t="str">
        <f>IF(COUNTIF(A:A,Table1[[#This Row],[Opp Team Name]]) &gt; 0, "N", "Y")</f>
        <v>Y</v>
      </c>
      <c r="AH805" s="3" t="str">
        <f>IF(Table1[[#This Row],[Passing Attempts]] &lt;15, "Y", "N")</f>
        <v>N</v>
      </c>
      <c r="AI805" s="3" t="str">
        <f>IF(Table1[[#This Row],[Rushing Attempts]] &lt; 15, "Y", "N")</f>
        <v>N</v>
      </c>
      <c r="AJ805" s="3" t="str">
        <f>IF(Table1[[#This Row],[Opp Passing Attempts]]&lt;15, "Y", "N")</f>
        <v>N</v>
      </c>
      <c r="AK805" s="3" t="str">
        <f>IF(Table1[[#This Row],[Opp Rushing Attempts]]&lt;15, "Y", "N")</f>
        <v>N</v>
      </c>
      <c r="AL80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0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0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0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05" s="3">
        <f>ABS(Table1[[#This Row],[Team Score]]-Table1[[#This Row],[Opp Team Score]])</f>
        <v>31</v>
      </c>
      <c r="AQ805" s="3">
        <f>SUM(Table1[[#This Row],[Team Score]], Table1[[#This Row],[Opp Team Score]])</f>
        <v>59</v>
      </c>
      <c r="AR80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05" s="3" t="str">
        <f>IF(Table1[[#This Row],[Efficiency Difference]] = " ", " ", ROUND((Table1[[#This Row],[Winning Margin]]*100)/Table1[[#This Row],[Efficiency Difference]], 2))</f>
        <v xml:space="preserve"> </v>
      </c>
    </row>
    <row r="806" spans="1:45">
      <c r="A806" t="s">
        <v>152</v>
      </c>
      <c r="B806">
        <v>736</v>
      </c>
      <c r="C806">
        <v>24</v>
      </c>
      <c r="D806">
        <v>141</v>
      </c>
      <c r="E806">
        <v>27</v>
      </c>
      <c r="F806">
        <v>1</v>
      </c>
      <c r="G806">
        <v>13</v>
      </c>
      <c r="H806">
        <v>2</v>
      </c>
      <c r="I806">
        <v>118</v>
      </c>
      <c r="J806">
        <v>32</v>
      </c>
      <c r="K806">
        <v>1</v>
      </c>
      <c r="L806">
        <v>1</v>
      </c>
      <c r="M806" t="s">
        <v>60</v>
      </c>
      <c r="N806">
        <v>164</v>
      </c>
      <c r="O806">
        <v>21</v>
      </c>
      <c r="P806">
        <v>104</v>
      </c>
      <c r="Q806">
        <v>29</v>
      </c>
      <c r="R806">
        <v>0</v>
      </c>
      <c r="S806">
        <v>11</v>
      </c>
      <c r="T806">
        <v>3</v>
      </c>
      <c r="U806">
        <v>89</v>
      </c>
      <c r="V806">
        <v>36</v>
      </c>
      <c r="W806">
        <v>0</v>
      </c>
      <c r="X806">
        <v>1</v>
      </c>
      <c r="Y806" t="s">
        <v>16</v>
      </c>
      <c r="Z806">
        <v>2</v>
      </c>
      <c r="AA806">
        <f>IF(AND(Table1[[#This Row],[Throw Out Pass Eff]]="N", Table1[[#This Row],[Against FCS Team]]="N"), ROUND(((5.45 * D806) + (150 * F806) + (100 * G806) - (300 * H806)) / E806, 2), " ")</f>
        <v>59.94</v>
      </c>
      <c r="AB806">
        <f>IF(AND(Table1[[#This Row],[Throw Out Pass Def Eff]]="N", Table1[[#This Row],[Against FCS Team]]="N"),200 - ROUND(((5.45 * P806) + (150 * R806) + (100 * S806) - (300 * T806)) / Q806, 2), " ")</f>
        <v>173.56</v>
      </c>
      <c r="AC806">
        <f>IF(AND(Table1[[#This Row],[Throw Out Rush Eff]]="N", Table1[[#This Row],[Against FCS Team]]="N"), ROUND(((23.2 * I806) + (150 * K806) - (300 * L806)) / J806, 2), " ")</f>
        <v>80.86</v>
      </c>
      <c r="AD806" s="3">
        <f>IF(AND(Table1[[#This Row],[Throw Out Rush Def Eff]]="N", Table1[[#This Row],[Against FCS Team]]="N"), 200 - ROUND(((23.2 * U806) + (150 * W806) - (300 * X806)) / V806, 2), " ")</f>
        <v>150.97999999999999</v>
      </c>
      <c r="AE806" s="3">
        <f>ROUND(Table1[[#This Row],[Opp Passing Attempts]]/(Table1[[#This Row],[Opp Passing Attempts]]+Table1[[#This Row],[Opp Rushing Attempts]]), 2)</f>
        <v>0.45</v>
      </c>
      <c r="AF806" s="3">
        <f>1-Table1[[#This Row],[Passing Weight]]</f>
        <v>0.55000000000000004</v>
      </c>
      <c r="AG806" s="3" t="str">
        <f>IF(COUNTIF(A:A,Table1[[#This Row],[Opp Team Name]]) &gt; 0, "N", "Y")</f>
        <v>N</v>
      </c>
      <c r="AH806" s="3" t="str">
        <f>IF(Table1[[#This Row],[Passing Attempts]] &lt;15, "Y", "N")</f>
        <v>N</v>
      </c>
      <c r="AI806" s="3" t="str">
        <f>IF(Table1[[#This Row],[Rushing Attempts]] &lt; 15, "Y", "N")</f>
        <v>N</v>
      </c>
      <c r="AJ806" s="3" t="str">
        <f>IF(Table1[[#This Row],[Opp Passing Attempts]]&lt;15, "Y", "N")</f>
        <v>N</v>
      </c>
      <c r="AK806" s="3" t="str">
        <f>IF(Table1[[#This Row],[Opp Rushing Attempts]]&lt;15, "Y", "N")</f>
        <v>N</v>
      </c>
      <c r="AL80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66.599999999999994</v>
      </c>
      <c r="AM80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145.85</v>
      </c>
      <c r="AN80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109.76</v>
      </c>
      <c r="AO80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83.48</v>
      </c>
      <c r="AP806" s="3">
        <f>ABS(Table1[[#This Row],[Team Score]]-Table1[[#This Row],[Opp Team Score]])</f>
        <v>3</v>
      </c>
      <c r="AQ806" s="3">
        <f>SUM(Table1[[#This Row],[Team Score]], Table1[[#This Row],[Opp Team Score]])</f>
        <v>45</v>
      </c>
      <c r="AR80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65.339999999999975</v>
      </c>
      <c r="AS806" s="3">
        <f>IF(Table1[[#This Row],[Efficiency Difference]] = " ", " ", ROUND((Table1[[#This Row],[Winning Margin]]*100)/Table1[[#This Row],[Efficiency Difference]], 2))</f>
        <v>4.59</v>
      </c>
    </row>
    <row r="807" spans="1:45">
      <c r="A807" t="s">
        <v>152</v>
      </c>
      <c r="B807">
        <v>736</v>
      </c>
      <c r="C807">
        <v>30</v>
      </c>
      <c r="D807">
        <v>106</v>
      </c>
      <c r="E807">
        <v>22</v>
      </c>
      <c r="F807">
        <v>0</v>
      </c>
      <c r="G807">
        <v>14</v>
      </c>
      <c r="H807">
        <v>1</v>
      </c>
      <c r="I807">
        <v>281</v>
      </c>
      <c r="J807">
        <v>49</v>
      </c>
      <c r="K807">
        <v>3</v>
      </c>
      <c r="L807">
        <v>2</v>
      </c>
      <c r="M807" t="s">
        <v>47</v>
      </c>
      <c r="N807">
        <v>433</v>
      </c>
      <c r="O807">
        <v>7</v>
      </c>
      <c r="P807">
        <v>149</v>
      </c>
      <c r="Q807">
        <v>30</v>
      </c>
      <c r="R807">
        <v>1</v>
      </c>
      <c r="S807">
        <v>15</v>
      </c>
      <c r="T807">
        <v>5</v>
      </c>
      <c r="U807">
        <v>85</v>
      </c>
      <c r="V807">
        <v>32</v>
      </c>
      <c r="W807">
        <v>0</v>
      </c>
      <c r="X807">
        <v>0</v>
      </c>
      <c r="Y807" t="s">
        <v>16</v>
      </c>
      <c r="Z807">
        <v>3</v>
      </c>
      <c r="AA807">
        <f>IF(AND(Table1[[#This Row],[Throw Out Pass Eff]]="N", Table1[[#This Row],[Against FCS Team]]="N"), ROUND(((5.45 * D807) + (150 * F807) + (100 * G807) - (300 * H807)) / E807, 2), " ")</f>
        <v>76.260000000000005</v>
      </c>
      <c r="AB807">
        <f>IF(AND(Table1[[#This Row],[Throw Out Pass Def Eff]]="N", Table1[[#This Row],[Against FCS Team]]="N"),200 - ROUND(((5.45 * P807) + (150 * R807) + (100 * S807) - (300 * T807)) / Q807, 2), " ")</f>
        <v>167.93</v>
      </c>
      <c r="AC807">
        <f>IF(AND(Table1[[#This Row],[Throw Out Rush Eff]]="N", Table1[[#This Row],[Against FCS Team]]="N"), ROUND(((23.2 * I807) + (150 * K807) - (300 * L807)) / J807, 2), " ")</f>
        <v>129.97999999999999</v>
      </c>
      <c r="AD807" s="3">
        <f>IF(AND(Table1[[#This Row],[Throw Out Rush Def Eff]]="N", Table1[[#This Row],[Against FCS Team]]="N"), 200 - ROUND(((23.2 * U807) + (150 * W807) - (300 * X807)) / V807, 2), " ")</f>
        <v>138.37</v>
      </c>
      <c r="AE807" s="3">
        <f>ROUND(Table1[[#This Row],[Opp Passing Attempts]]/(Table1[[#This Row],[Opp Passing Attempts]]+Table1[[#This Row],[Opp Rushing Attempts]]), 2)</f>
        <v>0.48</v>
      </c>
      <c r="AF807" s="3">
        <f>1-Table1[[#This Row],[Passing Weight]]</f>
        <v>0.52</v>
      </c>
      <c r="AG807" s="3" t="str">
        <f>IF(COUNTIF(A:A,Table1[[#This Row],[Opp Team Name]]) &gt; 0, "N", "Y")</f>
        <v>N</v>
      </c>
      <c r="AH807" s="3" t="str">
        <f>IF(Table1[[#This Row],[Passing Attempts]] &lt;15, "Y", "N")</f>
        <v>N</v>
      </c>
      <c r="AI807" s="3" t="str">
        <f>IF(Table1[[#This Row],[Rushing Attempts]] &lt; 15, "Y", "N")</f>
        <v>N</v>
      </c>
      <c r="AJ807" s="3" t="str">
        <f>IF(Table1[[#This Row],[Opp Passing Attempts]]&lt;15, "Y", "N")</f>
        <v>N</v>
      </c>
      <c r="AK807" s="3" t="str">
        <f>IF(Table1[[#This Row],[Opp Rushing Attempts]]&lt;15, "Y", "N")</f>
        <v>N</v>
      </c>
      <c r="AL80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73.930000000000007</v>
      </c>
      <c r="AM80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124.76</v>
      </c>
      <c r="AN80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86.22</v>
      </c>
      <c r="AO80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79.69</v>
      </c>
      <c r="AP807" s="3">
        <f>ABS(Table1[[#This Row],[Team Score]]-Table1[[#This Row],[Opp Team Score]])</f>
        <v>23</v>
      </c>
      <c r="AQ807" s="3">
        <f>SUM(Table1[[#This Row],[Team Score]], Table1[[#This Row],[Opp Team Score]])</f>
        <v>37</v>
      </c>
      <c r="AR80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112.54000000000002</v>
      </c>
      <c r="AS807" s="3">
        <f>IF(Table1[[#This Row],[Efficiency Difference]] = " ", " ", ROUND((Table1[[#This Row],[Winning Margin]]*100)/Table1[[#This Row],[Efficiency Difference]], 2))</f>
        <v>20.440000000000001</v>
      </c>
    </row>
    <row r="808" spans="1:45">
      <c r="A808" t="s">
        <v>152</v>
      </c>
      <c r="B808">
        <v>736</v>
      </c>
      <c r="C808">
        <v>3</v>
      </c>
      <c r="D808">
        <v>73</v>
      </c>
      <c r="E808">
        <v>23</v>
      </c>
      <c r="F808">
        <v>0</v>
      </c>
      <c r="G808">
        <v>16</v>
      </c>
      <c r="H808">
        <v>1</v>
      </c>
      <c r="I808">
        <v>4</v>
      </c>
      <c r="J808">
        <v>25</v>
      </c>
      <c r="K808">
        <v>0</v>
      </c>
      <c r="L808">
        <v>2</v>
      </c>
      <c r="M808" t="s">
        <v>65</v>
      </c>
      <c r="N808">
        <v>648</v>
      </c>
      <c r="O808">
        <v>21</v>
      </c>
      <c r="P808">
        <v>236</v>
      </c>
      <c r="Q808">
        <v>32</v>
      </c>
      <c r="R808">
        <v>1</v>
      </c>
      <c r="S808">
        <v>17</v>
      </c>
      <c r="T808">
        <v>4</v>
      </c>
      <c r="U808">
        <v>131</v>
      </c>
      <c r="V808">
        <v>40</v>
      </c>
      <c r="W808">
        <v>1</v>
      </c>
      <c r="X808">
        <v>0</v>
      </c>
      <c r="Y808" t="s">
        <v>19</v>
      </c>
      <c r="Z808">
        <v>4</v>
      </c>
      <c r="AA808">
        <f>IF(AND(Table1[[#This Row],[Throw Out Pass Eff]]="N", Table1[[#This Row],[Against FCS Team]]="N"), ROUND(((5.45 * D808) + (150 * F808) + (100 * G808) - (300 * H808)) / E808, 2), " ")</f>
        <v>73.819999999999993</v>
      </c>
      <c r="AB808">
        <f>IF(AND(Table1[[#This Row],[Throw Out Pass Def Eff]]="N", Table1[[#This Row],[Against FCS Team]]="N"),200 - ROUND(((5.45 * P808) + (150 * R808) + (100 * S808) - (300 * T808)) / Q808, 2), " ")</f>
        <v>139.49</v>
      </c>
      <c r="AC808">
        <f>IF(AND(Table1[[#This Row],[Throw Out Rush Eff]]="N", Table1[[#This Row],[Against FCS Team]]="N"), ROUND(((23.2 * I808) + (150 * K808) - (300 * L808)) / J808, 2), " ")</f>
        <v>-20.29</v>
      </c>
      <c r="AD808" s="3">
        <f>IF(AND(Table1[[#This Row],[Throw Out Rush Def Eff]]="N", Table1[[#This Row],[Against FCS Team]]="N"), 200 - ROUND(((23.2 * U808) + (150 * W808) - (300 * X808)) / V808, 2), " ")</f>
        <v>120.27</v>
      </c>
      <c r="AE808" s="3">
        <f>ROUND(Table1[[#This Row],[Opp Passing Attempts]]/(Table1[[#This Row],[Opp Passing Attempts]]+Table1[[#This Row],[Opp Rushing Attempts]]), 2)</f>
        <v>0.44</v>
      </c>
      <c r="AF808" s="3">
        <f>1-Table1[[#This Row],[Passing Weight]]</f>
        <v>0.56000000000000005</v>
      </c>
      <c r="AG808" s="3" t="str">
        <f>IF(COUNTIF(A:A,Table1[[#This Row],[Opp Team Name]]) &gt; 0, "N", "Y")</f>
        <v>N</v>
      </c>
      <c r="AH808" s="3" t="str">
        <f>IF(Table1[[#This Row],[Passing Attempts]] &lt;15, "Y", "N")</f>
        <v>N</v>
      </c>
      <c r="AI808" s="3" t="str">
        <f>IF(Table1[[#This Row],[Rushing Attempts]] &lt; 15, "Y", "N")</f>
        <v>N</v>
      </c>
      <c r="AJ808" s="3" t="str">
        <f>IF(Table1[[#This Row],[Opp Passing Attempts]]&lt;15, "Y", "N")</f>
        <v>N</v>
      </c>
      <c r="AK808" s="3" t="str">
        <f>IF(Table1[[#This Row],[Opp Rushing Attempts]]&lt;15, "Y", "N")</f>
        <v>N</v>
      </c>
      <c r="AL80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104.84</v>
      </c>
      <c r="AM80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113.32</v>
      </c>
      <c r="AN80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-26.79</v>
      </c>
      <c r="AO80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134.72</v>
      </c>
      <c r="AP808" s="3">
        <f>ABS(Table1[[#This Row],[Team Score]]-Table1[[#This Row],[Opp Team Score]])</f>
        <v>18</v>
      </c>
      <c r="AQ808" s="3">
        <f>SUM(Table1[[#This Row],[Team Score]], Table1[[#This Row],[Opp Team Score]])</f>
        <v>24</v>
      </c>
      <c r="AR80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86.710000000000008</v>
      </c>
      <c r="AS808" s="3">
        <f>IF(Table1[[#This Row],[Efficiency Difference]] = " ", " ", ROUND((Table1[[#This Row],[Winning Margin]]*100)/Table1[[#This Row],[Efficiency Difference]], 2))</f>
        <v>20.76</v>
      </c>
    </row>
    <row r="809" spans="1:45">
      <c r="A809" t="s">
        <v>152</v>
      </c>
      <c r="B809">
        <v>736</v>
      </c>
      <c r="C809">
        <v>0</v>
      </c>
      <c r="D809">
        <v>149</v>
      </c>
      <c r="E809">
        <v>24</v>
      </c>
      <c r="F809">
        <v>0</v>
      </c>
      <c r="G809">
        <v>15</v>
      </c>
      <c r="H809">
        <v>2</v>
      </c>
      <c r="I809">
        <v>41</v>
      </c>
      <c r="J809">
        <v>19</v>
      </c>
      <c r="K809">
        <v>0</v>
      </c>
      <c r="L809">
        <v>0</v>
      </c>
      <c r="M809" t="s">
        <v>20</v>
      </c>
      <c r="N809">
        <v>8</v>
      </c>
      <c r="O809">
        <v>34</v>
      </c>
      <c r="P809">
        <v>266</v>
      </c>
      <c r="Q809">
        <v>33</v>
      </c>
      <c r="R809">
        <v>4</v>
      </c>
      <c r="S809">
        <v>26</v>
      </c>
      <c r="T809">
        <v>0</v>
      </c>
      <c r="U809">
        <v>153</v>
      </c>
      <c r="V809">
        <v>43</v>
      </c>
      <c r="W809">
        <v>1</v>
      </c>
      <c r="X809">
        <v>0</v>
      </c>
      <c r="Y809" t="s">
        <v>19</v>
      </c>
      <c r="Z809">
        <v>6</v>
      </c>
      <c r="AA809">
        <f>IF(AND(Table1[[#This Row],[Throw Out Pass Eff]]="N", Table1[[#This Row],[Against FCS Team]]="N"), ROUND(((5.45 * D809) + (150 * F809) + (100 * G809) - (300 * H809)) / E809, 2), " ")</f>
        <v>71.34</v>
      </c>
      <c r="AB809">
        <f>IF(AND(Table1[[#This Row],[Throw Out Pass Def Eff]]="N", Table1[[#This Row],[Against FCS Team]]="N"),200 - ROUND(((5.45 * P809) + (150 * R809) + (100 * S809) - (300 * T809)) / Q809, 2), " ")</f>
        <v>59.099999999999994</v>
      </c>
      <c r="AC809">
        <f>IF(AND(Table1[[#This Row],[Throw Out Rush Eff]]="N", Table1[[#This Row],[Against FCS Team]]="N"), ROUND(((23.2 * I809) + (150 * K809) - (300 * L809)) / J809, 2), " ")</f>
        <v>50.06</v>
      </c>
      <c r="AD809" s="3">
        <f>IF(AND(Table1[[#This Row],[Throw Out Rush Def Eff]]="N", Table1[[#This Row],[Against FCS Team]]="N"), 200 - ROUND(((23.2 * U809) + (150 * W809) - (300 * X809)) / V809, 2), " ")</f>
        <v>113.96</v>
      </c>
      <c r="AE809" s="3">
        <f>ROUND(Table1[[#This Row],[Opp Passing Attempts]]/(Table1[[#This Row],[Opp Passing Attempts]]+Table1[[#This Row],[Opp Rushing Attempts]]), 2)</f>
        <v>0.43</v>
      </c>
      <c r="AF809" s="3">
        <f>1-Table1[[#This Row],[Passing Weight]]</f>
        <v>0.57000000000000006</v>
      </c>
      <c r="AG809" s="3" t="str">
        <f>IF(COUNTIF(A:A,Table1[[#This Row],[Opp Team Name]]) &gt; 0, "N", "Y")</f>
        <v>N</v>
      </c>
      <c r="AH809" s="3" t="str">
        <f>IF(Table1[[#This Row],[Passing Attempts]] &lt;15, "Y", "N")</f>
        <v>N</v>
      </c>
      <c r="AI809" s="3" t="str">
        <f>IF(Table1[[#This Row],[Rushing Attempts]] &lt; 15, "Y", "N")</f>
        <v>N</v>
      </c>
      <c r="AJ809" s="3" t="str">
        <f>IF(Table1[[#This Row],[Opp Passing Attempts]]&lt;15, "Y", "N")</f>
        <v>N</v>
      </c>
      <c r="AK809" s="3" t="str">
        <f>IF(Table1[[#This Row],[Opp Rushing Attempts]]&lt;15, "Y", "N")</f>
        <v>N</v>
      </c>
      <c r="AL80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95.91</v>
      </c>
      <c r="AM80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66.48</v>
      </c>
      <c r="AN80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84.23</v>
      </c>
      <c r="AO80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167.99</v>
      </c>
      <c r="AP809" s="3">
        <f>ABS(Table1[[#This Row],[Team Score]]-Table1[[#This Row],[Opp Team Score]])</f>
        <v>34</v>
      </c>
      <c r="AQ809" s="3">
        <f>SUM(Table1[[#This Row],[Team Score]], Table1[[#This Row],[Opp Team Score]])</f>
        <v>34</v>
      </c>
      <c r="AR80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105.53999999999999</v>
      </c>
      <c r="AS809" s="3">
        <f>IF(Table1[[#This Row],[Efficiency Difference]] = " ", " ", ROUND((Table1[[#This Row],[Winning Margin]]*100)/Table1[[#This Row],[Efficiency Difference]], 2))</f>
        <v>32.22</v>
      </c>
    </row>
    <row r="810" spans="1:45">
      <c r="A810" t="s">
        <v>152</v>
      </c>
      <c r="B810">
        <v>736</v>
      </c>
      <c r="C810">
        <v>28</v>
      </c>
      <c r="D810">
        <v>149</v>
      </c>
      <c r="E810">
        <v>31</v>
      </c>
      <c r="F810">
        <v>1</v>
      </c>
      <c r="G810">
        <v>11</v>
      </c>
      <c r="H810">
        <v>3</v>
      </c>
      <c r="I810">
        <v>199</v>
      </c>
      <c r="J810">
        <v>36</v>
      </c>
      <c r="K810">
        <v>2</v>
      </c>
      <c r="L810">
        <v>1</v>
      </c>
      <c r="M810" t="s">
        <v>39</v>
      </c>
      <c r="N810">
        <v>257</v>
      </c>
      <c r="O810">
        <v>33</v>
      </c>
      <c r="P810">
        <v>326</v>
      </c>
      <c r="Q810">
        <v>38</v>
      </c>
      <c r="R810">
        <v>3</v>
      </c>
      <c r="S810">
        <v>22</v>
      </c>
      <c r="T810">
        <v>1</v>
      </c>
      <c r="U810">
        <v>117</v>
      </c>
      <c r="V810">
        <v>34</v>
      </c>
      <c r="W810">
        <v>0</v>
      </c>
      <c r="X810">
        <v>0</v>
      </c>
      <c r="Y810" t="s">
        <v>19</v>
      </c>
      <c r="Z810">
        <v>7</v>
      </c>
      <c r="AA810">
        <f>IF(AND(Table1[[#This Row],[Throw Out Pass Eff]]="N", Table1[[#This Row],[Against FCS Team]]="N"), ROUND(((5.45 * D810) + (150 * F810) + (100 * G810) - (300 * H810)) / E810, 2), " ")</f>
        <v>37.49</v>
      </c>
      <c r="AB810">
        <f>IF(AND(Table1[[#This Row],[Throw Out Pass Def Eff]]="N", Table1[[#This Row],[Against FCS Team]]="N"),200 - ROUND(((5.45 * P810) + (150 * R810) + (100 * S810) - (300 * T810)) / Q810, 2), " ")</f>
        <v>91.4</v>
      </c>
      <c r="AC810">
        <f>IF(AND(Table1[[#This Row],[Throw Out Rush Eff]]="N", Table1[[#This Row],[Against FCS Team]]="N"), ROUND(((23.2 * I810) + (150 * K810) - (300 * L810)) / J810, 2), " ")</f>
        <v>128.24</v>
      </c>
      <c r="AD810" s="3">
        <f>IF(AND(Table1[[#This Row],[Throw Out Rush Def Eff]]="N", Table1[[#This Row],[Against FCS Team]]="N"), 200 - ROUND(((23.2 * U810) + (150 * W810) - (300 * X810)) / V810, 2), " ")</f>
        <v>120.16</v>
      </c>
      <c r="AE810" s="3">
        <f>ROUND(Table1[[#This Row],[Opp Passing Attempts]]/(Table1[[#This Row],[Opp Passing Attempts]]+Table1[[#This Row],[Opp Rushing Attempts]]), 2)</f>
        <v>0.53</v>
      </c>
      <c r="AF810" s="3">
        <f>1-Table1[[#This Row],[Passing Weight]]</f>
        <v>0.47</v>
      </c>
      <c r="AG810" s="3" t="str">
        <f>IF(COUNTIF(A:A,Table1[[#This Row],[Opp Team Name]]) &gt; 0, "N", "Y")</f>
        <v>N</v>
      </c>
      <c r="AH810" s="3" t="str">
        <f>IF(Table1[[#This Row],[Passing Attempts]] &lt;15, "Y", "N")</f>
        <v>N</v>
      </c>
      <c r="AI810" s="3" t="str">
        <f>IF(Table1[[#This Row],[Rushing Attempts]] &lt; 15, "Y", "N")</f>
        <v>N</v>
      </c>
      <c r="AJ810" s="3" t="str">
        <f>IF(Table1[[#This Row],[Opp Passing Attempts]]&lt;15, "Y", "N")</f>
        <v>N</v>
      </c>
      <c r="AK810" s="3" t="str">
        <f>IF(Table1[[#This Row],[Opp Rushing Attempts]]&lt;15, "Y", "N")</f>
        <v>N</v>
      </c>
      <c r="AL81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47.94</v>
      </c>
      <c r="AM81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95.14</v>
      </c>
      <c r="AN81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167.47</v>
      </c>
      <c r="AO81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109.71</v>
      </c>
      <c r="AP810" s="3">
        <f>ABS(Table1[[#This Row],[Team Score]]-Table1[[#This Row],[Opp Team Score]])</f>
        <v>5</v>
      </c>
      <c r="AQ810" s="3">
        <f>SUM(Table1[[#This Row],[Team Score]], Table1[[#This Row],[Opp Team Score]])</f>
        <v>61</v>
      </c>
      <c r="AR81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22.70999999999998</v>
      </c>
      <c r="AS810" s="3">
        <f>IF(Table1[[#This Row],[Efficiency Difference]] = " ", " ", ROUND((Table1[[#This Row],[Winning Margin]]*100)/Table1[[#This Row],[Efficiency Difference]], 2))</f>
        <v>22.02</v>
      </c>
    </row>
    <row r="811" spans="1:45">
      <c r="A811" t="s">
        <v>152</v>
      </c>
      <c r="B811">
        <v>736</v>
      </c>
      <c r="C811">
        <v>44</v>
      </c>
      <c r="D811">
        <v>186</v>
      </c>
      <c r="E811">
        <v>27</v>
      </c>
      <c r="F811">
        <v>1</v>
      </c>
      <c r="G811">
        <v>10</v>
      </c>
      <c r="H811">
        <v>2</v>
      </c>
      <c r="I811">
        <v>344</v>
      </c>
      <c r="J811">
        <v>54</v>
      </c>
      <c r="K811">
        <v>5</v>
      </c>
      <c r="L811">
        <v>0</v>
      </c>
      <c r="M811" t="s">
        <v>30</v>
      </c>
      <c r="N811">
        <v>725</v>
      </c>
      <c r="O811">
        <v>21</v>
      </c>
      <c r="P811">
        <v>18</v>
      </c>
      <c r="Q811">
        <v>6</v>
      </c>
      <c r="R811">
        <v>0</v>
      </c>
      <c r="S811">
        <v>1</v>
      </c>
      <c r="T811">
        <v>0</v>
      </c>
      <c r="U811">
        <v>270</v>
      </c>
      <c r="V811">
        <v>51</v>
      </c>
      <c r="W811">
        <v>2</v>
      </c>
      <c r="X811">
        <v>3</v>
      </c>
      <c r="Y811" t="s">
        <v>16</v>
      </c>
      <c r="Z811">
        <v>8</v>
      </c>
      <c r="AA811" s="3">
        <f>IF(AND(Table1[[#This Row],[Throw Out Pass Eff]]="N", Table1[[#This Row],[Against FCS Team]]="N"), ROUND(((5.45 * D811) + (150 * F811) + (100 * G811) - (300 * H811)) / E811, 2), " ")</f>
        <v>57.91</v>
      </c>
      <c r="AB811" s="3" t="str">
        <f>IF(AND(Table1[[#This Row],[Throw Out Pass Def Eff]]="N", Table1[[#This Row],[Against FCS Team]]="N"),200 - ROUND(((5.45 * P811) + (150 * R811) + (100 * S811) - (300 * T811)) / Q811, 2), " ")</f>
        <v xml:space="preserve"> </v>
      </c>
      <c r="AC811" s="3">
        <f>IF(AND(Table1[[#This Row],[Throw Out Rush Eff]]="N", Table1[[#This Row],[Against FCS Team]]="N"), ROUND(((23.2 * I811) + (150 * K811) - (300 * L811)) / J811, 2), " ")</f>
        <v>161.68</v>
      </c>
      <c r="AD811" s="3">
        <f>IF(AND(Table1[[#This Row],[Throw Out Rush Def Eff]]="N", Table1[[#This Row],[Against FCS Team]]="N"), 200 - ROUND(((23.2 * U811) + (150 * W811) - (300 * X811)) / V811, 2), " ")</f>
        <v>88.94</v>
      </c>
      <c r="AE811" s="3">
        <f>ROUND(Table1[[#This Row],[Opp Passing Attempts]]/(Table1[[#This Row],[Opp Passing Attempts]]+Table1[[#This Row],[Opp Rushing Attempts]]), 2)</f>
        <v>0.11</v>
      </c>
      <c r="AF811" s="3">
        <f>1-Table1[[#This Row],[Passing Weight]]</f>
        <v>0.89</v>
      </c>
      <c r="AG811" s="3" t="str">
        <f>IF(COUNTIF(A:A,Table1[[#This Row],[Opp Team Name]]) &gt; 0, "N", "Y")</f>
        <v>N</v>
      </c>
      <c r="AH811" s="3" t="str">
        <f>IF(Table1[[#This Row],[Passing Attempts]] &lt;15, "Y", "N")</f>
        <v>N</v>
      </c>
      <c r="AI811" s="3" t="str">
        <f>IF(Table1[[#This Row],[Rushing Attempts]] &lt; 15, "Y", "N")</f>
        <v>N</v>
      </c>
      <c r="AJ811" s="3" t="str">
        <f>IF(Table1[[#This Row],[Opp Passing Attempts]]&lt;15, "Y", "N")</f>
        <v>Y</v>
      </c>
      <c r="AK811" s="3" t="str">
        <f>IF(Table1[[#This Row],[Opp Rushing Attempts]]&lt;15, "Y", "N")</f>
        <v>N</v>
      </c>
      <c r="AL81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56.64</v>
      </c>
      <c r="AM81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1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128.47</v>
      </c>
      <c r="AO81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110.53</v>
      </c>
      <c r="AP811" s="3">
        <f>ABS(Table1[[#This Row],[Team Score]]-Table1[[#This Row],[Opp Team Score]])</f>
        <v>23</v>
      </c>
      <c r="AQ811" s="3">
        <f>SUM(Table1[[#This Row],[Team Score]], Table1[[#This Row],[Opp Team Score]])</f>
        <v>65</v>
      </c>
      <c r="AR81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11" s="3" t="str">
        <f>IF(Table1[[#This Row],[Efficiency Difference]] = " ", " ", ROUND((Table1[[#This Row],[Winning Margin]]*100)/Table1[[#This Row],[Efficiency Difference]], 2))</f>
        <v xml:space="preserve"> </v>
      </c>
    </row>
    <row r="812" spans="1:45">
      <c r="A812" t="s">
        <v>154</v>
      </c>
      <c r="B812">
        <v>746</v>
      </c>
      <c r="C812">
        <v>40</v>
      </c>
      <c r="D812">
        <v>256</v>
      </c>
      <c r="E812">
        <v>36</v>
      </c>
      <c r="F812">
        <v>0</v>
      </c>
      <c r="G812">
        <v>26</v>
      </c>
      <c r="H812">
        <v>0</v>
      </c>
      <c r="I812">
        <v>240</v>
      </c>
      <c r="J812">
        <v>47</v>
      </c>
      <c r="K812">
        <v>4</v>
      </c>
      <c r="L812">
        <v>0</v>
      </c>
      <c r="M812" t="s">
        <v>155</v>
      </c>
      <c r="N812">
        <v>786</v>
      </c>
      <c r="O812">
        <v>3</v>
      </c>
      <c r="P812">
        <v>121</v>
      </c>
      <c r="Q812">
        <v>34</v>
      </c>
      <c r="R812">
        <v>0</v>
      </c>
      <c r="S812">
        <v>11</v>
      </c>
      <c r="T812">
        <v>1</v>
      </c>
      <c r="U812">
        <v>48</v>
      </c>
      <c r="V812">
        <v>20</v>
      </c>
      <c r="W812">
        <v>0</v>
      </c>
      <c r="X812">
        <v>1</v>
      </c>
      <c r="Y812" t="s">
        <v>16</v>
      </c>
      <c r="Z812">
        <v>1</v>
      </c>
      <c r="AA812" t="str">
        <f>IF(AND(Table1[[#This Row],[Throw Out Pass Eff]]="N", Table1[[#This Row],[Against FCS Team]]="N"), ROUND(((5.45 * D812) + (150 * F812) + (100 * G812) - (300 * H812)) / E812, 2), " ")</f>
        <v xml:space="preserve"> </v>
      </c>
      <c r="AB812" t="str">
        <f>IF(AND(Table1[[#This Row],[Throw Out Pass Def Eff]]="N", Table1[[#This Row],[Against FCS Team]]="N"),200 - ROUND(((5.45 * P812) + (150 * R812) + (100 * S812) - (300 * T812)) / Q812, 2), " ")</f>
        <v xml:space="preserve"> </v>
      </c>
      <c r="AC812" t="str">
        <f>IF(AND(Table1[[#This Row],[Throw Out Rush Eff]]="N", Table1[[#This Row],[Against FCS Team]]="N"), ROUND(((23.2 * I812) + (150 * K812) - (300 * L812)) / J812, 2), " ")</f>
        <v xml:space="preserve"> </v>
      </c>
      <c r="AD812" s="3" t="str">
        <f>IF(AND(Table1[[#This Row],[Throw Out Rush Def Eff]]="N", Table1[[#This Row],[Against FCS Team]]="N"), 200 - ROUND(((23.2 * U812) + (150 * W812) - (300 * X812)) / V812, 2), " ")</f>
        <v xml:space="preserve"> </v>
      </c>
      <c r="AE812" s="3">
        <f>ROUND(Table1[[#This Row],[Opp Passing Attempts]]/(Table1[[#This Row],[Opp Passing Attempts]]+Table1[[#This Row],[Opp Rushing Attempts]]), 2)</f>
        <v>0.63</v>
      </c>
      <c r="AF812" s="3">
        <f>1-Table1[[#This Row],[Passing Weight]]</f>
        <v>0.37</v>
      </c>
      <c r="AG812" s="3" t="str">
        <f>IF(COUNTIF(A:A,Table1[[#This Row],[Opp Team Name]]) &gt; 0, "N", "Y")</f>
        <v>Y</v>
      </c>
      <c r="AH812" s="3" t="str">
        <f>IF(Table1[[#This Row],[Passing Attempts]] &lt;15, "Y", "N")</f>
        <v>N</v>
      </c>
      <c r="AI812" s="3" t="str">
        <f>IF(Table1[[#This Row],[Rushing Attempts]] &lt; 15, "Y", "N")</f>
        <v>N</v>
      </c>
      <c r="AJ812" s="3" t="str">
        <f>IF(Table1[[#This Row],[Opp Passing Attempts]]&lt;15, "Y", "N")</f>
        <v>N</v>
      </c>
      <c r="AK812" s="3" t="str">
        <f>IF(Table1[[#This Row],[Opp Rushing Attempts]]&lt;15, "Y", "N")</f>
        <v>N</v>
      </c>
      <c r="AL81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1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1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12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12" s="3">
        <f>ABS(Table1[[#This Row],[Team Score]]-Table1[[#This Row],[Opp Team Score]])</f>
        <v>37</v>
      </c>
      <c r="AQ812" s="3">
        <f>SUM(Table1[[#This Row],[Team Score]], Table1[[#This Row],[Opp Team Score]])</f>
        <v>43</v>
      </c>
      <c r="AR81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12" s="3" t="str">
        <f>IF(Table1[[#This Row],[Efficiency Difference]] = " ", " ", ROUND((Table1[[#This Row],[Winning Margin]]*100)/Table1[[#This Row],[Efficiency Difference]], 2))</f>
        <v xml:space="preserve"> </v>
      </c>
    </row>
    <row r="813" spans="1:45">
      <c r="A813" t="s">
        <v>154</v>
      </c>
      <c r="B813">
        <v>746</v>
      </c>
      <c r="C813">
        <v>34</v>
      </c>
      <c r="D813">
        <v>198</v>
      </c>
      <c r="E813">
        <v>30</v>
      </c>
      <c r="F813">
        <v>0</v>
      </c>
      <c r="G813">
        <v>16</v>
      </c>
      <c r="H813">
        <v>2</v>
      </c>
      <c r="I813">
        <v>162</v>
      </c>
      <c r="J813">
        <v>40</v>
      </c>
      <c r="K813">
        <v>3</v>
      </c>
      <c r="L813">
        <v>2</v>
      </c>
      <c r="M813" t="s">
        <v>35</v>
      </c>
      <c r="N813">
        <v>306</v>
      </c>
      <c r="O813">
        <v>31</v>
      </c>
      <c r="P813">
        <v>171</v>
      </c>
      <c r="Q813">
        <v>31</v>
      </c>
      <c r="R813">
        <v>1</v>
      </c>
      <c r="S813">
        <v>16</v>
      </c>
      <c r="T813">
        <v>1</v>
      </c>
      <c r="U813">
        <v>148</v>
      </c>
      <c r="V813">
        <v>41</v>
      </c>
      <c r="W813">
        <v>2</v>
      </c>
      <c r="X813">
        <v>2</v>
      </c>
      <c r="Y813" t="s">
        <v>16</v>
      </c>
      <c r="Z813">
        <v>2</v>
      </c>
      <c r="AA813">
        <f>IF(AND(Table1[[#This Row],[Throw Out Pass Eff]]="N", Table1[[#This Row],[Against FCS Team]]="N"), ROUND(((5.45 * D813) + (150 * F813) + (100 * G813) - (300 * H813)) / E813, 2), " ")</f>
        <v>69.3</v>
      </c>
      <c r="AB813">
        <f>IF(AND(Table1[[#This Row],[Throw Out Pass Def Eff]]="N", Table1[[#This Row],[Against FCS Team]]="N"),200 - ROUND(((5.45 * P813) + (150 * R813) + (100 * S813) - (300 * T813)) / Q813, 2), " ")</f>
        <v>123.16</v>
      </c>
      <c r="AC813">
        <f>IF(AND(Table1[[#This Row],[Throw Out Rush Eff]]="N", Table1[[#This Row],[Against FCS Team]]="N"), ROUND(((23.2 * I813) + (150 * K813) - (300 * L813)) / J813, 2), " ")</f>
        <v>90.21</v>
      </c>
      <c r="AD813" s="3">
        <f>IF(AND(Table1[[#This Row],[Throw Out Rush Def Eff]]="N", Table1[[#This Row],[Against FCS Team]]="N"), 200 - ROUND(((23.2 * U813) + (150 * W813) - (300 * X813)) / V813, 2), " ")</f>
        <v>123.57</v>
      </c>
      <c r="AE813" s="3">
        <f>ROUND(Table1[[#This Row],[Opp Passing Attempts]]/(Table1[[#This Row],[Opp Passing Attempts]]+Table1[[#This Row],[Opp Rushing Attempts]]), 2)</f>
        <v>0.43</v>
      </c>
      <c r="AF813" s="3">
        <f>1-Table1[[#This Row],[Passing Weight]]</f>
        <v>0.57000000000000006</v>
      </c>
      <c r="AG813" s="3" t="str">
        <f>IF(COUNTIF(A:A,Table1[[#This Row],[Opp Team Name]]) &gt; 0, "N", "Y")</f>
        <v>N</v>
      </c>
      <c r="AH813" s="3" t="str">
        <f>IF(Table1[[#This Row],[Passing Attempts]] &lt;15, "Y", "N")</f>
        <v>N</v>
      </c>
      <c r="AI813" s="3" t="str">
        <f>IF(Table1[[#This Row],[Rushing Attempts]] &lt; 15, "Y", "N")</f>
        <v>N</v>
      </c>
      <c r="AJ813" s="3" t="str">
        <f>IF(Table1[[#This Row],[Opp Passing Attempts]]&lt;15, "Y", "N")</f>
        <v>N</v>
      </c>
      <c r="AK813" s="3" t="str">
        <f>IF(Table1[[#This Row],[Opp Rushing Attempts]]&lt;15, "Y", "N")</f>
        <v>N</v>
      </c>
      <c r="AL81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56.42</v>
      </c>
      <c r="AM81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100.31</v>
      </c>
      <c r="AN81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75.38</v>
      </c>
      <c r="AO81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88.14</v>
      </c>
      <c r="AP813" s="3">
        <f>ABS(Table1[[#This Row],[Team Score]]-Table1[[#This Row],[Opp Team Score]])</f>
        <v>3</v>
      </c>
      <c r="AQ813" s="3">
        <f>SUM(Table1[[#This Row],[Team Score]], Table1[[#This Row],[Opp Team Score]])</f>
        <v>65</v>
      </c>
      <c r="AR81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6.2399999999999807</v>
      </c>
      <c r="AS813" s="3">
        <f>IF(Table1[[#This Row],[Efficiency Difference]] = " ", " ", ROUND((Table1[[#This Row],[Winning Margin]]*100)/Table1[[#This Row],[Efficiency Difference]], 2))</f>
        <v>48.08</v>
      </c>
    </row>
    <row r="814" spans="1:45">
      <c r="A814" t="s">
        <v>154</v>
      </c>
      <c r="B814">
        <v>746</v>
      </c>
      <c r="C814">
        <v>17</v>
      </c>
      <c r="D814">
        <v>298</v>
      </c>
      <c r="E814">
        <v>41</v>
      </c>
      <c r="F814">
        <v>1</v>
      </c>
      <c r="G814">
        <v>23</v>
      </c>
      <c r="H814">
        <v>2</v>
      </c>
      <c r="I814">
        <v>170</v>
      </c>
      <c r="J814">
        <v>34</v>
      </c>
      <c r="K814">
        <v>1</v>
      </c>
      <c r="L814">
        <v>1</v>
      </c>
      <c r="M814" t="s">
        <v>110</v>
      </c>
      <c r="N814">
        <v>457</v>
      </c>
      <c r="O814">
        <v>28</v>
      </c>
      <c r="P814">
        <v>179</v>
      </c>
      <c r="Q814">
        <v>23</v>
      </c>
      <c r="R814">
        <v>2</v>
      </c>
      <c r="S814">
        <v>16</v>
      </c>
      <c r="T814">
        <v>0</v>
      </c>
      <c r="U814">
        <v>222</v>
      </c>
      <c r="V814">
        <v>41</v>
      </c>
      <c r="W814">
        <v>2</v>
      </c>
      <c r="X814">
        <v>1</v>
      </c>
      <c r="Y814" t="s">
        <v>19</v>
      </c>
      <c r="Z814">
        <v>3</v>
      </c>
      <c r="AA814">
        <f>IF(AND(Table1[[#This Row],[Throw Out Pass Eff]]="N", Table1[[#This Row],[Against FCS Team]]="N"), ROUND(((5.45 * D814) + (150 * F814) + (100 * G814) - (300 * H814)) / E814, 2), " ")</f>
        <v>84.73</v>
      </c>
      <c r="AB814">
        <f>IF(AND(Table1[[#This Row],[Throw Out Pass Def Eff]]="N", Table1[[#This Row],[Against FCS Team]]="N"),200 - ROUND(((5.45 * P814) + (150 * R814) + (100 * S814) - (300 * T814)) / Q814, 2), " ")</f>
        <v>74.98</v>
      </c>
      <c r="AC814">
        <f>IF(AND(Table1[[#This Row],[Throw Out Rush Eff]]="N", Table1[[#This Row],[Against FCS Team]]="N"), ROUND(((23.2 * I814) + (150 * K814) - (300 * L814)) / J814, 2), " ")</f>
        <v>111.59</v>
      </c>
      <c r="AD814" s="3">
        <f>IF(AND(Table1[[#This Row],[Throw Out Rush Def Eff]]="N", Table1[[#This Row],[Against FCS Team]]="N"), 200 - ROUND(((23.2 * U814) + (150 * W814) - (300 * X814)) / V814, 2), " ")</f>
        <v>74.38</v>
      </c>
      <c r="AE814" s="3">
        <f>ROUND(Table1[[#This Row],[Opp Passing Attempts]]/(Table1[[#This Row],[Opp Passing Attempts]]+Table1[[#This Row],[Opp Rushing Attempts]]), 2)</f>
        <v>0.36</v>
      </c>
      <c r="AF814" s="3">
        <f>1-Table1[[#This Row],[Passing Weight]]</f>
        <v>0.64</v>
      </c>
      <c r="AG814" s="3" t="str">
        <f>IF(COUNTIF(A:A,Table1[[#This Row],[Opp Team Name]]) &gt; 0, "N", "Y")</f>
        <v>N</v>
      </c>
      <c r="AH814" s="3" t="str">
        <f>IF(Table1[[#This Row],[Passing Attempts]] &lt;15, "Y", "N")</f>
        <v>N</v>
      </c>
      <c r="AI814" s="3" t="str">
        <f>IF(Table1[[#This Row],[Rushing Attempts]] &lt; 15, "Y", "N")</f>
        <v>N</v>
      </c>
      <c r="AJ814" s="3" t="str">
        <f>IF(Table1[[#This Row],[Opp Passing Attempts]]&lt;15, "Y", "N")</f>
        <v>N</v>
      </c>
      <c r="AK814" s="3" t="str">
        <f>IF(Table1[[#This Row],[Opp Rushing Attempts]]&lt;15, "Y", "N")</f>
        <v>N</v>
      </c>
      <c r="AL81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83.24</v>
      </c>
      <c r="AM81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88.4</v>
      </c>
      <c r="AN81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155.4</v>
      </c>
      <c r="AO81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70.63</v>
      </c>
      <c r="AP814" s="3">
        <f>ABS(Table1[[#This Row],[Team Score]]-Table1[[#This Row],[Opp Team Score]])</f>
        <v>11</v>
      </c>
      <c r="AQ814" s="3">
        <f>SUM(Table1[[#This Row],[Team Score]], Table1[[#This Row],[Opp Team Score]])</f>
        <v>45</v>
      </c>
      <c r="AR81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54.319999999999993</v>
      </c>
      <c r="AS814" s="3">
        <f>IF(Table1[[#This Row],[Efficiency Difference]] = " ", " ", ROUND((Table1[[#This Row],[Winning Margin]]*100)/Table1[[#This Row],[Efficiency Difference]], 2))</f>
        <v>20.25</v>
      </c>
    </row>
    <row r="815" spans="1:45">
      <c r="A815" t="s">
        <v>154</v>
      </c>
      <c r="B815">
        <v>746</v>
      </c>
      <c r="C815">
        <v>24</v>
      </c>
      <c r="D815">
        <v>221</v>
      </c>
      <c r="E815">
        <v>44</v>
      </c>
      <c r="F815">
        <v>1</v>
      </c>
      <c r="G815">
        <v>26</v>
      </c>
      <c r="H815">
        <v>3</v>
      </c>
      <c r="I815">
        <v>153</v>
      </c>
      <c r="J815">
        <v>40</v>
      </c>
      <c r="K815">
        <v>2</v>
      </c>
      <c r="L815">
        <v>0</v>
      </c>
      <c r="M815" t="s">
        <v>89</v>
      </c>
      <c r="N815">
        <v>664</v>
      </c>
      <c r="O815">
        <v>30</v>
      </c>
      <c r="P815">
        <v>313</v>
      </c>
      <c r="Q815">
        <v>42</v>
      </c>
      <c r="R815">
        <v>3</v>
      </c>
      <c r="S815">
        <v>27</v>
      </c>
      <c r="T815">
        <v>0</v>
      </c>
      <c r="U815">
        <v>61</v>
      </c>
      <c r="V815">
        <v>35</v>
      </c>
      <c r="W815">
        <v>0</v>
      </c>
      <c r="X815">
        <v>1</v>
      </c>
      <c r="Y815" t="s">
        <v>19</v>
      </c>
      <c r="Z815">
        <v>4</v>
      </c>
      <c r="AA815">
        <f>IF(AND(Table1[[#This Row],[Throw Out Pass Eff]]="N", Table1[[#This Row],[Against FCS Team]]="N"), ROUND(((5.45 * D815) + (150 * F815) + (100 * G815) - (300 * H815)) / E815, 2), " ")</f>
        <v>69.42</v>
      </c>
      <c r="AB815">
        <f>IF(AND(Table1[[#This Row],[Throw Out Pass Def Eff]]="N", Table1[[#This Row],[Against FCS Team]]="N"),200 - ROUND(((5.45 * P815) + (150 * R815) + (100 * S815) - (300 * T815)) / Q815, 2), " ")</f>
        <v>84.38</v>
      </c>
      <c r="AC815">
        <f>IF(AND(Table1[[#This Row],[Throw Out Rush Eff]]="N", Table1[[#This Row],[Against FCS Team]]="N"), ROUND(((23.2 * I815) + (150 * K815) - (300 * L815)) / J815, 2), " ")</f>
        <v>96.24</v>
      </c>
      <c r="AD815" s="3">
        <f>IF(AND(Table1[[#This Row],[Throw Out Rush Def Eff]]="N", Table1[[#This Row],[Against FCS Team]]="N"), 200 - ROUND(((23.2 * U815) + (150 * W815) - (300 * X815)) / V815, 2), " ")</f>
        <v>168.14</v>
      </c>
      <c r="AE815" s="3">
        <f>ROUND(Table1[[#This Row],[Opp Passing Attempts]]/(Table1[[#This Row],[Opp Passing Attempts]]+Table1[[#This Row],[Opp Rushing Attempts]]), 2)</f>
        <v>0.55000000000000004</v>
      </c>
      <c r="AF815" s="3">
        <f>1-Table1[[#This Row],[Passing Weight]]</f>
        <v>0.44999999999999996</v>
      </c>
      <c r="AG815" s="3" t="str">
        <f>IF(COUNTIF(A:A,Table1[[#This Row],[Opp Team Name]]) &gt; 0, "N", "Y")</f>
        <v>N</v>
      </c>
      <c r="AH815" s="3" t="str">
        <f>IF(Table1[[#This Row],[Passing Attempts]] &lt;15, "Y", "N")</f>
        <v>N</v>
      </c>
      <c r="AI815" s="3" t="str">
        <f>IF(Table1[[#This Row],[Rushing Attempts]] &lt; 15, "Y", "N")</f>
        <v>N</v>
      </c>
      <c r="AJ815" s="3" t="str">
        <f>IF(Table1[[#This Row],[Opp Passing Attempts]]&lt;15, "Y", "N")</f>
        <v>N</v>
      </c>
      <c r="AK815" s="3" t="str">
        <f>IF(Table1[[#This Row],[Opp Rushing Attempts]]&lt;15, "Y", "N")</f>
        <v>N</v>
      </c>
      <c r="AL81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87.05</v>
      </c>
      <c r="AM81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93.26</v>
      </c>
      <c r="AN81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113.59</v>
      </c>
      <c r="AO81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168.91</v>
      </c>
      <c r="AP815" s="3">
        <f>ABS(Table1[[#This Row],[Team Score]]-Table1[[#This Row],[Opp Team Score]])</f>
        <v>6</v>
      </c>
      <c r="AQ815" s="3">
        <f>SUM(Table1[[#This Row],[Team Score]], Table1[[#This Row],[Opp Team Score]])</f>
        <v>54</v>
      </c>
      <c r="AR81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18.179999999999978</v>
      </c>
      <c r="AS815" s="3">
        <f>IF(Table1[[#This Row],[Efficiency Difference]] = " ", " ", ROUND((Table1[[#This Row],[Winning Margin]]*100)/Table1[[#This Row],[Efficiency Difference]], 2))</f>
        <v>33</v>
      </c>
    </row>
    <row r="816" spans="1:45">
      <c r="A816" t="s">
        <v>154</v>
      </c>
      <c r="B816">
        <v>746</v>
      </c>
      <c r="C816">
        <v>21</v>
      </c>
      <c r="D816">
        <v>335</v>
      </c>
      <c r="E816">
        <v>50</v>
      </c>
      <c r="F816">
        <v>2</v>
      </c>
      <c r="G816">
        <v>30</v>
      </c>
      <c r="H816">
        <v>1</v>
      </c>
      <c r="I816">
        <v>161</v>
      </c>
      <c r="J816">
        <v>41</v>
      </c>
      <c r="K816">
        <v>1</v>
      </c>
      <c r="L816">
        <v>2</v>
      </c>
      <c r="M816" t="s">
        <v>43</v>
      </c>
      <c r="N816">
        <v>295</v>
      </c>
      <c r="O816">
        <v>20</v>
      </c>
      <c r="P816">
        <v>193</v>
      </c>
      <c r="Q816">
        <v>41</v>
      </c>
      <c r="R816">
        <v>1</v>
      </c>
      <c r="S816">
        <v>17</v>
      </c>
      <c r="T816">
        <v>2</v>
      </c>
      <c r="U816">
        <v>103</v>
      </c>
      <c r="V816">
        <v>31</v>
      </c>
      <c r="W816">
        <v>0</v>
      </c>
      <c r="X816">
        <v>0</v>
      </c>
      <c r="Y816" t="s">
        <v>16</v>
      </c>
      <c r="Z816">
        <v>5</v>
      </c>
      <c r="AA816">
        <f>IF(AND(Table1[[#This Row],[Throw Out Pass Eff]]="N", Table1[[#This Row],[Against FCS Team]]="N"), ROUND(((5.45 * D816) + (150 * F816) + (100 * G816) - (300 * H816)) / E816, 2), " ")</f>
        <v>96.52</v>
      </c>
      <c r="AB816">
        <f>IF(AND(Table1[[#This Row],[Throw Out Pass Def Eff]]="N", Table1[[#This Row],[Against FCS Team]]="N"),200 - ROUND(((5.45 * P816) + (150 * R816) + (100 * S816) - (300 * T816)) / Q816, 2), " ")</f>
        <v>143.86000000000001</v>
      </c>
      <c r="AC816">
        <f>IF(AND(Table1[[#This Row],[Throw Out Rush Eff]]="N", Table1[[#This Row],[Against FCS Team]]="N"), ROUND(((23.2 * I816) + (150 * K816) - (300 * L816)) / J816, 2), " ")</f>
        <v>80.13</v>
      </c>
      <c r="AD816" s="3">
        <f>IF(AND(Table1[[#This Row],[Throw Out Rush Def Eff]]="N", Table1[[#This Row],[Against FCS Team]]="N"), 200 - ROUND(((23.2 * U816) + (150 * W816) - (300 * X816)) / V816, 2), " ")</f>
        <v>122.92</v>
      </c>
      <c r="AE816" s="3">
        <f>ROUND(Table1[[#This Row],[Opp Passing Attempts]]/(Table1[[#This Row],[Opp Passing Attempts]]+Table1[[#This Row],[Opp Rushing Attempts]]), 2)</f>
        <v>0.56999999999999995</v>
      </c>
      <c r="AF816" s="3">
        <f>1-Table1[[#This Row],[Passing Weight]]</f>
        <v>0.43000000000000005</v>
      </c>
      <c r="AG816" s="3" t="str">
        <f>IF(COUNTIF(A:A,Table1[[#This Row],[Opp Team Name]]) &gt; 0, "N", "Y")</f>
        <v>N</v>
      </c>
      <c r="AH816" s="3" t="str">
        <f>IF(Table1[[#This Row],[Passing Attempts]] &lt;15, "Y", "N")</f>
        <v>N</v>
      </c>
      <c r="AI816" s="3" t="str">
        <f>IF(Table1[[#This Row],[Rushing Attempts]] &lt; 15, "Y", "N")</f>
        <v>N</v>
      </c>
      <c r="AJ816" s="3" t="str">
        <f>IF(Table1[[#This Row],[Opp Passing Attempts]]&lt;15, "Y", "N")</f>
        <v>N</v>
      </c>
      <c r="AK816" s="3" t="str">
        <f>IF(Table1[[#This Row],[Opp Rushing Attempts]]&lt;15, "Y", "N")</f>
        <v>N</v>
      </c>
      <c r="AL81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84.19</v>
      </c>
      <c r="AM81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103.99</v>
      </c>
      <c r="AN81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85.6</v>
      </c>
      <c r="AO81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60.12</v>
      </c>
      <c r="AP816" s="3">
        <f>ABS(Table1[[#This Row],[Team Score]]-Table1[[#This Row],[Opp Team Score]])</f>
        <v>1</v>
      </c>
      <c r="AQ816" s="3">
        <f>SUM(Table1[[#This Row],[Team Score]], Table1[[#This Row],[Opp Team Score]])</f>
        <v>41</v>
      </c>
      <c r="AR81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43.430000000000007</v>
      </c>
      <c r="AS816" s="3">
        <f>IF(Table1[[#This Row],[Efficiency Difference]] = " ", " ", ROUND((Table1[[#This Row],[Winning Margin]]*100)/Table1[[#This Row],[Efficiency Difference]], 2))</f>
        <v>2.2999999999999998</v>
      </c>
    </row>
    <row r="817" spans="1:45">
      <c r="A817" t="s">
        <v>154</v>
      </c>
      <c r="B817">
        <v>746</v>
      </c>
      <c r="C817">
        <v>24</v>
      </c>
      <c r="D817">
        <v>135</v>
      </c>
      <c r="E817">
        <v>19</v>
      </c>
      <c r="F817">
        <v>1</v>
      </c>
      <c r="G817">
        <v>9</v>
      </c>
      <c r="H817">
        <v>1</v>
      </c>
      <c r="I817">
        <v>274</v>
      </c>
      <c r="J817">
        <v>47</v>
      </c>
      <c r="K817">
        <v>2</v>
      </c>
      <c r="L817">
        <v>0</v>
      </c>
      <c r="M817" t="s">
        <v>72</v>
      </c>
      <c r="N817">
        <v>255</v>
      </c>
      <c r="O817">
        <v>21</v>
      </c>
      <c r="P817">
        <v>24</v>
      </c>
      <c r="Q817">
        <v>8</v>
      </c>
      <c r="R817">
        <v>0</v>
      </c>
      <c r="S817">
        <v>2</v>
      </c>
      <c r="T817">
        <v>2</v>
      </c>
      <c r="U817">
        <v>272</v>
      </c>
      <c r="V817">
        <v>53</v>
      </c>
      <c r="W817">
        <v>2</v>
      </c>
      <c r="X817">
        <v>0</v>
      </c>
      <c r="Y817" t="s">
        <v>16</v>
      </c>
      <c r="Z817">
        <v>7</v>
      </c>
      <c r="AA817">
        <f>IF(AND(Table1[[#This Row],[Throw Out Pass Eff]]="N", Table1[[#This Row],[Against FCS Team]]="N"), ROUND(((5.45 * D817) + (150 * F817) + (100 * G817) - (300 * H817)) / E817, 2), " ")</f>
        <v>78.2</v>
      </c>
      <c r="AB817" t="str">
        <f>IF(AND(Table1[[#This Row],[Throw Out Pass Def Eff]]="N", Table1[[#This Row],[Against FCS Team]]="N"),200 - ROUND(((5.45 * P817) + (150 * R817) + (100 * S817) - (300 * T817)) / Q817, 2), " ")</f>
        <v xml:space="preserve"> </v>
      </c>
      <c r="AC817">
        <f>IF(AND(Table1[[#This Row],[Throw Out Rush Eff]]="N", Table1[[#This Row],[Against FCS Team]]="N"), ROUND(((23.2 * I817) + (150 * K817) - (300 * L817)) / J817, 2), " ")</f>
        <v>141.63</v>
      </c>
      <c r="AD817" s="3">
        <f>IF(AND(Table1[[#This Row],[Throw Out Rush Def Eff]]="N", Table1[[#This Row],[Against FCS Team]]="N"), 200 - ROUND(((23.2 * U817) + (150 * W817) - (300 * X817)) / V817, 2), " ")</f>
        <v>75.28</v>
      </c>
      <c r="AE817" s="3">
        <f>ROUND(Table1[[#This Row],[Opp Passing Attempts]]/(Table1[[#This Row],[Opp Passing Attempts]]+Table1[[#This Row],[Opp Rushing Attempts]]), 2)</f>
        <v>0.13</v>
      </c>
      <c r="AF817" s="3">
        <f>1-Table1[[#This Row],[Passing Weight]]</f>
        <v>0.87</v>
      </c>
      <c r="AG817" s="3" t="str">
        <f>IF(COUNTIF(A:A,Table1[[#This Row],[Opp Team Name]]) &gt; 0, "N", "Y")</f>
        <v>N</v>
      </c>
      <c r="AH817" s="3" t="str">
        <f>IF(Table1[[#This Row],[Passing Attempts]] &lt;15, "Y", "N")</f>
        <v>N</v>
      </c>
      <c r="AI817" s="3" t="str">
        <f>IF(Table1[[#This Row],[Rushing Attempts]] &lt; 15, "Y", "N")</f>
        <v>N</v>
      </c>
      <c r="AJ817" s="3" t="str">
        <f>IF(Table1[[#This Row],[Opp Passing Attempts]]&lt;15, "Y", "N")</f>
        <v>Y</v>
      </c>
      <c r="AK817" s="3" t="str">
        <f>IF(Table1[[#This Row],[Opp Rushing Attempts]]&lt;15, "Y", "N")</f>
        <v>N</v>
      </c>
      <c r="AL81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94.82</v>
      </c>
      <c r="AM81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1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119.83</v>
      </c>
      <c r="AO81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107.51</v>
      </c>
      <c r="AP817" s="3">
        <f>ABS(Table1[[#This Row],[Team Score]]-Table1[[#This Row],[Opp Team Score]])</f>
        <v>3</v>
      </c>
      <c r="AQ817" s="3">
        <f>SUM(Table1[[#This Row],[Team Score]], Table1[[#This Row],[Opp Team Score]])</f>
        <v>45</v>
      </c>
      <c r="AR81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17" s="3" t="str">
        <f>IF(Table1[[#This Row],[Efficiency Difference]] = " ", " ", ROUND((Table1[[#This Row],[Winning Margin]]*100)/Table1[[#This Row],[Efficiency Difference]], 2))</f>
        <v xml:space="preserve"> </v>
      </c>
    </row>
    <row r="818" spans="1:45">
      <c r="A818" t="s">
        <v>154</v>
      </c>
      <c r="B818">
        <v>746</v>
      </c>
      <c r="C818">
        <v>14</v>
      </c>
      <c r="D818">
        <v>125</v>
      </c>
      <c r="E818">
        <v>35</v>
      </c>
      <c r="F818">
        <v>2</v>
      </c>
      <c r="G818">
        <v>11</v>
      </c>
      <c r="H818">
        <v>3</v>
      </c>
      <c r="I818">
        <v>124</v>
      </c>
      <c r="J818">
        <v>33</v>
      </c>
      <c r="K818">
        <v>0</v>
      </c>
      <c r="L818">
        <v>1</v>
      </c>
      <c r="M818" t="s">
        <v>112</v>
      </c>
      <c r="N818">
        <v>490</v>
      </c>
      <c r="O818">
        <v>28</v>
      </c>
      <c r="P818">
        <v>231</v>
      </c>
      <c r="Q818">
        <v>36</v>
      </c>
      <c r="R818">
        <v>3</v>
      </c>
      <c r="S818">
        <v>20</v>
      </c>
      <c r="T818">
        <v>2</v>
      </c>
      <c r="U818">
        <v>114</v>
      </c>
      <c r="V818">
        <v>38</v>
      </c>
      <c r="W818">
        <v>0</v>
      </c>
      <c r="X818">
        <v>0</v>
      </c>
      <c r="Y818" t="s">
        <v>19</v>
      </c>
      <c r="Z818">
        <v>8</v>
      </c>
      <c r="AA818" s="3">
        <f>IF(AND(Table1[[#This Row],[Throw Out Pass Eff]]="N", Table1[[#This Row],[Against FCS Team]]="N"), ROUND(((5.45 * D818) + (150 * F818) + (100 * G818) - (300 * H818)) / E818, 2), " ")</f>
        <v>33.75</v>
      </c>
      <c r="AB818" s="3">
        <f>IF(AND(Table1[[#This Row],[Throw Out Pass Def Eff]]="N", Table1[[#This Row],[Against FCS Team]]="N"),200 - ROUND(((5.45 * P818) + (150 * R818) + (100 * S818) - (300 * T818)) / Q818, 2), " ")</f>
        <v>113.64</v>
      </c>
      <c r="AC818" s="3">
        <f>IF(AND(Table1[[#This Row],[Throw Out Rush Eff]]="N", Table1[[#This Row],[Against FCS Team]]="N"), ROUND(((23.2 * I818) + (150 * K818) - (300 * L818)) / J818, 2), " ")</f>
        <v>78.08</v>
      </c>
      <c r="AD818" s="3">
        <f>IF(AND(Table1[[#This Row],[Throw Out Rush Def Eff]]="N", Table1[[#This Row],[Against FCS Team]]="N"), 200 - ROUND(((23.2 * U818) + (150 * W818) - (300 * X818)) / V818, 2), " ")</f>
        <v>130.4</v>
      </c>
      <c r="AE818" s="3">
        <f>ROUND(Table1[[#This Row],[Opp Passing Attempts]]/(Table1[[#This Row],[Opp Passing Attempts]]+Table1[[#This Row],[Opp Rushing Attempts]]), 2)</f>
        <v>0.49</v>
      </c>
      <c r="AF818" s="3">
        <f>1-Table1[[#This Row],[Passing Weight]]</f>
        <v>0.51</v>
      </c>
      <c r="AG818" s="3" t="str">
        <f>IF(COUNTIF(A:A,Table1[[#This Row],[Opp Team Name]]) &gt; 0, "N", "Y")</f>
        <v>N</v>
      </c>
      <c r="AH818" s="3" t="str">
        <f>IF(Table1[[#This Row],[Passing Attempts]] &lt;15, "Y", "N")</f>
        <v>N</v>
      </c>
      <c r="AI818" s="3" t="str">
        <f>IF(Table1[[#This Row],[Rushing Attempts]] &lt; 15, "Y", "N")</f>
        <v>N</v>
      </c>
      <c r="AJ818" s="3" t="str">
        <f>IF(Table1[[#This Row],[Opp Passing Attempts]]&lt;15, "Y", "N")</f>
        <v>N</v>
      </c>
      <c r="AK818" s="3" t="str">
        <f>IF(Table1[[#This Row],[Opp Rushing Attempts]]&lt;15, "Y", "N")</f>
        <v>N</v>
      </c>
      <c r="AL81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39.04</v>
      </c>
      <c r="AM81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115.15</v>
      </c>
      <c r="AN81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64.88</v>
      </c>
      <c r="AO81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85.8</v>
      </c>
      <c r="AP818" s="3">
        <f>ABS(Table1[[#This Row],[Team Score]]-Table1[[#This Row],[Opp Team Score]])</f>
        <v>14</v>
      </c>
      <c r="AQ818" s="3">
        <f>SUM(Table1[[#This Row],[Team Score]], Table1[[#This Row],[Opp Team Score]])</f>
        <v>42</v>
      </c>
      <c r="AR81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44.129999999999981</v>
      </c>
      <c r="AS818" s="3">
        <f>IF(Table1[[#This Row],[Efficiency Difference]] = " ", " ", ROUND((Table1[[#This Row],[Winning Margin]]*100)/Table1[[#This Row],[Efficiency Difference]], 2))</f>
        <v>31.72</v>
      </c>
    </row>
    <row r="819" spans="1:45">
      <c r="A819" t="s">
        <v>156</v>
      </c>
      <c r="B819">
        <v>742</v>
      </c>
      <c r="C819">
        <v>66</v>
      </c>
      <c r="D819">
        <v>262</v>
      </c>
      <c r="E819">
        <v>28</v>
      </c>
      <c r="F819">
        <v>4</v>
      </c>
      <c r="G819">
        <v>15</v>
      </c>
      <c r="H819">
        <v>0</v>
      </c>
      <c r="I819">
        <v>256</v>
      </c>
      <c r="J819">
        <v>45</v>
      </c>
      <c r="K819">
        <v>4</v>
      </c>
      <c r="L819">
        <v>0</v>
      </c>
      <c r="M819" t="s">
        <v>157</v>
      </c>
      <c r="N819">
        <v>27</v>
      </c>
      <c r="O819">
        <v>13</v>
      </c>
      <c r="P819">
        <v>176</v>
      </c>
      <c r="Q819">
        <v>26</v>
      </c>
      <c r="R819">
        <v>1</v>
      </c>
      <c r="S819">
        <v>9</v>
      </c>
      <c r="T819">
        <v>3</v>
      </c>
      <c r="U819">
        <v>117</v>
      </c>
      <c r="V819">
        <v>36</v>
      </c>
      <c r="W819">
        <v>1</v>
      </c>
      <c r="X819">
        <v>1</v>
      </c>
      <c r="Y819" t="s">
        <v>16</v>
      </c>
      <c r="Z819">
        <v>1</v>
      </c>
      <c r="AA819" t="str">
        <f>IF(AND(Table1[[#This Row],[Throw Out Pass Eff]]="N", Table1[[#This Row],[Against FCS Team]]="N"), ROUND(((5.45 * D819) + (150 * F819) + (100 * G819) - (300 * H819)) / E819, 2), " ")</f>
        <v xml:space="preserve"> </v>
      </c>
      <c r="AB819" t="str">
        <f>IF(AND(Table1[[#This Row],[Throw Out Pass Def Eff]]="N", Table1[[#This Row],[Against FCS Team]]="N"),200 - ROUND(((5.45 * P819) + (150 * R819) + (100 * S819) - (300 * T819)) / Q819, 2), " ")</f>
        <v xml:space="preserve"> </v>
      </c>
      <c r="AC819" t="str">
        <f>IF(AND(Table1[[#This Row],[Throw Out Rush Eff]]="N", Table1[[#This Row],[Against FCS Team]]="N"), ROUND(((23.2 * I819) + (150 * K819) - (300 * L819)) / J819, 2), " ")</f>
        <v xml:space="preserve"> </v>
      </c>
      <c r="AD819" s="3" t="str">
        <f>IF(AND(Table1[[#This Row],[Throw Out Rush Def Eff]]="N", Table1[[#This Row],[Against FCS Team]]="N"), 200 - ROUND(((23.2 * U819) + (150 * W819) - (300 * X819)) / V819, 2), " ")</f>
        <v xml:space="preserve"> </v>
      </c>
      <c r="AE819" s="3">
        <f>ROUND(Table1[[#This Row],[Opp Passing Attempts]]/(Table1[[#This Row],[Opp Passing Attempts]]+Table1[[#This Row],[Opp Rushing Attempts]]), 2)</f>
        <v>0.42</v>
      </c>
      <c r="AF819" s="3">
        <f>1-Table1[[#This Row],[Passing Weight]]</f>
        <v>0.58000000000000007</v>
      </c>
      <c r="AG819" s="3" t="str">
        <f>IF(COUNTIF(A:A,Table1[[#This Row],[Opp Team Name]]) &gt; 0, "N", "Y")</f>
        <v>Y</v>
      </c>
      <c r="AH819" s="3" t="str">
        <f>IF(Table1[[#This Row],[Passing Attempts]] &lt;15, "Y", "N")</f>
        <v>N</v>
      </c>
      <c r="AI819" s="3" t="str">
        <f>IF(Table1[[#This Row],[Rushing Attempts]] &lt; 15, "Y", "N")</f>
        <v>N</v>
      </c>
      <c r="AJ819" s="3" t="str">
        <f>IF(Table1[[#This Row],[Opp Passing Attempts]]&lt;15, "Y", "N")</f>
        <v>N</v>
      </c>
      <c r="AK819" s="3" t="str">
        <f>IF(Table1[[#This Row],[Opp Rushing Attempts]]&lt;15, "Y", "N")</f>
        <v>N</v>
      </c>
      <c r="AL81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19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19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19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19" s="3">
        <f>ABS(Table1[[#This Row],[Team Score]]-Table1[[#This Row],[Opp Team Score]])</f>
        <v>53</v>
      </c>
      <c r="AQ819" s="3">
        <f>SUM(Table1[[#This Row],[Team Score]], Table1[[#This Row],[Opp Team Score]])</f>
        <v>79</v>
      </c>
      <c r="AR81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19" s="3" t="str">
        <f>IF(Table1[[#This Row],[Efficiency Difference]] = " ", " ", ROUND((Table1[[#This Row],[Winning Margin]]*100)/Table1[[#This Row],[Efficiency Difference]], 2))</f>
        <v xml:space="preserve"> </v>
      </c>
    </row>
    <row r="820" spans="1:45">
      <c r="A820" t="s">
        <v>156</v>
      </c>
      <c r="B820">
        <v>742</v>
      </c>
      <c r="C820">
        <v>17</v>
      </c>
      <c r="D820">
        <v>91</v>
      </c>
      <c r="E820">
        <v>20</v>
      </c>
      <c r="F820">
        <v>0</v>
      </c>
      <c r="G820">
        <v>8</v>
      </c>
      <c r="H820">
        <v>1</v>
      </c>
      <c r="I820">
        <v>241</v>
      </c>
      <c r="J820">
        <v>50</v>
      </c>
      <c r="K820">
        <v>2</v>
      </c>
      <c r="L820">
        <v>1</v>
      </c>
      <c r="M820" t="s">
        <v>64</v>
      </c>
      <c r="N820">
        <v>196</v>
      </c>
      <c r="O820">
        <v>10</v>
      </c>
      <c r="P820">
        <v>127</v>
      </c>
      <c r="Q820">
        <v>38</v>
      </c>
      <c r="R820">
        <v>0</v>
      </c>
      <c r="S820">
        <v>20</v>
      </c>
      <c r="T820">
        <v>1</v>
      </c>
      <c r="U820">
        <v>-15</v>
      </c>
      <c r="V820">
        <v>16</v>
      </c>
      <c r="W820">
        <v>1</v>
      </c>
      <c r="X820">
        <v>0</v>
      </c>
      <c r="Y820" t="s">
        <v>16</v>
      </c>
      <c r="Z820">
        <v>2</v>
      </c>
      <c r="AA820">
        <f>IF(AND(Table1[[#This Row],[Throw Out Pass Eff]]="N", Table1[[#This Row],[Against FCS Team]]="N"), ROUND(((5.45 * D820) + (150 * F820) + (100 * G820) - (300 * H820)) / E820, 2), " ")</f>
        <v>49.8</v>
      </c>
      <c r="AB820">
        <f>IF(AND(Table1[[#This Row],[Throw Out Pass Def Eff]]="N", Table1[[#This Row],[Against FCS Team]]="N"),200 - ROUND(((5.45 * P820) + (150 * R820) + (100 * S820) - (300 * T820)) / Q820, 2), " ")</f>
        <v>137.05000000000001</v>
      </c>
      <c r="AC820">
        <f>IF(AND(Table1[[#This Row],[Throw Out Rush Eff]]="N", Table1[[#This Row],[Against FCS Team]]="N"), ROUND(((23.2 * I820) + (150 * K820) - (300 * L820)) / J820, 2), " ")</f>
        <v>111.82</v>
      </c>
      <c r="AD820" s="3">
        <f>IF(AND(Table1[[#This Row],[Throw Out Rush Def Eff]]="N", Table1[[#This Row],[Against FCS Team]]="N"), 200 - ROUND(((23.2 * U820) + (150 * W820) - (300 * X820)) / V820, 2), " ")</f>
        <v>212.38</v>
      </c>
      <c r="AE820" s="3">
        <f>ROUND(Table1[[#This Row],[Opp Passing Attempts]]/(Table1[[#This Row],[Opp Passing Attempts]]+Table1[[#This Row],[Opp Rushing Attempts]]), 2)</f>
        <v>0.7</v>
      </c>
      <c r="AF820" s="3">
        <f>1-Table1[[#This Row],[Passing Weight]]</f>
        <v>0.30000000000000004</v>
      </c>
      <c r="AG820" s="3" t="str">
        <f>IF(COUNTIF(A:A,Table1[[#This Row],[Opp Team Name]]) &gt; 0, "N", "Y")</f>
        <v>N</v>
      </c>
      <c r="AH820" s="3" t="str">
        <f>IF(Table1[[#This Row],[Passing Attempts]] &lt;15, "Y", "N")</f>
        <v>N</v>
      </c>
      <c r="AI820" s="3" t="str">
        <f>IF(Table1[[#This Row],[Rushing Attempts]] &lt; 15, "Y", "N")</f>
        <v>N</v>
      </c>
      <c r="AJ820" s="3" t="str">
        <f>IF(Table1[[#This Row],[Opp Passing Attempts]]&lt;15, "Y", "N")</f>
        <v>N</v>
      </c>
      <c r="AK820" s="3" t="str">
        <f>IF(Table1[[#This Row],[Opp Rushing Attempts]]&lt;15, "Y", "N")</f>
        <v>N</v>
      </c>
      <c r="AL82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51.69</v>
      </c>
      <c r="AM82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142.65</v>
      </c>
      <c r="AN82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101.4</v>
      </c>
      <c r="AO82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109.21</v>
      </c>
      <c r="AP820" s="3">
        <f>ABS(Table1[[#This Row],[Team Score]]-Table1[[#This Row],[Opp Team Score]])</f>
        <v>7</v>
      </c>
      <c r="AQ820" s="3">
        <f>SUM(Table1[[#This Row],[Team Score]], Table1[[#This Row],[Opp Team Score]])</f>
        <v>27</v>
      </c>
      <c r="AR82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111.05000000000001</v>
      </c>
      <c r="AS820" s="3">
        <f>IF(Table1[[#This Row],[Efficiency Difference]] = " ", " ", ROUND((Table1[[#This Row],[Winning Margin]]*100)/Table1[[#This Row],[Efficiency Difference]], 2))</f>
        <v>6.3</v>
      </c>
    </row>
    <row r="821" spans="1:45">
      <c r="A821" t="s">
        <v>156</v>
      </c>
      <c r="B821">
        <v>742</v>
      </c>
      <c r="C821">
        <v>26</v>
      </c>
      <c r="D821">
        <v>292</v>
      </c>
      <c r="E821">
        <v>33</v>
      </c>
      <c r="F821">
        <v>2</v>
      </c>
      <c r="G821">
        <v>21</v>
      </c>
      <c r="H821">
        <v>2</v>
      </c>
      <c r="I821">
        <v>135</v>
      </c>
      <c r="J821">
        <v>40</v>
      </c>
      <c r="K821">
        <v>1</v>
      </c>
      <c r="L821">
        <v>0</v>
      </c>
      <c r="M821" t="s">
        <v>28</v>
      </c>
      <c r="N821">
        <v>30</v>
      </c>
      <c r="O821">
        <v>7</v>
      </c>
      <c r="P821">
        <v>205</v>
      </c>
      <c r="Q821">
        <v>36</v>
      </c>
      <c r="R821">
        <v>0</v>
      </c>
      <c r="S821">
        <v>16</v>
      </c>
      <c r="T821">
        <v>2</v>
      </c>
      <c r="U821">
        <v>64</v>
      </c>
      <c r="V821">
        <v>31</v>
      </c>
      <c r="W821">
        <v>1</v>
      </c>
      <c r="X821">
        <v>0</v>
      </c>
      <c r="Y821" t="s">
        <v>16</v>
      </c>
      <c r="Z821">
        <v>3</v>
      </c>
      <c r="AA821">
        <f>IF(AND(Table1[[#This Row],[Throw Out Pass Eff]]="N", Table1[[#This Row],[Against FCS Team]]="N"), ROUND(((5.45 * D821) + (150 * F821) + (100 * G821) - (300 * H821)) / E821, 2), " ")</f>
        <v>102.77</v>
      </c>
      <c r="AB821">
        <f>IF(AND(Table1[[#This Row],[Throw Out Pass Def Eff]]="N", Table1[[#This Row],[Against FCS Team]]="N"),200 - ROUND(((5.45 * P821) + (150 * R821) + (100 * S821) - (300 * T821)) / Q821, 2), " ")</f>
        <v>141.19</v>
      </c>
      <c r="AC821">
        <f>IF(AND(Table1[[#This Row],[Throw Out Rush Eff]]="N", Table1[[#This Row],[Against FCS Team]]="N"), ROUND(((23.2 * I821) + (150 * K821) - (300 * L821)) / J821, 2), " ")</f>
        <v>82.05</v>
      </c>
      <c r="AD821" s="3">
        <f>IF(AND(Table1[[#This Row],[Throw Out Rush Def Eff]]="N", Table1[[#This Row],[Against FCS Team]]="N"), 200 - ROUND(((23.2 * U821) + (150 * W821) - (300 * X821)) / V821, 2), " ")</f>
        <v>147.26</v>
      </c>
      <c r="AE821" s="3">
        <f>ROUND(Table1[[#This Row],[Opp Passing Attempts]]/(Table1[[#This Row],[Opp Passing Attempts]]+Table1[[#This Row],[Opp Rushing Attempts]]), 2)</f>
        <v>0.54</v>
      </c>
      <c r="AF821" s="3">
        <f>1-Table1[[#This Row],[Passing Weight]]</f>
        <v>0.45999999999999996</v>
      </c>
      <c r="AG821" s="3" t="str">
        <f>IF(COUNTIF(A:A,Table1[[#This Row],[Opp Team Name]]) &gt; 0, "N", "Y")</f>
        <v>N</v>
      </c>
      <c r="AH821" s="3" t="str">
        <f>IF(Table1[[#This Row],[Passing Attempts]] &lt;15, "Y", "N")</f>
        <v>N</v>
      </c>
      <c r="AI821" s="3" t="str">
        <f>IF(Table1[[#This Row],[Rushing Attempts]] &lt; 15, "Y", "N")</f>
        <v>N</v>
      </c>
      <c r="AJ821" s="3" t="str">
        <f>IF(Table1[[#This Row],[Opp Passing Attempts]]&lt;15, "Y", "N")</f>
        <v>N</v>
      </c>
      <c r="AK821" s="3" t="str">
        <f>IF(Table1[[#This Row],[Opp Rushing Attempts]]&lt;15, "Y", "N")</f>
        <v>N</v>
      </c>
      <c r="AL82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112.74</v>
      </c>
      <c r="AM82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143.96</v>
      </c>
      <c r="AN82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110.09</v>
      </c>
      <c r="AO82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106.01</v>
      </c>
      <c r="AP821" s="3">
        <f>ABS(Table1[[#This Row],[Team Score]]-Table1[[#This Row],[Opp Team Score]])</f>
        <v>19</v>
      </c>
      <c r="AQ821" s="3">
        <f>SUM(Table1[[#This Row],[Team Score]], Table1[[#This Row],[Opp Team Score]])</f>
        <v>33</v>
      </c>
      <c r="AR82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73.269999999999982</v>
      </c>
      <c r="AS821" s="3">
        <f>IF(Table1[[#This Row],[Efficiency Difference]] = " ", " ", ROUND((Table1[[#This Row],[Winning Margin]]*100)/Table1[[#This Row],[Efficiency Difference]], 2))</f>
        <v>25.93</v>
      </c>
    </row>
    <row r="822" spans="1:45">
      <c r="A822" t="s">
        <v>156</v>
      </c>
      <c r="B822">
        <v>742</v>
      </c>
      <c r="C822">
        <v>30</v>
      </c>
      <c r="D822">
        <v>229</v>
      </c>
      <c r="E822">
        <v>33</v>
      </c>
      <c r="F822">
        <v>0</v>
      </c>
      <c r="G822">
        <v>22</v>
      </c>
      <c r="H822">
        <v>1</v>
      </c>
      <c r="I822">
        <v>215</v>
      </c>
      <c r="J822">
        <v>41</v>
      </c>
      <c r="K822">
        <v>4</v>
      </c>
      <c r="L822">
        <v>1</v>
      </c>
      <c r="M822" t="s">
        <v>176</v>
      </c>
      <c r="N822">
        <v>388</v>
      </c>
      <c r="O822">
        <v>10</v>
      </c>
      <c r="P822">
        <v>245</v>
      </c>
      <c r="Q822">
        <v>33</v>
      </c>
      <c r="R822">
        <v>1</v>
      </c>
      <c r="S822">
        <v>17</v>
      </c>
      <c r="T822">
        <v>1</v>
      </c>
      <c r="U822">
        <v>6</v>
      </c>
      <c r="V822">
        <v>24</v>
      </c>
      <c r="W822">
        <v>0</v>
      </c>
      <c r="X822">
        <v>1</v>
      </c>
      <c r="Y822" t="s">
        <v>16</v>
      </c>
      <c r="Z822">
        <v>4</v>
      </c>
      <c r="AA822">
        <f>IF(AND(Table1[[#This Row],[Throw Out Pass Eff]]="N", Table1[[#This Row],[Against FCS Team]]="N"), ROUND(((5.45 * D822) + (150 * F822) + (100 * G822) - (300 * H822)) / E822, 2), " ")</f>
        <v>95.4</v>
      </c>
      <c r="AB822">
        <f>IF(AND(Table1[[#This Row],[Throw Out Pass Def Eff]]="N", Table1[[#This Row],[Against FCS Team]]="N"),200 - ROUND(((5.45 * P822) + (150 * R822) + (100 * S822) - (300 * T822)) / Q822, 2), " ")</f>
        <v>112.57</v>
      </c>
      <c r="AC822">
        <f>IF(AND(Table1[[#This Row],[Throw Out Rush Eff]]="N", Table1[[#This Row],[Against FCS Team]]="N"), ROUND(((23.2 * I822) + (150 * K822) - (300 * L822)) / J822, 2), " ")</f>
        <v>128.97999999999999</v>
      </c>
      <c r="AD822" s="3">
        <f>IF(AND(Table1[[#This Row],[Throw Out Rush Def Eff]]="N", Table1[[#This Row],[Against FCS Team]]="N"), 200 - ROUND(((23.2 * U822) + (150 * W822) - (300 * X822)) / V822, 2), " ")</f>
        <v>206.7</v>
      </c>
      <c r="AE822" s="3">
        <f>ROUND(Table1[[#This Row],[Opp Passing Attempts]]/(Table1[[#This Row],[Opp Passing Attempts]]+Table1[[#This Row],[Opp Rushing Attempts]]), 2)</f>
        <v>0.57999999999999996</v>
      </c>
      <c r="AF822" s="3">
        <f>1-Table1[[#This Row],[Passing Weight]]</f>
        <v>0.42000000000000004</v>
      </c>
      <c r="AG822" s="3" t="str">
        <f>IF(COUNTIF(A:A,Table1[[#This Row],[Opp Team Name]]) &gt; 0, "N", "Y")</f>
        <v>N</v>
      </c>
      <c r="AH822" s="3" t="str">
        <f>IF(Table1[[#This Row],[Passing Attempts]] &lt;15, "Y", "N")</f>
        <v>N</v>
      </c>
      <c r="AI822" s="3" t="str">
        <f>IF(Table1[[#This Row],[Rushing Attempts]] &lt; 15, "Y", "N")</f>
        <v>N</v>
      </c>
      <c r="AJ822" s="3" t="str">
        <f>IF(Table1[[#This Row],[Opp Passing Attempts]]&lt;15, "Y", "N")</f>
        <v>N</v>
      </c>
      <c r="AK822" s="3" t="str">
        <f>IF(Table1[[#This Row],[Opp Rushing Attempts]]&lt;15, "Y", "N")</f>
        <v>N</v>
      </c>
      <c r="AL82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83.94</v>
      </c>
      <c r="AM82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92.97</v>
      </c>
      <c r="AN82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139.36000000000001</v>
      </c>
      <c r="AO82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142.56</v>
      </c>
      <c r="AP822" s="3">
        <f>ABS(Table1[[#This Row],[Team Score]]-Table1[[#This Row],[Opp Team Score]])</f>
        <v>20</v>
      </c>
      <c r="AQ822" s="3">
        <f>SUM(Table1[[#This Row],[Team Score]], Table1[[#This Row],[Opp Team Score]])</f>
        <v>40</v>
      </c>
      <c r="AR82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143.64999999999998</v>
      </c>
      <c r="AS822" s="3">
        <f>IF(Table1[[#This Row],[Efficiency Difference]] = " ", " ", ROUND((Table1[[#This Row],[Winning Margin]]*100)/Table1[[#This Row],[Efficiency Difference]], 2))</f>
        <v>13.92</v>
      </c>
    </row>
    <row r="823" spans="1:45">
      <c r="A823" t="s">
        <v>156</v>
      </c>
      <c r="B823">
        <v>742</v>
      </c>
      <c r="C823">
        <v>3</v>
      </c>
      <c r="D823">
        <v>125</v>
      </c>
      <c r="E823">
        <v>27</v>
      </c>
      <c r="F823">
        <v>0</v>
      </c>
      <c r="G823">
        <v>15</v>
      </c>
      <c r="H823">
        <v>1</v>
      </c>
      <c r="I823">
        <v>133</v>
      </c>
      <c r="J823">
        <v>40</v>
      </c>
      <c r="K823">
        <v>0</v>
      </c>
      <c r="L823">
        <v>1</v>
      </c>
      <c r="M823" t="s">
        <v>54</v>
      </c>
      <c r="N823">
        <v>147</v>
      </c>
      <c r="O823">
        <v>23</v>
      </c>
      <c r="P823">
        <v>204</v>
      </c>
      <c r="Q823">
        <v>32</v>
      </c>
      <c r="R823">
        <v>1</v>
      </c>
      <c r="S823">
        <v>13</v>
      </c>
      <c r="T823">
        <v>1</v>
      </c>
      <c r="U823">
        <v>119</v>
      </c>
      <c r="V823">
        <v>35</v>
      </c>
      <c r="W823">
        <v>2</v>
      </c>
      <c r="X823">
        <v>0</v>
      </c>
      <c r="Y823" t="s">
        <v>19</v>
      </c>
      <c r="Z823">
        <v>5</v>
      </c>
      <c r="AA823">
        <f>IF(AND(Table1[[#This Row],[Throw Out Pass Eff]]="N", Table1[[#This Row],[Against FCS Team]]="N"), ROUND(((5.45 * D823) + (150 * F823) + (100 * G823) - (300 * H823)) / E823, 2), " ")</f>
        <v>69.680000000000007</v>
      </c>
      <c r="AB823">
        <f>IF(AND(Table1[[#This Row],[Throw Out Pass Def Eff]]="N", Table1[[#This Row],[Against FCS Team]]="N"),200 - ROUND(((5.45 * P823) + (150 * R823) + (100 * S823) - (300 * T823)) / Q823, 2), " ")</f>
        <v>129.32</v>
      </c>
      <c r="AC823">
        <f>IF(AND(Table1[[#This Row],[Throw Out Rush Eff]]="N", Table1[[#This Row],[Against FCS Team]]="N"), ROUND(((23.2 * I823) + (150 * K823) - (300 * L823)) / J823, 2), " ")</f>
        <v>69.64</v>
      </c>
      <c r="AD823" s="3">
        <f>IF(AND(Table1[[#This Row],[Throw Out Rush Def Eff]]="N", Table1[[#This Row],[Against FCS Team]]="N"), 200 - ROUND(((23.2 * U823) + (150 * W823) - (300 * X823)) / V823, 2), " ")</f>
        <v>112.55</v>
      </c>
      <c r="AE823" s="3">
        <f>ROUND(Table1[[#This Row],[Opp Passing Attempts]]/(Table1[[#This Row],[Opp Passing Attempts]]+Table1[[#This Row],[Opp Rushing Attempts]]), 2)</f>
        <v>0.48</v>
      </c>
      <c r="AF823" s="3">
        <f>1-Table1[[#This Row],[Passing Weight]]</f>
        <v>0.52</v>
      </c>
      <c r="AG823" s="3" t="str">
        <f>IF(COUNTIF(A:A,Table1[[#This Row],[Opp Team Name]]) &gt; 0, "N", "Y")</f>
        <v>N</v>
      </c>
      <c r="AH823" s="3" t="str">
        <f>IF(Table1[[#This Row],[Passing Attempts]] &lt;15, "Y", "N")</f>
        <v>N</v>
      </c>
      <c r="AI823" s="3" t="str">
        <f>IF(Table1[[#This Row],[Rushing Attempts]] &lt; 15, "Y", "N")</f>
        <v>N</v>
      </c>
      <c r="AJ823" s="3" t="str">
        <f>IF(Table1[[#This Row],[Opp Passing Attempts]]&lt;15, "Y", "N")</f>
        <v>N</v>
      </c>
      <c r="AK823" s="3" t="str">
        <f>IF(Table1[[#This Row],[Opp Rushing Attempts]]&lt;15, "Y", "N")</f>
        <v>N</v>
      </c>
      <c r="AL82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78.010000000000005</v>
      </c>
      <c r="AM82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147.41999999999999</v>
      </c>
      <c r="AN82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74.599999999999994</v>
      </c>
      <c r="AO82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111.37</v>
      </c>
      <c r="AP823" s="3">
        <f>ABS(Table1[[#This Row],[Team Score]]-Table1[[#This Row],[Opp Team Score]])</f>
        <v>20</v>
      </c>
      <c r="AQ823" s="3">
        <f>SUM(Table1[[#This Row],[Team Score]], Table1[[#This Row],[Opp Team Score]])</f>
        <v>26</v>
      </c>
      <c r="AR82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18.810000000000002</v>
      </c>
      <c r="AS823" s="3">
        <f>IF(Table1[[#This Row],[Efficiency Difference]] = " ", " ", ROUND((Table1[[#This Row],[Winning Margin]]*100)/Table1[[#This Row],[Efficiency Difference]], 2))</f>
        <v>106.33</v>
      </c>
    </row>
    <row r="824" spans="1:45">
      <c r="A824" t="s">
        <v>156</v>
      </c>
      <c r="B824">
        <v>742</v>
      </c>
      <c r="C824">
        <v>38</v>
      </c>
      <c r="D824">
        <v>310</v>
      </c>
      <c r="E824">
        <v>25</v>
      </c>
      <c r="F824">
        <v>3</v>
      </c>
      <c r="G824">
        <v>23</v>
      </c>
      <c r="H824">
        <v>0</v>
      </c>
      <c r="I824">
        <v>172</v>
      </c>
      <c r="J824">
        <v>38</v>
      </c>
      <c r="K824">
        <v>2</v>
      </c>
      <c r="L824">
        <v>1</v>
      </c>
      <c r="M824" t="s">
        <v>179</v>
      </c>
      <c r="N824">
        <v>415</v>
      </c>
      <c r="O824">
        <v>35</v>
      </c>
      <c r="P824">
        <v>283</v>
      </c>
      <c r="Q824">
        <v>22</v>
      </c>
      <c r="R824">
        <v>4</v>
      </c>
      <c r="S824">
        <v>14</v>
      </c>
      <c r="T824">
        <v>0</v>
      </c>
      <c r="U824">
        <v>236</v>
      </c>
      <c r="V824">
        <v>38</v>
      </c>
      <c r="W824">
        <v>1</v>
      </c>
      <c r="X824">
        <v>0</v>
      </c>
      <c r="Y824" t="s">
        <v>16</v>
      </c>
      <c r="Z824">
        <v>6</v>
      </c>
      <c r="AA824">
        <f>IF(AND(Table1[[#This Row],[Throw Out Pass Eff]]="N", Table1[[#This Row],[Against FCS Team]]="N"), ROUND(((5.45 * D824) + (150 * F824) + (100 * G824) - (300 * H824)) / E824, 2), " ")</f>
        <v>177.58</v>
      </c>
      <c r="AB824">
        <f>IF(AND(Table1[[#This Row],[Throw Out Pass Def Eff]]="N", Table1[[#This Row],[Against FCS Team]]="N"),200 - ROUND(((5.45 * P824) + (150 * R824) + (100 * S824) - (300 * T824)) / Q824, 2), " ")</f>
        <v>38.97999999999999</v>
      </c>
      <c r="AC824">
        <f>IF(AND(Table1[[#This Row],[Throw Out Rush Eff]]="N", Table1[[#This Row],[Against FCS Team]]="N"), ROUND(((23.2 * I824) + (150 * K824) - (300 * L824)) / J824, 2), " ")</f>
        <v>105.01</v>
      </c>
      <c r="AD824" s="3">
        <f>IF(AND(Table1[[#This Row],[Throw Out Rush Def Eff]]="N", Table1[[#This Row],[Against FCS Team]]="N"), 200 - ROUND(((23.2 * U824) + (150 * W824) - (300 * X824)) / V824, 2), " ")</f>
        <v>51.97</v>
      </c>
      <c r="AE824" s="3">
        <f>ROUND(Table1[[#This Row],[Opp Passing Attempts]]/(Table1[[#This Row],[Opp Passing Attempts]]+Table1[[#This Row],[Opp Rushing Attempts]]), 2)</f>
        <v>0.37</v>
      </c>
      <c r="AF824" s="3">
        <f>1-Table1[[#This Row],[Passing Weight]]</f>
        <v>0.63</v>
      </c>
      <c r="AG824" s="3" t="str">
        <f>IF(COUNTIF(A:A,Table1[[#This Row],[Opp Team Name]]) &gt; 0, "N", "Y")</f>
        <v>N</v>
      </c>
      <c r="AH824" s="3" t="str">
        <f>IF(Table1[[#This Row],[Passing Attempts]] &lt;15, "Y", "N")</f>
        <v>N</v>
      </c>
      <c r="AI824" s="3" t="str">
        <f>IF(Table1[[#This Row],[Rushing Attempts]] &lt; 15, "Y", "N")</f>
        <v>N</v>
      </c>
      <c r="AJ824" s="3" t="str">
        <f>IF(Table1[[#This Row],[Opp Passing Attempts]]&lt;15, "Y", "N")</f>
        <v>N</v>
      </c>
      <c r="AK824" s="3" t="str">
        <f>IF(Table1[[#This Row],[Opp Rushing Attempts]]&lt;15, "Y", "N")</f>
        <v>N</v>
      </c>
      <c r="AL82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158.76</v>
      </c>
      <c r="AM82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41.04</v>
      </c>
      <c r="AN82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108.83</v>
      </c>
      <c r="AO82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52.68</v>
      </c>
      <c r="AP824" s="3">
        <f>ABS(Table1[[#This Row],[Team Score]]-Table1[[#This Row],[Opp Team Score]])</f>
        <v>3</v>
      </c>
      <c r="AQ824" s="3">
        <f>SUM(Table1[[#This Row],[Team Score]], Table1[[#This Row],[Opp Team Score]])</f>
        <v>73</v>
      </c>
      <c r="AR82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26.45999999999998</v>
      </c>
      <c r="AS824" s="3">
        <f>IF(Table1[[#This Row],[Efficiency Difference]] = " ", " ", ROUND((Table1[[#This Row],[Winning Margin]]*100)/Table1[[#This Row],[Efficiency Difference]], 2))</f>
        <v>11.34</v>
      </c>
    </row>
    <row r="825" spans="1:45">
      <c r="A825" t="s">
        <v>156</v>
      </c>
      <c r="B825">
        <v>742</v>
      </c>
      <c r="C825">
        <v>38</v>
      </c>
      <c r="D825">
        <v>280</v>
      </c>
      <c r="E825">
        <v>32</v>
      </c>
      <c r="F825">
        <v>2</v>
      </c>
      <c r="G825">
        <v>17</v>
      </c>
      <c r="H825">
        <v>0</v>
      </c>
      <c r="I825">
        <v>193</v>
      </c>
      <c r="J825">
        <v>40</v>
      </c>
      <c r="K825">
        <v>3</v>
      </c>
      <c r="L825">
        <v>0</v>
      </c>
      <c r="M825" t="s">
        <v>131</v>
      </c>
      <c r="N825">
        <v>749</v>
      </c>
      <c r="O825">
        <v>17</v>
      </c>
      <c r="P825">
        <v>261</v>
      </c>
      <c r="Q825">
        <v>36</v>
      </c>
      <c r="R825">
        <v>2</v>
      </c>
      <c r="S825">
        <v>20</v>
      </c>
      <c r="T825">
        <v>1</v>
      </c>
      <c r="U825">
        <v>59</v>
      </c>
      <c r="V825">
        <v>31</v>
      </c>
      <c r="W825">
        <v>0</v>
      </c>
      <c r="X825">
        <v>0</v>
      </c>
      <c r="Y825" t="s">
        <v>16</v>
      </c>
      <c r="Z825">
        <v>7</v>
      </c>
      <c r="AA825">
        <f>IF(AND(Table1[[#This Row],[Throw Out Pass Eff]]="N", Table1[[#This Row],[Against FCS Team]]="N"), ROUND(((5.45 * D825) + (150 * F825) + (100 * G825) - (300 * H825)) / E825, 2), " ")</f>
        <v>110.19</v>
      </c>
      <c r="AB825">
        <f>IF(AND(Table1[[#This Row],[Throw Out Pass Def Eff]]="N", Table1[[#This Row],[Against FCS Team]]="N"),200 - ROUND(((5.45 * P825) + (150 * R825) + (100 * S825) - (300 * T825)) / Q825, 2), " ")</f>
        <v>104.93</v>
      </c>
      <c r="AC825">
        <f>IF(AND(Table1[[#This Row],[Throw Out Rush Eff]]="N", Table1[[#This Row],[Against FCS Team]]="N"), ROUND(((23.2 * I825) + (150 * K825) - (300 * L825)) / J825, 2), " ")</f>
        <v>123.19</v>
      </c>
      <c r="AD825" s="3">
        <f>IF(AND(Table1[[#This Row],[Throw Out Rush Def Eff]]="N", Table1[[#This Row],[Against FCS Team]]="N"), 200 - ROUND(((23.2 * U825) + (150 * W825) - (300 * X825)) / V825, 2), " ")</f>
        <v>155.85</v>
      </c>
      <c r="AE825" s="3">
        <f>ROUND(Table1[[#This Row],[Opp Passing Attempts]]/(Table1[[#This Row],[Opp Passing Attempts]]+Table1[[#This Row],[Opp Rushing Attempts]]), 2)</f>
        <v>0.54</v>
      </c>
      <c r="AF825" s="3">
        <f>1-Table1[[#This Row],[Passing Weight]]</f>
        <v>0.45999999999999996</v>
      </c>
      <c r="AG825" s="3" t="str">
        <f>IF(COUNTIF(A:A,Table1[[#This Row],[Opp Team Name]]) &gt; 0, "N", "Y")</f>
        <v>N</v>
      </c>
      <c r="AH825" s="3" t="str">
        <f>IF(Table1[[#This Row],[Passing Attempts]] &lt;15, "Y", "N")</f>
        <v>N</v>
      </c>
      <c r="AI825" s="3" t="str">
        <f>IF(Table1[[#This Row],[Rushing Attempts]] &lt; 15, "Y", "N")</f>
        <v>N</v>
      </c>
      <c r="AJ825" s="3" t="str">
        <f>IF(Table1[[#This Row],[Opp Passing Attempts]]&lt;15, "Y", "N")</f>
        <v>N</v>
      </c>
      <c r="AK825" s="3" t="str">
        <f>IF(Table1[[#This Row],[Opp Rushing Attempts]]&lt;15, "Y", "N")</f>
        <v>N</v>
      </c>
      <c r="AL82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118.28</v>
      </c>
      <c r="AM82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116.47</v>
      </c>
      <c r="AN82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126.16</v>
      </c>
      <c r="AO82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106.88</v>
      </c>
      <c r="AP825" s="3">
        <f>ABS(Table1[[#This Row],[Team Score]]-Table1[[#This Row],[Opp Team Score]])</f>
        <v>21</v>
      </c>
      <c r="AQ825" s="3">
        <f>SUM(Table1[[#This Row],[Team Score]], Table1[[#This Row],[Opp Team Score]])</f>
        <v>55</v>
      </c>
      <c r="AR82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94.159999999999968</v>
      </c>
      <c r="AS825" s="3">
        <f>IF(Table1[[#This Row],[Efficiency Difference]] = " ", " ", ROUND((Table1[[#This Row],[Winning Margin]]*100)/Table1[[#This Row],[Efficiency Difference]], 2))</f>
        <v>22.3</v>
      </c>
    </row>
    <row r="826" spans="1:45">
      <c r="A826" t="s">
        <v>156</v>
      </c>
      <c r="B826">
        <v>742</v>
      </c>
      <c r="C826">
        <v>30</v>
      </c>
      <c r="D826">
        <v>268</v>
      </c>
      <c r="E826">
        <v>36</v>
      </c>
      <c r="F826">
        <v>1</v>
      </c>
      <c r="G826">
        <v>22</v>
      </c>
      <c r="H826">
        <v>0</v>
      </c>
      <c r="I826">
        <v>214</v>
      </c>
      <c r="J826">
        <v>40</v>
      </c>
      <c r="K826">
        <v>2</v>
      </c>
      <c r="L826">
        <v>0</v>
      </c>
      <c r="M826" t="s">
        <v>40</v>
      </c>
      <c r="N826">
        <v>67</v>
      </c>
      <c r="O826">
        <v>14</v>
      </c>
      <c r="P826">
        <v>181</v>
      </c>
      <c r="Q826">
        <v>30</v>
      </c>
      <c r="R826">
        <v>1</v>
      </c>
      <c r="S826">
        <v>13</v>
      </c>
      <c r="T826">
        <v>1</v>
      </c>
      <c r="U826">
        <v>91</v>
      </c>
      <c r="V826">
        <v>29</v>
      </c>
      <c r="W826">
        <v>1</v>
      </c>
      <c r="X826">
        <v>1</v>
      </c>
      <c r="Y826" t="s">
        <v>16</v>
      </c>
      <c r="Z826">
        <v>8</v>
      </c>
      <c r="AA826" s="3">
        <f>IF(AND(Table1[[#This Row],[Throw Out Pass Eff]]="N", Table1[[#This Row],[Against FCS Team]]="N"), ROUND(((5.45 * D826) + (150 * F826) + (100 * G826) - (300 * H826)) / E826, 2), " ")</f>
        <v>105.85</v>
      </c>
      <c r="AB826" s="3">
        <f>IF(AND(Table1[[#This Row],[Throw Out Pass Def Eff]]="N", Table1[[#This Row],[Against FCS Team]]="N"),200 - ROUND(((5.45 * P826) + (150 * R826) + (100 * S826) - (300 * T826)) / Q826, 2), " ")</f>
        <v>128.78</v>
      </c>
      <c r="AC826" s="3">
        <f>IF(AND(Table1[[#This Row],[Throw Out Rush Eff]]="N", Table1[[#This Row],[Against FCS Team]]="N"), ROUND(((23.2 * I826) + (150 * K826) - (300 * L826)) / J826, 2), " ")</f>
        <v>131.62</v>
      </c>
      <c r="AD826" s="3">
        <f>IF(AND(Table1[[#This Row],[Throw Out Rush Def Eff]]="N", Table1[[#This Row],[Against FCS Team]]="N"), 200 - ROUND(((23.2 * U826) + (150 * W826) - (300 * X826)) / V826, 2), " ")</f>
        <v>132.37</v>
      </c>
      <c r="AE826" s="3">
        <f>ROUND(Table1[[#This Row],[Opp Passing Attempts]]/(Table1[[#This Row],[Opp Passing Attempts]]+Table1[[#This Row],[Opp Rushing Attempts]]), 2)</f>
        <v>0.51</v>
      </c>
      <c r="AF826" s="3">
        <f>1-Table1[[#This Row],[Passing Weight]]</f>
        <v>0.49</v>
      </c>
      <c r="AG826" s="3" t="str">
        <f>IF(COUNTIF(A:A,Table1[[#This Row],[Opp Team Name]]) &gt; 0, "N", "Y")</f>
        <v>N</v>
      </c>
      <c r="AH826" s="3" t="str">
        <f>IF(Table1[[#This Row],[Passing Attempts]] &lt;15, "Y", "N")</f>
        <v>N</v>
      </c>
      <c r="AI826" s="3" t="str">
        <f>IF(Table1[[#This Row],[Rushing Attempts]] &lt; 15, "Y", "N")</f>
        <v>N</v>
      </c>
      <c r="AJ826" s="3" t="str">
        <f>IF(Table1[[#This Row],[Opp Passing Attempts]]&lt;15, "Y", "N")</f>
        <v>N</v>
      </c>
      <c r="AK826" s="3" t="str">
        <f>IF(Table1[[#This Row],[Opp Rushing Attempts]]&lt;15, "Y", "N")</f>
        <v>N</v>
      </c>
      <c r="AL82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93.4</v>
      </c>
      <c r="AM82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97.01</v>
      </c>
      <c r="AN82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123.27</v>
      </c>
      <c r="AO82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103.28</v>
      </c>
      <c r="AP826" s="3">
        <f>ABS(Table1[[#This Row],[Team Score]]-Table1[[#This Row],[Opp Team Score]])</f>
        <v>16</v>
      </c>
      <c r="AQ826" s="3">
        <f>SUM(Table1[[#This Row],[Team Score]], Table1[[#This Row],[Opp Team Score]])</f>
        <v>44</v>
      </c>
      <c r="AR82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98.619999999999976</v>
      </c>
      <c r="AS826" s="3">
        <f>IF(Table1[[#This Row],[Efficiency Difference]] = " ", " ", ROUND((Table1[[#This Row],[Winning Margin]]*100)/Table1[[#This Row],[Efficiency Difference]], 2))</f>
        <v>16.22</v>
      </c>
    </row>
    <row r="827" spans="1:45">
      <c r="A827" t="s">
        <v>131</v>
      </c>
      <c r="B827">
        <v>749</v>
      </c>
      <c r="C827">
        <v>48</v>
      </c>
      <c r="D827">
        <v>305</v>
      </c>
      <c r="E827">
        <v>37</v>
      </c>
      <c r="F827">
        <v>2</v>
      </c>
      <c r="G827">
        <v>26</v>
      </c>
      <c r="H827">
        <v>0</v>
      </c>
      <c r="I827">
        <v>149</v>
      </c>
      <c r="J827">
        <v>43</v>
      </c>
      <c r="K827">
        <v>4</v>
      </c>
      <c r="L827">
        <v>1</v>
      </c>
      <c r="M827" t="s">
        <v>183</v>
      </c>
      <c r="N827">
        <v>1092</v>
      </c>
      <c r="O827">
        <v>5</v>
      </c>
      <c r="P827">
        <v>117</v>
      </c>
      <c r="Q827">
        <v>28</v>
      </c>
      <c r="R827">
        <v>0</v>
      </c>
      <c r="S827">
        <v>14</v>
      </c>
      <c r="T827">
        <v>0</v>
      </c>
      <c r="U827">
        <v>22</v>
      </c>
      <c r="V827">
        <v>25</v>
      </c>
      <c r="W827">
        <v>0</v>
      </c>
      <c r="X827">
        <v>0</v>
      </c>
      <c r="Y827" t="s">
        <v>16</v>
      </c>
      <c r="Z827">
        <v>3</v>
      </c>
      <c r="AA827" t="str">
        <f>IF(AND(Table1[[#This Row],[Throw Out Pass Eff]]="N", Table1[[#This Row],[Against FCS Team]]="N"), ROUND(((5.45 * D827) + (150 * F827) + (100 * G827) - (300 * H827)) / E827, 2), " ")</f>
        <v xml:space="preserve"> </v>
      </c>
      <c r="AB827" t="str">
        <f>IF(AND(Table1[[#This Row],[Throw Out Pass Def Eff]]="N", Table1[[#This Row],[Against FCS Team]]="N"),200 - ROUND(((5.45 * P827) + (150 * R827) + (100 * S827) - (300 * T827)) / Q827, 2), " ")</f>
        <v xml:space="preserve"> </v>
      </c>
      <c r="AC827" t="str">
        <f>IF(AND(Table1[[#This Row],[Throw Out Rush Eff]]="N", Table1[[#This Row],[Against FCS Team]]="N"), ROUND(((23.2 * I827) + (150 * K827) - (300 * L827)) / J827, 2), " ")</f>
        <v xml:space="preserve"> </v>
      </c>
      <c r="AD827" s="3" t="str">
        <f>IF(AND(Table1[[#This Row],[Throw Out Rush Def Eff]]="N", Table1[[#This Row],[Against FCS Team]]="N"), 200 - ROUND(((23.2 * U827) + (150 * W827) - (300 * X827)) / V827, 2), " ")</f>
        <v xml:space="preserve"> </v>
      </c>
      <c r="AE827" s="3">
        <f>ROUND(Table1[[#This Row],[Opp Passing Attempts]]/(Table1[[#This Row],[Opp Passing Attempts]]+Table1[[#This Row],[Opp Rushing Attempts]]), 2)</f>
        <v>0.53</v>
      </c>
      <c r="AF827" s="3">
        <f>1-Table1[[#This Row],[Passing Weight]]</f>
        <v>0.47</v>
      </c>
      <c r="AG827" s="3" t="str">
        <f>IF(COUNTIF(A:A,Table1[[#This Row],[Opp Team Name]]) &gt; 0, "N", "Y")</f>
        <v>Y</v>
      </c>
      <c r="AH827" s="3" t="str">
        <f>IF(Table1[[#This Row],[Passing Attempts]] &lt;15, "Y", "N")</f>
        <v>N</v>
      </c>
      <c r="AI827" s="3" t="str">
        <f>IF(Table1[[#This Row],[Rushing Attempts]] &lt; 15, "Y", "N")</f>
        <v>N</v>
      </c>
      <c r="AJ827" s="3" t="str">
        <f>IF(Table1[[#This Row],[Opp Passing Attempts]]&lt;15, "Y", "N")</f>
        <v>N</v>
      </c>
      <c r="AK827" s="3" t="str">
        <f>IF(Table1[[#This Row],[Opp Rushing Attempts]]&lt;15, "Y", "N")</f>
        <v>N</v>
      </c>
      <c r="AL827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2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27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27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27" s="3">
        <f>ABS(Table1[[#This Row],[Team Score]]-Table1[[#This Row],[Opp Team Score]])</f>
        <v>43</v>
      </c>
      <c r="AQ827" s="3">
        <f>SUM(Table1[[#This Row],[Team Score]], Table1[[#This Row],[Opp Team Score]])</f>
        <v>53</v>
      </c>
      <c r="AR82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27" s="3" t="str">
        <f>IF(Table1[[#This Row],[Efficiency Difference]] = " ", " ", ROUND((Table1[[#This Row],[Winning Margin]]*100)/Table1[[#This Row],[Efficiency Difference]], 2))</f>
        <v xml:space="preserve"> </v>
      </c>
    </row>
    <row r="828" spans="1:45">
      <c r="A828" t="s">
        <v>131</v>
      </c>
      <c r="B828">
        <v>749</v>
      </c>
      <c r="C828">
        <v>29</v>
      </c>
      <c r="D828">
        <v>326</v>
      </c>
      <c r="E828">
        <v>41</v>
      </c>
      <c r="F828">
        <v>3</v>
      </c>
      <c r="G828">
        <v>24</v>
      </c>
      <c r="H828">
        <v>1</v>
      </c>
      <c r="I828">
        <v>80</v>
      </c>
      <c r="J828">
        <v>43</v>
      </c>
      <c r="K828">
        <v>0</v>
      </c>
      <c r="L828">
        <v>0</v>
      </c>
      <c r="M828" t="s">
        <v>130</v>
      </c>
      <c r="N828">
        <v>688</v>
      </c>
      <c r="O828">
        <v>36</v>
      </c>
      <c r="P828">
        <v>178</v>
      </c>
      <c r="Q828">
        <v>28</v>
      </c>
      <c r="R828">
        <v>3</v>
      </c>
      <c r="S828">
        <v>20</v>
      </c>
      <c r="T828">
        <v>0</v>
      </c>
      <c r="U828">
        <v>121</v>
      </c>
      <c r="V828">
        <v>30</v>
      </c>
      <c r="W828">
        <v>2</v>
      </c>
      <c r="X828">
        <v>1</v>
      </c>
      <c r="Y828" t="s">
        <v>19</v>
      </c>
      <c r="Z828">
        <v>1</v>
      </c>
      <c r="AA828">
        <f>IF(AND(Table1[[#This Row],[Throw Out Pass Eff]]="N", Table1[[#This Row],[Against FCS Team]]="N"), ROUND(((5.45 * D828) + (150 * F828) + (100 * G828) - (300 * H828)) / E828, 2), " ")</f>
        <v>105.53</v>
      </c>
      <c r="AB828">
        <f>IF(AND(Table1[[#This Row],[Throw Out Pass Def Eff]]="N", Table1[[#This Row],[Against FCS Team]]="N"),200 - ROUND(((5.45 * P828) + (150 * R828) + (100 * S828) - (300 * T828)) / Q828, 2), " ")</f>
        <v>77.849999999999994</v>
      </c>
      <c r="AC828">
        <f>IF(AND(Table1[[#This Row],[Throw Out Rush Eff]]="N", Table1[[#This Row],[Against FCS Team]]="N"), ROUND(((23.2 * I828) + (150 * K828) - (300 * L828)) / J828, 2), " ")</f>
        <v>43.16</v>
      </c>
      <c r="AD828" s="3">
        <f>IF(AND(Table1[[#This Row],[Throw Out Rush Def Eff]]="N", Table1[[#This Row],[Against FCS Team]]="N"), 200 - ROUND(((23.2 * U828) + (150 * W828) - (300 * X828)) / V828, 2), " ")</f>
        <v>106.43</v>
      </c>
      <c r="AE828" s="3">
        <f>ROUND(Table1[[#This Row],[Opp Passing Attempts]]/(Table1[[#This Row],[Opp Passing Attempts]]+Table1[[#This Row],[Opp Rushing Attempts]]), 2)</f>
        <v>0.48</v>
      </c>
      <c r="AF828" s="3">
        <f>1-Table1[[#This Row],[Passing Weight]]</f>
        <v>0.52</v>
      </c>
      <c r="AG828" s="3" t="str">
        <f>IF(COUNTIF(A:A,Table1[[#This Row],[Opp Team Name]]) &gt; 0, "N", "Y")</f>
        <v>N</v>
      </c>
      <c r="AH828" s="3" t="str">
        <f>IF(Table1[[#This Row],[Passing Attempts]] &lt;15, "Y", "N")</f>
        <v>N</v>
      </c>
      <c r="AI828" s="3" t="str">
        <f>IF(Table1[[#This Row],[Rushing Attempts]] &lt; 15, "Y", "N")</f>
        <v>N</v>
      </c>
      <c r="AJ828" s="3" t="str">
        <f>IF(Table1[[#This Row],[Opp Passing Attempts]]&lt;15, "Y", "N")</f>
        <v>N</v>
      </c>
      <c r="AK828" s="3" t="str">
        <f>IF(Table1[[#This Row],[Opp Rushing Attempts]]&lt;15, "Y", "N")</f>
        <v>N</v>
      </c>
      <c r="AL82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94.32</v>
      </c>
      <c r="AM82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82.39</v>
      </c>
      <c r="AN82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58.01</v>
      </c>
      <c r="AO82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96.38</v>
      </c>
      <c r="AP828" s="3">
        <f>ABS(Table1[[#This Row],[Team Score]]-Table1[[#This Row],[Opp Team Score]])</f>
        <v>7</v>
      </c>
      <c r="AQ828" s="3">
        <f>SUM(Table1[[#This Row],[Team Score]], Table1[[#This Row],[Opp Team Score]])</f>
        <v>65</v>
      </c>
      <c r="AR82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67.03</v>
      </c>
      <c r="AS828" s="3">
        <f>IF(Table1[[#This Row],[Efficiency Difference]] = " ", " ", ROUND((Table1[[#This Row],[Winning Margin]]*100)/Table1[[#This Row],[Efficiency Difference]], 2))</f>
        <v>10.44</v>
      </c>
    </row>
    <row r="829" spans="1:45">
      <c r="A829" t="s">
        <v>131</v>
      </c>
      <c r="B829">
        <v>749</v>
      </c>
      <c r="C829">
        <v>34</v>
      </c>
      <c r="D829">
        <v>337</v>
      </c>
      <c r="E829">
        <v>36</v>
      </c>
      <c r="F829">
        <v>2</v>
      </c>
      <c r="G829">
        <v>23</v>
      </c>
      <c r="H829">
        <v>1</v>
      </c>
      <c r="I829">
        <v>101</v>
      </c>
      <c r="J829">
        <v>34</v>
      </c>
      <c r="K829">
        <v>2</v>
      </c>
      <c r="L829">
        <v>0</v>
      </c>
      <c r="M829" t="s">
        <v>112</v>
      </c>
      <c r="N829">
        <v>490</v>
      </c>
      <c r="O829">
        <v>27</v>
      </c>
      <c r="P829">
        <v>315</v>
      </c>
      <c r="Q829">
        <v>41</v>
      </c>
      <c r="R829">
        <v>3</v>
      </c>
      <c r="S829">
        <v>24</v>
      </c>
      <c r="T829">
        <v>1</v>
      </c>
      <c r="U829">
        <v>109</v>
      </c>
      <c r="V829">
        <v>26</v>
      </c>
      <c r="W829">
        <v>0</v>
      </c>
      <c r="X829">
        <v>0</v>
      </c>
      <c r="Y829" t="s">
        <v>16</v>
      </c>
      <c r="Z829">
        <v>2</v>
      </c>
      <c r="AA829">
        <f>IF(AND(Table1[[#This Row],[Throw Out Pass Eff]]="N", Table1[[#This Row],[Against FCS Team]]="N"), ROUND(((5.45 * D829) + (150 * F829) + (100 * G829) - (300 * H829)) / E829, 2), " ")</f>
        <v>114.91</v>
      </c>
      <c r="AB829">
        <f>IF(AND(Table1[[#This Row],[Throw Out Pass Def Eff]]="N", Table1[[#This Row],[Against FCS Team]]="N"),200 - ROUND(((5.45 * P829) + (150 * R829) + (100 * S829) - (300 * T829)) / Q829, 2), " ")</f>
        <v>95.93</v>
      </c>
      <c r="AC829">
        <f>IF(AND(Table1[[#This Row],[Throw Out Rush Eff]]="N", Table1[[#This Row],[Against FCS Team]]="N"), ROUND(((23.2 * I829) + (150 * K829) - (300 * L829)) / J829, 2), " ")</f>
        <v>77.739999999999995</v>
      </c>
      <c r="AD829" s="3">
        <f>IF(AND(Table1[[#This Row],[Throw Out Rush Def Eff]]="N", Table1[[#This Row],[Against FCS Team]]="N"), 200 - ROUND(((23.2 * U829) + (150 * W829) - (300 * X829)) / V829, 2), " ")</f>
        <v>102.74</v>
      </c>
      <c r="AE829" s="3">
        <f>ROUND(Table1[[#This Row],[Opp Passing Attempts]]/(Table1[[#This Row],[Opp Passing Attempts]]+Table1[[#This Row],[Opp Rushing Attempts]]), 2)</f>
        <v>0.61</v>
      </c>
      <c r="AF829" s="3">
        <f>1-Table1[[#This Row],[Passing Weight]]</f>
        <v>0.39</v>
      </c>
      <c r="AG829" s="3" t="str">
        <f>IF(COUNTIF(A:A,Table1[[#This Row],[Opp Team Name]]) &gt; 0, "N", "Y")</f>
        <v>N</v>
      </c>
      <c r="AH829" s="3" t="str">
        <f>IF(Table1[[#This Row],[Passing Attempts]] &lt;15, "Y", "N")</f>
        <v>N</v>
      </c>
      <c r="AI829" s="3" t="str">
        <f>IF(Table1[[#This Row],[Rushing Attempts]] &lt; 15, "Y", "N")</f>
        <v>N</v>
      </c>
      <c r="AJ829" s="3" t="str">
        <f>IF(Table1[[#This Row],[Opp Passing Attempts]]&lt;15, "Y", "N")</f>
        <v>N</v>
      </c>
      <c r="AK829" s="3" t="str">
        <f>IF(Table1[[#This Row],[Opp Rushing Attempts]]&lt;15, "Y", "N")</f>
        <v>N</v>
      </c>
      <c r="AL82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132.91</v>
      </c>
      <c r="AM82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97.2</v>
      </c>
      <c r="AN82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64.599999999999994</v>
      </c>
      <c r="AO82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67.599999999999994</v>
      </c>
      <c r="AP829" s="3">
        <f>ABS(Table1[[#This Row],[Team Score]]-Table1[[#This Row],[Opp Team Score]])</f>
        <v>7</v>
      </c>
      <c r="AQ829" s="3">
        <f>SUM(Table1[[#This Row],[Team Score]], Table1[[#This Row],[Opp Team Score]])</f>
        <v>61</v>
      </c>
      <c r="AR82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8.6800000000000068</v>
      </c>
      <c r="AS829" s="3">
        <f>IF(Table1[[#This Row],[Efficiency Difference]] = " ", " ", ROUND((Table1[[#This Row],[Winning Margin]]*100)/Table1[[#This Row],[Efficiency Difference]], 2))</f>
        <v>80.650000000000006</v>
      </c>
    </row>
    <row r="830" spans="1:45">
      <c r="A830" t="s">
        <v>131</v>
      </c>
      <c r="B830">
        <v>749</v>
      </c>
      <c r="C830">
        <v>27</v>
      </c>
      <c r="D830">
        <v>288</v>
      </c>
      <c r="E830">
        <v>30</v>
      </c>
      <c r="F830">
        <v>1</v>
      </c>
      <c r="G830">
        <v>20</v>
      </c>
      <c r="H830">
        <v>1</v>
      </c>
      <c r="I830">
        <v>104</v>
      </c>
      <c r="J830">
        <v>33</v>
      </c>
      <c r="K830">
        <v>2</v>
      </c>
      <c r="L830">
        <v>0</v>
      </c>
      <c r="M830" t="s">
        <v>40</v>
      </c>
      <c r="N830">
        <v>67</v>
      </c>
      <c r="O830">
        <v>19</v>
      </c>
      <c r="P830">
        <v>188</v>
      </c>
      <c r="Q830">
        <v>48</v>
      </c>
      <c r="R830">
        <v>1</v>
      </c>
      <c r="S830">
        <v>23</v>
      </c>
      <c r="T830">
        <v>1</v>
      </c>
      <c r="U830">
        <v>148</v>
      </c>
      <c r="V830">
        <v>34</v>
      </c>
      <c r="W830">
        <v>0</v>
      </c>
      <c r="X830">
        <v>1</v>
      </c>
      <c r="Y830" t="s">
        <v>16</v>
      </c>
      <c r="Z830">
        <v>5</v>
      </c>
      <c r="AA830">
        <f>IF(AND(Table1[[#This Row],[Throw Out Pass Eff]]="N", Table1[[#This Row],[Against FCS Team]]="N"), ROUND(((5.45 * D830) + (150 * F830) + (100 * G830) - (300 * H830)) / E830, 2), " ")</f>
        <v>113.99</v>
      </c>
      <c r="AB830">
        <f>IF(AND(Table1[[#This Row],[Throw Out Pass Def Eff]]="N", Table1[[#This Row],[Against FCS Team]]="N"),200 - ROUND(((5.45 * P830) + (150 * R830) + (100 * S830) - (300 * T830)) / Q830, 2), " ")</f>
        <v>133.86000000000001</v>
      </c>
      <c r="AC830">
        <f>IF(AND(Table1[[#This Row],[Throw Out Rush Eff]]="N", Table1[[#This Row],[Against FCS Team]]="N"), ROUND(((23.2 * I830) + (150 * K830) - (300 * L830)) / J830, 2), " ")</f>
        <v>82.21</v>
      </c>
      <c r="AD830" s="3">
        <f>IF(AND(Table1[[#This Row],[Throw Out Rush Def Eff]]="N", Table1[[#This Row],[Against FCS Team]]="N"), 200 - ROUND(((23.2 * U830) + (150 * W830) - (300 * X830)) / V830, 2), " ")</f>
        <v>107.84</v>
      </c>
      <c r="AE830" s="3">
        <f>ROUND(Table1[[#This Row],[Opp Passing Attempts]]/(Table1[[#This Row],[Opp Passing Attempts]]+Table1[[#This Row],[Opp Rushing Attempts]]), 2)</f>
        <v>0.59</v>
      </c>
      <c r="AF830" s="3">
        <f>1-Table1[[#This Row],[Passing Weight]]</f>
        <v>0.41000000000000003</v>
      </c>
      <c r="AG830" s="3" t="str">
        <f>IF(COUNTIF(A:A,Table1[[#This Row],[Opp Team Name]]) &gt; 0, "N", "Y")</f>
        <v>N</v>
      </c>
      <c r="AH830" s="3" t="str">
        <f>IF(Table1[[#This Row],[Passing Attempts]] &lt;15, "Y", "N")</f>
        <v>N</v>
      </c>
      <c r="AI830" s="3" t="str">
        <f>IF(Table1[[#This Row],[Rushing Attempts]] &lt; 15, "Y", "N")</f>
        <v>N</v>
      </c>
      <c r="AJ830" s="3" t="str">
        <f>IF(Table1[[#This Row],[Opp Passing Attempts]]&lt;15, "Y", "N")</f>
        <v>N</v>
      </c>
      <c r="AK830" s="3" t="str">
        <f>IF(Table1[[#This Row],[Opp Rushing Attempts]]&lt;15, "Y", "N")</f>
        <v>N</v>
      </c>
      <c r="AL83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100.58</v>
      </c>
      <c r="AM83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100.84</v>
      </c>
      <c r="AN83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76.989999999999995</v>
      </c>
      <c r="AO83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84.14</v>
      </c>
      <c r="AP830" s="3">
        <f>ABS(Table1[[#This Row],[Team Score]]-Table1[[#This Row],[Opp Team Score]])</f>
        <v>8</v>
      </c>
      <c r="AQ830" s="3">
        <f>SUM(Table1[[#This Row],[Team Score]], Table1[[#This Row],[Opp Team Score]])</f>
        <v>46</v>
      </c>
      <c r="AR83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37.900000000000006</v>
      </c>
      <c r="AS830" s="3">
        <f>IF(Table1[[#This Row],[Efficiency Difference]] = " ", " ", ROUND((Table1[[#This Row],[Winning Margin]]*100)/Table1[[#This Row],[Efficiency Difference]], 2))</f>
        <v>21.11</v>
      </c>
    </row>
    <row r="831" spans="1:45">
      <c r="A831" t="s">
        <v>131</v>
      </c>
      <c r="B831">
        <v>749</v>
      </c>
      <c r="C831">
        <v>35</v>
      </c>
      <c r="D831">
        <v>263</v>
      </c>
      <c r="E831">
        <v>36</v>
      </c>
      <c r="F831">
        <v>4</v>
      </c>
      <c r="G831">
        <v>22</v>
      </c>
      <c r="H831">
        <v>0</v>
      </c>
      <c r="I831">
        <v>128</v>
      </c>
      <c r="J831">
        <v>38</v>
      </c>
      <c r="K831">
        <v>0</v>
      </c>
      <c r="L831">
        <v>0</v>
      </c>
      <c r="M831" t="s">
        <v>70</v>
      </c>
      <c r="N831">
        <v>234</v>
      </c>
      <c r="O831">
        <v>30</v>
      </c>
      <c r="P831">
        <v>315</v>
      </c>
      <c r="Q831">
        <v>46</v>
      </c>
      <c r="R831">
        <v>2</v>
      </c>
      <c r="S831">
        <v>25</v>
      </c>
      <c r="T831">
        <v>4</v>
      </c>
      <c r="U831">
        <v>110</v>
      </c>
      <c r="V831">
        <v>27</v>
      </c>
      <c r="W831">
        <v>2</v>
      </c>
      <c r="X831">
        <v>1</v>
      </c>
      <c r="Y831" t="s">
        <v>16</v>
      </c>
      <c r="Z831">
        <v>6</v>
      </c>
      <c r="AA831">
        <f>IF(AND(Table1[[#This Row],[Throw Out Pass Eff]]="N", Table1[[#This Row],[Against FCS Team]]="N"), ROUND(((5.45 * D831) + (150 * F831) + (100 * G831) - (300 * H831)) / E831, 2), " ")</f>
        <v>117.59</v>
      </c>
      <c r="AB831">
        <f>IF(AND(Table1[[#This Row],[Throw Out Pass Def Eff]]="N", Table1[[#This Row],[Against FCS Team]]="N"),200 - ROUND(((5.45 * P831) + (150 * R831) + (100 * S831) - (300 * T831)) / Q831, 2), " ")</f>
        <v>127.9</v>
      </c>
      <c r="AC831">
        <f>IF(AND(Table1[[#This Row],[Throw Out Rush Eff]]="N", Table1[[#This Row],[Against FCS Team]]="N"), ROUND(((23.2 * I831) + (150 * K831) - (300 * L831)) / J831, 2), " ")</f>
        <v>78.150000000000006</v>
      </c>
      <c r="AD831" s="3">
        <f>IF(AND(Table1[[#This Row],[Throw Out Rush Def Eff]]="N", Table1[[#This Row],[Against FCS Team]]="N"), 200 - ROUND(((23.2 * U831) + (150 * W831) - (300 * X831)) / V831, 2), " ")</f>
        <v>105.48</v>
      </c>
      <c r="AE831" s="3">
        <f>ROUND(Table1[[#This Row],[Opp Passing Attempts]]/(Table1[[#This Row],[Opp Passing Attempts]]+Table1[[#This Row],[Opp Rushing Attempts]]), 2)</f>
        <v>0.63</v>
      </c>
      <c r="AF831" s="3">
        <f>1-Table1[[#This Row],[Passing Weight]]</f>
        <v>0.37</v>
      </c>
      <c r="AG831" s="3" t="str">
        <f>IF(COUNTIF(A:A,Table1[[#This Row],[Opp Team Name]]) &gt; 0, "N", "Y")</f>
        <v>N</v>
      </c>
      <c r="AH831" s="3" t="str">
        <f>IF(Table1[[#This Row],[Passing Attempts]] &lt;15, "Y", "N")</f>
        <v>N</v>
      </c>
      <c r="AI831" s="3" t="str">
        <f>IF(Table1[[#This Row],[Rushing Attempts]] &lt; 15, "Y", "N")</f>
        <v>N</v>
      </c>
      <c r="AJ831" s="3" t="str">
        <f>IF(Table1[[#This Row],[Opp Passing Attempts]]&lt;15, "Y", "N")</f>
        <v>N</v>
      </c>
      <c r="AK831" s="3" t="str">
        <f>IF(Table1[[#This Row],[Opp Rushing Attempts]]&lt;15, "Y", "N")</f>
        <v>N</v>
      </c>
      <c r="AL83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121.13</v>
      </c>
      <c r="AM83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125.77</v>
      </c>
      <c r="AN83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111.69</v>
      </c>
      <c r="AO83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87.03</v>
      </c>
      <c r="AP831" s="3">
        <f>ABS(Table1[[#This Row],[Team Score]]-Table1[[#This Row],[Opp Team Score]])</f>
        <v>5</v>
      </c>
      <c r="AQ831" s="3">
        <f>SUM(Table1[[#This Row],[Team Score]], Table1[[#This Row],[Opp Team Score]])</f>
        <v>65</v>
      </c>
      <c r="AR83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29.120000000000005</v>
      </c>
      <c r="AS831" s="3">
        <f>IF(Table1[[#This Row],[Efficiency Difference]] = " ", " ", ROUND((Table1[[#This Row],[Winning Margin]]*100)/Table1[[#This Row],[Efficiency Difference]], 2))</f>
        <v>17.170000000000002</v>
      </c>
    </row>
    <row r="832" spans="1:45">
      <c r="A832" t="s">
        <v>131</v>
      </c>
      <c r="B832">
        <v>749</v>
      </c>
      <c r="C832">
        <v>17</v>
      </c>
      <c r="D832">
        <v>261</v>
      </c>
      <c r="E832">
        <v>36</v>
      </c>
      <c r="F832">
        <v>2</v>
      </c>
      <c r="G832">
        <v>20</v>
      </c>
      <c r="H832">
        <v>1</v>
      </c>
      <c r="I832">
        <v>59</v>
      </c>
      <c r="J832">
        <v>31</v>
      </c>
      <c r="K832">
        <v>0</v>
      </c>
      <c r="L832">
        <v>0</v>
      </c>
      <c r="M832" t="s">
        <v>156</v>
      </c>
      <c r="N832">
        <v>742</v>
      </c>
      <c r="O832">
        <v>38</v>
      </c>
      <c r="P832">
        <v>280</v>
      </c>
      <c r="Q832">
        <v>32</v>
      </c>
      <c r="R832">
        <v>2</v>
      </c>
      <c r="S832">
        <v>17</v>
      </c>
      <c r="T832">
        <v>0</v>
      </c>
      <c r="U832">
        <v>193</v>
      </c>
      <c r="V832">
        <v>40</v>
      </c>
      <c r="W832">
        <v>3</v>
      </c>
      <c r="X832">
        <v>0</v>
      </c>
      <c r="Y832" t="s">
        <v>19</v>
      </c>
      <c r="Z832">
        <v>7</v>
      </c>
      <c r="AA832">
        <f>IF(AND(Table1[[#This Row],[Throw Out Pass Eff]]="N", Table1[[#This Row],[Against FCS Team]]="N"), ROUND(((5.45 * D832) + (150 * F832) + (100 * G832) - (300 * H832)) / E832, 2), " ")</f>
        <v>95.07</v>
      </c>
      <c r="AB832">
        <f>IF(AND(Table1[[#This Row],[Throw Out Pass Def Eff]]="N", Table1[[#This Row],[Against FCS Team]]="N"),200 - ROUND(((5.45 * P832) + (150 * R832) + (100 * S832) - (300 * T832)) / Q832, 2), " ")</f>
        <v>89.81</v>
      </c>
      <c r="AC832">
        <f>IF(AND(Table1[[#This Row],[Throw Out Rush Eff]]="N", Table1[[#This Row],[Against FCS Team]]="N"), ROUND(((23.2 * I832) + (150 * K832) - (300 * L832)) / J832, 2), " ")</f>
        <v>44.15</v>
      </c>
      <c r="AD832" s="3">
        <f>IF(AND(Table1[[#This Row],[Throw Out Rush Def Eff]]="N", Table1[[#This Row],[Against FCS Team]]="N"), 200 - ROUND(((23.2 * U832) + (150 * W832) - (300 * X832)) / V832, 2), " ")</f>
        <v>76.81</v>
      </c>
      <c r="AE832" s="3">
        <f>ROUND(Table1[[#This Row],[Opp Passing Attempts]]/(Table1[[#This Row],[Opp Passing Attempts]]+Table1[[#This Row],[Opp Rushing Attempts]]), 2)</f>
        <v>0.44</v>
      </c>
      <c r="AF832" s="3">
        <f>1-Table1[[#This Row],[Passing Weight]]</f>
        <v>0.56000000000000005</v>
      </c>
      <c r="AG832" s="3" t="str">
        <f>IF(COUNTIF(A:A,Table1[[#This Row],[Opp Team Name]]) &gt; 0, "N", "Y")</f>
        <v>N</v>
      </c>
      <c r="AH832" s="3" t="str">
        <f>IF(Table1[[#This Row],[Passing Attempts]] &lt;15, "Y", "N")</f>
        <v>N</v>
      </c>
      <c r="AI832" s="3" t="str">
        <f>IF(Table1[[#This Row],[Rushing Attempts]] &lt; 15, "Y", "N")</f>
        <v>N</v>
      </c>
      <c r="AJ832" s="3" t="str">
        <f>IF(Table1[[#This Row],[Opp Passing Attempts]]&lt;15, "Y", "N")</f>
        <v>N</v>
      </c>
      <c r="AK832" s="3" t="str">
        <f>IF(Table1[[#This Row],[Opp Rushing Attempts]]&lt;15, "Y", "N")</f>
        <v>N</v>
      </c>
      <c r="AL83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107.68</v>
      </c>
      <c r="AM83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91.26</v>
      </c>
      <c r="AN83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64.27</v>
      </c>
      <c r="AO83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82.55</v>
      </c>
      <c r="AP832" s="3">
        <f>ABS(Table1[[#This Row],[Team Score]]-Table1[[#This Row],[Opp Team Score]])</f>
        <v>21</v>
      </c>
      <c r="AQ832" s="3">
        <f>SUM(Table1[[#This Row],[Team Score]], Table1[[#This Row],[Opp Team Score]])</f>
        <v>55</v>
      </c>
      <c r="AR83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94.16</v>
      </c>
      <c r="AS832" s="3">
        <f>IF(Table1[[#This Row],[Efficiency Difference]] = " ", " ", ROUND((Table1[[#This Row],[Winning Margin]]*100)/Table1[[#This Row],[Efficiency Difference]], 2))</f>
        <v>22.3</v>
      </c>
    </row>
    <row r="833" spans="1:45">
      <c r="A833" t="s">
        <v>131</v>
      </c>
      <c r="B833">
        <v>749</v>
      </c>
      <c r="C833">
        <v>24</v>
      </c>
      <c r="D833">
        <v>215</v>
      </c>
      <c r="E833">
        <v>25</v>
      </c>
      <c r="F833">
        <v>2</v>
      </c>
      <c r="G833">
        <v>15</v>
      </c>
      <c r="H833">
        <v>0</v>
      </c>
      <c r="I833">
        <v>90</v>
      </c>
      <c r="J833">
        <v>26</v>
      </c>
      <c r="K833">
        <v>1</v>
      </c>
      <c r="L833">
        <v>0</v>
      </c>
      <c r="M833" t="s">
        <v>62</v>
      </c>
      <c r="N833">
        <v>193</v>
      </c>
      <c r="O833">
        <v>23</v>
      </c>
      <c r="P833">
        <v>224</v>
      </c>
      <c r="Q833">
        <v>47</v>
      </c>
      <c r="R833">
        <v>0</v>
      </c>
      <c r="S833">
        <v>29</v>
      </c>
      <c r="T833">
        <v>1</v>
      </c>
      <c r="U833">
        <v>148</v>
      </c>
      <c r="V833">
        <v>44</v>
      </c>
      <c r="W833">
        <v>2</v>
      </c>
      <c r="X833">
        <v>0</v>
      </c>
      <c r="Y833" t="s">
        <v>16</v>
      </c>
      <c r="Z833">
        <v>8</v>
      </c>
      <c r="AA833" s="3">
        <f>IF(AND(Table1[[#This Row],[Throw Out Pass Eff]]="N", Table1[[#This Row],[Against FCS Team]]="N"), ROUND(((5.45 * D833) + (150 * F833) + (100 * G833) - (300 * H833)) / E833, 2), " ")</f>
        <v>118.87</v>
      </c>
      <c r="AB833" s="3">
        <f>IF(AND(Table1[[#This Row],[Throw Out Pass Def Eff]]="N", Table1[[#This Row],[Against FCS Team]]="N"),200 - ROUND(((5.45 * P833) + (150 * R833) + (100 * S833) - (300 * T833)) / Q833, 2), " ")</f>
        <v>118.71</v>
      </c>
      <c r="AC833" s="3">
        <f>IF(AND(Table1[[#This Row],[Throw Out Rush Eff]]="N", Table1[[#This Row],[Against FCS Team]]="N"), ROUND(((23.2 * I833) + (150 * K833) - (300 * L833)) / J833, 2), " ")</f>
        <v>86.08</v>
      </c>
      <c r="AD833" s="3">
        <f>IF(AND(Table1[[#This Row],[Throw Out Rush Def Eff]]="N", Table1[[#This Row],[Against FCS Team]]="N"), 200 - ROUND(((23.2 * U833) + (150 * W833) - (300 * X833)) / V833, 2), " ")</f>
        <v>115.15</v>
      </c>
      <c r="AE833" s="3">
        <f>ROUND(Table1[[#This Row],[Opp Passing Attempts]]/(Table1[[#This Row],[Opp Passing Attempts]]+Table1[[#This Row],[Opp Rushing Attempts]]), 2)</f>
        <v>0.52</v>
      </c>
      <c r="AF833" s="3">
        <f>1-Table1[[#This Row],[Passing Weight]]</f>
        <v>0.48</v>
      </c>
      <c r="AG833" s="3" t="str">
        <f>IF(COUNTIF(A:A,Table1[[#This Row],[Opp Team Name]]) &gt; 0, "N", "Y")</f>
        <v>N</v>
      </c>
      <c r="AH833" s="3" t="str">
        <f>IF(Table1[[#This Row],[Passing Attempts]] &lt;15, "Y", "N")</f>
        <v>N</v>
      </c>
      <c r="AI833" s="3" t="str">
        <f>IF(Table1[[#This Row],[Rushing Attempts]] &lt; 15, "Y", "N")</f>
        <v>N</v>
      </c>
      <c r="AJ833" s="3" t="str">
        <f>IF(Table1[[#This Row],[Opp Passing Attempts]]&lt;15, "Y", "N")</f>
        <v>N</v>
      </c>
      <c r="AK833" s="3" t="str">
        <f>IF(Table1[[#This Row],[Opp Rushing Attempts]]&lt;15, "Y", "N")</f>
        <v>N</v>
      </c>
      <c r="AL83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105.31</v>
      </c>
      <c r="AM83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123.66</v>
      </c>
      <c r="AN83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84.03</v>
      </c>
      <c r="AO83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73.94</v>
      </c>
      <c r="AP833" s="3">
        <f>ABS(Table1[[#This Row],[Team Score]]-Table1[[#This Row],[Opp Team Score]])</f>
        <v>1</v>
      </c>
      <c r="AQ833" s="3">
        <f>SUM(Table1[[#This Row],[Team Score]], Table1[[#This Row],[Opp Team Score]])</f>
        <v>47</v>
      </c>
      <c r="AR83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38.81</v>
      </c>
      <c r="AS833" s="3">
        <f>IF(Table1[[#This Row],[Efficiency Difference]] = " ", " ", ROUND((Table1[[#This Row],[Winning Margin]]*100)/Table1[[#This Row],[Efficiency Difference]], 2))</f>
        <v>2.58</v>
      </c>
    </row>
    <row r="834" spans="1:45">
      <c r="A834" t="s">
        <v>158</v>
      </c>
      <c r="B834">
        <v>756</v>
      </c>
      <c r="C834">
        <v>30</v>
      </c>
      <c r="D834">
        <v>102</v>
      </c>
      <c r="E834">
        <v>25</v>
      </c>
      <c r="F834">
        <v>3</v>
      </c>
      <c r="G834">
        <v>17</v>
      </c>
      <c r="H834">
        <v>0</v>
      </c>
      <c r="I834">
        <v>148</v>
      </c>
      <c r="J834">
        <v>38</v>
      </c>
      <c r="K834">
        <v>0</v>
      </c>
      <c r="L834">
        <v>0</v>
      </c>
      <c r="M834" t="s">
        <v>159</v>
      </c>
      <c r="N834">
        <v>207</v>
      </c>
      <c r="O834">
        <v>27</v>
      </c>
      <c r="P834">
        <v>473</v>
      </c>
      <c r="Q834">
        <v>69</v>
      </c>
      <c r="R834">
        <v>3</v>
      </c>
      <c r="S834">
        <v>39</v>
      </c>
      <c r="T834">
        <v>2</v>
      </c>
      <c r="U834">
        <v>31</v>
      </c>
      <c r="V834">
        <v>17</v>
      </c>
      <c r="W834">
        <v>0</v>
      </c>
      <c r="X834">
        <v>2</v>
      </c>
      <c r="Y834" t="s">
        <v>16</v>
      </c>
      <c r="Z834">
        <v>1</v>
      </c>
      <c r="AA834" t="str">
        <f>IF(AND(Table1[[#This Row],[Throw Out Pass Eff]]="N", Table1[[#This Row],[Against FCS Team]]="N"), ROUND(((5.45 * D834) + (150 * F834) + (100 * G834) - (300 * H834)) / E834, 2), " ")</f>
        <v xml:space="preserve"> </v>
      </c>
      <c r="AB834" t="str">
        <f>IF(AND(Table1[[#This Row],[Throw Out Pass Def Eff]]="N", Table1[[#This Row],[Against FCS Team]]="N"),200 - ROUND(((5.45 * P834) + (150 * R834) + (100 * S834) - (300 * T834)) / Q834, 2), " ")</f>
        <v xml:space="preserve"> </v>
      </c>
      <c r="AC834" t="str">
        <f>IF(AND(Table1[[#This Row],[Throw Out Rush Eff]]="N", Table1[[#This Row],[Against FCS Team]]="N"), ROUND(((23.2 * I834) + (150 * K834) - (300 * L834)) / J834, 2), " ")</f>
        <v xml:space="preserve"> </v>
      </c>
      <c r="AD834" s="3" t="str">
        <f>IF(AND(Table1[[#This Row],[Throw Out Rush Def Eff]]="N", Table1[[#This Row],[Against FCS Team]]="N"), 200 - ROUND(((23.2 * U834) + (150 * W834) - (300 * X834)) / V834, 2), " ")</f>
        <v xml:space="preserve"> </v>
      </c>
      <c r="AE834" s="3">
        <f>ROUND(Table1[[#This Row],[Opp Passing Attempts]]/(Table1[[#This Row],[Opp Passing Attempts]]+Table1[[#This Row],[Opp Rushing Attempts]]), 2)</f>
        <v>0.8</v>
      </c>
      <c r="AF834" s="3">
        <f>1-Table1[[#This Row],[Passing Weight]]</f>
        <v>0.19999999999999996</v>
      </c>
      <c r="AG834" s="3" t="str">
        <f>IF(COUNTIF(A:A,Table1[[#This Row],[Opp Team Name]]) &gt; 0, "N", "Y")</f>
        <v>Y</v>
      </c>
      <c r="AH834" s="3" t="str">
        <f>IF(Table1[[#This Row],[Passing Attempts]] &lt;15, "Y", "N")</f>
        <v>N</v>
      </c>
      <c r="AI834" s="3" t="str">
        <f>IF(Table1[[#This Row],[Rushing Attempts]] &lt; 15, "Y", "N")</f>
        <v>N</v>
      </c>
      <c r="AJ834" s="3" t="str">
        <f>IF(Table1[[#This Row],[Opp Passing Attempts]]&lt;15, "Y", "N")</f>
        <v>N</v>
      </c>
      <c r="AK834" s="3" t="str">
        <f>IF(Table1[[#This Row],[Opp Rushing Attempts]]&lt;15, "Y", "N")</f>
        <v>N</v>
      </c>
      <c r="AL834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34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34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34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34" s="3">
        <f>ABS(Table1[[#This Row],[Team Score]]-Table1[[#This Row],[Opp Team Score]])</f>
        <v>3</v>
      </c>
      <c r="AQ834" s="3">
        <f>SUM(Table1[[#This Row],[Team Score]], Table1[[#This Row],[Opp Team Score]])</f>
        <v>57</v>
      </c>
      <c r="AR834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34" s="3" t="str">
        <f>IF(Table1[[#This Row],[Efficiency Difference]] = " ", " ", ROUND((Table1[[#This Row],[Winning Margin]]*100)/Table1[[#This Row],[Efficiency Difference]], 2))</f>
        <v xml:space="preserve"> </v>
      </c>
    </row>
    <row r="835" spans="1:45">
      <c r="A835" t="s">
        <v>158</v>
      </c>
      <c r="B835">
        <v>756</v>
      </c>
      <c r="C835">
        <v>40</v>
      </c>
      <c r="D835">
        <v>315</v>
      </c>
      <c r="E835">
        <v>26</v>
      </c>
      <c r="F835">
        <v>4</v>
      </c>
      <c r="G835">
        <v>18</v>
      </c>
      <c r="H835">
        <v>1</v>
      </c>
      <c r="I835">
        <v>151</v>
      </c>
      <c r="J835">
        <v>34</v>
      </c>
      <c r="K835">
        <v>1</v>
      </c>
      <c r="L835">
        <v>0</v>
      </c>
      <c r="M835" t="s">
        <v>57</v>
      </c>
      <c r="N835">
        <v>277</v>
      </c>
      <c r="O835">
        <v>32</v>
      </c>
      <c r="P835">
        <v>333</v>
      </c>
      <c r="Q835">
        <v>45</v>
      </c>
      <c r="R835">
        <v>1</v>
      </c>
      <c r="S835">
        <v>31</v>
      </c>
      <c r="T835">
        <v>1</v>
      </c>
      <c r="U835">
        <v>55</v>
      </c>
      <c r="V835">
        <v>22</v>
      </c>
      <c r="W835">
        <v>3</v>
      </c>
      <c r="X835">
        <v>1</v>
      </c>
      <c r="Y835" t="s">
        <v>16</v>
      </c>
      <c r="Z835">
        <v>2</v>
      </c>
      <c r="AA835">
        <f>IF(AND(Table1[[#This Row],[Throw Out Pass Eff]]="N", Table1[[#This Row],[Against FCS Team]]="N"), ROUND(((5.45 * D835) + (150 * F835) + (100 * G835) - (300 * H835)) / E835, 2), " ")</f>
        <v>146.80000000000001</v>
      </c>
      <c r="AB835">
        <f>IF(AND(Table1[[#This Row],[Throw Out Pass Def Eff]]="N", Table1[[#This Row],[Against FCS Team]]="N"),200 - ROUND(((5.45 * P835) + (150 * R835) + (100 * S835) - (300 * T835)) / Q835, 2), " ")</f>
        <v>94.11</v>
      </c>
      <c r="AC835">
        <f>IF(AND(Table1[[#This Row],[Throw Out Rush Eff]]="N", Table1[[#This Row],[Against FCS Team]]="N"), ROUND(((23.2 * I835) + (150 * K835) - (300 * L835)) / J835, 2), " ")</f>
        <v>107.45</v>
      </c>
      <c r="AD835" s="3">
        <f>IF(AND(Table1[[#This Row],[Throw Out Rush Def Eff]]="N", Table1[[#This Row],[Against FCS Team]]="N"), 200 - ROUND(((23.2 * U835) + (150 * W835) - (300 * X835)) / V835, 2), " ")</f>
        <v>135.18</v>
      </c>
      <c r="AE835" s="3">
        <f>ROUND(Table1[[#This Row],[Opp Passing Attempts]]/(Table1[[#This Row],[Opp Passing Attempts]]+Table1[[#This Row],[Opp Rushing Attempts]]), 2)</f>
        <v>0.67</v>
      </c>
      <c r="AF835" s="3">
        <f>1-Table1[[#This Row],[Passing Weight]]</f>
        <v>0.32999999999999996</v>
      </c>
      <c r="AG835" s="3" t="str">
        <f>IF(COUNTIF(A:A,Table1[[#This Row],[Opp Team Name]]) &gt; 0, "N", "Y")</f>
        <v>N</v>
      </c>
      <c r="AH835" s="3" t="str">
        <f>IF(Table1[[#This Row],[Passing Attempts]] &lt;15, "Y", "N")</f>
        <v>N</v>
      </c>
      <c r="AI835" s="3" t="str">
        <f>IF(Table1[[#This Row],[Rushing Attempts]] &lt; 15, "Y", "N")</f>
        <v>N</v>
      </c>
      <c r="AJ835" s="3" t="str">
        <f>IF(Table1[[#This Row],[Opp Passing Attempts]]&lt;15, "Y", "N")</f>
        <v>N</v>
      </c>
      <c r="AK835" s="3" t="str">
        <f>IF(Table1[[#This Row],[Opp Rushing Attempts]]&lt;15, "Y", "N")</f>
        <v>N</v>
      </c>
      <c r="AL83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148.37</v>
      </c>
      <c r="AM83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100.09</v>
      </c>
      <c r="AN83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143.93</v>
      </c>
      <c r="AO83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122.37</v>
      </c>
      <c r="AP835" s="3">
        <f>ABS(Table1[[#This Row],[Team Score]]-Table1[[#This Row],[Opp Team Score]])</f>
        <v>8</v>
      </c>
      <c r="AQ835" s="3">
        <f>SUM(Table1[[#This Row],[Team Score]], Table1[[#This Row],[Opp Team Score]])</f>
        <v>72</v>
      </c>
      <c r="AR83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83.54000000000002</v>
      </c>
      <c r="AS835" s="3">
        <f>IF(Table1[[#This Row],[Efficiency Difference]] = " ", " ", ROUND((Table1[[#This Row],[Winning Margin]]*100)/Table1[[#This Row],[Efficiency Difference]], 2))</f>
        <v>9.58</v>
      </c>
    </row>
    <row r="836" spans="1:45">
      <c r="A836" t="s">
        <v>158</v>
      </c>
      <c r="B836">
        <v>756</v>
      </c>
      <c r="C836">
        <v>38</v>
      </c>
      <c r="D836">
        <v>274</v>
      </c>
      <c r="E836">
        <v>37</v>
      </c>
      <c r="F836">
        <v>4</v>
      </c>
      <c r="G836">
        <v>21</v>
      </c>
      <c r="H836">
        <v>2</v>
      </c>
      <c r="I836">
        <v>146</v>
      </c>
      <c r="J836">
        <v>31</v>
      </c>
      <c r="K836">
        <v>1</v>
      </c>
      <c r="L836">
        <v>1</v>
      </c>
      <c r="M836" t="s">
        <v>106</v>
      </c>
      <c r="N836">
        <v>463</v>
      </c>
      <c r="O836">
        <v>51</v>
      </c>
      <c r="P836">
        <v>155</v>
      </c>
      <c r="Q836">
        <v>21</v>
      </c>
      <c r="R836">
        <v>2</v>
      </c>
      <c r="S836">
        <v>10</v>
      </c>
      <c r="T836">
        <v>0</v>
      </c>
      <c r="U836">
        <v>309</v>
      </c>
      <c r="V836">
        <v>55</v>
      </c>
      <c r="W836">
        <v>4</v>
      </c>
      <c r="X836">
        <v>1</v>
      </c>
      <c r="Y836" t="s">
        <v>19</v>
      </c>
      <c r="Z836">
        <v>3</v>
      </c>
      <c r="AA836">
        <f>IF(AND(Table1[[#This Row],[Throw Out Pass Eff]]="N", Table1[[#This Row],[Against FCS Team]]="N"), ROUND(((5.45 * D836) + (150 * F836) + (100 * G836) - (300 * H836)) / E836, 2), " ")</f>
        <v>97.12</v>
      </c>
      <c r="AB836">
        <f>IF(AND(Table1[[#This Row],[Throw Out Pass Def Eff]]="N", Table1[[#This Row],[Against FCS Team]]="N"),200 - ROUND(((5.45 * P836) + (150 * R836) + (100 * S836) - (300 * T836)) / Q836, 2), " ")</f>
        <v>97.87</v>
      </c>
      <c r="AC836">
        <f>IF(AND(Table1[[#This Row],[Throw Out Rush Eff]]="N", Table1[[#This Row],[Against FCS Team]]="N"), ROUND(((23.2 * I836) + (150 * K836) - (300 * L836)) / J836, 2), " ")</f>
        <v>104.43</v>
      </c>
      <c r="AD836" s="3">
        <f>IF(AND(Table1[[#This Row],[Throw Out Rush Def Eff]]="N", Table1[[#This Row],[Against FCS Team]]="N"), 200 - ROUND(((23.2 * U836) + (150 * W836) - (300 * X836)) / V836, 2), " ")</f>
        <v>64.199999999999989</v>
      </c>
      <c r="AE836" s="3">
        <f>ROUND(Table1[[#This Row],[Opp Passing Attempts]]/(Table1[[#This Row],[Opp Passing Attempts]]+Table1[[#This Row],[Opp Rushing Attempts]]), 2)</f>
        <v>0.28000000000000003</v>
      </c>
      <c r="AF836" s="3">
        <f>1-Table1[[#This Row],[Passing Weight]]</f>
        <v>0.72</v>
      </c>
      <c r="AG836" s="3" t="str">
        <f>IF(COUNTIF(A:A,Table1[[#This Row],[Opp Team Name]]) &gt; 0, "N", "Y")</f>
        <v>N</v>
      </c>
      <c r="AH836" s="3" t="str">
        <f>IF(Table1[[#This Row],[Passing Attempts]] &lt;15, "Y", "N")</f>
        <v>N</v>
      </c>
      <c r="AI836" s="3" t="str">
        <f>IF(Table1[[#This Row],[Rushing Attempts]] &lt; 15, "Y", "N")</f>
        <v>N</v>
      </c>
      <c r="AJ836" s="3" t="str">
        <f>IF(Table1[[#This Row],[Opp Passing Attempts]]&lt;15, "Y", "N")</f>
        <v>N</v>
      </c>
      <c r="AK836" s="3" t="str">
        <f>IF(Table1[[#This Row],[Opp Rushing Attempts]]&lt;15, "Y", "N")</f>
        <v>N</v>
      </c>
      <c r="AL83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103.22</v>
      </c>
      <c r="AM83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93.04</v>
      </c>
      <c r="AN83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96.49</v>
      </c>
      <c r="AO83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87.47</v>
      </c>
      <c r="AP836" s="3">
        <f>ABS(Table1[[#This Row],[Team Score]]-Table1[[#This Row],[Opp Team Score]])</f>
        <v>13</v>
      </c>
      <c r="AQ836" s="3">
        <f>SUM(Table1[[#This Row],[Team Score]], Table1[[#This Row],[Opp Team Score]])</f>
        <v>89</v>
      </c>
      <c r="AR83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36.379999999999995</v>
      </c>
      <c r="AS836" s="3">
        <f>IF(Table1[[#This Row],[Efficiency Difference]] = " ", " ", ROUND((Table1[[#This Row],[Winning Margin]]*100)/Table1[[#This Row],[Efficiency Difference]], 2))</f>
        <v>35.729999999999997</v>
      </c>
    </row>
    <row r="837" spans="1:45">
      <c r="A837" t="s">
        <v>158</v>
      </c>
      <c r="B837">
        <v>756</v>
      </c>
      <c r="C837">
        <v>31</v>
      </c>
      <c r="D837">
        <v>292</v>
      </c>
      <c r="E837">
        <v>25</v>
      </c>
      <c r="F837">
        <v>3</v>
      </c>
      <c r="G837">
        <v>19</v>
      </c>
      <c r="H837">
        <v>0</v>
      </c>
      <c r="I837">
        <v>117</v>
      </c>
      <c r="J837">
        <v>34</v>
      </c>
      <c r="K837">
        <v>1</v>
      </c>
      <c r="L837">
        <v>2</v>
      </c>
      <c r="M837" t="s">
        <v>48</v>
      </c>
      <c r="N837">
        <v>107</v>
      </c>
      <c r="O837">
        <v>23</v>
      </c>
      <c r="P837">
        <v>349</v>
      </c>
      <c r="Q837">
        <v>43</v>
      </c>
      <c r="R837">
        <v>1</v>
      </c>
      <c r="S837">
        <v>23</v>
      </c>
      <c r="T837">
        <v>0</v>
      </c>
      <c r="U837">
        <v>108</v>
      </c>
      <c r="V837">
        <v>33</v>
      </c>
      <c r="W837">
        <v>1</v>
      </c>
      <c r="X837">
        <v>0</v>
      </c>
      <c r="Y837" t="s">
        <v>16</v>
      </c>
      <c r="Z837">
        <v>4</v>
      </c>
      <c r="AA837">
        <f>IF(AND(Table1[[#This Row],[Throw Out Pass Eff]]="N", Table1[[#This Row],[Against FCS Team]]="N"), ROUND(((5.45 * D837) + (150 * F837) + (100 * G837) - (300 * H837)) / E837, 2), " ")</f>
        <v>157.66</v>
      </c>
      <c r="AB837">
        <f>IF(AND(Table1[[#This Row],[Throw Out Pass Def Eff]]="N", Table1[[#This Row],[Against FCS Team]]="N"),200 - ROUND(((5.45 * P837) + (150 * R837) + (100 * S837) - (300 * T837)) / Q837, 2), " ")</f>
        <v>98.79</v>
      </c>
      <c r="AC837">
        <f>IF(AND(Table1[[#This Row],[Throw Out Rush Eff]]="N", Table1[[#This Row],[Against FCS Team]]="N"), ROUND(((23.2 * I837) + (150 * K837) - (300 * L837)) / J837, 2), " ")</f>
        <v>66.599999999999994</v>
      </c>
      <c r="AD837" s="3">
        <f>IF(AND(Table1[[#This Row],[Throw Out Rush Def Eff]]="N", Table1[[#This Row],[Against FCS Team]]="N"), 200 - ROUND(((23.2 * U837) + (150 * W837) - (300 * X837)) / V837, 2), " ")</f>
        <v>119.53</v>
      </c>
      <c r="AE837" s="3">
        <f>ROUND(Table1[[#This Row],[Opp Passing Attempts]]/(Table1[[#This Row],[Opp Passing Attempts]]+Table1[[#This Row],[Opp Rushing Attempts]]), 2)</f>
        <v>0.56999999999999995</v>
      </c>
      <c r="AF837" s="3">
        <f>1-Table1[[#This Row],[Passing Weight]]</f>
        <v>0.43000000000000005</v>
      </c>
      <c r="AG837" s="3" t="str">
        <f>IF(COUNTIF(A:A,Table1[[#This Row],[Opp Team Name]]) &gt; 0, "N", "Y")</f>
        <v>N</v>
      </c>
      <c r="AH837" s="3" t="str">
        <f>IF(Table1[[#This Row],[Passing Attempts]] &lt;15, "Y", "N")</f>
        <v>N</v>
      </c>
      <c r="AI837" s="3" t="str">
        <f>IF(Table1[[#This Row],[Rushing Attempts]] &lt; 15, "Y", "N")</f>
        <v>N</v>
      </c>
      <c r="AJ837" s="3" t="str">
        <f>IF(Table1[[#This Row],[Opp Passing Attempts]]&lt;15, "Y", "N")</f>
        <v>N</v>
      </c>
      <c r="AK837" s="3" t="str">
        <f>IF(Table1[[#This Row],[Opp Rushing Attempts]]&lt;15, "Y", "N")</f>
        <v>N</v>
      </c>
      <c r="AL83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156.99</v>
      </c>
      <c r="AM83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92.49</v>
      </c>
      <c r="AN83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83.86</v>
      </c>
      <c r="AO83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94.88</v>
      </c>
      <c r="AP837" s="3">
        <f>ABS(Table1[[#This Row],[Team Score]]-Table1[[#This Row],[Opp Team Score]])</f>
        <v>8</v>
      </c>
      <c r="AQ837" s="3">
        <f>SUM(Table1[[#This Row],[Team Score]], Table1[[#This Row],[Opp Team Score]])</f>
        <v>54</v>
      </c>
      <c r="AR83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42.579999999999984</v>
      </c>
      <c r="AS837" s="3">
        <f>IF(Table1[[#This Row],[Efficiency Difference]] = " ", " ", ROUND((Table1[[#This Row],[Winning Margin]]*100)/Table1[[#This Row],[Efficiency Difference]], 2))</f>
        <v>18.79</v>
      </c>
    </row>
    <row r="838" spans="1:45">
      <c r="A838" t="s">
        <v>158</v>
      </c>
      <c r="B838">
        <v>756</v>
      </c>
      <c r="C838">
        <v>31</v>
      </c>
      <c r="D838">
        <v>226</v>
      </c>
      <c r="E838">
        <v>30</v>
      </c>
      <c r="F838">
        <v>3</v>
      </c>
      <c r="G838">
        <v>22</v>
      </c>
      <c r="H838">
        <v>1</v>
      </c>
      <c r="I838">
        <v>185</v>
      </c>
      <c r="J838">
        <v>42</v>
      </c>
      <c r="K838">
        <v>0</v>
      </c>
      <c r="L838">
        <v>0</v>
      </c>
      <c r="M838" t="s">
        <v>146</v>
      </c>
      <c r="N838">
        <v>732</v>
      </c>
      <c r="O838">
        <v>14</v>
      </c>
      <c r="P838">
        <v>305</v>
      </c>
      <c r="Q838">
        <v>33</v>
      </c>
      <c r="R838">
        <v>2</v>
      </c>
      <c r="S838">
        <v>22</v>
      </c>
      <c r="T838">
        <v>2</v>
      </c>
      <c r="U838">
        <v>17</v>
      </c>
      <c r="V838">
        <v>23</v>
      </c>
      <c r="W838">
        <v>0</v>
      </c>
      <c r="X838">
        <v>3</v>
      </c>
      <c r="Y838" t="s">
        <v>16</v>
      </c>
      <c r="Z838">
        <v>5</v>
      </c>
      <c r="AA838">
        <f>IF(AND(Table1[[#This Row],[Throw Out Pass Eff]]="N", Table1[[#This Row],[Against FCS Team]]="N"), ROUND(((5.45 * D838) + (150 * F838) + (100 * G838) - (300 * H838)) / E838, 2), " ")</f>
        <v>119.39</v>
      </c>
      <c r="AB838">
        <f>IF(AND(Table1[[#This Row],[Throw Out Pass Def Eff]]="N", Table1[[#This Row],[Against FCS Team]]="N"),200 - ROUND(((5.45 * P838) + (150 * R838) + (100 * S838) - (300 * T838)) / Q838, 2), " ")</f>
        <v>92.05</v>
      </c>
      <c r="AC838">
        <f>IF(AND(Table1[[#This Row],[Throw Out Rush Eff]]="N", Table1[[#This Row],[Against FCS Team]]="N"), ROUND(((23.2 * I838) + (150 * K838) - (300 * L838)) / J838, 2), " ")</f>
        <v>102.19</v>
      </c>
      <c r="AD838" s="3">
        <f>IF(AND(Table1[[#This Row],[Throw Out Rush Def Eff]]="N", Table1[[#This Row],[Against FCS Team]]="N"), 200 - ROUND(((23.2 * U838) + (150 * W838) - (300 * X838)) / V838, 2), " ")</f>
        <v>221.98</v>
      </c>
      <c r="AE838" s="3">
        <f>ROUND(Table1[[#This Row],[Opp Passing Attempts]]/(Table1[[#This Row],[Opp Passing Attempts]]+Table1[[#This Row],[Opp Rushing Attempts]]), 2)</f>
        <v>0.59</v>
      </c>
      <c r="AF838" s="3">
        <f>1-Table1[[#This Row],[Passing Weight]]</f>
        <v>0.41000000000000003</v>
      </c>
      <c r="AG838" s="3" t="str">
        <f>IF(COUNTIF(A:A,Table1[[#This Row],[Opp Team Name]]) &gt; 0, "N", "Y")</f>
        <v>N</v>
      </c>
      <c r="AH838" s="3" t="str">
        <f>IF(Table1[[#This Row],[Passing Attempts]] &lt;15, "Y", "N")</f>
        <v>N</v>
      </c>
      <c r="AI838" s="3" t="str">
        <f>IF(Table1[[#This Row],[Rushing Attempts]] &lt; 15, "Y", "N")</f>
        <v>N</v>
      </c>
      <c r="AJ838" s="3" t="str">
        <f>IF(Table1[[#This Row],[Opp Passing Attempts]]&lt;15, "Y", "N")</f>
        <v>N</v>
      </c>
      <c r="AK838" s="3" t="str">
        <f>IF(Table1[[#This Row],[Opp Rushing Attempts]]&lt;15, "Y", "N")</f>
        <v>N</v>
      </c>
      <c r="AL83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127.49</v>
      </c>
      <c r="AM83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76.959999999999994</v>
      </c>
      <c r="AN83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156.51</v>
      </c>
      <c r="AO83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125.27</v>
      </c>
      <c r="AP838" s="3">
        <f>ABS(Table1[[#This Row],[Team Score]]-Table1[[#This Row],[Opp Team Score]])</f>
        <v>17</v>
      </c>
      <c r="AQ838" s="3">
        <f>SUM(Table1[[#This Row],[Team Score]], Table1[[#This Row],[Opp Team Score]])</f>
        <v>45</v>
      </c>
      <c r="AR83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135.60999999999996</v>
      </c>
      <c r="AS838" s="3">
        <f>IF(Table1[[#This Row],[Efficiency Difference]] = " ", " ", ROUND((Table1[[#This Row],[Winning Margin]]*100)/Table1[[#This Row],[Efficiency Difference]], 2))</f>
        <v>12.54</v>
      </c>
    </row>
    <row r="839" spans="1:45">
      <c r="A839" t="s">
        <v>158</v>
      </c>
      <c r="B839">
        <v>756</v>
      </c>
      <c r="C839">
        <v>52</v>
      </c>
      <c r="D839">
        <v>267</v>
      </c>
      <c r="E839">
        <v>30</v>
      </c>
      <c r="F839">
        <v>4</v>
      </c>
      <c r="G839">
        <v>23</v>
      </c>
      <c r="H839">
        <v>0</v>
      </c>
      <c r="I839">
        <v>295</v>
      </c>
      <c r="J839">
        <v>40</v>
      </c>
      <c r="K839">
        <v>3</v>
      </c>
      <c r="L839">
        <v>1</v>
      </c>
      <c r="M839" t="s">
        <v>56</v>
      </c>
      <c r="N839">
        <v>157</v>
      </c>
      <c r="O839">
        <v>24</v>
      </c>
      <c r="P839">
        <v>207</v>
      </c>
      <c r="Q839">
        <v>38</v>
      </c>
      <c r="R839">
        <v>1</v>
      </c>
      <c r="S839">
        <v>22</v>
      </c>
      <c r="T839">
        <v>0</v>
      </c>
      <c r="U839">
        <v>62</v>
      </c>
      <c r="V839">
        <v>27</v>
      </c>
      <c r="W839">
        <v>2</v>
      </c>
      <c r="X839">
        <v>0</v>
      </c>
      <c r="Y839" t="s">
        <v>16</v>
      </c>
      <c r="Z839">
        <v>7</v>
      </c>
      <c r="AA839">
        <f>IF(AND(Table1[[#This Row],[Throw Out Pass Eff]]="N", Table1[[#This Row],[Against FCS Team]]="N"), ROUND(((5.45 * D839) + (150 * F839) + (100 * G839) - (300 * H839)) / E839, 2), " ")</f>
        <v>145.16999999999999</v>
      </c>
      <c r="AB839">
        <f>IF(AND(Table1[[#This Row],[Throw Out Pass Def Eff]]="N", Table1[[#This Row],[Against FCS Team]]="N"),200 - ROUND(((5.45 * P839) + (150 * R839) + (100 * S839) - (300 * T839)) / Q839, 2), " ")</f>
        <v>108.47</v>
      </c>
      <c r="AC839">
        <f>IF(AND(Table1[[#This Row],[Throw Out Rush Eff]]="N", Table1[[#This Row],[Against FCS Team]]="N"), ROUND(((23.2 * I839) + (150 * K839) - (300 * L839)) / J839, 2), " ")</f>
        <v>174.85</v>
      </c>
      <c r="AD839" s="3">
        <f>IF(AND(Table1[[#This Row],[Throw Out Rush Def Eff]]="N", Table1[[#This Row],[Against FCS Team]]="N"), 200 - ROUND(((23.2 * U839) + (150 * W839) - (300 * X839)) / V839, 2), " ")</f>
        <v>135.61000000000001</v>
      </c>
      <c r="AE839" s="3">
        <f>ROUND(Table1[[#This Row],[Opp Passing Attempts]]/(Table1[[#This Row],[Opp Passing Attempts]]+Table1[[#This Row],[Opp Rushing Attempts]]), 2)</f>
        <v>0.57999999999999996</v>
      </c>
      <c r="AF839" s="3">
        <f>1-Table1[[#This Row],[Passing Weight]]</f>
        <v>0.42000000000000004</v>
      </c>
      <c r="AG839" s="3" t="str">
        <f>IF(COUNTIF(A:A,Table1[[#This Row],[Opp Team Name]]) &gt; 0, "N", "Y")</f>
        <v>N</v>
      </c>
      <c r="AH839" s="3" t="str">
        <f>IF(Table1[[#This Row],[Passing Attempts]] &lt;15, "Y", "N")</f>
        <v>N</v>
      </c>
      <c r="AI839" s="3" t="str">
        <f>IF(Table1[[#This Row],[Rushing Attempts]] &lt; 15, "Y", "N")</f>
        <v>N</v>
      </c>
      <c r="AJ839" s="3" t="str">
        <f>IF(Table1[[#This Row],[Opp Passing Attempts]]&lt;15, "Y", "N")</f>
        <v>N</v>
      </c>
      <c r="AK839" s="3" t="str">
        <f>IF(Table1[[#This Row],[Opp Rushing Attempts]]&lt;15, "Y", "N")</f>
        <v>N</v>
      </c>
      <c r="AL83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124.88</v>
      </c>
      <c r="AM83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100.94</v>
      </c>
      <c r="AN83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147.29</v>
      </c>
      <c r="AO83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91.78</v>
      </c>
      <c r="AP839" s="3">
        <f>ABS(Table1[[#This Row],[Team Score]]-Table1[[#This Row],[Opp Team Score]])</f>
        <v>28</v>
      </c>
      <c r="AQ839" s="3">
        <f>SUM(Table1[[#This Row],[Team Score]], Table1[[#This Row],[Opp Team Score]])</f>
        <v>76</v>
      </c>
      <c r="AR83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164.1</v>
      </c>
      <c r="AS839" s="3">
        <f>IF(Table1[[#This Row],[Efficiency Difference]] = " ", " ", ROUND((Table1[[#This Row],[Winning Margin]]*100)/Table1[[#This Row],[Efficiency Difference]], 2))</f>
        <v>17.059999999999999</v>
      </c>
    </row>
    <row r="840" spans="1:45">
      <c r="A840" t="s">
        <v>158</v>
      </c>
      <c r="B840">
        <v>756</v>
      </c>
      <c r="C840">
        <v>21</v>
      </c>
      <c r="D840">
        <v>258</v>
      </c>
      <c r="E840">
        <v>38</v>
      </c>
      <c r="F840">
        <v>1</v>
      </c>
      <c r="G840">
        <v>24</v>
      </c>
      <c r="H840">
        <v>2</v>
      </c>
      <c r="I840">
        <v>172</v>
      </c>
      <c r="J840">
        <v>26</v>
      </c>
      <c r="K840">
        <v>2</v>
      </c>
      <c r="L840">
        <v>1</v>
      </c>
      <c r="M840" t="s">
        <v>129</v>
      </c>
      <c r="N840">
        <v>674</v>
      </c>
      <c r="O840">
        <v>65</v>
      </c>
      <c r="P840">
        <v>169</v>
      </c>
      <c r="Q840">
        <v>22</v>
      </c>
      <c r="R840">
        <v>2</v>
      </c>
      <c r="S840">
        <v>16</v>
      </c>
      <c r="T840">
        <v>0</v>
      </c>
      <c r="U840">
        <v>446</v>
      </c>
      <c r="V840">
        <v>44</v>
      </c>
      <c r="W840">
        <v>5</v>
      </c>
      <c r="X840">
        <v>0</v>
      </c>
      <c r="Y840" t="s">
        <v>19</v>
      </c>
      <c r="Z840">
        <v>8</v>
      </c>
      <c r="AA840" s="3">
        <f>IF(AND(Table1[[#This Row],[Throw Out Pass Eff]]="N", Table1[[#This Row],[Against FCS Team]]="N"), ROUND(((5.45 * D840) + (150 * F840) + (100 * G840) - (300 * H840)) / E840, 2), " ")</f>
        <v>88.32</v>
      </c>
      <c r="AB840" s="3">
        <f>IF(AND(Table1[[#This Row],[Throw Out Pass Def Eff]]="N", Table1[[#This Row],[Against FCS Team]]="N"),200 - ROUND(((5.45 * P840) + (150 * R840) + (100 * S840) - (300 * T840)) / Q840, 2), " ")</f>
        <v>71.77000000000001</v>
      </c>
      <c r="AC840" s="3">
        <f>IF(AND(Table1[[#This Row],[Throw Out Rush Eff]]="N", Table1[[#This Row],[Against FCS Team]]="N"), ROUND(((23.2 * I840) + (150 * K840) - (300 * L840)) / J840, 2), " ")</f>
        <v>153.47999999999999</v>
      </c>
      <c r="AD840" s="3">
        <f>IF(AND(Table1[[#This Row],[Throw Out Rush Def Eff]]="N", Table1[[#This Row],[Against FCS Team]]="N"), 200 - ROUND(((23.2 * U840) + (150 * W840) - (300 * X840)) / V840, 2), " ")</f>
        <v>-52.210000000000008</v>
      </c>
      <c r="AE840" s="3">
        <f>ROUND(Table1[[#This Row],[Opp Passing Attempts]]/(Table1[[#This Row],[Opp Passing Attempts]]+Table1[[#This Row],[Opp Rushing Attempts]]), 2)</f>
        <v>0.33</v>
      </c>
      <c r="AF840" s="3">
        <f>1-Table1[[#This Row],[Passing Weight]]</f>
        <v>0.66999999999999993</v>
      </c>
      <c r="AG840" s="3" t="str">
        <f>IF(COUNTIF(A:A,Table1[[#This Row],[Opp Team Name]]) &gt; 0, "N", "Y")</f>
        <v>N</v>
      </c>
      <c r="AH840" s="3" t="str">
        <f>IF(Table1[[#This Row],[Passing Attempts]] &lt;15, "Y", "N")</f>
        <v>N</v>
      </c>
      <c r="AI840" s="3" t="str">
        <f>IF(Table1[[#This Row],[Rushing Attempts]] &lt; 15, "Y", "N")</f>
        <v>N</v>
      </c>
      <c r="AJ840" s="3" t="str">
        <f>IF(Table1[[#This Row],[Opp Passing Attempts]]&lt;15, "Y", "N")</f>
        <v>N</v>
      </c>
      <c r="AK840" s="3" t="str">
        <f>IF(Table1[[#This Row],[Opp Rushing Attempts]]&lt;15, "Y", "N")</f>
        <v>N</v>
      </c>
      <c r="AL84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91.21</v>
      </c>
      <c r="AM84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95.78</v>
      </c>
      <c r="AN84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218.92</v>
      </c>
      <c r="AO84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-75.180000000000007</v>
      </c>
      <c r="AP840" s="3">
        <f>ABS(Table1[[#This Row],[Team Score]]-Table1[[#This Row],[Opp Team Score]])</f>
        <v>44</v>
      </c>
      <c r="AQ840" s="3">
        <f>SUM(Table1[[#This Row],[Team Score]], Table1[[#This Row],[Opp Team Score]])</f>
        <v>86</v>
      </c>
      <c r="AR84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138.64000000000001</v>
      </c>
      <c r="AS840" s="3">
        <f>IF(Table1[[#This Row],[Efficiency Difference]] = " ", " ", ROUND((Table1[[#This Row],[Winning Margin]]*100)/Table1[[#This Row],[Efficiency Difference]], 2))</f>
        <v>31.74</v>
      </c>
    </row>
    <row r="841" spans="1:45">
      <c r="A841" t="s">
        <v>160</v>
      </c>
      <c r="B841">
        <v>754</v>
      </c>
      <c r="C841">
        <v>64</v>
      </c>
      <c r="D841">
        <v>301</v>
      </c>
      <c r="E841">
        <v>35</v>
      </c>
      <c r="F841">
        <v>3</v>
      </c>
      <c r="G841">
        <v>21</v>
      </c>
      <c r="H841">
        <v>0</v>
      </c>
      <c r="I841">
        <v>289</v>
      </c>
      <c r="J841">
        <v>36</v>
      </c>
      <c r="K841">
        <v>4</v>
      </c>
      <c r="L841">
        <v>0</v>
      </c>
      <c r="M841" t="s">
        <v>161</v>
      </c>
      <c r="N841">
        <v>294</v>
      </c>
      <c r="O841">
        <v>21</v>
      </c>
      <c r="P841">
        <v>430</v>
      </c>
      <c r="Q841">
        <v>54</v>
      </c>
      <c r="R841">
        <v>1</v>
      </c>
      <c r="S841">
        <v>38</v>
      </c>
      <c r="T841">
        <v>1</v>
      </c>
      <c r="U841">
        <v>23</v>
      </c>
      <c r="V841">
        <v>25</v>
      </c>
      <c r="W841">
        <v>2</v>
      </c>
      <c r="X841">
        <v>1</v>
      </c>
      <c r="Y841" t="s">
        <v>16</v>
      </c>
      <c r="Z841">
        <v>1</v>
      </c>
      <c r="AA841" t="str">
        <f>IF(AND(Table1[[#This Row],[Throw Out Pass Eff]]="N", Table1[[#This Row],[Against FCS Team]]="N"), ROUND(((5.45 * D841) + (150 * F841) + (100 * G841) - (300 * H841)) / E841, 2), " ")</f>
        <v xml:space="preserve"> </v>
      </c>
      <c r="AB841" t="str">
        <f>IF(AND(Table1[[#This Row],[Throw Out Pass Def Eff]]="N", Table1[[#This Row],[Against FCS Team]]="N"),200 - ROUND(((5.45 * P841) + (150 * R841) + (100 * S841) - (300 * T841)) / Q841, 2), " ")</f>
        <v xml:space="preserve"> </v>
      </c>
      <c r="AC841" t="str">
        <f>IF(AND(Table1[[#This Row],[Throw Out Rush Eff]]="N", Table1[[#This Row],[Against FCS Team]]="N"), ROUND(((23.2 * I841) + (150 * K841) - (300 * L841)) / J841, 2), " ")</f>
        <v xml:space="preserve"> </v>
      </c>
      <c r="AD841" s="3" t="str">
        <f>IF(AND(Table1[[#This Row],[Throw Out Rush Def Eff]]="N", Table1[[#This Row],[Against FCS Team]]="N"), 200 - ROUND(((23.2 * U841) + (150 * W841) - (300 * X841)) / V841, 2), " ")</f>
        <v xml:space="preserve"> </v>
      </c>
      <c r="AE841" s="3">
        <f>ROUND(Table1[[#This Row],[Opp Passing Attempts]]/(Table1[[#This Row],[Opp Passing Attempts]]+Table1[[#This Row],[Opp Rushing Attempts]]), 2)</f>
        <v>0.68</v>
      </c>
      <c r="AF841" s="3">
        <f>1-Table1[[#This Row],[Passing Weight]]</f>
        <v>0.31999999999999995</v>
      </c>
      <c r="AG841" s="3" t="str">
        <f>IF(COUNTIF(A:A,Table1[[#This Row],[Opp Team Name]]) &gt; 0, "N", "Y")</f>
        <v>Y</v>
      </c>
      <c r="AH841" s="3" t="str">
        <f>IF(Table1[[#This Row],[Passing Attempts]] &lt;15, "Y", "N")</f>
        <v>N</v>
      </c>
      <c r="AI841" s="3" t="str">
        <f>IF(Table1[[#This Row],[Rushing Attempts]] &lt; 15, "Y", "N")</f>
        <v>N</v>
      </c>
      <c r="AJ841" s="3" t="str">
        <f>IF(Table1[[#This Row],[Opp Passing Attempts]]&lt;15, "Y", "N")</f>
        <v>N</v>
      </c>
      <c r="AK841" s="3" t="str">
        <f>IF(Table1[[#This Row],[Opp Rushing Attempts]]&lt;15, "Y", "N")</f>
        <v>N</v>
      </c>
      <c r="AL841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41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41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41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41" s="3">
        <f>ABS(Table1[[#This Row],[Team Score]]-Table1[[#This Row],[Opp Team Score]])</f>
        <v>43</v>
      </c>
      <c r="AQ841" s="3">
        <f>SUM(Table1[[#This Row],[Team Score]], Table1[[#This Row],[Opp Team Score]])</f>
        <v>85</v>
      </c>
      <c r="AR841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41" s="3" t="str">
        <f>IF(Table1[[#This Row],[Efficiency Difference]] = " ", " ", ROUND((Table1[[#This Row],[Winning Margin]]*100)/Table1[[#This Row],[Efficiency Difference]], 2))</f>
        <v xml:space="preserve"> </v>
      </c>
    </row>
    <row r="842" spans="1:45">
      <c r="A842" t="s">
        <v>160</v>
      </c>
      <c r="B842">
        <v>754</v>
      </c>
      <c r="C842">
        <v>59</v>
      </c>
      <c r="D842">
        <v>471</v>
      </c>
      <c r="E842">
        <v>38</v>
      </c>
      <c r="F842">
        <v>7</v>
      </c>
      <c r="G842">
        <v>29</v>
      </c>
      <c r="H842">
        <v>0</v>
      </c>
      <c r="I842">
        <v>139</v>
      </c>
      <c r="J842">
        <v>39</v>
      </c>
      <c r="K842">
        <v>1</v>
      </c>
      <c r="L842">
        <v>1</v>
      </c>
      <c r="M842" t="s">
        <v>144</v>
      </c>
      <c r="N842">
        <v>465</v>
      </c>
      <c r="O842">
        <v>7</v>
      </c>
      <c r="P842">
        <v>60</v>
      </c>
      <c r="Q842">
        <v>20</v>
      </c>
      <c r="R842">
        <v>0</v>
      </c>
      <c r="S842">
        <v>11</v>
      </c>
      <c r="T842">
        <v>0</v>
      </c>
      <c r="U842">
        <v>98</v>
      </c>
      <c r="V842">
        <v>34</v>
      </c>
      <c r="W842">
        <v>0</v>
      </c>
      <c r="X842">
        <v>1</v>
      </c>
      <c r="Y842" t="s">
        <v>16</v>
      </c>
      <c r="Z842">
        <v>2</v>
      </c>
      <c r="AA842">
        <f>IF(AND(Table1[[#This Row],[Throw Out Pass Eff]]="N", Table1[[#This Row],[Against FCS Team]]="N"), ROUND(((5.45 * D842) + (150 * F842) + (100 * G842) - (300 * H842)) / E842, 2), " ")</f>
        <v>171.5</v>
      </c>
      <c r="AB842">
        <f>IF(AND(Table1[[#This Row],[Throw Out Pass Def Eff]]="N", Table1[[#This Row],[Against FCS Team]]="N"),200 - ROUND(((5.45 * P842) + (150 * R842) + (100 * S842) - (300 * T842)) / Q842, 2), " ")</f>
        <v>128.65</v>
      </c>
      <c r="AC842">
        <f>IF(AND(Table1[[#This Row],[Throw Out Rush Eff]]="N", Table1[[#This Row],[Against FCS Team]]="N"), ROUND(((23.2 * I842) + (150 * K842) - (300 * L842)) / J842, 2), " ")</f>
        <v>78.84</v>
      </c>
      <c r="AD842" s="3">
        <f>IF(AND(Table1[[#This Row],[Throw Out Rush Def Eff]]="N", Table1[[#This Row],[Against FCS Team]]="N"), 200 - ROUND(((23.2 * U842) + (150 * W842) - (300 * X842)) / V842, 2), " ")</f>
        <v>141.94999999999999</v>
      </c>
      <c r="AE842" s="3">
        <f>ROUND(Table1[[#This Row],[Opp Passing Attempts]]/(Table1[[#This Row],[Opp Passing Attempts]]+Table1[[#This Row],[Opp Rushing Attempts]]), 2)</f>
        <v>0.37</v>
      </c>
      <c r="AF842" s="3">
        <f>1-Table1[[#This Row],[Passing Weight]]</f>
        <v>0.63</v>
      </c>
      <c r="AG842" s="3" t="str">
        <f>IF(COUNTIF(A:A,Table1[[#This Row],[Opp Team Name]]) &gt; 0, "N", "Y")</f>
        <v>N</v>
      </c>
      <c r="AH842" s="3" t="str">
        <f>IF(Table1[[#This Row],[Passing Attempts]] &lt;15, "Y", "N")</f>
        <v>N</v>
      </c>
      <c r="AI842" s="3" t="str">
        <f>IF(Table1[[#This Row],[Rushing Attempts]] &lt; 15, "Y", "N")</f>
        <v>N</v>
      </c>
      <c r="AJ842" s="3" t="str">
        <f>IF(Table1[[#This Row],[Opp Passing Attempts]]&lt;15, "Y", "N")</f>
        <v>N</v>
      </c>
      <c r="AK842" s="3" t="str">
        <f>IF(Table1[[#This Row],[Opp Rushing Attempts]]&lt;15, "Y", "N")</f>
        <v>N</v>
      </c>
      <c r="AL84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129.66</v>
      </c>
      <c r="AM84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104.55</v>
      </c>
      <c r="AN84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92.99</v>
      </c>
      <c r="AO84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103.56</v>
      </c>
      <c r="AP842" s="3">
        <f>ABS(Table1[[#This Row],[Team Score]]-Table1[[#This Row],[Opp Team Score]])</f>
        <v>52</v>
      </c>
      <c r="AQ842" s="3">
        <f>SUM(Table1[[#This Row],[Team Score]], Table1[[#This Row],[Opp Team Score]])</f>
        <v>66</v>
      </c>
      <c r="AR84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120.94000000000003</v>
      </c>
      <c r="AS842" s="3">
        <f>IF(Table1[[#This Row],[Efficiency Difference]] = " ", " ", ROUND((Table1[[#This Row],[Winning Margin]]*100)/Table1[[#This Row],[Efficiency Difference]], 2))</f>
        <v>43</v>
      </c>
    </row>
    <row r="843" spans="1:45">
      <c r="A843" t="s">
        <v>160</v>
      </c>
      <c r="B843">
        <v>754</v>
      </c>
      <c r="C843">
        <v>24</v>
      </c>
      <c r="D843">
        <v>368</v>
      </c>
      <c r="E843">
        <v>42</v>
      </c>
      <c r="F843">
        <v>3</v>
      </c>
      <c r="G843">
        <v>20</v>
      </c>
      <c r="H843">
        <v>2</v>
      </c>
      <c r="I843">
        <v>51</v>
      </c>
      <c r="J843">
        <v>28</v>
      </c>
      <c r="K843">
        <v>0</v>
      </c>
      <c r="L843">
        <v>2</v>
      </c>
      <c r="M843" t="s">
        <v>126</v>
      </c>
      <c r="N843">
        <v>626</v>
      </c>
      <c r="O843">
        <v>42</v>
      </c>
      <c r="P843">
        <v>273</v>
      </c>
      <c r="Q843">
        <v>37</v>
      </c>
      <c r="R843">
        <v>2</v>
      </c>
      <c r="S843">
        <v>21</v>
      </c>
      <c r="T843">
        <v>1</v>
      </c>
      <c r="U843">
        <v>227</v>
      </c>
      <c r="V843">
        <v>44</v>
      </c>
      <c r="W843">
        <v>4</v>
      </c>
      <c r="X843">
        <v>1</v>
      </c>
      <c r="Y843" t="s">
        <v>19</v>
      </c>
      <c r="Z843">
        <v>3</v>
      </c>
      <c r="AA843">
        <f>IF(AND(Table1[[#This Row],[Throw Out Pass Eff]]="N", Table1[[#This Row],[Against FCS Team]]="N"), ROUND(((5.45 * D843) + (150 * F843) + (100 * G843) - (300 * H843)) / E843, 2), " ")</f>
        <v>91.8</v>
      </c>
      <c r="AB843">
        <f>IF(AND(Table1[[#This Row],[Throw Out Pass Def Eff]]="N", Table1[[#This Row],[Against FCS Team]]="N"),200 - ROUND(((5.45 * P843) + (150 * R843) + (100 * S843) - (300 * T843)) / Q843, 2), " ")</f>
        <v>103.03</v>
      </c>
      <c r="AC843">
        <f>IF(AND(Table1[[#This Row],[Throw Out Rush Eff]]="N", Table1[[#This Row],[Against FCS Team]]="N"), ROUND(((23.2 * I843) + (150 * K843) - (300 * L843)) / J843, 2), " ")</f>
        <v>20.83</v>
      </c>
      <c r="AD843" s="3">
        <f>IF(AND(Table1[[#This Row],[Throw Out Rush Def Eff]]="N", Table1[[#This Row],[Against FCS Team]]="N"), 200 - ROUND(((23.2 * U843) + (150 * W843) - (300 * X843)) / V843, 2), " ")</f>
        <v>73.489999999999995</v>
      </c>
      <c r="AE843" s="3">
        <f>ROUND(Table1[[#This Row],[Opp Passing Attempts]]/(Table1[[#This Row],[Opp Passing Attempts]]+Table1[[#This Row],[Opp Rushing Attempts]]), 2)</f>
        <v>0.46</v>
      </c>
      <c r="AF843" s="3">
        <f>1-Table1[[#This Row],[Passing Weight]]</f>
        <v>0.54</v>
      </c>
      <c r="AG843" s="3" t="str">
        <f>IF(COUNTIF(A:A,Table1[[#This Row],[Opp Team Name]]) &gt; 0, "N", "Y")</f>
        <v>N</v>
      </c>
      <c r="AH843" s="3" t="str">
        <f>IF(Table1[[#This Row],[Passing Attempts]] &lt;15, "Y", "N")</f>
        <v>N</v>
      </c>
      <c r="AI843" s="3" t="str">
        <f>IF(Table1[[#This Row],[Rushing Attempts]] &lt; 15, "Y", "N")</f>
        <v>N</v>
      </c>
      <c r="AJ843" s="3" t="str">
        <f>IF(Table1[[#This Row],[Opp Passing Attempts]]&lt;15, "Y", "N")</f>
        <v>N</v>
      </c>
      <c r="AK843" s="3" t="str">
        <f>IF(Table1[[#This Row],[Opp Rushing Attempts]]&lt;15, "Y", "N")</f>
        <v>N</v>
      </c>
      <c r="AL84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110.1</v>
      </c>
      <c r="AM84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95.66</v>
      </c>
      <c r="AN84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21.24</v>
      </c>
      <c r="AO84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78.52</v>
      </c>
      <c r="AP843" s="3">
        <f>ABS(Table1[[#This Row],[Team Score]]-Table1[[#This Row],[Opp Team Score]])</f>
        <v>18</v>
      </c>
      <c r="AQ843" s="3">
        <f>SUM(Table1[[#This Row],[Team Score]], Table1[[#This Row],[Opp Team Score]])</f>
        <v>66</v>
      </c>
      <c r="AR84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110.85000000000002</v>
      </c>
      <c r="AS843" s="3">
        <f>IF(Table1[[#This Row],[Efficiency Difference]] = " ", " ", ROUND((Table1[[#This Row],[Winning Margin]]*100)/Table1[[#This Row],[Efficiency Difference]], 2))</f>
        <v>16.239999999999998</v>
      </c>
    </row>
    <row r="844" spans="1:45">
      <c r="A844" t="s">
        <v>160</v>
      </c>
      <c r="B844">
        <v>754</v>
      </c>
      <c r="C844">
        <v>31</v>
      </c>
      <c r="D844">
        <v>376</v>
      </c>
      <c r="E844">
        <v>49</v>
      </c>
      <c r="F844">
        <v>3</v>
      </c>
      <c r="G844">
        <v>32</v>
      </c>
      <c r="H844">
        <v>1</v>
      </c>
      <c r="I844">
        <v>79</v>
      </c>
      <c r="J844">
        <v>27</v>
      </c>
      <c r="K844">
        <v>1</v>
      </c>
      <c r="L844">
        <v>0</v>
      </c>
      <c r="M844" t="s">
        <v>56</v>
      </c>
      <c r="N844">
        <v>157</v>
      </c>
      <c r="O844">
        <v>27</v>
      </c>
      <c r="P844">
        <v>175</v>
      </c>
      <c r="Q844">
        <v>24</v>
      </c>
      <c r="R844">
        <v>2</v>
      </c>
      <c r="S844">
        <v>15</v>
      </c>
      <c r="T844">
        <v>1</v>
      </c>
      <c r="U844">
        <v>161</v>
      </c>
      <c r="V844">
        <v>38</v>
      </c>
      <c r="W844">
        <v>1</v>
      </c>
      <c r="X844">
        <v>1</v>
      </c>
      <c r="Y844" t="s">
        <v>16</v>
      </c>
      <c r="Z844">
        <v>5</v>
      </c>
      <c r="AA844">
        <f>IF(AND(Table1[[#This Row],[Throw Out Pass Eff]]="N", Table1[[#This Row],[Against FCS Team]]="N"), ROUND(((5.45 * D844) + (150 * F844) + (100 * G844) - (300 * H844)) / E844, 2), " ")</f>
        <v>110.19</v>
      </c>
      <c r="AB844">
        <f>IF(AND(Table1[[#This Row],[Throw Out Pass Def Eff]]="N", Table1[[#This Row],[Against FCS Team]]="N"),200 - ROUND(((5.45 * P844) + (150 * R844) + (100 * S844) - (300 * T844)) / Q844, 2), " ")</f>
        <v>97.76</v>
      </c>
      <c r="AC844">
        <f>IF(AND(Table1[[#This Row],[Throw Out Rush Eff]]="N", Table1[[#This Row],[Against FCS Team]]="N"), ROUND(((23.2 * I844) + (150 * K844) - (300 * L844)) / J844, 2), " ")</f>
        <v>73.44</v>
      </c>
      <c r="AD844" s="3">
        <f>IF(AND(Table1[[#This Row],[Throw Out Rush Def Eff]]="N", Table1[[#This Row],[Against FCS Team]]="N"), 200 - ROUND(((23.2 * U844) + (150 * W844) - (300 * X844)) / V844, 2), " ")</f>
        <v>105.65</v>
      </c>
      <c r="AE844" s="3">
        <f>ROUND(Table1[[#This Row],[Opp Passing Attempts]]/(Table1[[#This Row],[Opp Passing Attempts]]+Table1[[#This Row],[Opp Rushing Attempts]]), 2)</f>
        <v>0.39</v>
      </c>
      <c r="AF844" s="3">
        <f>1-Table1[[#This Row],[Passing Weight]]</f>
        <v>0.61</v>
      </c>
      <c r="AG844" s="3" t="str">
        <f>IF(COUNTIF(A:A,Table1[[#This Row],[Opp Team Name]]) &gt; 0, "N", "Y")</f>
        <v>N</v>
      </c>
      <c r="AH844" s="3" t="str">
        <f>IF(Table1[[#This Row],[Passing Attempts]] &lt;15, "Y", "N")</f>
        <v>N</v>
      </c>
      <c r="AI844" s="3" t="str">
        <f>IF(Table1[[#This Row],[Rushing Attempts]] &lt; 15, "Y", "N")</f>
        <v>N</v>
      </c>
      <c r="AJ844" s="3" t="str">
        <f>IF(Table1[[#This Row],[Opp Passing Attempts]]&lt;15, "Y", "N")</f>
        <v>N</v>
      </c>
      <c r="AK844" s="3" t="str">
        <f>IF(Table1[[#This Row],[Opp Rushing Attempts]]&lt;15, "Y", "N")</f>
        <v>N</v>
      </c>
      <c r="AL84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94.79</v>
      </c>
      <c r="AM84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90.98</v>
      </c>
      <c r="AN84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61.86</v>
      </c>
      <c r="AO84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71.510000000000005</v>
      </c>
      <c r="AP844" s="3">
        <f>ABS(Table1[[#This Row],[Team Score]]-Table1[[#This Row],[Opp Team Score]])</f>
        <v>4</v>
      </c>
      <c r="AQ844" s="3">
        <f>SUM(Table1[[#This Row],[Team Score]], Table1[[#This Row],[Opp Team Score]])</f>
        <v>58</v>
      </c>
      <c r="AR84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12.95999999999998</v>
      </c>
      <c r="AS844" s="3">
        <f>IF(Table1[[#This Row],[Efficiency Difference]] = " ", " ", ROUND((Table1[[#This Row],[Winning Margin]]*100)/Table1[[#This Row],[Efficiency Difference]], 2))</f>
        <v>30.86</v>
      </c>
    </row>
    <row r="845" spans="1:45">
      <c r="A845" t="s">
        <v>160</v>
      </c>
      <c r="B845">
        <v>754</v>
      </c>
      <c r="C845">
        <v>25</v>
      </c>
      <c r="D845">
        <v>235</v>
      </c>
      <c r="E845">
        <v>40</v>
      </c>
      <c r="F845">
        <v>2</v>
      </c>
      <c r="G845">
        <v>28</v>
      </c>
      <c r="H845">
        <v>1</v>
      </c>
      <c r="I845">
        <v>154</v>
      </c>
      <c r="J845">
        <v>40</v>
      </c>
      <c r="K845">
        <v>0</v>
      </c>
      <c r="L845">
        <v>0</v>
      </c>
      <c r="M845" t="s">
        <v>75</v>
      </c>
      <c r="N845">
        <v>110</v>
      </c>
      <c r="O845">
        <v>28</v>
      </c>
      <c r="P845">
        <v>201</v>
      </c>
      <c r="Q845">
        <v>20</v>
      </c>
      <c r="R845">
        <v>2</v>
      </c>
      <c r="S845">
        <v>12</v>
      </c>
      <c r="T845">
        <v>1</v>
      </c>
      <c r="U845">
        <v>170</v>
      </c>
      <c r="V845">
        <v>35</v>
      </c>
      <c r="W845">
        <v>2</v>
      </c>
      <c r="X845">
        <v>0</v>
      </c>
      <c r="Y845" t="s">
        <v>19</v>
      </c>
      <c r="Z845">
        <v>6</v>
      </c>
      <c r="AA845">
        <f>IF(AND(Table1[[#This Row],[Throw Out Pass Eff]]="N", Table1[[#This Row],[Against FCS Team]]="N"), ROUND(((5.45 * D845) + (150 * F845) + (100 * G845) - (300 * H845)) / E845, 2), " ")</f>
        <v>102.02</v>
      </c>
      <c r="AB845">
        <f>IF(AND(Table1[[#This Row],[Throw Out Pass Def Eff]]="N", Table1[[#This Row],[Against FCS Team]]="N"),200 - ROUND(((5.45 * P845) + (150 * R845) + (100 * S845) - (300 * T845)) / Q845, 2), " ")</f>
        <v>85.23</v>
      </c>
      <c r="AC845">
        <f>IF(AND(Table1[[#This Row],[Throw Out Rush Eff]]="N", Table1[[#This Row],[Against FCS Team]]="N"), ROUND(((23.2 * I845) + (150 * K845) - (300 * L845)) / J845, 2), " ")</f>
        <v>89.32</v>
      </c>
      <c r="AD845" s="3">
        <f>IF(AND(Table1[[#This Row],[Throw Out Rush Def Eff]]="N", Table1[[#This Row],[Against FCS Team]]="N"), 200 - ROUND(((23.2 * U845) + (150 * W845) - (300 * X845)) / V845, 2), " ")</f>
        <v>78.739999999999995</v>
      </c>
      <c r="AE845" s="3">
        <f>ROUND(Table1[[#This Row],[Opp Passing Attempts]]/(Table1[[#This Row],[Opp Passing Attempts]]+Table1[[#This Row],[Opp Rushing Attempts]]), 2)</f>
        <v>0.36</v>
      </c>
      <c r="AF845" s="3">
        <f>1-Table1[[#This Row],[Passing Weight]]</f>
        <v>0.64</v>
      </c>
      <c r="AG845" s="3" t="str">
        <f>IF(COUNTIF(A:A,Table1[[#This Row],[Opp Team Name]]) &gt; 0, "N", "Y")</f>
        <v>N</v>
      </c>
      <c r="AH845" s="3" t="str">
        <f>IF(Table1[[#This Row],[Passing Attempts]] &lt;15, "Y", "N")</f>
        <v>N</v>
      </c>
      <c r="AI845" s="3" t="str">
        <f>IF(Table1[[#This Row],[Rushing Attempts]] &lt; 15, "Y", "N")</f>
        <v>N</v>
      </c>
      <c r="AJ845" s="3" t="str">
        <f>IF(Table1[[#This Row],[Opp Passing Attempts]]&lt;15, "Y", "N")</f>
        <v>N</v>
      </c>
      <c r="AK845" s="3" t="str">
        <f>IF(Table1[[#This Row],[Opp Rushing Attempts]]&lt;15, "Y", "N")</f>
        <v>N</v>
      </c>
      <c r="AL84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89.91</v>
      </c>
      <c r="AM84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83.33</v>
      </c>
      <c r="AN84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71.44</v>
      </c>
      <c r="AO84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79.75</v>
      </c>
      <c r="AP845" s="3">
        <f>ABS(Table1[[#This Row],[Team Score]]-Table1[[#This Row],[Opp Team Score]])</f>
        <v>3</v>
      </c>
      <c r="AQ845" s="3">
        <f>SUM(Table1[[#This Row],[Team Score]], Table1[[#This Row],[Opp Team Score]])</f>
        <v>53</v>
      </c>
      <c r="AR84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44.690000000000026</v>
      </c>
      <c r="AS845" s="3">
        <f>IF(Table1[[#This Row],[Efficiency Difference]] = " ", " ", ROUND((Table1[[#This Row],[Winning Margin]]*100)/Table1[[#This Row],[Efficiency Difference]], 2))</f>
        <v>6.71</v>
      </c>
    </row>
    <row r="846" spans="1:45">
      <c r="A846" t="s">
        <v>160</v>
      </c>
      <c r="B846">
        <v>754</v>
      </c>
      <c r="C846">
        <v>14</v>
      </c>
      <c r="D846">
        <v>209</v>
      </c>
      <c r="E846">
        <v>39</v>
      </c>
      <c r="F846">
        <v>0</v>
      </c>
      <c r="G846">
        <v>24</v>
      </c>
      <c r="H846">
        <v>0</v>
      </c>
      <c r="I846">
        <v>48</v>
      </c>
      <c r="J846">
        <v>28</v>
      </c>
      <c r="K846">
        <v>2</v>
      </c>
      <c r="L846">
        <v>1</v>
      </c>
      <c r="M846" t="s">
        <v>129</v>
      </c>
      <c r="N846">
        <v>674</v>
      </c>
      <c r="O846">
        <v>44</v>
      </c>
      <c r="P846">
        <v>336</v>
      </c>
      <c r="Q846">
        <v>36</v>
      </c>
      <c r="R846">
        <v>4</v>
      </c>
      <c r="S846">
        <v>23</v>
      </c>
      <c r="T846">
        <v>1</v>
      </c>
      <c r="U846">
        <v>139</v>
      </c>
      <c r="V846">
        <v>30</v>
      </c>
      <c r="W846">
        <v>1</v>
      </c>
      <c r="X846">
        <v>1</v>
      </c>
      <c r="Y846" t="s">
        <v>19</v>
      </c>
      <c r="Z846">
        <v>7</v>
      </c>
      <c r="AA846">
        <f>IF(AND(Table1[[#This Row],[Throw Out Pass Eff]]="N", Table1[[#This Row],[Against FCS Team]]="N"), ROUND(((5.45 * D846) + (150 * F846) + (100 * G846) - (300 * H846)) / E846, 2), " ")</f>
        <v>90.74</v>
      </c>
      <c r="AB846">
        <f>IF(AND(Table1[[#This Row],[Throw Out Pass Def Eff]]="N", Table1[[#This Row],[Against FCS Team]]="N"),200 - ROUND(((5.45 * P846) + (150 * R846) + (100 * S846) - (300 * T846)) / Q846, 2), " ")</f>
        <v>76.91</v>
      </c>
      <c r="AC846">
        <f>IF(AND(Table1[[#This Row],[Throw Out Rush Eff]]="N", Table1[[#This Row],[Against FCS Team]]="N"), ROUND(((23.2 * I846) + (150 * K846) - (300 * L846)) / J846, 2), " ")</f>
        <v>39.770000000000003</v>
      </c>
      <c r="AD846" s="3">
        <f>IF(AND(Table1[[#This Row],[Throw Out Rush Def Eff]]="N", Table1[[#This Row],[Against FCS Team]]="N"), 200 - ROUND(((23.2 * U846) + (150 * W846) - (300 * X846)) / V846, 2), " ")</f>
        <v>97.51</v>
      </c>
      <c r="AE846" s="3">
        <f>ROUND(Table1[[#This Row],[Opp Passing Attempts]]/(Table1[[#This Row],[Opp Passing Attempts]]+Table1[[#This Row],[Opp Rushing Attempts]]), 2)</f>
        <v>0.55000000000000004</v>
      </c>
      <c r="AF846" s="3">
        <f>1-Table1[[#This Row],[Passing Weight]]</f>
        <v>0.44999999999999996</v>
      </c>
      <c r="AG846" s="3" t="str">
        <f>IF(COUNTIF(A:A,Table1[[#This Row],[Opp Team Name]]) &gt; 0, "N", "Y")</f>
        <v>N</v>
      </c>
      <c r="AH846" s="3" t="str">
        <f>IF(Table1[[#This Row],[Passing Attempts]] &lt;15, "Y", "N")</f>
        <v>N</v>
      </c>
      <c r="AI846" s="3" t="str">
        <f>IF(Table1[[#This Row],[Rushing Attempts]] &lt; 15, "Y", "N")</f>
        <v>N</v>
      </c>
      <c r="AJ846" s="3" t="str">
        <f>IF(Table1[[#This Row],[Opp Passing Attempts]]&lt;15, "Y", "N")</f>
        <v>N</v>
      </c>
      <c r="AK846" s="3" t="str">
        <f>IF(Table1[[#This Row],[Opp Rushing Attempts]]&lt;15, "Y", "N")</f>
        <v>N</v>
      </c>
      <c r="AL84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93.71</v>
      </c>
      <c r="AM84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102.64</v>
      </c>
      <c r="AN84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56.73</v>
      </c>
      <c r="AO84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140.41</v>
      </c>
      <c r="AP846" s="3">
        <f>ABS(Table1[[#This Row],[Team Score]]-Table1[[#This Row],[Opp Team Score]])</f>
        <v>30</v>
      </c>
      <c r="AQ846" s="3">
        <f>SUM(Table1[[#This Row],[Team Score]], Table1[[#This Row],[Opp Team Score]])</f>
        <v>58</v>
      </c>
      <c r="AR84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95.07</v>
      </c>
      <c r="AS846" s="3">
        <f>IF(Table1[[#This Row],[Efficiency Difference]] = " ", " ", ROUND((Table1[[#This Row],[Winning Margin]]*100)/Table1[[#This Row],[Efficiency Difference]], 2))</f>
        <v>31.56</v>
      </c>
    </row>
    <row r="847" spans="1:45">
      <c r="A847" t="s">
        <v>160</v>
      </c>
      <c r="B847">
        <v>754</v>
      </c>
      <c r="C847">
        <v>21</v>
      </c>
      <c r="D847">
        <v>232</v>
      </c>
      <c r="E847">
        <v>33</v>
      </c>
      <c r="F847">
        <v>1</v>
      </c>
      <c r="G847">
        <v>21</v>
      </c>
      <c r="H847">
        <v>1</v>
      </c>
      <c r="I847">
        <v>83</v>
      </c>
      <c r="J847">
        <v>29</v>
      </c>
      <c r="K847">
        <v>2</v>
      </c>
      <c r="L847">
        <v>2</v>
      </c>
      <c r="M847" t="s">
        <v>118</v>
      </c>
      <c r="N847">
        <v>528</v>
      </c>
      <c r="O847">
        <v>44</v>
      </c>
      <c r="P847">
        <v>376</v>
      </c>
      <c r="Q847">
        <v>34</v>
      </c>
      <c r="R847">
        <v>4</v>
      </c>
      <c r="S847">
        <v>26</v>
      </c>
      <c r="T847">
        <v>1</v>
      </c>
      <c r="U847">
        <v>175</v>
      </c>
      <c r="V847">
        <v>34</v>
      </c>
      <c r="W847">
        <v>1</v>
      </c>
      <c r="X847">
        <v>0</v>
      </c>
      <c r="Y847" t="s">
        <v>19</v>
      </c>
      <c r="Z847">
        <v>8</v>
      </c>
      <c r="AA847" s="3">
        <f>IF(AND(Table1[[#This Row],[Throw Out Pass Eff]]="N", Table1[[#This Row],[Against FCS Team]]="N"), ROUND(((5.45 * D847) + (150 * F847) + (100 * G847) - (300 * H847)) / E847, 2), " ")</f>
        <v>97.41</v>
      </c>
      <c r="AB847" s="3">
        <f>IF(AND(Table1[[#This Row],[Throw Out Pass Def Eff]]="N", Table1[[#This Row],[Against FCS Team]]="N"),200 - ROUND(((5.45 * P847) + (150 * R847) + (100 * S847) - (300 * T847)) / Q847, 2), " ")</f>
        <v>54.44</v>
      </c>
      <c r="AC847" s="3">
        <f>IF(AND(Table1[[#This Row],[Throw Out Rush Eff]]="N", Table1[[#This Row],[Against FCS Team]]="N"), ROUND(((23.2 * I847) + (150 * K847) - (300 * L847)) / J847, 2), " ")</f>
        <v>56.06</v>
      </c>
      <c r="AD847" s="3">
        <f>IF(AND(Table1[[#This Row],[Throw Out Rush Def Eff]]="N", Table1[[#This Row],[Against FCS Team]]="N"), 200 - ROUND(((23.2 * U847) + (150 * W847) - (300 * X847)) / V847, 2), " ")</f>
        <v>76.180000000000007</v>
      </c>
      <c r="AE847" s="3">
        <f>ROUND(Table1[[#This Row],[Opp Passing Attempts]]/(Table1[[#This Row],[Opp Passing Attempts]]+Table1[[#This Row],[Opp Rushing Attempts]]), 2)</f>
        <v>0.5</v>
      </c>
      <c r="AF847" s="3">
        <f>1-Table1[[#This Row],[Passing Weight]]</f>
        <v>0.5</v>
      </c>
      <c r="AG847" s="3" t="str">
        <f>IF(COUNTIF(A:A,Table1[[#This Row],[Opp Team Name]]) &gt; 0, "N", "Y")</f>
        <v>N</v>
      </c>
      <c r="AH847" s="3" t="str">
        <f>IF(Table1[[#This Row],[Passing Attempts]] &lt;15, "Y", "N")</f>
        <v>N</v>
      </c>
      <c r="AI847" s="3" t="str">
        <f>IF(Table1[[#This Row],[Rushing Attempts]] &lt; 15, "Y", "N")</f>
        <v>N</v>
      </c>
      <c r="AJ847" s="3" t="str">
        <f>IF(Table1[[#This Row],[Opp Passing Attempts]]&lt;15, "Y", "N")</f>
        <v>N</v>
      </c>
      <c r="AK847" s="3" t="str">
        <f>IF(Table1[[#This Row],[Opp Rushing Attempts]]&lt;15, "Y", "N")</f>
        <v>N</v>
      </c>
      <c r="AL84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90.04</v>
      </c>
      <c r="AM84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55.41</v>
      </c>
      <c r="AN84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61.36</v>
      </c>
      <c r="AO84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50.16</v>
      </c>
      <c r="AP847" s="3">
        <f>ABS(Table1[[#This Row],[Team Score]]-Table1[[#This Row],[Opp Team Score]])</f>
        <v>23</v>
      </c>
      <c r="AQ847" s="3">
        <f>SUM(Table1[[#This Row],[Team Score]], Table1[[#This Row],[Opp Team Score]])</f>
        <v>65</v>
      </c>
      <c r="AR84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115.91</v>
      </c>
      <c r="AS847" s="3">
        <f>IF(Table1[[#This Row],[Efficiency Difference]] = " ", " ", ROUND((Table1[[#This Row],[Winning Margin]]*100)/Table1[[#This Row],[Efficiency Difference]], 2))</f>
        <v>19.84</v>
      </c>
    </row>
    <row r="848" spans="1:45">
      <c r="A848" t="s">
        <v>177</v>
      </c>
      <c r="B848">
        <v>768</v>
      </c>
      <c r="C848">
        <v>55</v>
      </c>
      <c r="D848">
        <v>431</v>
      </c>
      <c r="E848">
        <v>40</v>
      </c>
      <c r="F848">
        <v>5</v>
      </c>
      <c r="G848">
        <v>25</v>
      </c>
      <c r="H848">
        <v>0</v>
      </c>
      <c r="I848">
        <v>102</v>
      </c>
      <c r="J848">
        <v>33</v>
      </c>
      <c r="K848">
        <v>2</v>
      </c>
      <c r="L848">
        <v>0</v>
      </c>
      <c r="M848" t="s">
        <v>190</v>
      </c>
      <c r="N848">
        <v>485</v>
      </c>
      <c r="O848">
        <v>12</v>
      </c>
      <c r="P848">
        <v>197</v>
      </c>
      <c r="Q848">
        <v>31</v>
      </c>
      <c r="R848">
        <v>0</v>
      </c>
      <c r="S848">
        <v>18</v>
      </c>
      <c r="T848">
        <v>0</v>
      </c>
      <c r="U848">
        <v>88</v>
      </c>
      <c r="V848">
        <v>32</v>
      </c>
      <c r="W848">
        <v>0</v>
      </c>
      <c r="X848">
        <v>0</v>
      </c>
      <c r="Y848" t="s">
        <v>16</v>
      </c>
      <c r="Z848">
        <v>2</v>
      </c>
      <c r="AA848" t="str">
        <f>IF(AND(Table1[[#This Row],[Throw Out Pass Eff]]="N", Table1[[#This Row],[Against FCS Team]]="N"), ROUND(((5.45 * D848) + (150 * F848) + (100 * G848) - (300 * H848)) / E848, 2), " ")</f>
        <v xml:space="preserve"> </v>
      </c>
      <c r="AB848" t="str">
        <f>IF(AND(Table1[[#This Row],[Throw Out Pass Def Eff]]="N", Table1[[#This Row],[Against FCS Team]]="N"),200 - ROUND(((5.45 * P848) + (150 * R848) + (100 * S848) - (300 * T848)) / Q848, 2), " ")</f>
        <v xml:space="preserve"> </v>
      </c>
      <c r="AC848" t="str">
        <f>IF(AND(Table1[[#This Row],[Throw Out Rush Eff]]="N", Table1[[#This Row],[Against FCS Team]]="N"), ROUND(((23.2 * I848) + (150 * K848) - (300 * L848)) / J848, 2), " ")</f>
        <v xml:space="preserve"> </v>
      </c>
      <c r="AD848" s="3" t="str">
        <f>IF(AND(Table1[[#This Row],[Throw Out Rush Def Eff]]="N", Table1[[#This Row],[Against FCS Team]]="N"), 200 - ROUND(((23.2 * U848) + (150 * W848) - (300 * X848)) / V848, 2), " ")</f>
        <v xml:space="preserve"> </v>
      </c>
      <c r="AE848" s="3">
        <f>ROUND(Table1[[#This Row],[Opp Passing Attempts]]/(Table1[[#This Row],[Opp Passing Attempts]]+Table1[[#This Row],[Opp Rushing Attempts]]), 2)</f>
        <v>0.49</v>
      </c>
      <c r="AF848" s="3">
        <f>1-Table1[[#This Row],[Passing Weight]]</f>
        <v>0.51</v>
      </c>
      <c r="AG848" s="3" t="str">
        <f>IF(COUNTIF(A:A,Table1[[#This Row],[Opp Team Name]]) &gt; 0, "N", "Y")</f>
        <v>Y</v>
      </c>
      <c r="AH848" s="3" t="str">
        <f>IF(Table1[[#This Row],[Passing Attempts]] &lt;15, "Y", "N")</f>
        <v>N</v>
      </c>
      <c r="AI848" s="3" t="str">
        <f>IF(Table1[[#This Row],[Rushing Attempts]] &lt; 15, "Y", "N")</f>
        <v>N</v>
      </c>
      <c r="AJ848" s="3" t="str">
        <f>IF(Table1[[#This Row],[Opp Passing Attempts]]&lt;15, "Y", "N")</f>
        <v>N</v>
      </c>
      <c r="AK848" s="3" t="str">
        <f>IF(Table1[[#This Row],[Opp Rushing Attempts]]&lt;15, "Y", "N")</f>
        <v>N</v>
      </c>
      <c r="AL848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4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48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48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48" s="3">
        <f>ABS(Table1[[#This Row],[Team Score]]-Table1[[#This Row],[Opp Team Score]])</f>
        <v>43</v>
      </c>
      <c r="AQ848" s="3">
        <f>SUM(Table1[[#This Row],[Team Score]], Table1[[#This Row],[Opp Team Score]])</f>
        <v>67</v>
      </c>
      <c r="AR84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48" s="3" t="str">
        <f>IF(Table1[[#This Row],[Efficiency Difference]] = " ", " ", ROUND((Table1[[#This Row],[Winning Margin]]*100)/Table1[[#This Row],[Efficiency Difference]], 2))</f>
        <v xml:space="preserve"> </v>
      </c>
    </row>
    <row r="849" spans="1:45">
      <c r="A849" t="s">
        <v>177</v>
      </c>
      <c r="B849">
        <v>768</v>
      </c>
      <c r="C849">
        <v>34</v>
      </c>
      <c r="D849">
        <v>249</v>
      </c>
      <c r="E849">
        <v>35</v>
      </c>
      <c r="F849">
        <v>2</v>
      </c>
      <c r="G849">
        <v>26</v>
      </c>
      <c r="H849">
        <v>0</v>
      </c>
      <c r="I849">
        <v>42</v>
      </c>
      <c r="J849">
        <v>26</v>
      </c>
      <c r="K849">
        <v>1</v>
      </c>
      <c r="L849">
        <v>0</v>
      </c>
      <c r="M849" t="s">
        <v>176</v>
      </c>
      <c r="N849">
        <v>388</v>
      </c>
      <c r="O849">
        <v>13</v>
      </c>
      <c r="P849">
        <v>115</v>
      </c>
      <c r="Q849">
        <v>21</v>
      </c>
      <c r="R849">
        <v>0</v>
      </c>
      <c r="S849">
        <v>15</v>
      </c>
      <c r="T849">
        <v>0</v>
      </c>
      <c r="U849">
        <v>72</v>
      </c>
      <c r="V849">
        <v>23</v>
      </c>
      <c r="W849">
        <v>0</v>
      </c>
      <c r="X849">
        <v>0</v>
      </c>
      <c r="Y849" t="s">
        <v>16</v>
      </c>
      <c r="Z849">
        <v>2</v>
      </c>
      <c r="AA849">
        <f>IF(AND(Table1[[#This Row],[Throw Out Pass Eff]]="N", Table1[[#This Row],[Against FCS Team]]="N"), ROUND(((5.45 * D849) + (150 * F849) + (100 * G849) - (300 * H849)) / E849, 2), " ")</f>
        <v>121.63</v>
      </c>
      <c r="AB849">
        <f>IF(AND(Table1[[#This Row],[Throw Out Pass Def Eff]]="N", Table1[[#This Row],[Against FCS Team]]="N"),200 - ROUND(((5.45 * P849) + (150 * R849) + (100 * S849) - (300 * T849)) / Q849, 2), " ")</f>
        <v>98.73</v>
      </c>
      <c r="AC849">
        <f>IF(AND(Table1[[#This Row],[Throw Out Rush Eff]]="N", Table1[[#This Row],[Against FCS Team]]="N"), ROUND(((23.2 * I849) + (150 * K849) - (300 * L849)) / J849, 2), " ")</f>
        <v>43.25</v>
      </c>
      <c r="AD849" s="3">
        <f>IF(AND(Table1[[#This Row],[Throw Out Rush Def Eff]]="N", Table1[[#This Row],[Against FCS Team]]="N"), 200 - ROUND(((23.2 * U849) + (150 * W849) - (300 * X849)) / V849, 2), " ")</f>
        <v>127.37</v>
      </c>
      <c r="AE849" s="3">
        <f>ROUND(Table1[[#This Row],[Opp Passing Attempts]]/(Table1[[#This Row],[Opp Passing Attempts]]+Table1[[#This Row],[Opp Rushing Attempts]]), 2)</f>
        <v>0.48</v>
      </c>
      <c r="AF849" s="3">
        <f>1-Table1[[#This Row],[Passing Weight]]</f>
        <v>0.52</v>
      </c>
      <c r="AG849" s="3" t="str">
        <f>IF(COUNTIF(A:A,Table1[[#This Row],[Opp Team Name]]) &gt; 0, "N", "Y")</f>
        <v>N</v>
      </c>
      <c r="AH849" s="3" t="str">
        <f>IF(Table1[[#This Row],[Passing Attempts]] &lt;15, "Y", "N")</f>
        <v>N</v>
      </c>
      <c r="AI849" s="3" t="str">
        <f>IF(Table1[[#This Row],[Rushing Attempts]] &lt; 15, "Y", "N")</f>
        <v>N</v>
      </c>
      <c r="AJ849" s="3" t="str">
        <f>IF(Table1[[#This Row],[Opp Passing Attempts]]&lt;15, "Y", "N")</f>
        <v>N</v>
      </c>
      <c r="AK849" s="3" t="str">
        <f>IF(Table1[[#This Row],[Opp Rushing Attempts]]&lt;15, "Y", "N")</f>
        <v>N</v>
      </c>
      <c r="AL84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107.02</v>
      </c>
      <c r="AM84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81.540000000000006</v>
      </c>
      <c r="AN84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46.73</v>
      </c>
      <c r="AO84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87.84</v>
      </c>
      <c r="AP849" s="3">
        <f>ABS(Table1[[#This Row],[Team Score]]-Table1[[#This Row],[Opp Team Score]])</f>
        <v>21</v>
      </c>
      <c r="AQ849" s="3">
        <f>SUM(Table1[[#This Row],[Team Score]], Table1[[#This Row],[Opp Team Score]])</f>
        <v>47</v>
      </c>
      <c r="AR84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9.0199999999999818</v>
      </c>
      <c r="AS849" s="3">
        <f>IF(Table1[[#This Row],[Efficiency Difference]] = " ", " ", ROUND((Table1[[#This Row],[Winning Margin]]*100)/Table1[[#This Row],[Efficiency Difference]], 2))</f>
        <v>232.82</v>
      </c>
    </row>
    <row r="850" spans="1:45">
      <c r="A850" t="s">
        <v>177</v>
      </c>
      <c r="B850">
        <v>768</v>
      </c>
      <c r="C850">
        <v>37</v>
      </c>
      <c r="D850">
        <v>388</v>
      </c>
      <c r="E850">
        <v>49</v>
      </c>
      <c r="F850">
        <v>1</v>
      </c>
      <c r="G850">
        <v>36</v>
      </c>
      <c r="H850">
        <v>1</v>
      </c>
      <c r="I850">
        <v>92</v>
      </c>
      <c r="J850">
        <v>31</v>
      </c>
      <c r="K850">
        <v>2</v>
      </c>
      <c r="L850">
        <v>2</v>
      </c>
      <c r="M850" t="s">
        <v>178</v>
      </c>
      <c r="N850">
        <v>392</v>
      </c>
      <c r="O850">
        <v>31</v>
      </c>
      <c r="P850">
        <v>289</v>
      </c>
      <c r="Q850">
        <v>52</v>
      </c>
      <c r="R850">
        <v>1</v>
      </c>
      <c r="S850">
        <v>34</v>
      </c>
      <c r="T850">
        <v>3</v>
      </c>
      <c r="U850">
        <v>188</v>
      </c>
      <c r="V850">
        <v>35</v>
      </c>
      <c r="W850">
        <v>3</v>
      </c>
      <c r="X850">
        <v>0</v>
      </c>
      <c r="Y850" t="s">
        <v>16</v>
      </c>
      <c r="Z850">
        <v>3</v>
      </c>
      <c r="AA850">
        <f>IF(AND(Table1[[#This Row],[Throw Out Pass Eff]]="N", Table1[[#This Row],[Against FCS Team]]="N"), ROUND(((5.45 * D850) + (150 * F850) + (100 * G850) - (300 * H850)) / E850, 2), " ")</f>
        <v>113.56</v>
      </c>
      <c r="AB850">
        <f>IF(AND(Table1[[#This Row],[Throw Out Pass Def Eff]]="N", Table1[[#This Row],[Against FCS Team]]="N"),200 - ROUND(((5.45 * P850) + (150 * R850) + (100 * S850) - (300 * T850)) / Q850, 2), " ")</f>
        <v>118.75</v>
      </c>
      <c r="AC850">
        <f>IF(AND(Table1[[#This Row],[Throw Out Rush Eff]]="N", Table1[[#This Row],[Against FCS Team]]="N"), ROUND(((23.2 * I850) + (150 * K850) - (300 * L850)) / J850, 2), " ")</f>
        <v>59.17</v>
      </c>
      <c r="AD850" s="3">
        <f>IF(AND(Table1[[#This Row],[Throw Out Rush Def Eff]]="N", Table1[[#This Row],[Against FCS Team]]="N"), 200 - ROUND(((23.2 * U850) + (150 * W850) - (300 * X850)) / V850, 2), " ")</f>
        <v>62.53</v>
      </c>
      <c r="AE850" s="3">
        <f>ROUND(Table1[[#This Row],[Opp Passing Attempts]]/(Table1[[#This Row],[Opp Passing Attempts]]+Table1[[#This Row],[Opp Rushing Attempts]]), 2)</f>
        <v>0.6</v>
      </c>
      <c r="AF850" s="3">
        <f>1-Table1[[#This Row],[Passing Weight]]</f>
        <v>0.4</v>
      </c>
      <c r="AG850" s="3" t="str">
        <f>IF(COUNTIF(A:A,Table1[[#This Row],[Opp Team Name]]) &gt; 0, "N", "Y")</f>
        <v>N</v>
      </c>
      <c r="AH850" s="3" t="str">
        <f>IF(Table1[[#This Row],[Passing Attempts]] &lt;15, "Y", "N")</f>
        <v>N</v>
      </c>
      <c r="AI850" s="3" t="str">
        <f>IF(Table1[[#This Row],[Rushing Attempts]] &lt; 15, "Y", "N")</f>
        <v>N</v>
      </c>
      <c r="AJ850" s="3" t="str">
        <f>IF(Table1[[#This Row],[Opp Passing Attempts]]&lt;15, "Y", "N")</f>
        <v>N</v>
      </c>
      <c r="AK850" s="3" t="str">
        <f>IF(Table1[[#This Row],[Opp Rushing Attempts]]&lt;15, "Y", "N")</f>
        <v>N</v>
      </c>
      <c r="AL85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119.09</v>
      </c>
      <c r="AM85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92.74</v>
      </c>
      <c r="AN85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51.34</v>
      </c>
      <c r="AO85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64.650000000000006</v>
      </c>
      <c r="AP850" s="3">
        <f>ABS(Table1[[#This Row],[Team Score]]-Table1[[#This Row],[Opp Team Score]])</f>
        <v>6</v>
      </c>
      <c r="AQ850" s="3">
        <f>SUM(Table1[[#This Row],[Team Score]], Table1[[#This Row],[Opp Team Score]])</f>
        <v>68</v>
      </c>
      <c r="AR85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45.989999999999981</v>
      </c>
      <c r="AS850" s="3">
        <f>IF(Table1[[#This Row],[Efficiency Difference]] = " ", " ", ROUND((Table1[[#This Row],[Winning Margin]]*100)/Table1[[#This Row],[Efficiency Difference]], 2))</f>
        <v>13.05</v>
      </c>
    </row>
    <row r="851" spans="1:45">
      <c r="A851" t="s">
        <v>177</v>
      </c>
      <c r="B851">
        <v>768</v>
      </c>
      <c r="C851">
        <v>21</v>
      </c>
      <c r="D851">
        <v>463</v>
      </c>
      <c r="E851">
        <v>65</v>
      </c>
      <c r="F851">
        <v>2</v>
      </c>
      <c r="G851">
        <v>38</v>
      </c>
      <c r="H851">
        <v>2</v>
      </c>
      <c r="I851">
        <v>70</v>
      </c>
      <c r="J851">
        <v>22</v>
      </c>
      <c r="K851">
        <v>1</v>
      </c>
      <c r="L851">
        <v>2</v>
      </c>
      <c r="M851" t="s">
        <v>92</v>
      </c>
      <c r="N851">
        <v>365</v>
      </c>
      <c r="O851">
        <v>47</v>
      </c>
      <c r="P851">
        <v>180</v>
      </c>
      <c r="Q851">
        <v>28</v>
      </c>
      <c r="R851">
        <v>3</v>
      </c>
      <c r="S851">
        <v>16</v>
      </c>
      <c r="T851">
        <v>0</v>
      </c>
      <c r="U851">
        <v>186</v>
      </c>
      <c r="V851">
        <v>41</v>
      </c>
      <c r="W851">
        <v>3</v>
      </c>
      <c r="X851">
        <v>0</v>
      </c>
      <c r="Y851" t="s">
        <v>19</v>
      </c>
      <c r="Z851">
        <v>4</v>
      </c>
      <c r="AA851">
        <f>IF(AND(Table1[[#This Row],[Throw Out Pass Eff]]="N", Table1[[#This Row],[Against FCS Team]]="N"), ROUND(((5.45 * D851) + (150 * F851) + (100 * G851) - (300 * H851)) / E851, 2), " ")</f>
        <v>92.67</v>
      </c>
      <c r="AB851">
        <f>IF(AND(Table1[[#This Row],[Throw Out Pass Def Eff]]="N", Table1[[#This Row],[Against FCS Team]]="N"),200 - ROUND(((5.45 * P851) + (150 * R851) + (100 * S851) - (300 * T851)) / Q851, 2), " ")</f>
        <v>91.75</v>
      </c>
      <c r="AC851">
        <f>IF(AND(Table1[[#This Row],[Throw Out Rush Eff]]="N", Table1[[#This Row],[Against FCS Team]]="N"), ROUND(((23.2 * I851) + (150 * K851) - (300 * L851)) / J851, 2), " ")</f>
        <v>53.36</v>
      </c>
      <c r="AD851" s="3">
        <f>IF(AND(Table1[[#This Row],[Throw Out Rush Def Eff]]="N", Table1[[#This Row],[Against FCS Team]]="N"), 200 - ROUND(((23.2 * U851) + (150 * W851) - (300 * X851)) / V851, 2), " ")</f>
        <v>83.78</v>
      </c>
      <c r="AE851" s="3">
        <f>ROUND(Table1[[#This Row],[Opp Passing Attempts]]/(Table1[[#This Row],[Opp Passing Attempts]]+Table1[[#This Row],[Opp Rushing Attempts]]), 2)</f>
        <v>0.41</v>
      </c>
      <c r="AF851" s="3">
        <f>1-Table1[[#This Row],[Passing Weight]]</f>
        <v>0.59000000000000008</v>
      </c>
      <c r="AG851" s="3" t="str">
        <f>IF(COUNTIF(A:A,Table1[[#This Row],[Opp Team Name]]) &gt; 0, "N", "Y")</f>
        <v>N</v>
      </c>
      <c r="AH851" s="3" t="str">
        <f>IF(Table1[[#This Row],[Passing Attempts]] &lt;15, "Y", "N")</f>
        <v>N</v>
      </c>
      <c r="AI851" s="3" t="str">
        <f>IF(Table1[[#This Row],[Rushing Attempts]] &lt; 15, "Y", "N")</f>
        <v>N</v>
      </c>
      <c r="AJ851" s="3" t="str">
        <f>IF(Table1[[#This Row],[Opp Passing Attempts]]&lt;15, "Y", "N")</f>
        <v>N</v>
      </c>
      <c r="AK851" s="3" t="str">
        <f>IF(Table1[[#This Row],[Opp Rushing Attempts]]&lt;15, "Y", "N")</f>
        <v>N</v>
      </c>
      <c r="AL85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123.63</v>
      </c>
      <c r="AM85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101.3</v>
      </c>
      <c r="AN85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74.53</v>
      </c>
      <c r="AO85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90.37</v>
      </c>
      <c r="AP851" s="3">
        <f>ABS(Table1[[#This Row],[Team Score]]-Table1[[#This Row],[Opp Team Score]])</f>
        <v>26</v>
      </c>
      <c r="AQ851" s="3">
        <f>SUM(Table1[[#This Row],[Team Score]], Table1[[#This Row],[Opp Team Score]])</f>
        <v>68</v>
      </c>
      <c r="AR85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78.44</v>
      </c>
      <c r="AS851" s="3">
        <f>IF(Table1[[#This Row],[Efficiency Difference]] = " ", " ", ROUND((Table1[[#This Row],[Winning Margin]]*100)/Table1[[#This Row],[Efficiency Difference]], 2))</f>
        <v>33.15</v>
      </c>
    </row>
    <row r="852" spans="1:45">
      <c r="A852" t="s">
        <v>177</v>
      </c>
      <c r="B852">
        <v>768</v>
      </c>
      <c r="C852">
        <v>55</v>
      </c>
      <c r="D852">
        <v>283</v>
      </c>
      <c r="E852">
        <v>33</v>
      </c>
      <c r="F852">
        <v>3</v>
      </c>
      <c r="G852">
        <v>19</v>
      </c>
      <c r="H852">
        <v>0</v>
      </c>
      <c r="I852">
        <v>360</v>
      </c>
      <c r="J852">
        <v>46</v>
      </c>
      <c r="K852">
        <v>4</v>
      </c>
      <c r="L852">
        <v>0</v>
      </c>
      <c r="M852" t="s">
        <v>42</v>
      </c>
      <c r="N852">
        <v>71</v>
      </c>
      <c r="O852">
        <v>10</v>
      </c>
      <c r="P852">
        <v>114</v>
      </c>
      <c r="Q852">
        <v>26</v>
      </c>
      <c r="R852">
        <v>1</v>
      </c>
      <c r="S852">
        <v>13</v>
      </c>
      <c r="T852">
        <v>3</v>
      </c>
      <c r="U852">
        <v>103</v>
      </c>
      <c r="V852">
        <v>36</v>
      </c>
      <c r="W852">
        <v>0</v>
      </c>
      <c r="X852">
        <v>2</v>
      </c>
      <c r="Y852" t="s">
        <v>16</v>
      </c>
      <c r="Z852">
        <v>5</v>
      </c>
      <c r="AA852">
        <f>IF(AND(Table1[[#This Row],[Throw Out Pass Eff]]="N", Table1[[#This Row],[Against FCS Team]]="N"), ROUND(((5.45 * D852) + (150 * F852) + (100 * G852) - (300 * H852)) / E852, 2), " ")</f>
        <v>117.95</v>
      </c>
      <c r="AB852">
        <f>IF(AND(Table1[[#This Row],[Throw Out Pass Def Eff]]="N", Table1[[#This Row],[Against FCS Team]]="N"),200 - ROUND(((5.45 * P852) + (150 * R852) + (100 * S852) - (300 * T852)) / Q852, 2), " ")</f>
        <v>154.94999999999999</v>
      </c>
      <c r="AC852">
        <f>IF(AND(Table1[[#This Row],[Throw Out Rush Eff]]="N", Table1[[#This Row],[Against FCS Team]]="N"), ROUND(((23.2 * I852) + (150 * K852) - (300 * L852)) / J852, 2), " ")</f>
        <v>194.61</v>
      </c>
      <c r="AD852" s="3">
        <f>IF(AND(Table1[[#This Row],[Throw Out Rush Def Eff]]="N", Table1[[#This Row],[Against FCS Team]]="N"), 200 - ROUND(((23.2 * U852) + (150 * W852) - (300 * X852)) / V852, 2), " ")</f>
        <v>150.29</v>
      </c>
      <c r="AE852" s="3">
        <f>ROUND(Table1[[#This Row],[Opp Passing Attempts]]/(Table1[[#This Row],[Opp Passing Attempts]]+Table1[[#This Row],[Opp Rushing Attempts]]), 2)</f>
        <v>0.42</v>
      </c>
      <c r="AF852" s="3">
        <f>1-Table1[[#This Row],[Passing Weight]]</f>
        <v>0.58000000000000007</v>
      </c>
      <c r="AG852" s="3" t="str">
        <f>IF(COUNTIF(A:A,Table1[[#This Row],[Opp Team Name]]) &gt; 0, "N", "Y")</f>
        <v>N</v>
      </c>
      <c r="AH852" s="3" t="str">
        <f>IF(Table1[[#This Row],[Passing Attempts]] &lt;15, "Y", "N")</f>
        <v>N</v>
      </c>
      <c r="AI852" s="3" t="str">
        <f>IF(Table1[[#This Row],[Rushing Attempts]] &lt; 15, "Y", "N")</f>
        <v>N</v>
      </c>
      <c r="AJ852" s="3" t="str">
        <f>IF(Table1[[#This Row],[Opp Passing Attempts]]&lt;15, "Y", "N")</f>
        <v>N</v>
      </c>
      <c r="AK852" s="3" t="str">
        <f>IF(Table1[[#This Row],[Opp Rushing Attempts]]&lt;15, "Y", "N")</f>
        <v>N</v>
      </c>
      <c r="AL85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115.79</v>
      </c>
      <c r="AM85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147.61000000000001</v>
      </c>
      <c r="AN85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172.96</v>
      </c>
      <c r="AO85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113.21</v>
      </c>
      <c r="AP852" s="3">
        <f>ABS(Table1[[#This Row],[Team Score]]-Table1[[#This Row],[Opp Team Score]])</f>
        <v>45</v>
      </c>
      <c r="AQ852" s="3">
        <f>SUM(Table1[[#This Row],[Team Score]], Table1[[#This Row],[Opp Team Score]])</f>
        <v>65</v>
      </c>
      <c r="AR85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217.8</v>
      </c>
      <c r="AS852" s="3">
        <f>IF(Table1[[#This Row],[Efficiency Difference]] = " ", " ", ROUND((Table1[[#This Row],[Winning Margin]]*100)/Table1[[#This Row],[Efficiency Difference]], 2))</f>
        <v>20.66</v>
      </c>
    </row>
    <row r="853" spans="1:45">
      <c r="A853" t="s">
        <v>177</v>
      </c>
      <c r="B853">
        <v>768</v>
      </c>
      <c r="C853">
        <v>43</v>
      </c>
      <c r="D853">
        <v>469</v>
      </c>
      <c r="E853">
        <v>48</v>
      </c>
      <c r="F853">
        <v>4</v>
      </c>
      <c r="G853">
        <v>28</v>
      </c>
      <c r="H853">
        <v>1</v>
      </c>
      <c r="I853">
        <v>72</v>
      </c>
      <c r="J853">
        <v>29</v>
      </c>
      <c r="K853">
        <v>1</v>
      </c>
      <c r="L853">
        <v>1</v>
      </c>
      <c r="M853" t="s">
        <v>60</v>
      </c>
      <c r="N853">
        <v>164</v>
      </c>
      <c r="O853">
        <v>16</v>
      </c>
      <c r="P853">
        <v>193</v>
      </c>
      <c r="Q853">
        <v>37</v>
      </c>
      <c r="R853">
        <v>0</v>
      </c>
      <c r="S853">
        <v>21</v>
      </c>
      <c r="T853">
        <v>0</v>
      </c>
      <c r="U853">
        <v>82</v>
      </c>
      <c r="V853">
        <v>35</v>
      </c>
      <c r="W853">
        <v>0</v>
      </c>
      <c r="X853">
        <v>1</v>
      </c>
      <c r="Y853" t="s">
        <v>16</v>
      </c>
      <c r="Z853">
        <v>6</v>
      </c>
      <c r="AA853">
        <f>IF(AND(Table1[[#This Row],[Throw Out Pass Eff]]="N", Table1[[#This Row],[Against FCS Team]]="N"), ROUND(((5.45 * D853) + (150 * F853) + (100 * G853) - (300 * H853)) / E853, 2), " ")</f>
        <v>117.83</v>
      </c>
      <c r="AB853">
        <f>IF(AND(Table1[[#This Row],[Throw Out Pass Def Eff]]="N", Table1[[#This Row],[Against FCS Team]]="N"),200 - ROUND(((5.45 * P853) + (150 * R853) + (100 * S853) - (300 * T853)) / Q853, 2), " ")</f>
        <v>114.81</v>
      </c>
      <c r="AC853">
        <f>IF(AND(Table1[[#This Row],[Throw Out Rush Eff]]="N", Table1[[#This Row],[Against FCS Team]]="N"), ROUND(((23.2 * I853) + (150 * K853) - (300 * L853)) / J853, 2), " ")</f>
        <v>52.43</v>
      </c>
      <c r="AD853" s="3">
        <f>IF(AND(Table1[[#This Row],[Throw Out Rush Def Eff]]="N", Table1[[#This Row],[Against FCS Team]]="N"), 200 - ROUND(((23.2 * U853) + (150 * W853) - (300 * X853)) / V853, 2), " ")</f>
        <v>154.22</v>
      </c>
      <c r="AE853" s="3">
        <f>ROUND(Table1[[#This Row],[Opp Passing Attempts]]/(Table1[[#This Row],[Opp Passing Attempts]]+Table1[[#This Row],[Opp Rushing Attempts]]), 2)</f>
        <v>0.51</v>
      </c>
      <c r="AF853" s="3">
        <f>1-Table1[[#This Row],[Passing Weight]]</f>
        <v>0.49</v>
      </c>
      <c r="AG853" s="3" t="str">
        <f>IF(COUNTIF(A:A,Table1[[#This Row],[Opp Team Name]]) &gt; 0, "N", "Y")</f>
        <v>N</v>
      </c>
      <c r="AH853" s="3" t="str">
        <f>IF(Table1[[#This Row],[Passing Attempts]] &lt;15, "Y", "N")</f>
        <v>N</v>
      </c>
      <c r="AI853" s="3" t="str">
        <f>IF(Table1[[#This Row],[Rushing Attempts]] &lt; 15, "Y", "N")</f>
        <v>N</v>
      </c>
      <c r="AJ853" s="3" t="str">
        <f>IF(Table1[[#This Row],[Opp Passing Attempts]]&lt;15, "Y", "N")</f>
        <v>N</v>
      </c>
      <c r="AK853" s="3" t="str">
        <f>IF(Table1[[#This Row],[Opp Rushing Attempts]]&lt;15, "Y", "N")</f>
        <v>N</v>
      </c>
      <c r="AL85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130.91</v>
      </c>
      <c r="AM85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96.48</v>
      </c>
      <c r="AN85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71.17</v>
      </c>
      <c r="AO85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85.27</v>
      </c>
      <c r="AP853" s="3">
        <f>ABS(Table1[[#This Row],[Team Score]]-Table1[[#This Row],[Opp Team Score]])</f>
        <v>27</v>
      </c>
      <c r="AQ853" s="3">
        <f>SUM(Table1[[#This Row],[Team Score]], Table1[[#This Row],[Opp Team Score]])</f>
        <v>59</v>
      </c>
      <c r="AR85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39.289999999999964</v>
      </c>
      <c r="AS853" s="3">
        <f>IF(Table1[[#This Row],[Efficiency Difference]] = " ", " ", ROUND((Table1[[#This Row],[Winning Margin]]*100)/Table1[[#This Row],[Efficiency Difference]], 2))</f>
        <v>68.72</v>
      </c>
    </row>
    <row r="854" spans="1:45">
      <c r="A854" t="s">
        <v>177</v>
      </c>
      <c r="B854">
        <v>768</v>
      </c>
      <c r="C854">
        <v>23</v>
      </c>
      <c r="D854">
        <v>338</v>
      </c>
      <c r="E854">
        <v>41</v>
      </c>
      <c r="F854">
        <v>2</v>
      </c>
      <c r="G854">
        <v>24</v>
      </c>
      <c r="H854">
        <v>2</v>
      </c>
      <c r="I854">
        <v>70</v>
      </c>
      <c r="J854">
        <v>24</v>
      </c>
      <c r="K854">
        <v>1</v>
      </c>
      <c r="L854">
        <v>0</v>
      </c>
      <c r="M854" t="s">
        <v>130</v>
      </c>
      <c r="N854">
        <v>688</v>
      </c>
      <c r="O854">
        <v>49</v>
      </c>
      <c r="P854">
        <v>249</v>
      </c>
      <c r="Q854">
        <v>33</v>
      </c>
      <c r="R854">
        <v>4</v>
      </c>
      <c r="S854">
        <v>25</v>
      </c>
      <c r="T854">
        <v>0</v>
      </c>
      <c r="U854">
        <v>194</v>
      </c>
      <c r="V854">
        <v>41</v>
      </c>
      <c r="W854">
        <v>2</v>
      </c>
      <c r="X854">
        <v>0</v>
      </c>
      <c r="Y854" t="s">
        <v>19</v>
      </c>
      <c r="Z854">
        <v>8</v>
      </c>
      <c r="AA854" s="3">
        <f>IF(AND(Table1[[#This Row],[Throw Out Pass Eff]]="N", Table1[[#This Row],[Against FCS Team]]="N"), ROUND(((5.45 * D854) + (150 * F854) + (100 * G854) - (300 * H854)) / E854, 2), " ")</f>
        <v>96.15</v>
      </c>
      <c r="AB854" s="3">
        <f>IF(AND(Table1[[#This Row],[Throw Out Pass Def Eff]]="N", Table1[[#This Row],[Against FCS Team]]="N"),200 - ROUND(((5.45 * P854) + (150 * R854) + (100 * S854) - (300 * T854)) / Q854, 2), " ")</f>
        <v>64.94</v>
      </c>
      <c r="AC854" s="3">
        <f>IF(AND(Table1[[#This Row],[Throw Out Rush Eff]]="N", Table1[[#This Row],[Against FCS Team]]="N"), ROUND(((23.2 * I854) + (150 * K854) - (300 * L854)) / J854, 2), " ")</f>
        <v>73.92</v>
      </c>
      <c r="AD854" s="3">
        <f>IF(AND(Table1[[#This Row],[Throw Out Rush Def Eff]]="N", Table1[[#This Row],[Against FCS Team]]="N"), 200 - ROUND(((23.2 * U854) + (150 * W854) - (300 * X854)) / V854, 2), " ")</f>
        <v>82.91</v>
      </c>
      <c r="AE854" s="3">
        <f>ROUND(Table1[[#This Row],[Opp Passing Attempts]]/(Table1[[#This Row],[Opp Passing Attempts]]+Table1[[#This Row],[Opp Rushing Attempts]]), 2)</f>
        <v>0.45</v>
      </c>
      <c r="AF854" s="3">
        <f>1-Table1[[#This Row],[Passing Weight]]</f>
        <v>0.55000000000000004</v>
      </c>
      <c r="AG854" s="3" t="str">
        <f>IF(COUNTIF(A:A,Table1[[#This Row],[Opp Team Name]]) &gt; 0, "N", "Y")</f>
        <v>N</v>
      </c>
      <c r="AH854" s="3" t="str">
        <f>IF(Table1[[#This Row],[Passing Attempts]] &lt;15, "Y", "N")</f>
        <v>N</v>
      </c>
      <c r="AI854" s="3" t="str">
        <f>IF(Table1[[#This Row],[Rushing Attempts]] &lt; 15, "Y", "N")</f>
        <v>N</v>
      </c>
      <c r="AJ854" s="3" t="str">
        <f>IF(Table1[[#This Row],[Opp Passing Attempts]]&lt;15, "Y", "N")</f>
        <v>N</v>
      </c>
      <c r="AK854" s="3" t="str">
        <f>IF(Table1[[#This Row],[Opp Rushing Attempts]]&lt;15, "Y", "N")</f>
        <v>N</v>
      </c>
      <c r="AL85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85.94</v>
      </c>
      <c r="AM85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68.73</v>
      </c>
      <c r="AN85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99.35</v>
      </c>
      <c r="AO85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75.08</v>
      </c>
      <c r="AP854" s="3">
        <f>ABS(Table1[[#This Row],[Team Score]]-Table1[[#This Row],[Opp Team Score]])</f>
        <v>26</v>
      </c>
      <c r="AQ854" s="3">
        <f>SUM(Table1[[#This Row],[Team Score]], Table1[[#This Row],[Opp Team Score]])</f>
        <v>72</v>
      </c>
      <c r="AR85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82.080000000000013</v>
      </c>
      <c r="AS854" s="3">
        <f>IF(Table1[[#This Row],[Efficiency Difference]] = " ", " ", ROUND((Table1[[#This Row],[Winning Margin]]*100)/Table1[[#This Row],[Efficiency Difference]], 2))</f>
        <v>31.68</v>
      </c>
    </row>
    <row r="855" spans="1:45">
      <c r="A855" t="s">
        <v>85</v>
      </c>
      <c r="B855">
        <v>772</v>
      </c>
      <c r="C855">
        <v>16</v>
      </c>
      <c r="D855">
        <v>241</v>
      </c>
      <c r="E855">
        <v>31</v>
      </c>
      <c r="F855">
        <v>2</v>
      </c>
      <c r="G855">
        <v>23</v>
      </c>
      <c r="H855">
        <v>1</v>
      </c>
      <c r="I855">
        <v>128</v>
      </c>
      <c r="J855">
        <v>36</v>
      </c>
      <c r="K855">
        <v>0</v>
      </c>
      <c r="L855">
        <v>3</v>
      </c>
      <c r="M855" t="s">
        <v>121</v>
      </c>
      <c r="N855">
        <v>305</v>
      </c>
      <c r="O855">
        <v>44</v>
      </c>
      <c r="P855">
        <v>227</v>
      </c>
      <c r="Q855">
        <v>24</v>
      </c>
      <c r="R855">
        <v>3</v>
      </c>
      <c r="S855">
        <v>14</v>
      </c>
      <c r="T855">
        <v>1</v>
      </c>
      <c r="U855">
        <v>209</v>
      </c>
      <c r="V855">
        <v>33</v>
      </c>
      <c r="W855">
        <v>2</v>
      </c>
      <c r="X855">
        <v>0</v>
      </c>
      <c r="Y855" t="s">
        <v>19</v>
      </c>
      <c r="Z855">
        <v>3</v>
      </c>
      <c r="AA855" t="str">
        <f>IF(AND(Table1[[#This Row],[Throw Out Pass Eff]]="N", Table1[[#This Row],[Against FCS Team]]="N"), ROUND(((5.45 * D855) + (150 * F855) + (100 * G855) - (300 * H855)) / E855, 2), " ")</f>
        <v xml:space="preserve"> </v>
      </c>
      <c r="AB855" t="str">
        <f>IF(AND(Table1[[#This Row],[Throw Out Pass Def Eff]]="N", Table1[[#This Row],[Against FCS Team]]="N"),200 - ROUND(((5.45 * P855) + (150 * R855) + (100 * S855) - (300 * T855)) / Q855, 2), " ")</f>
        <v xml:space="preserve"> </v>
      </c>
      <c r="AC855" t="str">
        <f>IF(AND(Table1[[#This Row],[Throw Out Rush Eff]]="N", Table1[[#This Row],[Against FCS Team]]="N"), ROUND(((23.2 * I855) + (150 * K855) - (300 * L855)) / J855, 2), " ")</f>
        <v xml:space="preserve"> </v>
      </c>
      <c r="AD855" s="3" t="str">
        <f>IF(AND(Table1[[#This Row],[Throw Out Rush Def Eff]]="N", Table1[[#This Row],[Against FCS Team]]="N"), 200 - ROUND(((23.2 * U855) + (150 * W855) - (300 * X855)) / V855, 2), " ")</f>
        <v xml:space="preserve"> </v>
      </c>
      <c r="AE855" s="3">
        <f>ROUND(Table1[[#This Row],[Opp Passing Attempts]]/(Table1[[#This Row],[Opp Passing Attempts]]+Table1[[#This Row],[Opp Rushing Attempts]]), 2)</f>
        <v>0.42</v>
      </c>
      <c r="AF855" s="3">
        <f>1-Table1[[#This Row],[Passing Weight]]</f>
        <v>0.58000000000000007</v>
      </c>
      <c r="AG855" s="3" t="str">
        <f>IF(COUNTIF(A:A,Table1[[#This Row],[Opp Team Name]]) &gt; 0, "N", "Y")</f>
        <v>Y</v>
      </c>
      <c r="AH855" s="3" t="str">
        <f>IF(Table1[[#This Row],[Passing Attempts]] &lt;15, "Y", "N")</f>
        <v>N</v>
      </c>
      <c r="AI855" s="3" t="str">
        <f>IF(Table1[[#This Row],[Rushing Attempts]] &lt; 15, "Y", "N")</f>
        <v>N</v>
      </c>
      <c r="AJ855" s="3" t="str">
        <f>IF(Table1[[#This Row],[Opp Passing Attempts]]&lt;15, "Y", "N")</f>
        <v>N</v>
      </c>
      <c r="AK855" s="3" t="str">
        <f>IF(Table1[[#This Row],[Opp Rushing Attempts]]&lt;15, "Y", "N")</f>
        <v>N</v>
      </c>
      <c r="AL855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55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55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55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55" s="3">
        <f>ABS(Table1[[#This Row],[Team Score]]-Table1[[#This Row],[Opp Team Score]])</f>
        <v>28</v>
      </c>
      <c r="AQ855" s="3">
        <f>SUM(Table1[[#This Row],[Team Score]], Table1[[#This Row],[Opp Team Score]])</f>
        <v>60</v>
      </c>
      <c r="AR855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55" s="3" t="str">
        <f>IF(Table1[[#This Row],[Efficiency Difference]] = " ", " ", ROUND((Table1[[#This Row],[Winning Margin]]*100)/Table1[[#This Row],[Efficiency Difference]], 2))</f>
        <v xml:space="preserve"> </v>
      </c>
    </row>
    <row r="856" spans="1:45">
      <c r="A856" t="s">
        <v>85</v>
      </c>
      <c r="B856">
        <v>772</v>
      </c>
      <c r="C856">
        <v>3</v>
      </c>
      <c r="D856">
        <v>93</v>
      </c>
      <c r="E856">
        <v>27</v>
      </c>
      <c r="F856">
        <v>0</v>
      </c>
      <c r="G856">
        <v>9</v>
      </c>
      <c r="H856">
        <v>4</v>
      </c>
      <c r="I856">
        <v>141</v>
      </c>
      <c r="J856">
        <v>42</v>
      </c>
      <c r="K856">
        <v>0</v>
      </c>
      <c r="L856">
        <v>0</v>
      </c>
      <c r="M856" t="s">
        <v>84</v>
      </c>
      <c r="N856">
        <v>334</v>
      </c>
      <c r="O856">
        <v>14</v>
      </c>
      <c r="P856">
        <v>97</v>
      </c>
      <c r="Q856">
        <v>18</v>
      </c>
      <c r="R856">
        <v>1</v>
      </c>
      <c r="S856">
        <v>7</v>
      </c>
      <c r="T856">
        <v>3</v>
      </c>
      <c r="U856">
        <v>93</v>
      </c>
      <c r="V856">
        <v>33</v>
      </c>
      <c r="W856">
        <v>1</v>
      </c>
      <c r="X856">
        <v>0</v>
      </c>
      <c r="Y856" t="s">
        <v>19</v>
      </c>
      <c r="Z856">
        <v>1</v>
      </c>
      <c r="AA856">
        <f>IF(AND(Table1[[#This Row],[Throw Out Pass Eff]]="N", Table1[[#This Row],[Against FCS Team]]="N"), ROUND(((5.45 * D856) + (150 * F856) + (100 * G856) - (300 * H856)) / E856, 2), " ")</f>
        <v>7.66</v>
      </c>
      <c r="AB856">
        <f>IF(AND(Table1[[#This Row],[Throw Out Pass Def Eff]]="N", Table1[[#This Row],[Against FCS Team]]="N"),200 - ROUND(((5.45 * P856) + (150 * R856) + (100 * S856) - (300 * T856)) / Q856, 2), " ")</f>
        <v>173.41</v>
      </c>
      <c r="AC856">
        <f>IF(AND(Table1[[#This Row],[Throw Out Rush Eff]]="N", Table1[[#This Row],[Against FCS Team]]="N"), ROUND(((23.2 * I856) + (150 * K856) - (300 * L856)) / J856, 2), " ")</f>
        <v>77.89</v>
      </c>
      <c r="AD856" s="3">
        <f>IF(AND(Table1[[#This Row],[Throw Out Rush Def Eff]]="N", Table1[[#This Row],[Against FCS Team]]="N"), 200 - ROUND(((23.2 * U856) + (150 * W856) - (300 * X856)) / V856, 2), " ")</f>
        <v>130.07</v>
      </c>
      <c r="AE856" s="3">
        <f>ROUND(Table1[[#This Row],[Opp Passing Attempts]]/(Table1[[#This Row],[Opp Passing Attempts]]+Table1[[#This Row],[Opp Rushing Attempts]]), 2)</f>
        <v>0.35</v>
      </c>
      <c r="AF856" s="3">
        <f>1-Table1[[#This Row],[Passing Weight]]</f>
        <v>0.65</v>
      </c>
      <c r="AG856" s="3" t="str">
        <f>IF(COUNTIF(A:A,Table1[[#This Row],[Opp Team Name]]) &gt; 0, "N", "Y")</f>
        <v>N</v>
      </c>
      <c r="AH856" s="3" t="str">
        <f>IF(Table1[[#This Row],[Passing Attempts]] &lt;15, "Y", "N")</f>
        <v>N</v>
      </c>
      <c r="AI856" s="3" t="str">
        <f>IF(Table1[[#This Row],[Rushing Attempts]] &lt; 15, "Y", "N")</f>
        <v>N</v>
      </c>
      <c r="AJ856" s="3" t="str">
        <f>IF(Table1[[#This Row],[Opp Passing Attempts]]&lt;15, "Y", "N")</f>
        <v>N</v>
      </c>
      <c r="AK856" s="3" t="str">
        <f>IF(Table1[[#This Row],[Opp Rushing Attempts]]&lt;15, "Y", "N")</f>
        <v>N</v>
      </c>
      <c r="AL85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9.07</v>
      </c>
      <c r="AM85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83.43</v>
      </c>
      <c r="AN85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66.180000000000007</v>
      </c>
      <c r="AO85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84.71</v>
      </c>
      <c r="AP856" s="3">
        <f>ABS(Table1[[#This Row],[Team Score]]-Table1[[#This Row],[Opp Team Score]])</f>
        <v>11</v>
      </c>
      <c r="AQ856" s="3">
        <f>SUM(Table1[[#This Row],[Team Score]], Table1[[#This Row],[Opp Team Score]])</f>
        <v>17</v>
      </c>
      <c r="AR85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10.969999999999985</v>
      </c>
      <c r="AS856" s="3">
        <f>IF(Table1[[#This Row],[Efficiency Difference]] = " ", " ", ROUND((Table1[[#This Row],[Winning Margin]]*100)/Table1[[#This Row],[Efficiency Difference]], 2))</f>
        <v>100.27</v>
      </c>
    </row>
    <row r="857" spans="1:45">
      <c r="A857" t="s">
        <v>85</v>
      </c>
      <c r="B857">
        <v>772</v>
      </c>
      <c r="C857">
        <v>14</v>
      </c>
      <c r="D857">
        <v>153</v>
      </c>
      <c r="E857">
        <v>33</v>
      </c>
      <c r="F857">
        <v>0</v>
      </c>
      <c r="G857">
        <v>19</v>
      </c>
      <c r="H857">
        <v>2</v>
      </c>
      <c r="I857">
        <v>124</v>
      </c>
      <c r="J857">
        <v>32</v>
      </c>
      <c r="K857">
        <v>2</v>
      </c>
      <c r="L857">
        <v>3</v>
      </c>
      <c r="M857" t="s">
        <v>104</v>
      </c>
      <c r="N857">
        <v>726</v>
      </c>
      <c r="O857">
        <v>40</v>
      </c>
      <c r="P857">
        <v>100</v>
      </c>
      <c r="Q857">
        <v>7</v>
      </c>
      <c r="R857">
        <v>2</v>
      </c>
      <c r="S857">
        <v>3</v>
      </c>
      <c r="T857">
        <v>0</v>
      </c>
      <c r="U857">
        <v>410</v>
      </c>
      <c r="V857">
        <v>57</v>
      </c>
      <c r="W857">
        <v>3</v>
      </c>
      <c r="X857">
        <v>3</v>
      </c>
      <c r="Y857" t="s">
        <v>19</v>
      </c>
      <c r="Z857">
        <v>2</v>
      </c>
      <c r="AA857">
        <f>IF(AND(Table1[[#This Row],[Throw Out Pass Eff]]="N", Table1[[#This Row],[Against FCS Team]]="N"), ROUND(((5.45 * D857) + (150 * F857) + (100 * G857) - (300 * H857)) / E857, 2), " ")</f>
        <v>64.66</v>
      </c>
      <c r="AB857" t="str">
        <f>IF(AND(Table1[[#This Row],[Throw Out Pass Def Eff]]="N", Table1[[#This Row],[Against FCS Team]]="N"),200 - ROUND(((5.45 * P857) + (150 * R857) + (100 * S857) - (300 * T857)) / Q857, 2), " ")</f>
        <v xml:space="preserve"> </v>
      </c>
      <c r="AC857">
        <f>IF(AND(Table1[[#This Row],[Throw Out Rush Eff]]="N", Table1[[#This Row],[Against FCS Team]]="N"), ROUND(((23.2 * I857) + (150 * K857) - (300 * L857)) / J857, 2), " ")</f>
        <v>71.150000000000006</v>
      </c>
      <c r="AD857" s="3">
        <f>IF(AND(Table1[[#This Row],[Throw Out Rush Def Eff]]="N", Table1[[#This Row],[Against FCS Team]]="N"), 200 - ROUND(((23.2 * U857) + (150 * W857) - (300 * X857)) / V857, 2), " ")</f>
        <v>41.02000000000001</v>
      </c>
      <c r="AE857" s="3">
        <f>ROUND(Table1[[#This Row],[Opp Passing Attempts]]/(Table1[[#This Row],[Opp Passing Attempts]]+Table1[[#This Row],[Opp Rushing Attempts]]), 2)</f>
        <v>0.11</v>
      </c>
      <c r="AF857" s="3">
        <f>1-Table1[[#This Row],[Passing Weight]]</f>
        <v>0.89</v>
      </c>
      <c r="AG857" s="3" t="str">
        <f>IF(COUNTIF(A:A,Table1[[#This Row],[Opp Team Name]]) &gt; 0, "N", "Y")</f>
        <v>N</v>
      </c>
      <c r="AH857" s="3" t="str">
        <f>IF(Table1[[#This Row],[Passing Attempts]] &lt;15, "Y", "N")</f>
        <v>N</v>
      </c>
      <c r="AI857" s="3" t="str">
        <f>IF(Table1[[#This Row],[Rushing Attempts]] &lt; 15, "Y", "N")</f>
        <v>N</v>
      </c>
      <c r="AJ857" s="3" t="str">
        <f>IF(Table1[[#This Row],[Opp Passing Attempts]]&lt;15, "Y", "N")</f>
        <v>Y</v>
      </c>
      <c r="AK857" s="3" t="str">
        <f>IF(Table1[[#This Row],[Opp Rushing Attempts]]&lt;15, "Y", "N")</f>
        <v>N</v>
      </c>
      <c r="AL85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51.79</v>
      </c>
      <c r="AM857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5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64.069999999999993</v>
      </c>
      <c r="AO85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53.87</v>
      </c>
      <c r="AP857" s="3">
        <f>ABS(Table1[[#This Row],[Team Score]]-Table1[[#This Row],[Opp Team Score]])</f>
        <v>26</v>
      </c>
      <c r="AQ857" s="3">
        <f>SUM(Table1[[#This Row],[Team Score]], Table1[[#This Row],[Opp Team Score]])</f>
        <v>54</v>
      </c>
      <c r="AR857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57" s="3" t="str">
        <f>IF(Table1[[#This Row],[Efficiency Difference]] = " ", " ", ROUND((Table1[[#This Row],[Winning Margin]]*100)/Table1[[#This Row],[Efficiency Difference]], 2))</f>
        <v xml:space="preserve"> </v>
      </c>
    </row>
    <row r="858" spans="1:45">
      <c r="A858" t="s">
        <v>85</v>
      </c>
      <c r="B858">
        <v>772</v>
      </c>
      <c r="C858">
        <v>22</v>
      </c>
      <c r="D858">
        <v>159</v>
      </c>
      <c r="E858">
        <v>24</v>
      </c>
      <c r="F858">
        <v>2</v>
      </c>
      <c r="G858">
        <v>14</v>
      </c>
      <c r="H858">
        <v>2</v>
      </c>
      <c r="I858">
        <v>152</v>
      </c>
      <c r="J858">
        <v>37</v>
      </c>
      <c r="K858">
        <v>1</v>
      </c>
      <c r="L858">
        <v>0</v>
      </c>
      <c r="M858" t="s">
        <v>28</v>
      </c>
      <c r="N858">
        <v>30</v>
      </c>
      <c r="O858">
        <v>26</v>
      </c>
      <c r="P858">
        <v>419</v>
      </c>
      <c r="Q858">
        <v>50</v>
      </c>
      <c r="R858">
        <v>2</v>
      </c>
      <c r="S858">
        <v>38</v>
      </c>
      <c r="T858">
        <v>0</v>
      </c>
      <c r="U858">
        <v>25</v>
      </c>
      <c r="V858">
        <v>28</v>
      </c>
      <c r="W858">
        <v>1</v>
      </c>
      <c r="X858">
        <v>0</v>
      </c>
      <c r="Y858" t="s">
        <v>19</v>
      </c>
      <c r="Z858">
        <v>5</v>
      </c>
      <c r="AA858">
        <f>IF(AND(Table1[[#This Row],[Throw Out Pass Eff]]="N", Table1[[#This Row],[Against FCS Team]]="N"), ROUND(((5.45 * D858) + (150 * F858) + (100 * G858) - (300 * H858)) / E858, 2), " ")</f>
        <v>81.94</v>
      </c>
      <c r="AB858">
        <f>IF(AND(Table1[[#This Row],[Throw Out Pass Def Eff]]="N", Table1[[#This Row],[Against FCS Team]]="N"),200 - ROUND(((5.45 * P858) + (150 * R858) + (100 * S858) - (300 * T858)) / Q858, 2), " ")</f>
        <v>72.33</v>
      </c>
      <c r="AC858">
        <f>IF(AND(Table1[[#This Row],[Throw Out Rush Eff]]="N", Table1[[#This Row],[Against FCS Team]]="N"), ROUND(((23.2 * I858) + (150 * K858) - (300 * L858)) / J858, 2), " ")</f>
        <v>99.36</v>
      </c>
      <c r="AD858" s="3">
        <f>IF(AND(Table1[[#This Row],[Throw Out Rush Def Eff]]="N", Table1[[#This Row],[Against FCS Team]]="N"), 200 - ROUND(((23.2 * U858) + (150 * W858) - (300 * X858)) / V858, 2), " ")</f>
        <v>173.93</v>
      </c>
      <c r="AE858" s="3">
        <f>ROUND(Table1[[#This Row],[Opp Passing Attempts]]/(Table1[[#This Row],[Opp Passing Attempts]]+Table1[[#This Row],[Opp Rushing Attempts]]), 2)</f>
        <v>0.64</v>
      </c>
      <c r="AF858" s="3">
        <f>1-Table1[[#This Row],[Passing Weight]]</f>
        <v>0.36</v>
      </c>
      <c r="AG858" s="3" t="str">
        <f>IF(COUNTIF(A:A,Table1[[#This Row],[Opp Team Name]]) &gt; 0, "N", "Y")</f>
        <v>N</v>
      </c>
      <c r="AH858" s="3" t="str">
        <f>IF(Table1[[#This Row],[Passing Attempts]] &lt;15, "Y", "N")</f>
        <v>N</v>
      </c>
      <c r="AI858" s="3" t="str">
        <f>IF(Table1[[#This Row],[Rushing Attempts]] &lt; 15, "Y", "N")</f>
        <v>N</v>
      </c>
      <c r="AJ858" s="3" t="str">
        <f>IF(Table1[[#This Row],[Opp Passing Attempts]]&lt;15, "Y", "N")</f>
        <v>N</v>
      </c>
      <c r="AK858" s="3" t="str">
        <f>IF(Table1[[#This Row],[Opp Rushing Attempts]]&lt;15, "Y", "N")</f>
        <v>N</v>
      </c>
      <c r="AL85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89.89</v>
      </c>
      <c r="AM85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73.75</v>
      </c>
      <c r="AN85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133.32</v>
      </c>
      <c r="AO85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125.21</v>
      </c>
      <c r="AP858" s="3">
        <f>ABS(Table1[[#This Row],[Team Score]]-Table1[[#This Row],[Opp Team Score]])</f>
        <v>4</v>
      </c>
      <c r="AQ858" s="3">
        <f>SUM(Table1[[#This Row],[Team Score]], Table1[[#This Row],[Opp Team Score]])</f>
        <v>48</v>
      </c>
      <c r="AR85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27.560000000000002</v>
      </c>
      <c r="AS858" s="3">
        <f>IF(Table1[[#This Row],[Efficiency Difference]] = " ", " ", ROUND((Table1[[#This Row],[Winning Margin]]*100)/Table1[[#This Row],[Efficiency Difference]], 2))</f>
        <v>14.51</v>
      </c>
    </row>
    <row r="859" spans="1:45">
      <c r="A859" t="s">
        <v>85</v>
      </c>
      <c r="B859">
        <v>772</v>
      </c>
      <c r="C859">
        <v>36</v>
      </c>
      <c r="D859">
        <v>222</v>
      </c>
      <c r="E859">
        <v>35</v>
      </c>
      <c r="F859">
        <v>1</v>
      </c>
      <c r="G859">
        <v>17</v>
      </c>
      <c r="H859">
        <v>0</v>
      </c>
      <c r="I859">
        <v>168</v>
      </c>
      <c r="J859">
        <v>51</v>
      </c>
      <c r="K859">
        <v>3</v>
      </c>
      <c r="L859">
        <v>1</v>
      </c>
      <c r="M859" t="s">
        <v>100</v>
      </c>
      <c r="N859">
        <v>419</v>
      </c>
      <c r="O859">
        <v>33</v>
      </c>
      <c r="P859">
        <v>276</v>
      </c>
      <c r="Q859">
        <v>50</v>
      </c>
      <c r="R859">
        <v>2</v>
      </c>
      <c r="S859">
        <v>25</v>
      </c>
      <c r="T859">
        <v>2</v>
      </c>
      <c r="U859">
        <v>206</v>
      </c>
      <c r="V859">
        <v>39</v>
      </c>
      <c r="W859">
        <v>2</v>
      </c>
      <c r="X859">
        <v>1</v>
      </c>
      <c r="Y859" t="s">
        <v>16</v>
      </c>
      <c r="Z859">
        <v>6</v>
      </c>
      <c r="AA859">
        <f>IF(AND(Table1[[#This Row],[Throw Out Pass Eff]]="N", Table1[[#This Row],[Against FCS Team]]="N"), ROUND(((5.45 * D859) + (150 * F859) + (100 * G859) - (300 * H859)) / E859, 2), " ")</f>
        <v>87.43</v>
      </c>
      <c r="AB859">
        <f>IF(AND(Table1[[#This Row],[Throw Out Pass Def Eff]]="N", Table1[[#This Row],[Against FCS Team]]="N"),200 - ROUND(((5.45 * P859) + (150 * R859) + (100 * S859) - (300 * T859)) / Q859, 2), " ")</f>
        <v>125.92</v>
      </c>
      <c r="AC859">
        <f>IF(AND(Table1[[#This Row],[Throw Out Rush Eff]]="N", Table1[[#This Row],[Against FCS Team]]="N"), ROUND(((23.2 * I859) + (150 * K859) - (300 * L859)) / J859, 2), " ")</f>
        <v>79.36</v>
      </c>
      <c r="AD859" s="3">
        <f>IF(AND(Table1[[#This Row],[Throw Out Rush Def Eff]]="N", Table1[[#This Row],[Against FCS Team]]="N"), 200 - ROUND(((23.2 * U859) + (150 * W859) - (300 * X859)) / V859, 2), " ")</f>
        <v>77.459999999999994</v>
      </c>
      <c r="AE859" s="3">
        <f>ROUND(Table1[[#This Row],[Opp Passing Attempts]]/(Table1[[#This Row],[Opp Passing Attempts]]+Table1[[#This Row],[Opp Rushing Attempts]]), 2)</f>
        <v>0.56000000000000005</v>
      </c>
      <c r="AF859" s="3">
        <f>1-Table1[[#This Row],[Passing Weight]]</f>
        <v>0.43999999999999995</v>
      </c>
      <c r="AG859" s="3" t="str">
        <f>IF(COUNTIF(A:A,Table1[[#This Row],[Opp Team Name]]) &gt; 0, "N", "Y")</f>
        <v>N</v>
      </c>
      <c r="AH859" s="3" t="str">
        <f>IF(Table1[[#This Row],[Passing Attempts]] &lt;15, "Y", "N")</f>
        <v>N</v>
      </c>
      <c r="AI859" s="3" t="str">
        <f>IF(Table1[[#This Row],[Rushing Attempts]] &lt; 15, "Y", "N")</f>
        <v>N</v>
      </c>
      <c r="AJ859" s="3" t="str">
        <f>IF(Table1[[#This Row],[Opp Passing Attempts]]&lt;15, "Y", "N")</f>
        <v>N</v>
      </c>
      <c r="AK859" s="3" t="str">
        <f>IF(Table1[[#This Row],[Opp Rushing Attempts]]&lt;15, "Y", "N")</f>
        <v>N</v>
      </c>
      <c r="AL85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91.05</v>
      </c>
      <c r="AM85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123.03</v>
      </c>
      <c r="AN85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87.09</v>
      </c>
      <c r="AO85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84.21</v>
      </c>
      <c r="AP859" s="3">
        <f>ABS(Table1[[#This Row],[Team Score]]-Table1[[#This Row],[Opp Team Score]])</f>
        <v>3</v>
      </c>
      <c r="AQ859" s="3">
        <f>SUM(Table1[[#This Row],[Team Score]], Table1[[#This Row],[Opp Team Score]])</f>
        <v>69</v>
      </c>
      <c r="AR85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29.829999999999984</v>
      </c>
      <c r="AS859" s="3">
        <f>IF(Table1[[#This Row],[Efficiency Difference]] = " ", " ", ROUND((Table1[[#This Row],[Winning Margin]]*100)/Table1[[#This Row],[Efficiency Difference]], 2))</f>
        <v>10.06</v>
      </c>
    </row>
    <row r="860" spans="1:45">
      <c r="A860" t="s">
        <v>85</v>
      </c>
      <c r="B860">
        <v>772</v>
      </c>
      <c r="C860">
        <v>20</v>
      </c>
      <c r="D860">
        <v>85</v>
      </c>
      <c r="E860">
        <v>15</v>
      </c>
      <c r="F860">
        <v>0</v>
      </c>
      <c r="G860">
        <v>8</v>
      </c>
      <c r="H860">
        <v>0</v>
      </c>
      <c r="I860">
        <v>204</v>
      </c>
      <c r="J860">
        <v>50</v>
      </c>
      <c r="K860">
        <v>3</v>
      </c>
      <c r="L860">
        <v>0</v>
      </c>
      <c r="M860" t="s">
        <v>68</v>
      </c>
      <c r="N860">
        <v>229</v>
      </c>
      <c r="O860">
        <v>0</v>
      </c>
      <c r="P860">
        <v>96</v>
      </c>
      <c r="Q860">
        <v>24</v>
      </c>
      <c r="R860">
        <v>0</v>
      </c>
      <c r="S860">
        <v>12</v>
      </c>
      <c r="T860">
        <v>0</v>
      </c>
      <c r="U860">
        <v>25</v>
      </c>
      <c r="V860">
        <v>25</v>
      </c>
      <c r="W860">
        <v>0</v>
      </c>
      <c r="X860">
        <v>0</v>
      </c>
      <c r="Y860" t="s">
        <v>16</v>
      </c>
      <c r="Z860">
        <v>7</v>
      </c>
      <c r="AA860">
        <f>IF(AND(Table1[[#This Row],[Throw Out Pass Eff]]="N", Table1[[#This Row],[Against FCS Team]]="N"), ROUND(((5.45 * D860) + (150 * F860) + (100 * G860) - (300 * H860)) / E860, 2), " ")</f>
        <v>84.22</v>
      </c>
      <c r="AB860">
        <f>IF(AND(Table1[[#This Row],[Throw Out Pass Def Eff]]="N", Table1[[#This Row],[Against FCS Team]]="N"),200 - ROUND(((5.45 * P860) + (150 * R860) + (100 * S860) - (300 * T860)) / Q860, 2), " ")</f>
        <v>128.19999999999999</v>
      </c>
      <c r="AC860">
        <f>IF(AND(Table1[[#This Row],[Throw Out Rush Eff]]="N", Table1[[#This Row],[Against FCS Team]]="N"), ROUND(((23.2 * I860) + (150 * K860) - (300 * L860)) / J860, 2), " ")</f>
        <v>103.66</v>
      </c>
      <c r="AD860" s="3">
        <f>IF(AND(Table1[[#This Row],[Throw Out Rush Def Eff]]="N", Table1[[#This Row],[Against FCS Team]]="N"), 200 - ROUND(((23.2 * U860) + (150 * W860) - (300 * X860)) / V860, 2), " ")</f>
        <v>176.8</v>
      </c>
      <c r="AE860" s="3">
        <f>ROUND(Table1[[#This Row],[Opp Passing Attempts]]/(Table1[[#This Row],[Opp Passing Attempts]]+Table1[[#This Row],[Opp Rushing Attempts]]), 2)</f>
        <v>0.49</v>
      </c>
      <c r="AF860" s="3">
        <f>1-Table1[[#This Row],[Passing Weight]]</f>
        <v>0.51</v>
      </c>
      <c r="AG860" s="3" t="str">
        <f>IF(COUNTIF(A:A,Table1[[#This Row],[Opp Team Name]]) &gt; 0, "N", "Y")</f>
        <v>N</v>
      </c>
      <c r="AH860" s="3" t="str">
        <f>IF(Table1[[#This Row],[Passing Attempts]] &lt;15, "Y", "N")</f>
        <v>N</v>
      </c>
      <c r="AI860" s="3" t="str">
        <f>IF(Table1[[#This Row],[Rushing Attempts]] &lt; 15, "Y", "N")</f>
        <v>N</v>
      </c>
      <c r="AJ860" s="3" t="str">
        <f>IF(Table1[[#This Row],[Opp Passing Attempts]]&lt;15, "Y", "N")</f>
        <v>N</v>
      </c>
      <c r="AK860" s="3" t="str">
        <f>IF(Table1[[#This Row],[Opp Rushing Attempts]]&lt;15, "Y", "N")</f>
        <v>N</v>
      </c>
      <c r="AL86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84.39</v>
      </c>
      <c r="AM86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90.3</v>
      </c>
      <c r="AN86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108.6</v>
      </c>
      <c r="AO86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98.26</v>
      </c>
      <c r="AP860" s="3">
        <f>ABS(Table1[[#This Row],[Team Score]]-Table1[[#This Row],[Opp Team Score]])</f>
        <v>20</v>
      </c>
      <c r="AQ860" s="3">
        <f>SUM(Table1[[#This Row],[Team Score]], Table1[[#This Row],[Opp Team Score]])</f>
        <v>20</v>
      </c>
      <c r="AR86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92.88</v>
      </c>
      <c r="AS860" s="3">
        <f>IF(Table1[[#This Row],[Efficiency Difference]] = " ", " ", ROUND((Table1[[#This Row],[Winning Margin]]*100)/Table1[[#This Row],[Efficiency Difference]], 2))</f>
        <v>21.53</v>
      </c>
    </row>
    <row r="861" spans="1:45">
      <c r="A861" t="s">
        <v>85</v>
      </c>
      <c r="B861">
        <v>772</v>
      </c>
      <c r="C861">
        <v>42</v>
      </c>
      <c r="D861">
        <v>273</v>
      </c>
      <c r="E861">
        <v>19</v>
      </c>
      <c r="F861">
        <v>1</v>
      </c>
      <c r="G861">
        <v>16</v>
      </c>
      <c r="H861">
        <v>1</v>
      </c>
      <c r="I861">
        <v>234</v>
      </c>
      <c r="J861">
        <v>44</v>
      </c>
      <c r="K861">
        <v>5</v>
      </c>
      <c r="L861">
        <v>0</v>
      </c>
      <c r="M861" t="s">
        <v>86</v>
      </c>
      <c r="N861">
        <v>671</v>
      </c>
      <c r="O861">
        <v>23</v>
      </c>
      <c r="P861">
        <v>419</v>
      </c>
      <c r="Q861">
        <v>52</v>
      </c>
      <c r="R861">
        <v>2</v>
      </c>
      <c r="S861">
        <v>32</v>
      </c>
      <c r="T861">
        <v>1</v>
      </c>
      <c r="U861">
        <v>121</v>
      </c>
      <c r="V861">
        <v>21</v>
      </c>
      <c r="W861">
        <v>1</v>
      </c>
      <c r="X861">
        <v>1</v>
      </c>
      <c r="Y861" t="s">
        <v>16</v>
      </c>
      <c r="Z861">
        <v>8</v>
      </c>
      <c r="AA861" s="3">
        <f>IF(AND(Table1[[#This Row],[Throw Out Pass Eff]]="N", Table1[[#This Row],[Against FCS Team]]="N"), ROUND(((5.45 * D861) + (150 * F861) + (100 * G861) - (300 * H861)) / E861, 2), " ")</f>
        <v>154.62</v>
      </c>
      <c r="AB861" s="3">
        <f>IF(AND(Table1[[#This Row],[Throw Out Pass Def Eff]]="N", Table1[[#This Row],[Against FCS Team]]="N"),200 - ROUND(((5.45 * P861) + (150 * R861) + (100 * S861) - (300 * T861)) / Q861, 2), " ")</f>
        <v>94.55</v>
      </c>
      <c r="AC861" s="3">
        <f>IF(AND(Table1[[#This Row],[Throw Out Rush Eff]]="N", Table1[[#This Row],[Against FCS Team]]="N"), ROUND(((23.2 * I861) + (150 * K861) - (300 * L861)) / J861, 2), " ")</f>
        <v>140.43</v>
      </c>
      <c r="AD861" s="3">
        <f>IF(AND(Table1[[#This Row],[Throw Out Rush Def Eff]]="N", Table1[[#This Row],[Against FCS Team]]="N"), 200 - ROUND(((23.2 * U861) + (150 * W861) - (300 * X861)) / V861, 2), " ")</f>
        <v>73.47</v>
      </c>
      <c r="AE861" s="3">
        <f>ROUND(Table1[[#This Row],[Opp Passing Attempts]]/(Table1[[#This Row],[Opp Passing Attempts]]+Table1[[#This Row],[Opp Rushing Attempts]]), 2)</f>
        <v>0.71</v>
      </c>
      <c r="AF861" s="3">
        <f>1-Table1[[#This Row],[Passing Weight]]</f>
        <v>0.29000000000000004</v>
      </c>
      <c r="AG861" s="3" t="str">
        <f>IF(COUNTIF(A:A,Table1[[#This Row],[Opp Team Name]]) &gt; 0, "N", "Y")</f>
        <v>N</v>
      </c>
      <c r="AH861" s="3" t="str">
        <f>IF(Table1[[#This Row],[Passing Attempts]] &lt;15, "Y", "N")</f>
        <v>N</v>
      </c>
      <c r="AI861" s="3" t="str">
        <f>IF(Table1[[#This Row],[Rushing Attempts]] &lt; 15, "Y", "N")</f>
        <v>N</v>
      </c>
      <c r="AJ861" s="3" t="str">
        <f>IF(Table1[[#This Row],[Opp Passing Attempts]]&lt;15, "Y", "N")</f>
        <v>N</v>
      </c>
      <c r="AK861" s="3" t="str">
        <f>IF(Table1[[#This Row],[Opp Rushing Attempts]]&lt;15, "Y", "N")</f>
        <v>N</v>
      </c>
      <c r="AL86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157.97</v>
      </c>
      <c r="AM86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101.97</v>
      </c>
      <c r="AN86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161.01</v>
      </c>
      <c r="AO86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57.17</v>
      </c>
      <c r="AP861" s="3">
        <f>ABS(Table1[[#This Row],[Team Score]]-Table1[[#This Row],[Opp Team Score]])</f>
        <v>19</v>
      </c>
      <c r="AQ861" s="3">
        <f>SUM(Table1[[#This Row],[Team Score]], Table1[[#This Row],[Opp Team Score]])</f>
        <v>65</v>
      </c>
      <c r="AR86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63.069999999999993</v>
      </c>
      <c r="AS861" s="3">
        <f>IF(Table1[[#This Row],[Efficiency Difference]] = " ", " ", ROUND((Table1[[#This Row],[Winning Margin]]*100)/Table1[[#This Row],[Efficiency Difference]], 2))</f>
        <v>30.13</v>
      </c>
    </row>
    <row r="862" spans="1:45">
      <c r="A862" t="s">
        <v>191</v>
      </c>
      <c r="B862">
        <v>774</v>
      </c>
      <c r="C862">
        <v>38</v>
      </c>
      <c r="D862">
        <v>186</v>
      </c>
      <c r="E862">
        <v>25</v>
      </c>
      <c r="F862">
        <v>2</v>
      </c>
      <c r="G862">
        <v>17</v>
      </c>
      <c r="H862">
        <v>2</v>
      </c>
      <c r="I862">
        <v>213</v>
      </c>
      <c r="J862">
        <v>39</v>
      </c>
      <c r="K862">
        <v>3</v>
      </c>
      <c r="L862">
        <v>2</v>
      </c>
      <c r="M862" t="s">
        <v>192</v>
      </c>
      <c r="N862">
        <v>483</v>
      </c>
      <c r="O862">
        <v>7</v>
      </c>
      <c r="P862">
        <v>60</v>
      </c>
      <c r="Q862">
        <v>20</v>
      </c>
      <c r="R862">
        <v>0</v>
      </c>
      <c r="S862">
        <v>10</v>
      </c>
      <c r="T862">
        <v>2</v>
      </c>
      <c r="U862">
        <v>125</v>
      </c>
      <c r="V862">
        <v>36</v>
      </c>
      <c r="W862">
        <v>0</v>
      </c>
      <c r="X862">
        <v>1</v>
      </c>
      <c r="Y862" t="s">
        <v>16</v>
      </c>
      <c r="Z862">
        <v>2</v>
      </c>
      <c r="AA862" t="str">
        <f>IF(AND(Table1[[#This Row],[Throw Out Pass Eff]]="N", Table1[[#This Row],[Against FCS Team]]="N"), ROUND(((5.45 * D862) + (150 * F862) + (100 * G862) - (300 * H862)) / E862, 2), " ")</f>
        <v xml:space="preserve"> </v>
      </c>
      <c r="AB862" t="str">
        <f>IF(AND(Table1[[#This Row],[Throw Out Pass Def Eff]]="N", Table1[[#This Row],[Against FCS Team]]="N"),200 - ROUND(((5.45 * P862) + (150 * R862) + (100 * S862) - (300 * T862)) / Q862, 2), " ")</f>
        <v xml:space="preserve"> </v>
      </c>
      <c r="AC862" t="str">
        <f>IF(AND(Table1[[#This Row],[Throw Out Rush Eff]]="N", Table1[[#This Row],[Against FCS Team]]="N"), ROUND(((23.2 * I862) + (150 * K862) - (300 * L862)) / J862, 2), " ")</f>
        <v xml:space="preserve"> </v>
      </c>
      <c r="AD862" s="3" t="str">
        <f>IF(AND(Table1[[#This Row],[Throw Out Rush Def Eff]]="N", Table1[[#This Row],[Against FCS Team]]="N"), 200 - ROUND(((23.2 * U862) + (150 * W862) - (300 * X862)) / V862, 2), " ")</f>
        <v xml:space="preserve"> </v>
      </c>
      <c r="AE862" s="3">
        <f>ROUND(Table1[[#This Row],[Opp Passing Attempts]]/(Table1[[#This Row],[Opp Passing Attempts]]+Table1[[#This Row],[Opp Rushing Attempts]]), 2)</f>
        <v>0.36</v>
      </c>
      <c r="AF862" s="3">
        <f>1-Table1[[#This Row],[Passing Weight]]</f>
        <v>0.64</v>
      </c>
      <c r="AG862" s="3" t="str">
        <f>IF(COUNTIF(A:A,Table1[[#This Row],[Opp Team Name]]) &gt; 0, "N", "Y")</f>
        <v>Y</v>
      </c>
      <c r="AH862" s="3" t="str">
        <f>IF(Table1[[#This Row],[Passing Attempts]] &lt;15, "Y", "N")</f>
        <v>N</v>
      </c>
      <c r="AI862" s="3" t="str">
        <f>IF(Table1[[#This Row],[Rushing Attempts]] &lt; 15, "Y", "N")</f>
        <v>N</v>
      </c>
      <c r="AJ862" s="3" t="str">
        <f>IF(Table1[[#This Row],[Opp Passing Attempts]]&lt;15, "Y", "N")</f>
        <v>N</v>
      </c>
      <c r="AK862" s="3" t="str">
        <f>IF(Table1[[#This Row],[Opp Rushing Attempts]]&lt;15, "Y", "N")</f>
        <v>N</v>
      </c>
      <c r="AL862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62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62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62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62" s="3">
        <f>ABS(Table1[[#This Row],[Team Score]]-Table1[[#This Row],[Opp Team Score]])</f>
        <v>31</v>
      </c>
      <c r="AQ862" s="3">
        <f>SUM(Table1[[#This Row],[Team Score]], Table1[[#This Row],[Opp Team Score]])</f>
        <v>45</v>
      </c>
      <c r="AR862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62" s="3" t="str">
        <f>IF(Table1[[#This Row],[Efficiency Difference]] = " ", " ", ROUND((Table1[[#This Row],[Winning Margin]]*100)/Table1[[#This Row],[Efficiency Difference]], 2))</f>
        <v xml:space="preserve"> </v>
      </c>
    </row>
    <row r="863" spans="1:45">
      <c r="A863" t="s">
        <v>191</v>
      </c>
      <c r="B863">
        <v>774</v>
      </c>
      <c r="C863">
        <v>44</v>
      </c>
      <c r="D863">
        <v>355</v>
      </c>
      <c r="E863">
        <v>38</v>
      </c>
      <c r="F863">
        <v>3</v>
      </c>
      <c r="G863">
        <v>28</v>
      </c>
      <c r="H863">
        <v>1</v>
      </c>
      <c r="I863">
        <v>87</v>
      </c>
      <c r="J863">
        <v>33</v>
      </c>
      <c r="K863">
        <v>2</v>
      </c>
      <c r="L863">
        <v>1</v>
      </c>
      <c r="M863" t="s">
        <v>50</v>
      </c>
      <c r="N863">
        <v>129</v>
      </c>
      <c r="O863">
        <v>14</v>
      </c>
      <c r="P863">
        <v>215</v>
      </c>
      <c r="Q863">
        <v>36</v>
      </c>
      <c r="R863">
        <v>0</v>
      </c>
      <c r="S863">
        <v>20</v>
      </c>
      <c r="T863">
        <v>0</v>
      </c>
      <c r="U863">
        <v>147</v>
      </c>
      <c r="V863">
        <v>29</v>
      </c>
      <c r="W863">
        <v>1</v>
      </c>
      <c r="X863">
        <v>2</v>
      </c>
      <c r="Y863" t="s">
        <v>16</v>
      </c>
      <c r="Z863">
        <v>3</v>
      </c>
      <c r="AA863">
        <f>IF(AND(Table1[[#This Row],[Throw Out Pass Eff]]="N", Table1[[#This Row],[Against FCS Team]]="N"), ROUND(((5.45 * D863) + (150 * F863) + (100 * G863) - (300 * H863)) / E863, 2), " ")</f>
        <v>128.55000000000001</v>
      </c>
      <c r="AB863">
        <f>IF(AND(Table1[[#This Row],[Throw Out Pass Def Eff]]="N", Table1[[#This Row],[Against FCS Team]]="N"),200 - ROUND(((5.45 * P863) + (150 * R863) + (100 * S863) - (300 * T863)) / Q863, 2), " ")</f>
        <v>111.9</v>
      </c>
      <c r="AC863">
        <f>IF(AND(Table1[[#This Row],[Throw Out Rush Eff]]="N", Table1[[#This Row],[Against FCS Team]]="N"), ROUND(((23.2 * I863) + (150 * K863) - (300 * L863)) / J863, 2), " ")</f>
        <v>61.16</v>
      </c>
      <c r="AD863" s="3">
        <f>IF(AND(Table1[[#This Row],[Throw Out Rush Def Eff]]="N", Table1[[#This Row],[Against FCS Team]]="N"), 200 - ROUND(((23.2 * U863) + (150 * W863) - (300 * X863)) / V863, 2), " ")</f>
        <v>97.92</v>
      </c>
      <c r="AE863" s="3">
        <f>ROUND(Table1[[#This Row],[Opp Passing Attempts]]/(Table1[[#This Row],[Opp Passing Attempts]]+Table1[[#This Row],[Opp Rushing Attempts]]), 2)</f>
        <v>0.55000000000000004</v>
      </c>
      <c r="AF863" s="3">
        <f>1-Table1[[#This Row],[Passing Weight]]</f>
        <v>0.44999999999999996</v>
      </c>
      <c r="AG863" s="3" t="str">
        <f>IF(COUNTIF(A:A,Table1[[#This Row],[Opp Team Name]]) &gt; 0, "N", "Y")</f>
        <v>N</v>
      </c>
      <c r="AH863" s="3" t="str">
        <f>IF(Table1[[#This Row],[Passing Attempts]] &lt;15, "Y", "N")</f>
        <v>N</v>
      </c>
      <c r="AI863" s="3" t="str">
        <f>IF(Table1[[#This Row],[Rushing Attempts]] &lt; 15, "Y", "N")</f>
        <v>N</v>
      </c>
      <c r="AJ863" s="3" t="str">
        <f>IF(Table1[[#This Row],[Opp Passing Attempts]]&lt;15, "Y", "N")</f>
        <v>N</v>
      </c>
      <c r="AK863" s="3" t="str">
        <f>IF(Table1[[#This Row],[Opp Rushing Attempts]]&lt;15, "Y", "N")</f>
        <v>N</v>
      </c>
      <c r="AL86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119.9</v>
      </c>
      <c r="AM86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103.47</v>
      </c>
      <c r="AN86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53.02</v>
      </c>
      <c r="AO86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90.87</v>
      </c>
      <c r="AP863" s="3">
        <f>ABS(Table1[[#This Row],[Team Score]]-Table1[[#This Row],[Opp Team Score]])</f>
        <v>30</v>
      </c>
      <c r="AQ863" s="3">
        <f>SUM(Table1[[#This Row],[Team Score]], Table1[[#This Row],[Opp Team Score]])</f>
        <v>58</v>
      </c>
      <c r="AR86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0.46999999999999886</v>
      </c>
      <c r="AS863" s="3">
        <f>IF(Table1[[#This Row],[Efficiency Difference]] = " ", " ", ROUND((Table1[[#This Row],[Winning Margin]]*100)/Table1[[#This Row],[Efficiency Difference]], 2))</f>
        <v>6382.98</v>
      </c>
    </row>
    <row r="864" spans="1:45">
      <c r="A864" t="s">
        <v>191</v>
      </c>
      <c r="B864">
        <v>774</v>
      </c>
      <c r="C864">
        <v>20</v>
      </c>
      <c r="D864">
        <v>306</v>
      </c>
      <c r="E864">
        <v>48</v>
      </c>
      <c r="F864">
        <v>2</v>
      </c>
      <c r="G864">
        <v>30</v>
      </c>
      <c r="H864">
        <v>1</v>
      </c>
      <c r="I864">
        <v>35</v>
      </c>
      <c r="J864">
        <v>21</v>
      </c>
      <c r="K864">
        <v>0</v>
      </c>
      <c r="L864">
        <v>0</v>
      </c>
      <c r="M864" t="s">
        <v>29</v>
      </c>
      <c r="N864">
        <v>301</v>
      </c>
      <c r="O864">
        <v>23</v>
      </c>
      <c r="P864">
        <v>167</v>
      </c>
      <c r="Q864">
        <v>26</v>
      </c>
      <c r="R864">
        <v>1</v>
      </c>
      <c r="S864">
        <v>17</v>
      </c>
      <c r="T864">
        <v>1</v>
      </c>
      <c r="U864">
        <v>296</v>
      </c>
      <c r="V864">
        <v>52</v>
      </c>
      <c r="W864">
        <v>1</v>
      </c>
      <c r="X864">
        <v>1</v>
      </c>
      <c r="Y864" t="s">
        <v>19</v>
      </c>
      <c r="Z864">
        <v>4</v>
      </c>
      <c r="AA864">
        <f>IF(AND(Table1[[#This Row],[Throw Out Pass Eff]]="N", Table1[[#This Row],[Against FCS Team]]="N"), ROUND(((5.45 * D864) + (150 * F864) + (100 * G864) - (300 * H864)) / E864, 2), " ")</f>
        <v>97.24</v>
      </c>
      <c r="AB864">
        <f>IF(AND(Table1[[#This Row],[Throw Out Pass Def Eff]]="N", Table1[[#This Row],[Against FCS Team]]="N"),200 - ROUND(((5.45 * P864) + (150 * R864) + (100 * S864) - (300 * T864)) / Q864, 2), " ")</f>
        <v>105.38</v>
      </c>
      <c r="AC864">
        <f>IF(AND(Table1[[#This Row],[Throw Out Rush Eff]]="N", Table1[[#This Row],[Against FCS Team]]="N"), ROUND(((23.2 * I864) + (150 * K864) - (300 * L864)) / J864, 2), " ")</f>
        <v>38.67</v>
      </c>
      <c r="AD864" s="3">
        <f>IF(AND(Table1[[#This Row],[Throw Out Rush Def Eff]]="N", Table1[[#This Row],[Against FCS Team]]="N"), 200 - ROUND(((23.2 * U864) + (150 * W864) - (300 * X864)) / V864, 2), " ")</f>
        <v>70.819999999999993</v>
      </c>
      <c r="AE864" s="3">
        <f>ROUND(Table1[[#This Row],[Opp Passing Attempts]]/(Table1[[#This Row],[Opp Passing Attempts]]+Table1[[#This Row],[Opp Rushing Attempts]]), 2)</f>
        <v>0.33</v>
      </c>
      <c r="AF864" s="3">
        <f>1-Table1[[#This Row],[Passing Weight]]</f>
        <v>0.66999999999999993</v>
      </c>
      <c r="AG864" s="3" t="str">
        <f>IF(COUNTIF(A:A,Table1[[#This Row],[Opp Team Name]]) &gt; 0, "N", "Y")</f>
        <v>N</v>
      </c>
      <c r="AH864" s="3" t="str">
        <f>IF(Table1[[#This Row],[Passing Attempts]] &lt;15, "Y", "N")</f>
        <v>N</v>
      </c>
      <c r="AI864" s="3" t="str">
        <f>IF(Table1[[#This Row],[Rushing Attempts]] &lt; 15, "Y", "N")</f>
        <v>N</v>
      </c>
      <c r="AJ864" s="3" t="str">
        <f>IF(Table1[[#This Row],[Opp Passing Attempts]]&lt;15, "Y", "N")</f>
        <v>N</v>
      </c>
      <c r="AK864" s="3" t="str">
        <f>IF(Table1[[#This Row],[Opp Rushing Attempts]]&lt;15, "Y", "N")</f>
        <v>N</v>
      </c>
      <c r="AL86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92.35</v>
      </c>
      <c r="AM86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116.12</v>
      </c>
      <c r="AN86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54.29</v>
      </c>
      <c r="AO86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60.31</v>
      </c>
      <c r="AP864" s="3">
        <f>ABS(Table1[[#This Row],[Team Score]]-Table1[[#This Row],[Opp Team Score]])</f>
        <v>3</v>
      </c>
      <c r="AQ864" s="3">
        <f>SUM(Table1[[#This Row],[Team Score]], Table1[[#This Row],[Opp Team Score]])</f>
        <v>43</v>
      </c>
      <c r="AR86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87.890000000000015</v>
      </c>
      <c r="AS864" s="3">
        <f>IF(Table1[[#This Row],[Efficiency Difference]] = " ", " ", ROUND((Table1[[#This Row],[Winning Margin]]*100)/Table1[[#This Row],[Efficiency Difference]], 2))</f>
        <v>3.41</v>
      </c>
    </row>
    <row r="865" spans="1:45">
      <c r="A865" t="s">
        <v>191</v>
      </c>
      <c r="B865">
        <v>774</v>
      </c>
      <c r="C865">
        <v>38</v>
      </c>
      <c r="D865">
        <v>479</v>
      </c>
      <c r="E865">
        <v>51</v>
      </c>
      <c r="F865">
        <v>5</v>
      </c>
      <c r="G865">
        <v>37</v>
      </c>
      <c r="H865">
        <v>0</v>
      </c>
      <c r="I865">
        <v>11</v>
      </c>
      <c r="J865">
        <v>22</v>
      </c>
      <c r="K865">
        <v>0</v>
      </c>
      <c r="L865">
        <v>2</v>
      </c>
      <c r="M865" t="s">
        <v>60</v>
      </c>
      <c r="N865">
        <v>164</v>
      </c>
      <c r="O865">
        <v>31</v>
      </c>
      <c r="P865">
        <v>300</v>
      </c>
      <c r="Q865">
        <v>39</v>
      </c>
      <c r="R865">
        <v>4</v>
      </c>
      <c r="S865">
        <v>22</v>
      </c>
      <c r="T865">
        <v>0</v>
      </c>
      <c r="U865">
        <v>151</v>
      </c>
      <c r="V865">
        <v>33</v>
      </c>
      <c r="W865">
        <v>0</v>
      </c>
      <c r="X865">
        <v>1</v>
      </c>
      <c r="Y865" t="s">
        <v>16</v>
      </c>
      <c r="Z865">
        <v>5</v>
      </c>
      <c r="AA865">
        <f>IF(AND(Table1[[#This Row],[Throw Out Pass Eff]]="N", Table1[[#This Row],[Against FCS Team]]="N"), ROUND(((5.45 * D865) + (150 * F865) + (100 * G865) - (300 * H865)) / E865, 2), " ")</f>
        <v>138.44</v>
      </c>
      <c r="AB865">
        <f>IF(AND(Table1[[#This Row],[Throw Out Pass Def Eff]]="N", Table1[[#This Row],[Against FCS Team]]="N"),200 - ROUND(((5.45 * P865) + (150 * R865) + (100 * S865) - (300 * T865)) / Q865, 2), " ")</f>
        <v>86.28</v>
      </c>
      <c r="AC865">
        <f>IF(AND(Table1[[#This Row],[Throw Out Rush Eff]]="N", Table1[[#This Row],[Against FCS Team]]="N"), ROUND(((23.2 * I865) + (150 * K865) - (300 * L865)) / J865, 2), " ")</f>
        <v>-15.67</v>
      </c>
      <c r="AD865" s="3">
        <f>IF(AND(Table1[[#This Row],[Throw Out Rush Def Eff]]="N", Table1[[#This Row],[Against FCS Team]]="N"), 200 - ROUND(((23.2 * U865) + (150 * W865) - (300 * X865)) / V865, 2), " ")</f>
        <v>102.93</v>
      </c>
      <c r="AE865" s="3">
        <f>ROUND(Table1[[#This Row],[Opp Passing Attempts]]/(Table1[[#This Row],[Opp Passing Attempts]]+Table1[[#This Row],[Opp Rushing Attempts]]), 2)</f>
        <v>0.54</v>
      </c>
      <c r="AF865" s="3">
        <f>1-Table1[[#This Row],[Passing Weight]]</f>
        <v>0.45999999999999996</v>
      </c>
      <c r="AG865" s="3" t="str">
        <f>IF(COUNTIF(A:A,Table1[[#This Row],[Opp Team Name]]) &gt; 0, "N", "Y")</f>
        <v>N</v>
      </c>
      <c r="AH865" s="3" t="str">
        <f>IF(Table1[[#This Row],[Passing Attempts]] &lt;15, "Y", "N")</f>
        <v>N</v>
      </c>
      <c r="AI865" s="3" t="str">
        <f>IF(Table1[[#This Row],[Rushing Attempts]] &lt; 15, "Y", "N")</f>
        <v>N</v>
      </c>
      <c r="AJ865" s="3" t="str">
        <f>IF(Table1[[#This Row],[Opp Passing Attempts]]&lt;15, "Y", "N")</f>
        <v>N</v>
      </c>
      <c r="AK865" s="3" t="str">
        <f>IF(Table1[[#This Row],[Opp Rushing Attempts]]&lt;15, "Y", "N")</f>
        <v>N</v>
      </c>
      <c r="AL86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153.81</v>
      </c>
      <c r="AM86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72.5</v>
      </c>
      <c r="AN86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-21.27</v>
      </c>
      <c r="AO86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56.91</v>
      </c>
      <c r="AP865" s="3">
        <f>ABS(Table1[[#This Row],[Team Score]]-Table1[[#This Row],[Opp Team Score]])</f>
        <v>7</v>
      </c>
      <c r="AQ865" s="3">
        <f>SUM(Table1[[#This Row],[Team Score]], Table1[[#This Row],[Opp Team Score]])</f>
        <v>69</v>
      </c>
      <c r="AR86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88.02</v>
      </c>
      <c r="AS865" s="3">
        <f>IF(Table1[[#This Row],[Efficiency Difference]] = " ", " ", ROUND((Table1[[#This Row],[Winning Margin]]*100)/Table1[[#This Row],[Efficiency Difference]], 2))</f>
        <v>7.95</v>
      </c>
    </row>
    <row r="866" spans="1:45">
      <c r="A866" t="s">
        <v>191</v>
      </c>
      <c r="B866">
        <v>774</v>
      </c>
      <c r="C866">
        <v>45</v>
      </c>
      <c r="D866">
        <v>227</v>
      </c>
      <c r="E866">
        <v>29</v>
      </c>
      <c r="F866">
        <v>3</v>
      </c>
      <c r="G866">
        <v>21</v>
      </c>
      <c r="H866">
        <v>1</v>
      </c>
      <c r="I866">
        <v>351</v>
      </c>
      <c r="J866">
        <v>47</v>
      </c>
      <c r="K866">
        <v>3</v>
      </c>
      <c r="L866">
        <v>0</v>
      </c>
      <c r="M866" t="s">
        <v>42</v>
      </c>
      <c r="N866">
        <v>71</v>
      </c>
      <c r="O866">
        <v>21</v>
      </c>
      <c r="P866">
        <v>263</v>
      </c>
      <c r="Q866">
        <v>35</v>
      </c>
      <c r="R866">
        <v>1</v>
      </c>
      <c r="S866">
        <v>21</v>
      </c>
      <c r="T866">
        <v>1</v>
      </c>
      <c r="U866">
        <v>118</v>
      </c>
      <c r="V866">
        <v>26</v>
      </c>
      <c r="W866">
        <v>2</v>
      </c>
      <c r="X866">
        <v>0</v>
      </c>
      <c r="Y866" t="s">
        <v>16</v>
      </c>
      <c r="Z866">
        <v>6</v>
      </c>
      <c r="AA866">
        <f>IF(AND(Table1[[#This Row],[Throw Out Pass Eff]]="N", Table1[[#This Row],[Against FCS Team]]="N"), ROUND(((5.45 * D866) + (150 * F866) + (100 * G866) - (300 * H866)) / E866, 2), " ")</f>
        <v>120.25</v>
      </c>
      <c r="AB866">
        <f>IF(AND(Table1[[#This Row],[Throw Out Pass Def Eff]]="N", Table1[[#This Row],[Against FCS Team]]="N"),200 - ROUND(((5.45 * P866) + (150 * R866) + (100 * S866) - (300 * T866)) / Q866, 2), " ")</f>
        <v>103.33</v>
      </c>
      <c r="AC866">
        <f>IF(AND(Table1[[#This Row],[Throw Out Rush Eff]]="N", Table1[[#This Row],[Against FCS Team]]="N"), ROUND(((23.2 * I866) + (150 * K866) - (300 * L866)) / J866, 2), " ")</f>
        <v>182.83</v>
      </c>
      <c r="AD866" s="3">
        <f>IF(AND(Table1[[#This Row],[Throw Out Rush Def Eff]]="N", Table1[[#This Row],[Against FCS Team]]="N"), 200 - ROUND(((23.2 * U866) + (150 * W866) - (300 * X866)) / V866, 2), " ")</f>
        <v>83.17</v>
      </c>
      <c r="AE866" s="3">
        <f>ROUND(Table1[[#This Row],[Opp Passing Attempts]]/(Table1[[#This Row],[Opp Passing Attempts]]+Table1[[#This Row],[Opp Rushing Attempts]]), 2)</f>
        <v>0.56999999999999995</v>
      </c>
      <c r="AF866" s="3">
        <f>1-Table1[[#This Row],[Passing Weight]]</f>
        <v>0.43000000000000005</v>
      </c>
      <c r="AG866" s="3" t="str">
        <f>IF(COUNTIF(A:A,Table1[[#This Row],[Opp Team Name]]) &gt; 0, "N", "Y")</f>
        <v>N</v>
      </c>
      <c r="AH866" s="3" t="str">
        <f>IF(Table1[[#This Row],[Passing Attempts]] &lt;15, "Y", "N")</f>
        <v>N</v>
      </c>
      <c r="AI866" s="3" t="str">
        <f>IF(Table1[[#This Row],[Rushing Attempts]] &lt; 15, "Y", "N")</f>
        <v>N</v>
      </c>
      <c r="AJ866" s="3" t="str">
        <f>IF(Table1[[#This Row],[Opp Passing Attempts]]&lt;15, "Y", "N")</f>
        <v>N</v>
      </c>
      <c r="AK866" s="3" t="str">
        <f>IF(Table1[[#This Row],[Opp Rushing Attempts]]&lt;15, "Y", "N")</f>
        <v>N</v>
      </c>
      <c r="AL866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118.05</v>
      </c>
      <c r="AM866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98.44</v>
      </c>
      <c r="AN866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162.49</v>
      </c>
      <c r="AO866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62.65</v>
      </c>
      <c r="AP866" s="3">
        <f>ABS(Table1[[#This Row],[Team Score]]-Table1[[#This Row],[Opp Team Score]])</f>
        <v>24</v>
      </c>
      <c r="AQ866" s="3">
        <f>SUM(Table1[[#This Row],[Team Score]], Table1[[#This Row],[Opp Team Score]])</f>
        <v>66</v>
      </c>
      <c r="AR866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89.580000000000041</v>
      </c>
      <c r="AS866" s="3">
        <f>IF(Table1[[#This Row],[Efficiency Difference]] = " ", " ", ROUND((Table1[[#This Row],[Winning Margin]]*100)/Table1[[#This Row],[Efficiency Difference]], 2))</f>
        <v>26.79</v>
      </c>
    </row>
    <row r="867" spans="1:45">
      <c r="A867" t="s">
        <v>191</v>
      </c>
      <c r="B867">
        <v>774</v>
      </c>
      <c r="C867">
        <v>22</v>
      </c>
      <c r="D867">
        <v>233</v>
      </c>
      <c r="E867">
        <v>48</v>
      </c>
      <c r="F867">
        <v>2</v>
      </c>
      <c r="G867">
        <v>29</v>
      </c>
      <c r="H867">
        <v>2</v>
      </c>
      <c r="I867">
        <v>91</v>
      </c>
      <c r="J867">
        <v>31</v>
      </c>
      <c r="K867">
        <v>0</v>
      </c>
      <c r="L867">
        <v>0</v>
      </c>
      <c r="M867" t="s">
        <v>31</v>
      </c>
      <c r="N867">
        <v>503</v>
      </c>
      <c r="O867">
        <v>51</v>
      </c>
      <c r="P867">
        <v>203</v>
      </c>
      <c r="Q867">
        <v>28</v>
      </c>
      <c r="R867">
        <v>0</v>
      </c>
      <c r="S867">
        <v>14</v>
      </c>
      <c r="T867">
        <v>1</v>
      </c>
      <c r="U867">
        <v>494</v>
      </c>
      <c r="V867">
        <v>54</v>
      </c>
      <c r="W867">
        <v>6</v>
      </c>
      <c r="X867">
        <v>1</v>
      </c>
      <c r="Y867" t="s">
        <v>19</v>
      </c>
      <c r="Z867">
        <v>7</v>
      </c>
      <c r="AA867">
        <f>IF(AND(Table1[[#This Row],[Throw Out Pass Eff]]="N", Table1[[#This Row],[Against FCS Team]]="N"), ROUND(((5.45 * D867) + (150 * F867) + (100 * G867) - (300 * H867)) / E867, 2), " ")</f>
        <v>80.62</v>
      </c>
      <c r="AB867">
        <f>IF(AND(Table1[[#This Row],[Throw Out Pass Def Eff]]="N", Table1[[#This Row],[Against FCS Team]]="N"),200 - ROUND(((5.45 * P867) + (150 * R867) + (100 * S867) - (300 * T867)) / Q867, 2), " ")</f>
        <v>121.2</v>
      </c>
      <c r="AC867">
        <f>IF(AND(Table1[[#This Row],[Throw Out Rush Eff]]="N", Table1[[#This Row],[Against FCS Team]]="N"), ROUND(((23.2 * I867) + (150 * K867) - (300 * L867)) / J867, 2), " ")</f>
        <v>68.099999999999994</v>
      </c>
      <c r="AD867" s="3">
        <f>IF(AND(Table1[[#This Row],[Throw Out Rush Def Eff]]="N", Table1[[#This Row],[Against FCS Team]]="N"), 200 - ROUND(((23.2 * U867) + (150 * W867) - (300 * X867)) / V867, 2), " ")</f>
        <v>-23.349999999999994</v>
      </c>
      <c r="AE867" s="3">
        <f>ROUND(Table1[[#This Row],[Opp Passing Attempts]]/(Table1[[#This Row],[Opp Passing Attempts]]+Table1[[#This Row],[Opp Rushing Attempts]]), 2)</f>
        <v>0.34</v>
      </c>
      <c r="AF867" s="3">
        <f>1-Table1[[#This Row],[Passing Weight]]</f>
        <v>0.65999999999999992</v>
      </c>
      <c r="AG867" s="3" t="str">
        <f>IF(COUNTIF(A:A,Table1[[#This Row],[Opp Team Name]]) &gt; 0, "N", "Y")</f>
        <v>N</v>
      </c>
      <c r="AH867" s="3" t="str">
        <f>IF(Table1[[#This Row],[Passing Attempts]] &lt;15, "Y", "N")</f>
        <v>N</v>
      </c>
      <c r="AI867" s="3" t="str">
        <f>IF(Table1[[#This Row],[Rushing Attempts]] &lt; 15, "Y", "N")</f>
        <v>N</v>
      </c>
      <c r="AJ867" s="3" t="str">
        <f>IF(Table1[[#This Row],[Opp Passing Attempts]]&lt;15, "Y", "N")</f>
        <v>N</v>
      </c>
      <c r="AK867" s="3" t="str">
        <f>IF(Table1[[#This Row],[Opp Rushing Attempts]]&lt;15, "Y", "N")</f>
        <v>N</v>
      </c>
      <c r="AL86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79.91</v>
      </c>
      <c r="AM86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127.56</v>
      </c>
      <c r="AN86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75.27</v>
      </c>
      <c r="AO86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-29.59</v>
      </c>
      <c r="AP867" s="3">
        <f>ABS(Table1[[#This Row],[Team Score]]-Table1[[#This Row],[Opp Team Score]])</f>
        <v>29</v>
      </c>
      <c r="AQ867" s="3">
        <f>SUM(Table1[[#This Row],[Team Score]], Table1[[#This Row],[Opp Team Score]])</f>
        <v>73</v>
      </c>
      <c r="AR86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153.42999999999998</v>
      </c>
      <c r="AS867" s="3">
        <f>IF(Table1[[#This Row],[Efficiency Difference]] = " ", " ", ROUND((Table1[[#This Row],[Winning Margin]]*100)/Table1[[#This Row],[Efficiency Difference]], 2))</f>
        <v>18.899999999999999</v>
      </c>
    </row>
    <row r="868" spans="1:45">
      <c r="A868" t="s">
        <v>191</v>
      </c>
      <c r="B868">
        <v>774</v>
      </c>
      <c r="C868">
        <v>10</v>
      </c>
      <c r="D868">
        <v>198</v>
      </c>
      <c r="E868">
        <v>35</v>
      </c>
      <c r="F868">
        <v>0</v>
      </c>
      <c r="G868">
        <v>25</v>
      </c>
      <c r="H868">
        <v>0</v>
      </c>
      <c r="I868">
        <v>131</v>
      </c>
      <c r="J868">
        <v>30</v>
      </c>
      <c r="K868">
        <v>1</v>
      </c>
      <c r="L868">
        <v>0</v>
      </c>
      <c r="M868" t="s">
        <v>167</v>
      </c>
      <c r="N868">
        <v>204</v>
      </c>
      <c r="O868">
        <v>14</v>
      </c>
      <c r="P868">
        <v>144</v>
      </c>
      <c r="Q868">
        <v>9</v>
      </c>
      <c r="R868">
        <v>1</v>
      </c>
      <c r="S868">
        <v>6</v>
      </c>
      <c r="T868">
        <v>0</v>
      </c>
      <c r="U868">
        <v>205</v>
      </c>
      <c r="V868">
        <v>50</v>
      </c>
      <c r="W868">
        <v>1</v>
      </c>
      <c r="X868">
        <v>1</v>
      </c>
      <c r="Y868" t="s">
        <v>19</v>
      </c>
      <c r="Z868">
        <v>8</v>
      </c>
      <c r="AA868" s="3">
        <f>IF(AND(Table1[[#This Row],[Throw Out Pass Eff]]="N", Table1[[#This Row],[Against FCS Team]]="N"), ROUND(((5.45 * D868) + (150 * F868) + (100 * G868) - (300 * H868)) / E868, 2), " ")</f>
        <v>102.26</v>
      </c>
      <c r="AB868" s="3" t="str">
        <f>IF(AND(Table1[[#This Row],[Throw Out Pass Def Eff]]="N", Table1[[#This Row],[Against FCS Team]]="N"),200 - ROUND(((5.45 * P868) + (150 * R868) + (100 * S868) - (300 * T868)) / Q868, 2), " ")</f>
        <v xml:space="preserve"> </v>
      </c>
      <c r="AC868" s="3">
        <f>IF(AND(Table1[[#This Row],[Throw Out Rush Eff]]="N", Table1[[#This Row],[Against FCS Team]]="N"), ROUND(((23.2 * I868) + (150 * K868) - (300 * L868)) / J868, 2), " ")</f>
        <v>106.31</v>
      </c>
      <c r="AD868" s="3">
        <f>IF(AND(Table1[[#This Row],[Throw Out Rush Def Eff]]="N", Table1[[#This Row],[Against FCS Team]]="N"), 200 - ROUND(((23.2 * U868) + (150 * W868) - (300 * X868)) / V868, 2), " ")</f>
        <v>107.88</v>
      </c>
      <c r="AE868" s="3">
        <f>ROUND(Table1[[#This Row],[Opp Passing Attempts]]/(Table1[[#This Row],[Opp Passing Attempts]]+Table1[[#This Row],[Opp Rushing Attempts]]), 2)</f>
        <v>0.15</v>
      </c>
      <c r="AF868" s="3">
        <f>1-Table1[[#This Row],[Passing Weight]]</f>
        <v>0.85</v>
      </c>
      <c r="AG868" s="3" t="str">
        <f>IF(COUNTIF(A:A,Table1[[#This Row],[Opp Team Name]]) &gt; 0, "N", "Y")</f>
        <v>N</v>
      </c>
      <c r="AH868" s="3" t="str">
        <f>IF(Table1[[#This Row],[Passing Attempts]] &lt;15, "Y", "N")</f>
        <v>N</v>
      </c>
      <c r="AI868" s="3" t="str">
        <f>IF(Table1[[#This Row],[Rushing Attempts]] &lt; 15, "Y", "N")</f>
        <v>N</v>
      </c>
      <c r="AJ868" s="3" t="str">
        <f>IF(Table1[[#This Row],[Opp Passing Attempts]]&lt;15, "Y", "N")</f>
        <v>Y</v>
      </c>
      <c r="AK868" s="3" t="str">
        <f>IF(Table1[[#This Row],[Opp Rushing Attempts]]&lt;15, "Y", "N")</f>
        <v>N</v>
      </c>
      <c r="AL86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91.97</v>
      </c>
      <c r="AM868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6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97.4</v>
      </c>
      <c r="AO86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98.85</v>
      </c>
      <c r="AP868" s="3">
        <f>ABS(Table1[[#This Row],[Team Score]]-Table1[[#This Row],[Opp Team Score]])</f>
        <v>4</v>
      </c>
      <c r="AQ868" s="3">
        <f>SUM(Table1[[#This Row],[Team Score]], Table1[[#This Row],[Opp Team Score]])</f>
        <v>24</v>
      </c>
      <c r="AR868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68" s="3" t="str">
        <f>IF(Table1[[#This Row],[Efficiency Difference]] = " ", " ", ROUND((Table1[[#This Row],[Winning Margin]]*100)/Table1[[#This Row],[Efficiency Difference]], 2))</f>
        <v xml:space="preserve"> </v>
      </c>
    </row>
    <row r="869" spans="1:45">
      <c r="A869" t="s">
        <v>145</v>
      </c>
      <c r="B869">
        <v>796</v>
      </c>
      <c r="C869">
        <v>59</v>
      </c>
      <c r="D869">
        <v>345</v>
      </c>
      <c r="E869">
        <v>27</v>
      </c>
      <c r="F869">
        <v>3</v>
      </c>
      <c r="G869">
        <v>19</v>
      </c>
      <c r="H869">
        <v>1</v>
      </c>
      <c r="I869">
        <v>267</v>
      </c>
      <c r="J869">
        <v>43</v>
      </c>
      <c r="K869">
        <v>5</v>
      </c>
      <c r="L869">
        <v>0</v>
      </c>
      <c r="M869" t="s">
        <v>15</v>
      </c>
      <c r="N869">
        <v>650</v>
      </c>
      <c r="O869">
        <v>10</v>
      </c>
      <c r="P869">
        <v>49</v>
      </c>
      <c r="Q869">
        <v>17</v>
      </c>
      <c r="R869">
        <v>1</v>
      </c>
      <c r="S869">
        <v>10</v>
      </c>
      <c r="T869">
        <v>2</v>
      </c>
      <c r="U869">
        <v>124</v>
      </c>
      <c r="V869">
        <v>37</v>
      </c>
      <c r="W869">
        <v>0</v>
      </c>
      <c r="X869">
        <v>0</v>
      </c>
      <c r="Y869" t="s">
        <v>16</v>
      </c>
      <c r="Z869">
        <v>4</v>
      </c>
      <c r="AA869" t="str">
        <f>IF(AND(Table1[[#This Row],[Throw Out Pass Eff]]="N", Table1[[#This Row],[Against FCS Team]]="N"), ROUND(((5.45 * D869) + (150 * F869) + (100 * G869) - (300 * H869)) / E869, 2), " ")</f>
        <v xml:space="preserve"> </v>
      </c>
      <c r="AB869" t="str">
        <f>IF(AND(Table1[[#This Row],[Throw Out Pass Def Eff]]="N", Table1[[#This Row],[Against FCS Team]]="N"),200 - ROUND(((5.45 * P869) + (150 * R869) + (100 * S869) - (300 * T869)) / Q869, 2), " ")</f>
        <v xml:space="preserve"> </v>
      </c>
      <c r="AC869" t="str">
        <f>IF(AND(Table1[[#This Row],[Throw Out Rush Eff]]="N", Table1[[#This Row],[Against FCS Team]]="N"), ROUND(((23.2 * I869) + (150 * K869) - (300 * L869)) / J869, 2), " ")</f>
        <v xml:space="preserve"> </v>
      </c>
      <c r="AD869" s="3" t="str">
        <f>IF(AND(Table1[[#This Row],[Throw Out Rush Def Eff]]="N", Table1[[#This Row],[Against FCS Team]]="N"), 200 - ROUND(((23.2 * U869) + (150 * W869) - (300 * X869)) / V869, 2), " ")</f>
        <v xml:space="preserve"> </v>
      </c>
      <c r="AE869" s="3">
        <f>ROUND(Table1[[#This Row],[Opp Passing Attempts]]/(Table1[[#This Row],[Opp Passing Attempts]]+Table1[[#This Row],[Opp Rushing Attempts]]), 2)</f>
        <v>0.31</v>
      </c>
      <c r="AF869" s="3">
        <f>1-Table1[[#This Row],[Passing Weight]]</f>
        <v>0.69</v>
      </c>
      <c r="AG869" s="3" t="str">
        <f>IF(COUNTIF(A:A,Table1[[#This Row],[Opp Team Name]]) &gt; 0, "N", "Y")</f>
        <v>Y</v>
      </c>
      <c r="AH869" s="3" t="str">
        <f>IF(Table1[[#This Row],[Passing Attempts]] &lt;15, "Y", "N")</f>
        <v>N</v>
      </c>
      <c r="AI869" s="3" t="str">
        <f>IF(Table1[[#This Row],[Rushing Attempts]] &lt; 15, "Y", "N")</f>
        <v>N</v>
      </c>
      <c r="AJ869" s="3" t="str">
        <f>IF(Table1[[#This Row],[Opp Passing Attempts]]&lt;15, "Y", "N")</f>
        <v>N</v>
      </c>
      <c r="AK869" s="3" t="str">
        <f>IF(Table1[[#This Row],[Opp Rushing Attempts]]&lt;15, "Y", "N")</f>
        <v>N</v>
      </c>
      <c r="AL869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69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69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69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69" s="3">
        <f>ABS(Table1[[#This Row],[Team Score]]-Table1[[#This Row],[Opp Team Score]])</f>
        <v>49</v>
      </c>
      <c r="AQ869" s="3">
        <f>SUM(Table1[[#This Row],[Team Score]], Table1[[#This Row],[Opp Team Score]])</f>
        <v>69</v>
      </c>
      <c r="AR869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69" s="3" t="str">
        <f>IF(Table1[[#This Row],[Efficiency Difference]] = " ", " ", ROUND((Table1[[#This Row],[Winning Margin]]*100)/Table1[[#This Row],[Efficiency Difference]], 2))</f>
        <v xml:space="preserve"> </v>
      </c>
    </row>
    <row r="870" spans="1:45">
      <c r="A870" t="s">
        <v>145</v>
      </c>
      <c r="B870">
        <v>796</v>
      </c>
      <c r="C870">
        <v>51</v>
      </c>
      <c r="D870">
        <v>258</v>
      </c>
      <c r="E870">
        <v>15</v>
      </c>
      <c r="F870">
        <v>2</v>
      </c>
      <c r="G870">
        <v>11</v>
      </c>
      <c r="H870">
        <v>0</v>
      </c>
      <c r="I870">
        <v>241</v>
      </c>
      <c r="J870">
        <v>38</v>
      </c>
      <c r="K870">
        <v>5</v>
      </c>
      <c r="L870">
        <v>0</v>
      </c>
      <c r="M870" t="s">
        <v>144</v>
      </c>
      <c r="N870">
        <v>465</v>
      </c>
      <c r="O870">
        <v>17</v>
      </c>
      <c r="P870">
        <v>146</v>
      </c>
      <c r="Q870">
        <v>27</v>
      </c>
      <c r="R870">
        <v>2</v>
      </c>
      <c r="S870">
        <v>18</v>
      </c>
      <c r="T870">
        <v>0</v>
      </c>
      <c r="U870">
        <v>146</v>
      </c>
      <c r="V870">
        <v>38</v>
      </c>
      <c r="W870">
        <v>0</v>
      </c>
      <c r="X870">
        <v>0</v>
      </c>
      <c r="Y870" t="s">
        <v>16</v>
      </c>
      <c r="Z870">
        <v>1</v>
      </c>
      <c r="AA870">
        <f>IF(AND(Table1[[#This Row],[Throw Out Pass Eff]]="N", Table1[[#This Row],[Against FCS Team]]="N"), ROUND(((5.45 * D870) + (150 * F870) + (100 * G870) - (300 * H870)) / E870, 2), " ")</f>
        <v>187.07</v>
      </c>
      <c r="AB870">
        <f>IF(AND(Table1[[#This Row],[Throw Out Pass Def Eff]]="N", Table1[[#This Row],[Against FCS Team]]="N"),200 - ROUND(((5.45 * P870) + (150 * R870) + (100 * S870) - (300 * T870)) / Q870, 2), " ")</f>
        <v>92.75</v>
      </c>
      <c r="AC870">
        <f>IF(AND(Table1[[#This Row],[Throw Out Rush Eff]]="N", Table1[[#This Row],[Against FCS Team]]="N"), ROUND(((23.2 * I870) + (150 * K870) - (300 * L870)) / J870, 2), " ")</f>
        <v>166.87</v>
      </c>
      <c r="AD870" s="3">
        <f>IF(AND(Table1[[#This Row],[Throw Out Rush Def Eff]]="N", Table1[[#This Row],[Against FCS Team]]="N"), 200 - ROUND(((23.2 * U870) + (150 * W870) - (300 * X870)) / V870, 2), " ")</f>
        <v>110.86</v>
      </c>
      <c r="AE870" s="3">
        <f>ROUND(Table1[[#This Row],[Opp Passing Attempts]]/(Table1[[#This Row],[Opp Passing Attempts]]+Table1[[#This Row],[Opp Rushing Attempts]]), 2)</f>
        <v>0.42</v>
      </c>
      <c r="AF870" s="3">
        <f>1-Table1[[#This Row],[Passing Weight]]</f>
        <v>0.58000000000000007</v>
      </c>
      <c r="AG870" s="3" t="str">
        <f>IF(COUNTIF(A:A,Table1[[#This Row],[Opp Team Name]]) &gt; 0, "N", "Y")</f>
        <v>N</v>
      </c>
      <c r="AH870" s="3" t="str">
        <f>IF(Table1[[#This Row],[Passing Attempts]] &lt;15, "Y", "N")</f>
        <v>N</v>
      </c>
      <c r="AI870" s="3" t="str">
        <f>IF(Table1[[#This Row],[Rushing Attempts]] &lt; 15, "Y", "N")</f>
        <v>N</v>
      </c>
      <c r="AJ870" s="3" t="str">
        <f>IF(Table1[[#This Row],[Opp Passing Attempts]]&lt;15, "Y", "N")</f>
        <v>N</v>
      </c>
      <c r="AK870" s="3" t="str">
        <f>IF(Table1[[#This Row],[Opp Rushing Attempts]]&lt;15, "Y", "N")</f>
        <v>N</v>
      </c>
      <c r="AL87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141.43</v>
      </c>
      <c r="AM87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75.37</v>
      </c>
      <c r="AN87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196.82</v>
      </c>
      <c r="AO87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80.88</v>
      </c>
      <c r="AP870" s="3">
        <f>ABS(Table1[[#This Row],[Team Score]]-Table1[[#This Row],[Opp Team Score]])</f>
        <v>34</v>
      </c>
      <c r="AQ870" s="3">
        <f>SUM(Table1[[#This Row],[Team Score]], Table1[[#This Row],[Opp Team Score]])</f>
        <v>68</v>
      </c>
      <c r="AR87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157.55000000000001</v>
      </c>
      <c r="AS870" s="3">
        <f>IF(Table1[[#This Row],[Efficiency Difference]] = " ", " ", ROUND((Table1[[#This Row],[Winning Margin]]*100)/Table1[[#This Row],[Efficiency Difference]], 2))</f>
        <v>21.58</v>
      </c>
    </row>
    <row r="871" spans="1:45">
      <c r="A871" t="s">
        <v>145</v>
      </c>
      <c r="B871">
        <v>796</v>
      </c>
      <c r="C871">
        <v>35</v>
      </c>
      <c r="D871">
        <v>189</v>
      </c>
      <c r="E871">
        <v>22</v>
      </c>
      <c r="F871">
        <v>3</v>
      </c>
      <c r="G871">
        <v>17</v>
      </c>
      <c r="H871">
        <v>0</v>
      </c>
      <c r="I871">
        <v>208</v>
      </c>
      <c r="J871">
        <v>43</v>
      </c>
      <c r="K871">
        <v>2</v>
      </c>
      <c r="L871">
        <v>0</v>
      </c>
      <c r="M871" t="s">
        <v>118</v>
      </c>
      <c r="N871">
        <v>528</v>
      </c>
      <c r="O871">
        <v>0</v>
      </c>
      <c r="P871">
        <v>261</v>
      </c>
      <c r="Q871">
        <v>41</v>
      </c>
      <c r="R871">
        <v>0</v>
      </c>
      <c r="S871">
        <v>27</v>
      </c>
      <c r="T871">
        <v>0</v>
      </c>
      <c r="U871">
        <v>23</v>
      </c>
      <c r="V871">
        <v>24</v>
      </c>
      <c r="W871">
        <v>0</v>
      </c>
      <c r="X871">
        <v>1</v>
      </c>
      <c r="Y871" t="s">
        <v>16</v>
      </c>
      <c r="Z871">
        <v>2</v>
      </c>
      <c r="AA871">
        <f>IF(AND(Table1[[#This Row],[Throw Out Pass Eff]]="N", Table1[[#This Row],[Against FCS Team]]="N"), ROUND(((5.45 * D871) + (150 * F871) + (100 * G871) - (300 * H871)) / E871, 2), " ")</f>
        <v>144.55000000000001</v>
      </c>
      <c r="AB871">
        <f>IF(AND(Table1[[#This Row],[Throw Out Pass Def Eff]]="N", Table1[[#This Row],[Against FCS Team]]="N"),200 - ROUND(((5.45 * P871) + (150 * R871) + (100 * S871) - (300 * T871)) / Q871, 2), " ")</f>
        <v>99.45</v>
      </c>
      <c r="AC871">
        <f>IF(AND(Table1[[#This Row],[Throw Out Rush Eff]]="N", Table1[[#This Row],[Against FCS Team]]="N"), ROUND(((23.2 * I871) + (150 * K871) - (300 * L871)) / J871, 2), " ")</f>
        <v>119.2</v>
      </c>
      <c r="AD871" s="3">
        <f>IF(AND(Table1[[#This Row],[Throw Out Rush Def Eff]]="N", Table1[[#This Row],[Against FCS Team]]="N"), 200 - ROUND(((23.2 * U871) + (150 * W871) - (300 * X871)) / V871, 2), " ")</f>
        <v>190.27</v>
      </c>
      <c r="AE871" s="3">
        <f>ROUND(Table1[[#This Row],[Opp Passing Attempts]]/(Table1[[#This Row],[Opp Passing Attempts]]+Table1[[#This Row],[Opp Rushing Attempts]]), 2)</f>
        <v>0.63</v>
      </c>
      <c r="AF871" s="3">
        <f>1-Table1[[#This Row],[Passing Weight]]</f>
        <v>0.37</v>
      </c>
      <c r="AG871" s="3" t="str">
        <f>IF(COUNTIF(A:A,Table1[[#This Row],[Opp Team Name]]) &gt; 0, "N", "Y")</f>
        <v>N</v>
      </c>
      <c r="AH871" s="3" t="str">
        <f>IF(Table1[[#This Row],[Passing Attempts]] &lt;15, "Y", "N")</f>
        <v>N</v>
      </c>
      <c r="AI871" s="3" t="str">
        <f>IF(Table1[[#This Row],[Rushing Attempts]] &lt; 15, "Y", "N")</f>
        <v>N</v>
      </c>
      <c r="AJ871" s="3" t="str">
        <f>IF(Table1[[#This Row],[Opp Passing Attempts]]&lt;15, "Y", "N")</f>
        <v>N</v>
      </c>
      <c r="AK871" s="3" t="str">
        <f>IF(Table1[[#This Row],[Opp Rushing Attempts]]&lt;15, "Y", "N")</f>
        <v>N</v>
      </c>
      <c r="AL87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133.61000000000001</v>
      </c>
      <c r="AM87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101.22</v>
      </c>
      <c r="AN87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130.47</v>
      </c>
      <c r="AO87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125.28</v>
      </c>
      <c r="AP871" s="3">
        <f>ABS(Table1[[#This Row],[Team Score]]-Table1[[#This Row],[Opp Team Score]])</f>
        <v>35</v>
      </c>
      <c r="AQ871" s="3">
        <f>SUM(Table1[[#This Row],[Team Score]], Table1[[#This Row],[Opp Team Score]])</f>
        <v>35</v>
      </c>
      <c r="AR87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153.47000000000003</v>
      </c>
      <c r="AS871" s="3">
        <f>IF(Table1[[#This Row],[Efficiency Difference]] = " ", " ", ROUND((Table1[[#This Row],[Winning Margin]]*100)/Table1[[#This Row],[Efficiency Difference]], 2))</f>
        <v>22.81</v>
      </c>
    </row>
    <row r="872" spans="1:45">
      <c r="A872" t="s">
        <v>145</v>
      </c>
      <c r="B872">
        <v>796</v>
      </c>
      <c r="C872">
        <v>49</v>
      </c>
      <c r="D872">
        <v>355</v>
      </c>
      <c r="E872">
        <v>34</v>
      </c>
      <c r="F872">
        <v>3</v>
      </c>
      <c r="G872">
        <v>24</v>
      </c>
      <c r="H872">
        <v>1</v>
      </c>
      <c r="I872">
        <v>266</v>
      </c>
      <c r="J872">
        <v>47</v>
      </c>
      <c r="K872">
        <v>4</v>
      </c>
      <c r="L872">
        <v>0</v>
      </c>
      <c r="M872" t="s">
        <v>31</v>
      </c>
      <c r="N872">
        <v>503</v>
      </c>
      <c r="O872">
        <v>7</v>
      </c>
      <c r="P872">
        <v>173</v>
      </c>
      <c r="Q872">
        <v>27</v>
      </c>
      <c r="R872">
        <v>0</v>
      </c>
      <c r="S872">
        <v>17</v>
      </c>
      <c r="T872">
        <v>0</v>
      </c>
      <c r="U872">
        <v>64</v>
      </c>
      <c r="V872">
        <v>25</v>
      </c>
      <c r="W872">
        <v>1</v>
      </c>
      <c r="X872">
        <v>0</v>
      </c>
      <c r="Y872" t="s">
        <v>16</v>
      </c>
      <c r="Z872">
        <v>3</v>
      </c>
      <c r="AA872">
        <f>IF(AND(Table1[[#This Row],[Throw Out Pass Eff]]="N", Table1[[#This Row],[Against FCS Team]]="N"), ROUND(((5.45 * D872) + (150 * F872) + (100 * G872) - (300 * H872)) / E872, 2), " ")</f>
        <v>131.9</v>
      </c>
      <c r="AB872">
        <f>IF(AND(Table1[[#This Row],[Throw Out Pass Def Eff]]="N", Table1[[#This Row],[Against FCS Team]]="N"),200 - ROUND(((5.45 * P872) + (150 * R872) + (100 * S872) - (300 * T872)) / Q872, 2), " ")</f>
        <v>102.12</v>
      </c>
      <c r="AC872">
        <f>IF(AND(Table1[[#This Row],[Throw Out Rush Eff]]="N", Table1[[#This Row],[Against FCS Team]]="N"), ROUND(((23.2 * I872) + (150 * K872) - (300 * L872)) / J872, 2), " ")</f>
        <v>144.07</v>
      </c>
      <c r="AD872" s="3">
        <f>IF(AND(Table1[[#This Row],[Throw Out Rush Def Eff]]="N", Table1[[#This Row],[Against FCS Team]]="N"), 200 - ROUND(((23.2 * U872) + (150 * W872) - (300 * X872)) / V872, 2), " ")</f>
        <v>134.61000000000001</v>
      </c>
      <c r="AE872" s="3">
        <f>ROUND(Table1[[#This Row],[Opp Passing Attempts]]/(Table1[[#This Row],[Opp Passing Attempts]]+Table1[[#This Row],[Opp Rushing Attempts]]), 2)</f>
        <v>0.52</v>
      </c>
      <c r="AF872" s="3">
        <f>1-Table1[[#This Row],[Passing Weight]]</f>
        <v>0.48</v>
      </c>
      <c r="AG872" s="3" t="str">
        <f>IF(COUNTIF(A:A,Table1[[#This Row],[Opp Team Name]]) &gt; 0, "N", "Y")</f>
        <v>N</v>
      </c>
      <c r="AH872" s="3" t="str">
        <f>IF(Table1[[#This Row],[Passing Attempts]] &lt;15, "Y", "N")</f>
        <v>N</v>
      </c>
      <c r="AI872" s="3" t="str">
        <f>IF(Table1[[#This Row],[Rushing Attempts]] &lt; 15, "Y", "N")</f>
        <v>N</v>
      </c>
      <c r="AJ872" s="3" t="str">
        <f>IF(Table1[[#This Row],[Opp Passing Attempts]]&lt;15, "Y", "N")</f>
        <v>N</v>
      </c>
      <c r="AK872" s="3" t="str">
        <f>IF(Table1[[#This Row],[Opp Rushing Attempts]]&lt;15, "Y", "N")</f>
        <v>N</v>
      </c>
      <c r="AL872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130.74</v>
      </c>
      <c r="AM872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107.48</v>
      </c>
      <c r="AN872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159.22999999999999</v>
      </c>
      <c r="AO872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170.6</v>
      </c>
      <c r="AP872" s="3">
        <f>ABS(Table1[[#This Row],[Team Score]]-Table1[[#This Row],[Opp Team Score]])</f>
        <v>42</v>
      </c>
      <c r="AQ872" s="3">
        <f>SUM(Table1[[#This Row],[Team Score]], Table1[[#This Row],[Opp Team Score]])</f>
        <v>56</v>
      </c>
      <c r="AR872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112.70000000000005</v>
      </c>
      <c r="AS872" s="3">
        <f>IF(Table1[[#This Row],[Efficiency Difference]] = " ", " ", ROUND((Table1[[#This Row],[Winning Margin]]*100)/Table1[[#This Row],[Efficiency Difference]], 2))</f>
        <v>37.270000000000003</v>
      </c>
    </row>
    <row r="873" spans="1:45">
      <c r="A873" t="s">
        <v>145</v>
      </c>
      <c r="B873">
        <v>796</v>
      </c>
      <c r="C873">
        <v>48</v>
      </c>
      <c r="D873">
        <v>255</v>
      </c>
      <c r="E873">
        <v>20</v>
      </c>
      <c r="F873">
        <v>2</v>
      </c>
      <c r="G873">
        <v>14</v>
      </c>
      <c r="H873">
        <v>0</v>
      </c>
      <c r="I873">
        <v>231</v>
      </c>
      <c r="J873">
        <v>50</v>
      </c>
      <c r="K873">
        <v>5</v>
      </c>
      <c r="L873">
        <v>1</v>
      </c>
      <c r="M873" t="s">
        <v>106</v>
      </c>
      <c r="N873">
        <v>463</v>
      </c>
      <c r="O873">
        <v>17</v>
      </c>
      <c r="P873">
        <v>176</v>
      </c>
      <c r="Q873">
        <v>22</v>
      </c>
      <c r="R873">
        <v>0</v>
      </c>
      <c r="S873">
        <v>11</v>
      </c>
      <c r="T873">
        <v>3</v>
      </c>
      <c r="U873">
        <v>159</v>
      </c>
      <c r="V873">
        <v>43</v>
      </c>
      <c r="W873">
        <v>2</v>
      </c>
      <c r="X873">
        <v>0</v>
      </c>
      <c r="Y873" t="s">
        <v>16</v>
      </c>
      <c r="Z873">
        <v>5</v>
      </c>
      <c r="AA873">
        <f>IF(AND(Table1[[#This Row],[Throw Out Pass Eff]]="N", Table1[[#This Row],[Against FCS Team]]="N"), ROUND(((5.45 * D873) + (150 * F873) + (100 * G873) - (300 * H873)) / E873, 2), " ")</f>
        <v>154.49</v>
      </c>
      <c r="AB873">
        <f>IF(AND(Table1[[#This Row],[Throw Out Pass Def Eff]]="N", Table1[[#This Row],[Against FCS Team]]="N"),200 - ROUND(((5.45 * P873) + (150 * R873) + (100 * S873) - (300 * T873)) / Q873, 2), " ")</f>
        <v>147.31</v>
      </c>
      <c r="AC873">
        <f>IF(AND(Table1[[#This Row],[Throw Out Rush Eff]]="N", Table1[[#This Row],[Against FCS Team]]="N"), ROUND(((23.2 * I873) + (150 * K873) - (300 * L873)) / J873, 2), " ")</f>
        <v>116.18</v>
      </c>
      <c r="AD873" s="3">
        <f>IF(AND(Table1[[#This Row],[Throw Out Rush Def Eff]]="N", Table1[[#This Row],[Against FCS Team]]="N"), 200 - ROUND(((23.2 * U873) + (150 * W873) - (300 * X873)) / V873, 2), " ")</f>
        <v>107.24</v>
      </c>
      <c r="AE873" s="3">
        <f>ROUND(Table1[[#This Row],[Opp Passing Attempts]]/(Table1[[#This Row],[Opp Passing Attempts]]+Table1[[#This Row],[Opp Rushing Attempts]]), 2)</f>
        <v>0.34</v>
      </c>
      <c r="AF873" s="3">
        <f>1-Table1[[#This Row],[Passing Weight]]</f>
        <v>0.65999999999999992</v>
      </c>
      <c r="AG873" s="3" t="str">
        <f>IF(COUNTIF(A:A,Table1[[#This Row],[Opp Team Name]]) &gt; 0, "N", "Y")</f>
        <v>N</v>
      </c>
      <c r="AH873" s="3" t="str">
        <f>IF(Table1[[#This Row],[Passing Attempts]] &lt;15, "Y", "N")</f>
        <v>N</v>
      </c>
      <c r="AI873" s="3" t="str">
        <f>IF(Table1[[#This Row],[Rushing Attempts]] &lt; 15, "Y", "N")</f>
        <v>N</v>
      </c>
      <c r="AJ873" s="3" t="str">
        <f>IF(Table1[[#This Row],[Opp Passing Attempts]]&lt;15, "Y", "N")</f>
        <v>N</v>
      </c>
      <c r="AK873" s="3" t="str">
        <f>IF(Table1[[#This Row],[Opp Rushing Attempts]]&lt;15, "Y", "N")</f>
        <v>N</v>
      </c>
      <c r="AL873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164.19</v>
      </c>
      <c r="AM873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140.03</v>
      </c>
      <c r="AN873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107.35</v>
      </c>
      <c r="AO873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146.11000000000001</v>
      </c>
      <c r="AP873" s="3">
        <f>ABS(Table1[[#This Row],[Team Score]]-Table1[[#This Row],[Opp Team Score]])</f>
        <v>31</v>
      </c>
      <c r="AQ873" s="3">
        <f>SUM(Table1[[#This Row],[Team Score]], Table1[[#This Row],[Opp Team Score]])</f>
        <v>65</v>
      </c>
      <c r="AR873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125.22000000000003</v>
      </c>
      <c r="AS873" s="3">
        <f>IF(Table1[[#This Row],[Efficiency Difference]] = " ", " ", ROUND((Table1[[#This Row],[Winning Margin]]*100)/Table1[[#This Row],[Efficiency Difference]], 2))</f>
        <v>24.76</v>
      </c>
    </row>
    <row r="874" spans="1:45">
      <c r="A874" t="s">
        <v>145</v>
      </c>
      <c r="B874">
        <v>796</v>
      </c>
      <c r="C874">
        <v>59</v>
      </c>
      <c r="D874">
        <v>192</v>
      </c>
      <c r="E874">
        <v>23</v>
      </c>
      <c r="F874">
        <v>2</v>
      </c>
      <c r="G874">
        <v>14</v>
      </c>
      <c r="H874">
        <v>0</v>
      </c>
      <c r="I874">
        <v>332</v>
      </c>
      <c r="J874">
        <v>42</v>
      </c>
      <c r="K874">
        <v>4</v>
      </c>
      <c r="L874">
        <v>0</v>
      </c>
      <c r="M874" t="s">
        <v>35</v>
      </c>
      <c r="N874">
        <v>306</v>
      </c>
      <c r="O874">
        <v>7</v>
      </c>
      <c r="P874">
        <v>64</v>
      </c>
      <c r="Q874">
        <v>20</v>
      </c>
      <c r="R874">
        <v>0</v>
      </c>
      <c r="S874">
        <v>8</v>
      </c>
      <c r="T874">
        <v>2</v>
      </c>
      <c r="U874">
        <v>223</v>
      </c>
      <c r="V874">
        <v>45</v>
      </c>
      <c r="W874">
        <v>1</v>
      </c>
      <c r="X874">
        <v>1</v>
      </c>
      <c r="Y874" t="s">
        <v>16</v>
      </c>
      <c r="Z874">
        <v>7</v>
      </c>
      <c r="AA874">
        <f>IF(AND(Table1[[#This Row],[Throw Out Pass Eff]]="N", Table1[[#This Row],[Against FCS Team]]="N"), ROUND(((5.45 * D874) + (150 * F874) + (100 * G874) - (300 * H874)) / E874, 2), " ")</f>
        <v>119.41</v>
      </c>
      <c r="AB874">
        <f>IF(AND(Table1[[#This Row],[Throw Out Pass Def Eff]]="N", Table1[[#This Row],[Against FCS Team]]="N"),200 - ROUND(((5.45 * P874) + (150 * R874) + (100 * S874) - (300 * T874)) / Q874, 2), " ")</f>
        <v>172.56</v>
      </c>
      <c r="AC874">
        <f>IF(AND(Table1[[#This Row],[Throw Out Rush Eff]]="N", Table1[[#This Row],[Against FCS Team]]="N"), ROUND(((23.2 * I874) + (150 * K874) - (300 * L874)) / J874, 2), " ")</f>
        <v>197.68</v>
      </c>
      <c r="AD874" s="3">
        <f>IF(AND(Table1[[#This Row],[Throw Out Rush Def Eff]]="N", Table1[[#This Row],[Against FCS Team]]="N"), 200 - ROUND(((23.2 * U874) + (150 * W874) - (300 * X874)) / V874, 2), " ")</f>
        <v>88.36</v>
      </c>
      <c r="AE874" s="3">
        <f>ROUND(Table1[[#This Row],[Opp Passing Attempts]]/(Table1[[#This Row],[Opp Passing Attempts]]+Table1[[#This Row],[Opp Rushing Attempts]]), 2)</f>
        <v>0.31</v>
      </c>
      <c r="AF874" s="3">
        <f>1-Table1[[#This Row],[Passing Weight]]</f>
        <v>0.69</v>
      </c>
      <c r="AG874" s="3" t="str">
        <f>IF(COUNTIF(A:A,Table1[[#This Row],[Opp Team Name]]) &gt; 0, "N", "Y")</f>
        <v>N</v>
      </c>
      <c r="AH874" s="3" t="str">
        <f>IF(Table1[[#This Row],[Passing Attempts]] &lt;15, "Y", "N")</f>
        <v>N</v>
      </c>
      <c r="AI874" s="3" t="str">
        <f>IF(Table1[[#This Row],[Rushing Attempts]] &lt; 15, "Y", "N")</f>
        <v>N</v>
      </c>
      <c r="AJ874" s="3" t="str">
        <f>IF(Table1[[#This Row],[Opp Passing Attempts]]&lt;15, "Y", "N")</f>
        <v>N</v>
      </c>
      <c r="AK874" s="3" t="str">
        <f>IF(Table1[[#This Row],[Opp Rushing Attempts]]&lt;15, "Y", "N")</f>
        <v>N</v>
      </c>
      <c r="AL874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97.21</v>
      </c>
      <c r="AM874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140.54</v>
      </c>
      <c r="AN874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165.18</v>
      </c>
      <c r="AO874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63.02</v>
      </c>
      <c r="AP874" s="3">
        <f>ABS(Table1[[#This Row],[Team Score]]-Table1[[#This Row],[Opp Team Score]])</f>
        <v>52</v>
      </c>
      <c r="AQ874" s="3">
        <f>SUM(Table1[[#This Row],[Team Score]], Table1[[#This Row],[Opp Team Score]])</f>
        <v>66</v>
      </c>
      <c r="AR874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178.01000000000005</v>
      </c>
      <c r="AS874" s="3">
        <f>IF(Table1[[#This Row],[Efficiency Difference]] = " ", " ", ROUND((Table1[[#This Row],[Winning Margin]]*100)/Table1[[#This Row],[Efficiency Difference]], 2))</f>
        <v>29.21</v>
      </c>
    </row>
    <row r="875" spans="1:45">
      <c r="A875" t="s">
        <v>145</v>
      </c>
      <c r="B875">
        <v>796</v>
      </c>
      <c r="C875">
        <v>31</v>
      </c>
      <c r="D875">
        <v>223</v>
      </c>
      <c r="E875">
        <v>21</v>
      </c>
      <c r="F875">
        <v>2</v>
      </c>
      <c r="G875">
        <v>14</v>
      </c>
      <c r="H875">
        <v>2</v>
      </c>
      <c r="I875">
        <v>220</v>
      </c>
      <c r="J875">
        <v>41</v>
      </c>
      <c r="K875">
        <v>2</v>
      </c>
      <c r="L875">
        <v>0</v>
      </c>
      <c r="M875" t="s">
        <v>98</v>
      </c>
      <c r="N875">
        <v>416</v>
      </c>
      <c r="O875">
        <v>37</v>
      </c>
      <c r="P875">
        <v>290</v>
      </c>
      <c r="Q875">
        <v>31</v>
      </c>
      <c r="R875">
        <v>3</v>
      </c>
      <c r="S875">
        <v>22</v>
      </c>
      <c r="T875">
        <v>0</v>
      </c>
      <c r="U875">
        <v>109</v>
      </c>
      <c r="V875">
        <v>32</v>
      </c>
      <c r="W875">
        <v>1</v>
      </c>
      <c r="X875">
        <v>1</v>
      </c>
      <c r="Y875" t="s">
        <v>19</v>
      </c>
      <c r="Z875">
        <v>8</v>
      </c>
      <c r="AA875" s="3">
        <f>IF(AND(Table1[[#This Row],[Throw Out Pass Eff]]="N", Table1[[#This Row],[Against FCS Team]]="N"), ROUND(((5.45 * D875) + (150 * F875) + (100 * G875) - (300 * H875)) / E875, 2), " ")</f>
        <v>110.25</v>
      </c>
      <c r="AB875" s="3">
        <f>IF(AND(Table1[[#This Row],[Throw Out Pass Def Eff]]="N", Table1[[#This Row],[Against FCS Team]]="N"),200 - ROUND(((5.45 * P875) + (150 * R875) + (100 * S875) - (300 * T875)) / Q875, 2), " ")</f>
        <v>63.53</v>
      </c>
      <c r="AC875" s="3">
        <f>IF(AND(Table1[[#This Row],[Throw Out Rush Eff]]="N", Table1[[#This Row],[Against FCS Team]]="N"), ROUND(((23.2 * I875) + (150 * K875) - (300 * L875)) / J875, 2), " ")</f>
        <v>131.80000000000001</v>
      </c>
      <c r="AD875" s="3">
        <f>IF(AND(Table1[[#This Row],[Throw Out Rush Def Eff]]="N", Table1[[#This Row],[Against FCS Team]]="N"), 200 - ROUND(((23.2 * U875) + (150 * W875) - (300 * X875)) / V875, 2), " ")</f>
        <v>125.66</v>
      </c>
      <c r="AE875" s="3">
        <f>ROUND(Table1[[#This Row],[Opp Passing Attempts]]/(Table1[[#This Row],[Opp Passing Attempts]]+Table1[[#This Row],[Opp Rushing Attempts]]), 2)</f>
        <v>0.49</v>
      </c>
      <c r="AF875" s="3">
        <f>1-Table1[[#This Row],[Passing Weight]]</f>
        <v>0.51</v>
      </c>
      <c r="AG875" s="3" t="str">
        <f>IF(COUNTIF(A:A,Table1[[#This Row],[Opp Team Name]]) &gt; 0, "N", "Y")</f>
        <v>N</v>
      </c>
      <c r="AH875" s="3" t="str">
        <f>IF(Table1[[#This Row],[Passing Attempts]] &lt;15, "Y", "N")</f>
        <v>N</v>
      </c>
      <c r="AI875" s="3" t="str">
        <f>IF(Table1[[#This Row],[Rushing Attempts]] &lt; 15, "Y", "N")</f>
        <v>N</v>
      </c>
      <c r="AJ875" s="3" t="str">
        <f>IF(Table1[[#This Row],[Opp Passing Attempts]]&lt;15, "Y", "N")</f>
        <v>N</v>
      </c>
      <c r="AK875" s="3" t="str">
        <f>IF(Table1[[#This Row],[Opp Rushing Attempts]]&lt;15, "Y", "N")</f>
        <v>N</v>
      </c>
      <c r="AL875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140.32</v>
      </c>
      <c r="AM875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69.150000000000006</v>
      </c>
      <c r="AN875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193.2</v>
      </c>
      <c r="AO875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93.7</v>
      </c>
      <c r="AP875" s="3">
        <f>ABS(Table1[[#This Row],[Team Score]]-Table1[[#This Row],[Opp Team Score]])</f>
        <v>6</v>
      </c>
      <c r="AQ875" s="3">
        <f>SUM(Table1[[#This Row],[Team Score]], Table1[[#This Row],[Opp Team Score]])</f>
        <v>68</v>
      </c>
      <c r="AR875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31.240000000000009</v>
      </c>
      <c r="AS875" s="3">
        <f>IF(Table1[[#This Row],[Efficiency Difference]] = " ", " ", ROUND((Table1[[#This Row],[Winning Margin]]*100)/Table1[[#This Row],[Efficiency Difference]], 2))</f>
        <v>19.21</v>
      </c>
    </row>
    <row r="876" spans="1:45">
      <c r="A876" t="s">
        <v>162</v>
      </c>
      <c r="B876">
        <v>811</v>
      </c>
      <c r="C876">
        <v>35</v>
      </c>
      <c r="D876">
        <v>294</v>
      </c>
      <c r="E876">
        <v>42</v>
      </c>
      <c r="F876">
        <v>3</v>
      </c>
      <c r="G876">
        <v>27</v>
      </c>
      <c r="H876">
        <v>1</v>
      </c>
      <c r="I876">
        <v>169</v>
      </c>
      <c r="J876">
        <v>38</v>
      </c>
      <c r="K876">
        <v>2</v>
      </c>
      <c r="L876">
        <v>0</v>
      </c>
      <c r="M876" t="s">
        <v>163</v>
      </c>
      <c r="N876">
        <v>758</v>
      </c>
      <c r="O876">
        <v>32</v>
      </c>
      <c r="P876">
        <v>314</v>
      </c>
      <c r="Q876">
        <v>28</v>
      </c>
      <c r="R876">
        <v>2</v>
      </c>
      <c r="S876">
        <v>19</v>
      </c>
      <c r="T876">
        <v>0</v>
      </c>
      <c r="U876">
        <v>227</v>
      </c>
      <c r="V876">
        <v>52</v>
      </c>
      <c r="W876">
        <v>2</v>
      </c>
      <c r="X876">
        <v>1</v>
      </c>
      <c r="Y876" t="s">
        <v>16</v>
      </c>
      <c r="Z876">
        <v>1</v>
      </c>
      <c r="AA876" t="str">
        <f>IF(AND(Table1[[#This Row],[Throw Out Pass Eff]]="N", Table1[[#This Row],[Against FCS Team]]="N"), ROUND(((5.45 * D876) + (150 * F876) + (100 * G876) - (300 * H876)) / E876, 2), " ")</f>
        <v xml:space="preserve"> </v>
      </c>
      <c r="AB876" t="str">
        <f>IF(AND(Table1[[#This Row],[Throw Out Pass Def Eff]]="N", Table1[[#This Row],[Against FCS Team]]="N"),200 - ROUND(((5.45 * P876) + (150 * R876) + (100 * S876) - (300 * T876)) / Q876, 2), " ")</f>
        <v xml:space="preserve"> </v>
      </c>
      <c r="AC876" t="str">
        <f>IF(AND(Table1[[#This Row],[Throw Out Rush Eff]]="N", Table1[[#This Row],[Against FCS Team]]="N"), ROUND(((23.2 * I876) + (150 * K876) - (300 * L876)) / J876, 2), " ")</f>
        <v xml:space="preserve"> </v>
      </c>
      <c r="AD876" s="3" t="str">
        <f>IF(AND(Table1[[#This Row],[Throw Out Rush Def Eff]]="N", Table1[[#This Row],[Against FCS Team]]="N"), 200 - ROUND(((23.2 * U876) + (150 * W876) - (300 * X876)) / V876, 2), " ")</f>
        <v xml:space="preserve"> </v>
      </c>
      <c r="AE876" s="3">
        <f>ROUND(Table1[[#This Row],[Opp Passing Attempts]]/(Table1[[#This Row],[Opp Passing Attempts]]+Table1[[#This Row],[Opp Rushing Attempts]]), 2)</f>
        <v>0.35</v>
      </c>
      <c r="AF876" s="3">
        <f>1-Table1[[#This Row],[Passing Weight]]</f>
        <v>0.65</v>
      </c>
      <c r="AG876" s="3" t="str">
        <f>IF(COUNTIF(A:A,Table1[[#This Row],[Opp Team Name]]) &gt; 0, "N", "Y")</f>
        <v>Y</v>
      </c>
      <c r="AH876" s="3" t="str">
        <f>IF(Table1[[#This Row],[Passing Attempts]] &lt;15, "Y", "N")</f>
        <v>N</v>
      </c>
      <c r="AI876" s="3" t="str">
        <f>IF(Table1[[#This Row],[Rushing Attempts]] &lt; 15, "Y", "N")</f>
        <v>N</v>
      </c>
      <c r="AJ876" s="3" t="str">
        <f>IF(Table1[[#This Row],[Opp Passing Attempts]]&lt;15, "Y", "N")</f>
        <v>N</v>
      </c>
      <c r="AK876" s="3" t="str">
        <f>IF(Table1[[#This Row],[Opp Rushing Attempts]]&lt;15, "Y", "N")</f>
        <v>N</v>
      </c>
      <c r="AL876" s="3" t="str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 xml:space="preserve"> </v>
      </c>
      <c r="AM876" s="3" t="str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 xml:space="preserve"> </v>
      </c>
      <c r="AN876" s="3" t="str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 xml:space="preserve"> </v>
      </c>
      <c r="AO876" s="3" t="str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 xml:space="preserve"> </v>
      </c>
      <c r="AP876" s="3">
        <f>ABS(Table1[[#This Row],[Team Score]]-Table1[[#This Row],[Opp Team Score]])</f>
        <v>3</v>
      </c>
      <c r="AQ876" s="3">
        <f>SUM(Table1[[#This Row],[Team Score]], Table1[[#This Row],[Opp Team Score]])</f>
        <v>67</v>
      </c>
      <c r="AR876" s="3" t="str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 xml:space="preserve"> </v>
      </c>
      <c r="AS876" s="3" t="str">
        <f>IF(Table1[[#This Row],[Efficiency Difference]] = " ", " ", ROUND((Table1[[#This Row],[Winning Margin]]*100)/Table1[[#This Row],[Efficiency Difference]], 2))</f>
        <v xml:space="preserve"> </v>
      </c>
    </row>
    <row r="877" spans="1:45">
      <c r="A877" t="s">
        <v>162</v>
      </c>
      <c r="B877">
        <v>811</v>
      </c>
      <c r="C877">
        <v>45</v>
      </c>
      <c r="D877">
        <v>236</v>
      </c>
      <c r="E877">
        <v>31</v>
      </c>
      <c r="F877">
        <v>1</v>
      </c>
      <c r="G877">
        <v>16</v>
      </c>
      <c r="H877">
        <v>2</v>
      </c>
      <c r="I877">
        <v>382</v>
      </c>
      <c r="J877">
        <v>50</v>
      </c>
      <c r="K877">
        <v>5</v>
      </c>
      <c r="L877">
        <v>0</v>
      </c>
      <c r="M877" t="s">
        <v>136</v>
      </c>
      <c r="N877">
        <v>670</v>
      </c>
      <c r="O877">
        <v>10</v>
      </c>
      <c r="P877">
        <v>112</v>
      </c>
      <c r="Q877">
        <v>23</v>
      </c>
      <c r="R877">
        <v>0</v>
      </c>
      <c r="S877">
        <v>12</v>
      </c>
      <c r="T877">
        <v>2</v>
      </c>
      <c r="U877">
        <v>77</v>
      </c>
      <c r="V877">
        <v>34</v>
      </c>
      <c r="W877">
        <v>1</v>
      </c>
      <c r="X877">
        <v>1</v>
      </c>
      <c r="Y877" t="s">
        <v>16</v>
      </c>
      <c r="Z877">
        <v>2</v>
      </c>
      <c r="AA877">
        <f>IF(AND(Table1[[#This Row],[Throw Out Pass Eff]]="N", Table1[[#This Row],[Against FCS Team]]="N"), ROUND(((5.45 * D877) + (150 * F877) + (100 * G877) - (300 * H877)) / E877, 2), " ")</f>
        <v>78.59</v>
      </c>
      <c r="AB877">
        <f>IF(AND(Table1[[#This Row],[Throw Out Pass Def Eff]]="N", Table1[[#This Row],[Against FCS Team]]="N"),200 - ROUND(((5.45 * P877) + (150 * R877) + (100 * S877) - (300 * T877)) / Q877, 2), " ")</f>
        <v>147.37</v>
      </c>
      <c r="AC877">
        <f>IF(AND(Table1[[#This Row],[Throw Out Rush Eff]]="N", Table1[[#This Row],[Against FCS Team]]="N"), ROUND(((23.2 * I877) + (150 * K877) - (300 * L877)) / J877, 2), " ")</f>
        <v>192.25</v>
      </c>
      <c r="AD877" s="3">
        <f>IF(AND(Table1[[#This Row],[Throw Out Rush Def Eff]]="N", Table1[[#This Row],[Against FCS Team]]="N"), 200 - ROUND(((23.2 * U877) + (150 * W877) - (300 * X877)) / V877, 2), " ")</f>
        <v>151.87</v>
      </c>
      <c r="AE877" s="3">
        <f>ROUND(Table1[[#This Row],[Opp Passing Attempts]]/(Table1[[#This Row],[Opp Passing Attempts]]+Table1[[#This Row],[Opp Rushing Attempts]]), 2)</f>
        <v>0.4</v>
      </c>
      <c r="AF877" s="3">
        <f>1-Table1[[#This Row],[Passing Weight]]</f>
        <v>0.6</v>
      </c>
      <c r="AG877" s="3" t="str">
        <f>IF(COUNTIF(A:A,Table1[[#This Row],[Opp Team Name]]) &gt; 0, "N", "Y")</f>
        <v>N</v>
      </c>
      <c r="AH877" s="3" t="str">
        <f>IF(Table1[[#This Row],[Passing Attempts]] &lt;15, "Y", "N")</f>
        <v>N</v>
      </c>
      <c r="AI877" s="3" t="str">
        <f>IF(Table1[[#This Row],[Rushing Attempts]] &lt; 15, "Y", "N")</f>
        <v>N</v>
      </c>
      <c r="AJ877" s="3" t="str">
        <f>IF(Table1[[#This Row],[Opp Passing Attempts]]&lt;15, "Y", "N")</f>
        <v>N</v>
      </c>
      <c r="AK877" s="3" t="str">
        <f>IF(Table1[[#This Row],[Opp Rushing Attempts]]&lt;15, "Y", "N")</f>
        <v>N</v>
      </c>
      <c r="AL877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85.79</v>
      </c>
      <c r="AM877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140.87</v>
      </c>
      <c r="AN877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127.98</v>
      </c>
      <c r="AO877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148.99</v>
      </c>
      <c r="AP877" s="3">
        <f>ABS(Table1[[#This Row],[Team Score]]-Table1[[#This Row],[Opp Team Score]])</f>
        <v>35</v>
      </c>
      <c r="AQ877" s="3">
        <f>SUM(Table1[[#This Row],[Team Score]], Table1[[#This Row],[Opp Team Score]])</f>
        <v>55</v>
      </c>
      <c r="AR877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170.08000000000004</v>
      </c>
      <c r="AS877" s="3">
        <f>IF(Table1[[#This Row],[Efficiency Difference]] = " ", " ", ROUND((Table1[[#This Row],[Winning Margin]]*100)/Table1[[#This Row],[Efficiency Difference]], 2))</f>
        <v>20.58</v>
      </c>
    </row>
    <row r="878" spans="1:45">
      <c r="A878" t="s">
        <v>162</v>
      </c>
      <c r="B878">
        <v>811</v>
      </c>
      <c r="C878">
        <v>28</v>
      </c>
      <c r="D878">
        <v>267</v>
      </c>
      <c r="E878">
        <v>39</v>
      </c>
      <c r="F878">
        <v>1</v>
      </c>
      <c r="G878">
        <v>25</v>
      </c>
      <c r="H878">
        <v>0</v>
      </c>
      <c r="I878">
        <v>129</v>
      </c>
      <c r="J878">
        <v>34</v>
      </c>
      <c r="K878">
        <v>2</v>
      </c>
      <c r="L878">
        <v>1</v>
      </c>
      <c r="M878" t="s">
        <v>42</v>
      </c>
      <c r="N878">
        <v>71</v>
      </c>
      <c r="O878">
        <v>27</v>
      </c>
      <c r="P878">
        <v>437</v>
      </c>
      <c r="Q878">
        <v>55</v>
      </c>
      <c r="R878">
        <v>4</v>
      </c>
      <c r="S878">
        <v>34</v>
      </c>
      <c r="T878">
        <v>2</v>
      </c>
      <c r="U878">
        <v>77</v>
      </c>
      <c r="V878">
        <v>33</v>
      </c>
      <c r="W878">
        <v>0</v>
      </c>
      <c r="X878">
        <v>4</v>
      </c>
      <c r="Y878" t="s">
        <v>16</v>
      </c>
      <c r="Z878">
        <v>3</v>
      </c>
      <c r="AA878">
        <f>IF(AND(Table1[[#This Row],[Throw Out Pass Eff]]="N", Table1[[#This Row],[Against FCS Team]]="N"), ROUND(((5.45 * D878) + (150 * F878) + (100 * G878) - (300 * H878)) / E878, 2), " ")</f>
        <v>105.26</v>
      </c>
      <c r="AB878">
        <f>IF(AND(Table1[[#This Row],[Throw Out Pass Def Eff]]="N", Table1[[#This Row],[Against FCS Team]]="N"),200 - ROUND(((5.45 * P878) + (150 * R878) + (100 * S878) - (300 * T878)) / Q878, 2), " ")</f>
        <v>94.88</v>
      </c>
      <c r="AC878">
        <f>IF(AND(Table1[[#This Row],[Throw Out Rush Eff]]="N", Table1[[#This Row],[Against FCS Team]]="N"), ROUND(((23.2 * I878) + (150 * K878) - (300 * L878)) / J878, 2), " ")</f>
        <v>88.02</v>
      </c>
      <c r="AD878" s="3">
        <f>IF(AND(Table1[[#This Row],[Throw Out Rush Def Eff]]="N", Table1[[#This Row],[Against FCS Team]]="N"), 200 - ROUND(((23.2 * U878) + (150 * W878) - (300 * X878)) / V878, 2), " ")</f>
        <v>182.23</v>
      </c>
      <c r="AE878" s="3">
        <f>ROUND(Table1[[#This Row],[Opp Passing Attempts]]/(Table1[[#This Row],[Opp Passing Attempts]]+Table1[[#This Row],[Opp Rushing Attempts]]), 2)</f>
        <v>0.63</v>
      </c>
      <c r="AF878" s="3">
        <f>1-Table1[[#This Row],[Passing Weight]]</f>
        <v>0.37</v>
      </c>
      <c r="AG878" s="3" t="str">
        <f>IF(COUNTIF(A:A,Table1[[#This Row],[Opp Team Name]]) &gt; 0, "N", "Y")</f>
        <v>N</v>
      </c>
      <c r="AH878" s="3" t="str">
        <f>IF(Table1[[#This Row],[Passing Attempts]] &lt;15, "Y", "N")</f>
        <v>N</v>
      </c>
      <c r="AI878" s="3" t="str">
        <f>IF(Table1[[#This Row],[Rushing Attempts]] &lt; 15, "Y", "N")</f>
        <v>N</v>
      </c>
      <c r="AJ878" s="3" t="str">
        <f>IF(Table1[[#This Row],[Opp Passing Attempts]]&lt;15, "Y", "N")</f>
        <v>N</v>
      </c>
      <c r="AK878" s="3" t="str">
        <f>IF(Table1[[#This Row],[Opp Rushing Attempts]]&lt;15, "Y", "N")</f>
        <v>N</v>
      </c>
      <c r="AL878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103.33</v>
      </c>
      <c r="AM878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90.39</v>
      </c>
      <c r="AN878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78.23</v>
      </c>
      <c r="AO878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137.27000000000001</v>
      </c>
      <c r="AP878" s="3">
        <f>ABS(Table1[[#This Row],[Team Score]]-Table1[[#This Row],[Opp Team Score]])</f>
        <v>1</v>
      </c>
      <c r="AQ878" s="3">
        <f>SUM(Table1[[#This Row],[Team Score]], Table1[[#This Row],[Opp Team Score]])</f>
        <v>55</v>
      </c>
      <c r="AR878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70.390000000000015</v>
      </c>
      <c r="AS878" s="3">
        <f>IF(Table1[[#This Row],[Efficiency Difference]] = " ", " ", ROUND((Table1[[#This Row],[Winning Margin]]*100)/Table1[[#This Row],[Efficiency Difference]], 2))</f>
        <v>1.42</v>
      </c>
    </row>
    <row r="879" spans="1:45">
      <c r="A879" t="s">
        <v>162</v>
      </c>
      <c r="B879">
        <v>811</v>
      </c>
      <c r="C879">
        <v>14</v>
      </c>
      <c r="D879">
        <v>168</v>
      </c>
      <c r="E879">
        <v>34</v>
      </c>
      <c r="F879">
        <v>2</v>
      </c>
      <c r="G879">
        <v>18</v>
      </c>
      <c r="H879">
        <v>1</v>
      </c>
      <c r="I879">
        <v>137</v>
      </c>
      <c r="J879">
        <v>31</v>
      </c>
      <c r="K879">
        <v>0</v>
      </c>
      <c r="L879">
        <v>0</v>
      </c>
      <c r="M879" t="s">
        <v>106</v>
      </c>
      <c r="N879">
        <v>463</v>
      </c>
      <c r="O879">
        <v>38</v>
      </c>
      <c r="P879">
        <v>157</v>
      </c>
      <c r="Q879">
        <v>21</v>
      </c>
      <c r="R879">
        <v>1</v>
      </c>
      <c r="S879">
        <v>12</v>
      </c>
      <c r="T879">
        <v>0</v>
      </c>
      <c r="U879">
        <v>333</v>
      </c>
      <c r="V879">
        <v>49</v>
      </c>
      <c r="W879">
        <v>4</v>
      </c>
      <c r="X879">
        <v>1</v>
      </c>
      <c r="Y879" t="s">
        <v>19</v>
      </c>
      <c r="Z879">
        <v>4</v>
      </c>
      <c r="AA879">
        <f>IF(AND(Table1[[#This Row],[Throw Out Pass Eff]]="N", Table1[[#This Row],[Against FCS Team]]="N"), ROUND(((5.45 * D879) + (150 * F879) + (100 * G879) - (300 * H879)) / E879, 2), " ")</f>
        <v>79.87</v>
      </c>
      <c r="AB879">
        <f>IF(AND(Table1[[#This Row],[Throw Out Pass Def Eff]]="N", Table1[[#This Row],[Against FCS Team]]="N"),200 - ROUND(((5.45 * P879) + (150 * R879) + (100 * S879) - (300 * T879)) / Q879, 2), " ")</f>
        <v>94.97</v>
      </c>
      <c r="AC879">
        <f>IF(AND(Table1[[#This Row],[Throw Out Rush Eff]]="N", Table1[[#This Row],[Against FCS Team]]="N"), ROUND(((23.2 * I879) + (150 * K879) - (300 * L879)) / J879, 2), " ")</f>
        <v>102.53</v>
      </c>
      <c r="AD879" s="3">
        <f>IF(AND(Table1[[#This Row],[Throw Out Rush Def Eff]]="N", Table1[[#This Row],[Against FCS Team]]="N"), 200 - ROUND(((23.2 * U879) + (150 * W879) - (300 * X879)) / V879, 2), " ")</f>
        <v>36.210000000000008</v>
      </c>
      <c r="AE879" s="3">
        <f>ROUND(Table1[[#This Row],[Opp Passing Attempts]]/(Table1[[#This Row],[Opp Passing Attempts]]+Table1[[#This Row],[Opp Rushing Attempts]]), 2)</f>
        <v>0.3</v>
      </c>
      <c r="AF879" s="3">
        <f>1-Table1[[#This Row],[Passing Weight]]</f>
        <v>0.7</v>
      </c>
      <c r="AG879" s="3" t="str">
        <f>IF(COUNTIF(A:A,Table1[[#This Row],[Opp Team Name]]) &gt; 0, "N", "Y")</f>
        <v>N</v>
      </c>
      <c r="AH879" s="3" t="str">
        <f>IF(Table1[[#This Row],[Passing Attempts]] &lt;15, "Y", "N")</f>
        <v>N</v>
      </c>
      <c r="AI879" s="3" t="str">
        <f>IF(Table1[[#This Row],[Rushing Attempts]] &lt; 15, "Y", "N")</f>
        <v>N</v>
      </c>
      <c r="AJ879" s="3" t="str">
        <f>IF(Table1[[#This Row],[Opp Passing Attempts]]&lt;15, "Y", "N")</f>
        <v>N</v>
      </c>
      <c r="AK879" s="3" t="str">
        <f>IF(Table1[[#This Row],[Opp Rushing Attempts]]&lt;15, "Y", "N")</f>
        <v>N</v>
      </c>
      <c r="AL879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84.89</v>
      </c>
      <c r="AM879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90.28</v>
      </c>
      <c r="AN879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94.74</v>
      </c>
      <c r="AO879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49.33</v>
      </c>
      <c r="AP879" s="3">
        <f>ABS(Table1[[#This Row],[Team Score]]-Table1[[#This Row],[Opp Team Score]])</f>
        <v>24</v>
      </c>
      <c r="AQ879" s="3">
        <f>SUM(Table1[[#This Row],[Team Score]], Table1[[#This Row],[Opp Team Score]])</f>
        <v>52</v>
      </c>
      <c r="AR879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86.419999999999987</v>
      </c>
      <c r="AS879" s="3">
        <f>IF(Table1[[#This Row],[Efficiency Difference]] = " ", " ", ROUND((Table1[[#This Row],[Winning Margin]]*100)/Table1[[#This Row],[Efficiency Difference]], 2))</f>
        <v>27.77</v>
      </c>
    </row>
    <row r="880" spans="1:45">
      <c r="A880" t="s">
        <v>162</v>
      </c>
      <c r="B880">
        <v>811</v>
      </c>
      <c r="C880">
        <v>19</v>
      </c>
      <c r="D880">
        <v>265</v>
      </c>
      <c r="E880">
        <v>46</v>
      </c>
      <c r="F880">
        <v>0</v>
      </c>
      <c r="G880">
        <v>28</v>
      </c>
      <c r="H880">
        <v>1</v>
      </c>
      <c r="I880">
        <v>108</v>
      </c>
      <c r="J880">
        <v>28</v>
      </c>
      <c r="K880">
        <v>2</v>
      </c>
      <c r="L880">
        <v>1</v>
      </c>
      <c r="M880" t="s">
        <v>33</v>
      </c>
      <c r="N880">
        <v>731</v>
      </c>
      <c r="O880">
        <v>63</v>
      </c>
      <c r="P880">
        <v>245</v>
      </c>
      <c r="Q880">
        <v>24</v>
      </c>
      <c r="R880">
        <v>5</v>
      </c>
      <c r="S880">
        <v>18</v>
      </c>
      <c r="T880">
        <v>0</v>
      </c>
      <c r="U880">
        <v>303</v>
      </c>
      <c r="V880">
        <v>52</v>
      </c>
      <c r="W880">
        <v>4</v>
      </c>
      <c r="X880">
        <v>1</v>
      </c>
      <c r="Y880" t="s">
        <v>19</v>
      </c>
      <c r="Z880">
        <v>6</v>
      </c>
      <c r="AA880">
        <f>IF(AND(Table1[[#This Row],[Throw Out Pass Eff]]="N", Table1[[#This Row],[Against FCS Team]]="N"), ROUND(((5.45 * D880) + (150 * F880) + (100 * G880) - (300 * H880)) / E880, 2), " ")</f>
        <v>85.74</v>
      </c>
      <c r="AB880">
        <f>IF(AND(Table1[[#This Row],[Throw Out Pass Def Eff]]="N", Table1[[#This Row],[Against FCS Team]]="N"),200 - ROUND(((5.45 * P880) + (150 * R880) + (100 * S880) - (300 * T880)) / Q880, 2), " ")</f>
        <v>38.110000000000014</v>
      </c>
      <c r="AC880">
        <f>IF(AND(Table1[[#This Row],[Throw Out Rush Eff]]="N", Table1[[#This Row],[Against FCS Team]]="N"), ROUND(((23.2 * I880) + (150 * K880) - (300 * L880)) / J880, 2), " ")</f>
        <v>89.49</v>
      </c>
      <c r="AD880" s="3">
        <f>IF(AND(Table1[[#This Row],[Throw Out Rush Def Eff]]="N", Table1[[#This Row],[Against FCS Team]]="N"), 200 - ROUND(((23.2 * U880) + (150 * W880) - (300 * X880)) / V880, 2), " ")</f>
        <v>59.050000000000011</v>
      </c>
      <c r="AE880" s="3">
        <f>ROUND(Table1[[#This Row],[Opp Passing Attempts]]/(Table1[[#This Row],[Opp Passing Attempts]]+Table1[[#This Row],[Opp Rushing Attempts]]), 2)</f>
        <v>0.32</v>
      </c>
      <c r="AF880" s="3">
        <f>1-Table1[[#This Row],[Passing Weight]]</f>
        <v>0.67999999999999994</v>
      </c>
      <c r="AG880" s="3" t="str">
        <f>IF(COUNTIF(A:A,Table1[[#This Row],[Opp Team Name]]) &gt; 0, "N", "Y")</f>
        <v>N</v>
      </c>
      <c r="AH880" s="3" t="str">
        <f>IF(Table1[[#This Row],[Passing Attempts]] &lt;15, "Y", "N")</f>
        <v>N</v>
      </c>
      <c r="AI880" s="3" t="str">
        <f>IF(Table1[[#This Row],[Rushing Attempts]] &lt; 15, "Y", "N")</f>
        <v>N</v>
      </c>
      <c r="AJ880" s="3" t="str">
        <f>IF(Table1[[#This Row],[Opp Passing Attempts]]&lt;15, "Y", "N")</f>
        <v>N</v>
      </c>
      <c r="AK880" s="3" t="str">
        <f>IF(Table1[[#This Row],[Opp Rushing Attempts]]&lt;15, "Y", "N")</f>
        <v>N</v>
      </c>
      <c r="AL880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85.02</v>
      </c>
      <c r="AM880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39.549999999999997</v>
      </c>
      <c r="AN880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109.24</v>
      </c>
      <c r="AO880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77.17</v>
      </c>
      <c r="AP880" s="3">
        <f>ABS(Table1[[#This Row],[Team Score]]-Table1[[#This Row],[Opp Team Score]])</f>
        <v>44</v>
      </c>
      <c r="AQ880" s="3">
        <f>SUM(Table1[[#This Row],[Team Score]], Table1[[#This Row],[Opp Team Score]])</f>
        <v>82</v>
      </c>
      <c r="AR880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127.60999999999999</v>
      </c>
      <c r="AS880" s="3">
        <f>IF(Table1[[#This Row],[Efficiency Difference]] = " ", " ", ROUND((Table1[[#This Row],[Winning Margin]]*100)/Table1[[#This Row],[Efficiency Difference]], 2))</f>
        <v>34.479999999999997</v>
      </c>
    </row>
    <row r="881" spans="1:45">
      <c r="A881" t="s">
        <v>162</v>
      </c>
      <c r="B881">
        <v>811</v>
      </c>
      <c r="C881">
        <v>41</v>
      </c>
      <c r="D881">
        <v>124</v>
      </c>
      <c r="E881">
        <v>20</v>
      </c>
      <c r="F881">
        <v>3</v>
      </c>
      <c r="G881">
        <v>11</v>
      </c>
      <c r="H881">
        <v>0</v>
      </c>
      <c r="I881">
        <v>231</v>
      </c>
      <c r="J881">
        <v>45</v>
      </c>
      <c r="K881">
        <v>1</v>
      </c>
      <c r="L881">
        <v>1</v>
      </c>
      <c r="M881" t="s">
        <v>144</v>
      </c>
      <c r="N881">
        <v>465</v>
      </c>
      <c r="O881">
        <v>14</v>
      </c>
      <c r="P881">
        <v>104</v>
      </c>
      <c r="Q881">
        <v>21</v>
      </c>
      <c r="R881">
        <v>0</v>
      </c>
      <c r="S881">
        <v>9</v>
      </c>
      <c r="T881">
        <v>1</v>
      </c>
      <c r="U881">
        <v>153</v>
      </c>
      <c r="V881">
        <v>48</v>
      </c>
      <c r="W881">
        <v>2</v>
      </c>
      <c r="X881">
        <v>1</v>
      </c>
      <c r="Y881" t="s">
        <v>16</v>
      </c>
      <c r="Z881">
        <v>7</v>
      </c>
      <c r="AA881">
        <f>IF(AND(Table1[[#This Row],[Throw Out Pass Eff]]="N", Table1[[#This Row],[Against FCS Team]]="N"), ROUND(((5.45 * D881) + (150 * F881) + (100 * G881) - (300 * H881)) / E881, 2), " ")</f>
        <v>111.29</v>
      </c>
      <c r="AB881">
        <f>IF(AND(Table1[[#This Row],[Throw Out Pass Def Eff]]="N", Table1[[#This Row],[Against FCS Team]]="N"),200 - ROUND(((5.45 * P881) + (150 * R881) + (100 * S881) - (300 * T881)) / Q881, 2), " ")</f>
        <v>144.44</v>
      </c>
      <c r="AC881">
        <f>IF(AND(Table1[[#This Row],[Throw Out Rush Eff]]="N", Table1[[#This Row],[Against FCS Team]]="N"), ROUND(((23.2 * I881) + (150 * K881) - (300 * L881)) / J881, 2), " ")</f>
        <v>115.76</v>
      </c>
      <c r="AD881" s="3">
        <f>IF(AND(Table1[[#This Row],[Throw Out Rush Def Eff]]="N", Table1[[#This Row],[Against FCS Team]]="N"), 200 - ROUND(((23.2 * U881) + (150 * W881) - (300 * X881)) / V881, 2), " ")</f>
        <v>126.05</v>
      </c>
      <c r="AE881" s="3">
        <f>ROUND(Table1[[#This Row],[Opp Passing Attempts]]/(Table1[[#This Row],[Opp Passing Attempts]]+Table1[[#This Row],[Opp Rushing Attempts]]), 2)</f>
        <v>0.3</v>
      </c>
      <c r="AF881" s="3">
        <f>1-Table1[[#This Row],[Passing Weight]]</f>
        <v>0.7</v>
      </c>
      <c r="AG881" s="3" t="str">
        <f>IF(COUNTIF(A:A,Table1[[#This Row],[Opp Team Name]]) &gt; 0, "N", "Y")</f>
        <v>N</v>
      </c>
      <c r="AH881" s="3" t="str">
        <f>IF(Table1[[#This Row],[Passing Attempts]] &lt;15, "Y", "N")</f>
        <v>N</v>
      </c>
      <c r="AI881" s="3" t="str">
        <f>IF(Table1[[#This Row],[Rushing Attempts]] &lt; 15, "Y", "N")</f>
        <v>N</v>
      </c>
      <c r="AJ881" s="3" t="str">
        <f>IF(Table1[[#This Row],[Opp Passing Attempts]]&lt;15, "Y", "N")</f>
        <v>N</v>
      </c>
      <c r="AK881" s="3" t="str">
        <f>IF(Table1[[#This Row],[Opp Rushing Attempts]]&lt;15, "Y", "N")</f>
        <v>N</v>
      </c>
      <c r="AL881" s="3">
        <f>IF(AND(Table1[[#This Row],[Throw Out Pass Eff]]="N", Table1[[#This Row],[Against FCS Team]]="N"), ROUND(Table1[[#This Row],[Passing Efficiency]]*(GETPIVOTDATA("Passing Defense Efficiency",'Team Stats'!$A$3,"Team Name",Table1[[#This Row],[Opp Team Name]]) / 100), 2), " ")</f>
        <v>84.14</v>
      </c>
      <c r="AM881" s="3">
        <f>IF(AND(Table1[[#This Row],[Throw Out Pass Def Eff]]="N", Table1[[#This Row],[Against FCS Team]]="N"), ROUND(Table1[[#This Row],[Passing Defense Efficiency]]*(GETPIVOTDATA("Passing Efficiency",'Team Stats'!$A$3,"Team Name",Table1[[#This Row],[Opp Team Name]]) / 100), 2), " ")</f>
        <v>117.38</v>
      </c>
      <c r="AN881" s="3">
        <f>IF(AND(Table1[[#This Row],[Throw Out Rush Eff]]="N", Table1[[#This Row],[Against FCS Team]]="N"), ROUND(Table1[[#This Row],[Rushing Efficiency]]*(GETPIVOTDATA("Rushing Defense Efficiency",'Team Stats'!$A$3,"Team Name",Table1[[#This Row],[Opp Team Name]]) / 100), 2), " ")</f>
        <v>136.54</v>
      </c>
      <c r="AO881" s="3">
        <f>IF(AND(Table1[[#This Row],[Throw Out Rush Def Eff]]="N", Table1[[#This Row],[Against FCS Team]]="N"), ROUND(Table1[[#This Row],[Rushing Defense Efficiency]]*(GETPIVOTDATA("Rushing Efficiency",'Team Stats'!$A$3,"Team Name",Table1[[#This Row],[Opp Team Name]]) / 100), 2), " ")</f>
        <v>91.96</v>
      </c>
      <c r="AP881" s="3">
        <f>ABS(Table1[[#This Row],[Team Score]]-Table1[[#This Row],[Opp Team Score]])</f>
        <v>27</v>
      </c>
      <c r="AQ881" s="3">
        <f>SUM(Table1[[#This Row],[Team Score]], Table1[[#This Row],[Opp Team Score]])</f>
        <v>55</v>
      </c>
      <c r="AR881" s="3">
        <f>IF(AND(Table1[[#This Row],[Against FCS Team]]="N", Table1[[#This Row],[Throw Out Pass Eff]]="N", Table1[[#This Row],[Throw Out Rush Eff]]="N", Table1[[#This Row],[Throw Out Pass Def Eff]]="N", Table1[[#This Row],[Throw Out Rush Def Eff]]="N"), ABS(SUM(Table1[[#This Row],[Passing Efficiency]], Table1[[#This Row],[Rushing Efficiency]]) - (400 - SUM(Table1[[#This Row],[Passing Defense Efficiency]], Table1[[#This Row],[Rushing Defense Efficiency]]))), " ")</f>
        <v>97.54000000000002</v>
      </c>
      <c r="AS881" s="3">
        <f>IF(Table1[[#This Row],[Efficiency Difference]] = " ", " ", ROUND((Table1[[#This Row],[Winning Margin]]*100)/Table1[[#This Row],[Efficiency Difference]], 2))</f>
        <v>27.68</v>
      </c>
    </row>
    <row r="883" spans="1:45">
      <c r="A883" s="1" t="s">
        <v>215</v>
      </c>
      <c r="C883" s="1">
        <f t="shared" ref="C883:L883" si="0">ROUND(AVERAGE(C2:C881), 2)</f>
        <v>28.94</v>
      </c>
      <c r="D883" s="1">
        <f t="shared" si="0"/>
        <v>232.74</v>
      </c>
      <c r="E883" s="1">
        <f t="shared" si="0"/>
        <v>31.98</v>
      </c>
      <c r="F883" s="1">
        <f t="shared" si="0"/>
        <v>1.68</v>
      </c>
      <c r="G883" s="1">
        <f t="shared" si="0"/>
        <v>19.38</v>
      </c>
      <c r="H883" s="1">
        <f t="shared" si="0"/>
        <v>0.89</v>
      </c>
      <c r="I883" s="1">
        <f t="shared" si="0"/>
        <v>163.72999999999999</v>
      </c>
      <c r="J883" s="1">
        <f t="shared" si="0"/>
        <v>37.92</v>
      </c>
      <c r="K883" s="1">
        <f t="shared" si="0"/>
        <v>1.71</v>
      </c>
      <c r="L883" s="1">
        <f t="shared" si="0"/>
        <v>0.83</v>
      </c>
      <c r="M883" s="1"/>
      <c r="N883" s="1"/>
      <c r="O883" s="1">
        <f t="shared" ref="O883:X883" si="1">ROUND(AVERAGE(O2:O881), 2)</f>
        <v>25.98</v>
      </c>
      <c r="P883" s="1">
        <f t="shared" si="1"/>
        <v>225.04</v>
      </c>
      <c r="Q883" s="1">
        <f t="shared" si="1"/>
        <v>32.1</v>
      </c>
      <c r="R883" s="1">
        <f t="shared" si="1"/>
        <v>1.51</v>
      </c>
      <c r="S883" s="1">
        <f t="shared" si="1"/>
        <v>19.07</v>
      </c>
      <c r="T883" s="1">
        <f t="shared" si="1"/>
        <v>0.96</v>
      </c>
      <c r="U883" s="1">
        <f t="shared" si="1"/>
        <v>150.97999999999999</v>
      </c>
      <c r="V883" s="1">
        <f t="shared" si="1"/>
        <v>37.01</v>
      </c>
      <c r="W883" s="1">
        <f t="shared" si="1"/>
        <v>1.5</v>
      </c>
      <c r="X883" s="1">
        <f t="shared" si="1"/>
        <v>0.81</v>
      </c>
      <c r="Y883" s="1"/>
      <c r="Z883" s="1"/>
      <c r="AA883" s="1">
        <f t="shared" ref="AA883:AF883" si="2">ROUND(AVERAGE(AA2:AA881), 2)</f>
        <v>97.66</v>
      </c>
      <c r="AB883" s="1">
        <f t="shared" si="2"/>
        <v>102.73</v>
      </c>
      <c r="AC883" s="1">
        <f t="shared" si="2"/>
        <v>92.24</v>
      </c>
      <c r="AD883" s="1">
        <f t="shared" si="2"/>
        <v>108.23</v>
      </c>
      <c r="AE883" s="1">
        <f t="shared" si="2"/>
        <v>0.46</v>
      </c>
      <c r="AF883" s="1">
        <f t="shared" si="2"/>
        <v>0.54</v>
      </c>
      <c r="AG883" s="1"/>
      <c r="AH883" s="1"/>
      <c r="AI883" s="1"/>
      <c r="AJ883" s="1"/>
      <c r="AK883" s="1"/>
      <c r="AL883" s="1">
        <f t="shared" ref="AL883" si="3">ROUND(AVERAGE(AL2:AL881), 2)</f>
        <v>98.17</v>
      </c>
      <c r="AM883" s="1">
        <f t="shared" ref="AM883:AO883" si="4">ROUND(AVERAGE(AM2:AM881), 2)</f>
        <v>97.46</v>
      </c>
      <c r="AN883" s="1">
        <f t="shared" si="4"/>
        <v>94.66</v>
      </c>
      <c r="AO883" s="1">
        <f t="shared" si="4"/>
        <v>93.56</v>
      </c>
      <c r="AP883" s="1">
        <f t="shared" ref="AP883:AQ883" si="5">ROUND(AVERAGE(AP2:AP881), 2)</f>
        <v>18.96</v>
      </c>
      <c r="AQ883" s="1">
        <f t="shared" si="5"/>
        <v>54.91</v>
      </c>
      <c r="AR883" s="1">
        <f t="shared" ref="AR883:AS883" si="6">ROUND(AVERAGE(AR2:AR881), 2)</f>
        <v>75.599999999999994</v>
      </c>
      <c r="AS883" s="1">
        <f t="shared" si="6"/>
        <v>61</v>
      </c>
    </row>
    <row r="884" spans="1:45">
      <c r="AA884">
        <f t="shared" ref="AA884:AF884" si="7">MAX(AA2:AA881)</f>
        <v>198.68</v>
      </c>
      <c r="AB884">
        <f t="shared" si="7"/>
        <v>227.21</v>
      </c>
      <c r="AC884">
        <f t="shared" si="7"/>
        <v>301.26</v>
      </c>
      <c r="AD884">
        <f t="shared" si="7"/>
        <v>270.22000000000003</v>
      </c>
      <c r="AE884">
        <f t="shared" si="7"/>
        <v>0.83</v>
      </c>
      <c r="AF884">
        <f t="shared" si="7"/>
        <v>0.95</v>
      </c>
      <c r="AL884">
        <f t="shared" ref="AL884" si="8">MAX(AL2:AL881)</f>
        <v>183.51</v>
      </c>
      <c r="AM884">
        <f t="shared" ref="AM884:AO884" si="9">MAX(AM2:AM881)</f>
        <v>178.06</v>
      </c>
      <c r="AN884">
        <f t="shared" si="9"/>
        <v>262.42</v>
      </c>
      <c r="AO884">
        <f t="shared" si="9"/>
        <v>232.58</v>
      </c>
      <c r="AQ884">
        <f t="shared" ref="AQ884" si="10">MAX(AQ2:AQ881)</f>
        <v>101</v>
      </c>
      <c r="AR884">
        <f t="shared" ref="AR884:AS884" si="11">MAX(AR2:AR881)</f>
        <v>292.79000000000008</v>
      </c>
      <c r="AS884">
        <f t="shared" si="11"/>
        <v>6382.98</v>
      </c>
    </row>
    <row r="885" spans="1:45">
      <c r="AA885">
        <f t="shared" ref="AA885:AF885" si="12">MIN(AA2:AA881)</f>
        <v>-27.21</v>
      </c>
      <c r="AB885">
        <f t="shared" si="12"/>
        <v>1.3199999999999932</v>
      </c>
      <c r="AC885">
        <f t="shared" si="12"/>
        <v>-70.22</v>
      </c>
      <c r="AD885">
        <f t="shared" si="12"/>
        <v>-101.25999999999999</v>
      </c>
      <c r="AE885">
        <f t="shared" si="12"/>
        <v>0.05</v>
      </c>
      <c r="AF885">
        <f t="shared" si="12"/>
        <v>0.17000000000000004</v>
      </c>
      <c r="AL885">
        <f t="shared" ref="AL885" si="13">MIN(AL2:AL881)</f>
        <v>-38.64</v>
      </c>
      <c r="AM885">
        <f t="shared" ref="AM885:AO885" si="14">MIN(AM2:AM881)</f>
        <v>1.58</v>
      </c>
      <c r="AN885">
        <f t="shared" si="14"/>
        <v>-107.54</v>
      </c>
      <c r="AO885">
        <f t="shared" si="14"/>
        <v>-144.61000000000001</v>
      </c>
      <c r="AQ885">
        <f t="shared" ref="AQ885" si="15">MIN(AQ2:AQ881)</f>
        <v>12</v>
      </c>
      <c r="AR885">
        <f t="shared" ref="AR885:AS885" si="16">MIN(AR2:AR881)</f>
        <v>0.15000000000003411</v>
      </c>
      <c r="AS885">
        <f t="shared" si="16"/>
        <v>0.97</v>
      </c>
    </row>
    <row r="887" spans="1:45">
      <c r="AS887">
        <f>_xlfn.PERCENTILE.INC(Table1[Efficiency Coefficient], 0.5)</f>
        <v>23.39</v>
      </c>
    </row>
  </sheetData>
  <conditionalFormatting sqref="AB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>
      <selection activeCell="B4" sqref="B4"/>
    </sheetView>
  </sheetViews>
  <sheetFormatPr defaultRowHeight="15"/>
  <cols>
    <col min="2" max="2" width="20.5703125" customWidth="1"/>
    <col min="3" max="3" width="28" customWidth="1"/>
    <col min="4" max="4" width="18.42578125" customWidth="1"/>
    <col min="5" max="5" width="15" customWidth="1"/>
    <col min="6" max="6" width="15.7109375" customWidth="1"/>
  </cols>
  <sheetData>
    <row r="2" spans="1:7">
      <c r="A2" s="1" t="s">
        <v>251</v>
      </c>
      <c r="B2" s="14" t="s">
        <v>42</v>
      </c>
    </row>
    <row r="3" spans="1:7">
      <c r="A3" s="1" t="s">
        <v>252</v>
      </c>
      <c r="B3" s="15" t="s">
        <v>21</v>
      </c>
    </row>
    <row r="5" spans="1:7">
      <c r="A5" s="1" t="s">
        <v>265</v>
      </c>
      <c r="B5" s="14">
        <v>0</v>
      </c>
    </row>
    <row r="6" spans="1:7">
      <c r="C6" s="1"/>
      <c r="D6" s="1" t="str">
        <f>$B$2 &amp; " Offense"</f>
        <v>Bowling Green Offense</v>
      </c>
      <c r="E6" s="1"/>
      <c r="F6" s="1" t="str">
        <f>$B$3 &amp;  " Offense"</f>
        <v>Kent St. Offense</v>
      </c>
      <c r="G6" s="1"/>
    </row>
    <row r="7" spans="1:7">
      <c r="C7" s="1"/>
      <c r="D7" s="1" t="s">
        <v>253</v>
      </c>
      <c r="E7" s="1" t="s">
        <v>254</v>
      </c>
      <c r="F7" s="1" t="s">
        <v>253</v>
      </c>
      <c r="G7" s="1" t="s">
        <v>254</v>
      </c>
    </row>
    <row r="8" spans="1:7">
      <c r="C8" s="1" t="str">
        <f>$B$2</f>
        <v>Bowling Green</v>
      </c>
      <c r="D8" s="5">
        <f>GETPIVOTDATA("Passing Efficiency",'Team Stats'!$A$3,"Team Name",$B$2)</f>
        <v>95.26571428571431</v>
      </c>
      <c r="E8" s="5">
        <f>GETPIVOTDATA("Rushing Efficiency",'Team Stats'!$A$3,"Team Name",$B$2)</f>
        <v>75.327142857142846</v>
      </c>
      <c r="F8" s="5">
        <f>GETPIVOTDATA("Passing Defense Efficiency",'Team Stats'!$A$3,"Team Name",$B$2)</f>
        <v>98.17</v>
      </c>
      <c r="G8" s="5">
        <f>GETPIVOTDATA("Rushing Defense Efficiency",'Team Stats'!$A$3,"Team Name",$B$2)</f>
        <v>88.877142857142871</v>
      </c>
    </row>
    <row r="9" spans="1:7">
      <c r="C9" s="1" t="str">
        <f>$B$3</f>
        <v>Kent St.</v>
      </c>
      <c r="D9" s="5">
        <f>GETPIVOTDATA("Passing Defense Efficiency",'Team Stats'!$A$3,"Team Name",$B$3)</f>
        <v>113.88499999999999</v>
      </c>
      <c r="E9" s="5">
        <f>GETPIVOTDATA("Rushing Defense Efficiency",'Team Stats'!$A$3,"Team Name",$B$3)</f>
        <v>120.88166666666665</v>
      </c>
      <c r="F9" s="5">
        <f>GETPIVOTDATA("Passing Efficiency",'Team Stats'!$A$3,"Team Name",$B$3)</f>
        <v>47.391666666666673</v>
      </c>
      <c r="G9" s="5">
        <f>GETPIVOTDATA("Rushing Efficiency",'Team Stats'!$A$3,"Team Name",$B$3)</f>
        <v>29.709999999999997</v>
      </c>
    </row>
    <row r="10" spans="1:7">
      <c r="D10" s="5">
        <f>ABS(D8-D9)*(GETPIVOTDATA("Passing Weight",'Team Stats'!$A$3,"Team Name",$B$2) / 0.5)</f>
        <v>16.571164285714257</v>
      </c>
      <c r="E10" s="5">
        <f>ABS(E8-E9)*(GETPIVOTDATA("Rushing Weight",'Team Stats'!$A$3,"Team Name",$B$2) / 0.5)</f>
        <v>50.565521428571422</v>
      </c>
      <c r="F10" s="5">
        <f>ABS(F8-F9)*(GETPIVOTDATA("Passing Weight",'Team Stats'!$A$3,"Team Name",$B$3) / 0.5)</f>
        <v>42.798880952380941</v>
      </c>
      <c r="G10" s="5">
        <f>ABS(G8-G9)*(GETPIVOTDATA("Rushing Weight",'Team Stats'!$A$3,"Team Name",$B$3) / 0.5)</f>
        <v>68.464836734693904</v>
      </c>
    </row>
    <row r="12" spans="1:7">
      <c r="D12" s="8">
        <f>IF(D8&gt;D9, D10, 0) + IF(E8&gt;E9, E10, 0) + IF(F8&gt;F9, F10, 0) + IF(G8&gt;G9, G10, 0)</f>
        <v>111.26371768707484</v>
      </c>
    </row>
    <row r="13" spans="1:7">
      <c r="D13" s="9">
        <f>IF(D8&lt;D9, D10, 0) + IF(E8&lt;E9, E10, 0) + IF(F8&lt;F9, F10, 0) + IF(G8&lt;G9, G10, 0)</f>
        <v>67.136685714285676</v>
      </c>
    </row>
    <row r="14" spans="1:7">
      <c r="C14" s="1" t="s">
        <v>255</v>
      </c>
      <c r="D14" s="7">
        <f>ABS(D13-D12) * 0.2146</f>
        <v>9.4696610613605561</v>
      </c>
    </row>
    <row r="16" spans="1:7">
      <c r="C16" s="1" t="s">
        <v>262</v>
      </c>
      <c r="D16" s="10">
        <f>D14</f>
        <v>9.4696610613605561</v>
      </c>
    </row>
    <row r="17" spans="3:4">
      <c r="C17" s="1" t="s">
        <v>264</v>
      </c>
      <c r="D17" s="10">
        <f>D16+7</f>
        <v>16.469661061360554</v>
      </c>
    </row>
    <row r="18" spans="3:4">
      <c r="C18" s="1" t="s">
        <v>263</v>
      </c>
      <c r="D18" s="10">
        <f>D16-5</f>
        <v>4.4696610613605561</v>
      </c>
    </row>
    <row r="19" spans="3:4">
      <c r="D19" s="12">
        <f>B5+IF(D13&gt;D12, -D14, D14)</f>
        <v>9.4696610613605561</v>
      </c>
    </row>
    <row r="20" spans="3:4">
      <c r="C20" s="1" t="s">
        <v>274</v>
      </c>
      <c r="D20" s="13">
        <f>(-0.0035*POWER(D19,3) - 0.0061*POWER(D19,2) + 4.025*D19 + 46.716)/100</f>
        <v>0.81312217159672773</v>
      </c>
    </row>
  </sheetData>
  <conditionalFormatting sqref="D10:G10">
    <cfRule type="expression" dxfId="15" priority="5">
      <formula>D8&gt;D9</formula>
    </cfRule>
    <cfRule type="expression" dxfId="14" priority="6">
      <formula>D8&lt;D9</formula>
    </cfRule>
  </conditionalFormatting>
  <conditionalFormatting sqref="D14">
    <cfRule type="expression" dxfId="13" priority="3">
      <formula>$D$12&lt;$D$13</formula>
    </cfRule>
    <cfRule type="expression" dxfId="12" priority="4">
      <formula>$D$12&gt;$D$13</formula>
    </cfRule>
  </conditionalFormatting>
  <conditionalFormatting sqref="D16:D17">
    <cfRule type="expression" dxfId="11" priority="1">
      <formula>$D$12&gt;$D$13</formula>
    </cfRule>
    <cfRule type="expression" dxfId="10" priority="2">
      <formula>$D$13&gt;$D$12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J725"/>
  <sheetViews>
    <sheetView topLeftCell="Y1" workbookViewId="0">
      <selection activeCell="AR24" sqref="AR24"/>
    </sheetView>
  </sheetViews>
  <sheetFormatPr defaultRowHeight="15"/>
  <cols>
    <col min="2" max="2" width="19.7109375" bestFit="1" customWidth="1"/>
    <col min="3" max="3" width="14.140625" bestFit="1" customWidth="1"/>
    <col min="24" max="24" width="21.5703125" customWidth="1"/>
    <col min="25" max="25" width="16.140625" customWidth="1"/>
    <col min="26" max="26" width="18" bestFit="1" customWidth="1"/>
    <col min="27" max="27" width="21.140625" customWidth="1"/>
    <col min="33" max="33" width="11.28515625" customWidth="1"/>
    <col min="34" max="34" width="21.42578125" customWidth="1"/>
    <col min="35" max="35" width="10.7109375" bestFit="1" customWidth="1"/>
  </cols>
  <sheetData>
    <row r="1" spans="2:36">
      <c r="B1" t="s">
        <v>261</v>
      </c>
      <c r="C1" t="s">
        <v>266</v>
      </c>
      <c r="X1" t="s">
        <v>261</v>
      </c>
      <c r="Y1" t="s">
        <v>266</v>
      </c>
      <c r="Z1" t="s">
        <v>267</v>
      </c>
      <c r="AA1" t="s">
        <v>268</v>
      </c>
      <c r="AB1" t="s">
        <v>269</v>
      </c>
      <c r="AC1" t="s">
        <v>270</v>
      </c>
      <c r="AD1" t="s">
        <v>271</v>
      </c>
      <c r="AE1" t="s">
        <v>272</v>
      </c>
      <c r="AF1" t="s">
        <v>273</v>
      </c>
      <c r="AG1" t="s">
        <v>275</v>
      </c>
    </row>
    <row r="2" spans="2:36">
      <c r="B2" s="5">
        <v>16.370000000000005</v>
      </c>
      <c r="C2" s="5">
        <v>16</v>
      </c>
      <c r="X2" s="5">
        <v>16.370000000000005</v>
      </c>
      <c r="Y2" s="5">
        <v>16</v>
      </c>
      <c r="Z2" s="5">
        <f>IF(Table3[[#This Row],[Efficiency Difference]]*0.2146 &gt; Table3[[#This Row],[Scoring Margin]], 1, 0)</f>
        <v>0</v>
      </c>
      <c r="AA2" s="5">
        <f>IF(Table3[[#This Row],[Efficiency Difference]]*0.2146 + 7 &gt; Table3[[#This Row],[Scoring Margin]], 1, 0)</f>
        <v>0</v>
      </c>
      <c r="AB2" s="5">
        <f>IF(Table3[[#This Row],[Efficiency Difference]]*0.2146 + 14 &gt; Table3[[#This Row],[Scoring Margin]], 1, 0)</f>
        <v>1</v>
      </c>
      <c r="AC2" s="5">
        <f>IF(Table3[[#This Row],[Efficiency Difference]]*0.2146 + 21 &gt; Table3[[#This Row],[Scoring Margin]], 1, 0)</f>
        <v>1</v>
      </c>
      <c r="AD2" s="5">
        <f>IF(Table3[[#This Row],[Efficiency Difference]]*0.2146 -7 &gt; Table3[[#This Row],[Scoring Margin]], 1, 0)</f>
        <v>0</v>
      </c>
      <c r="AE2" s="5">
        <f>IF(Table3[[#This Row],[Efficiency Difference]]*0.2146 -3 &gt; Table3[[#This Row],[Scoring Margin]], 1, 0)</f>
        <v>0</v>
      </c>
      <c r="AF2" s="5">
        <f>IF(Table3[[#This Row],[Efficiency Difference]]*0.2146 -5 &gt; Table3[[#This Row],[Scoring Margin]], 1, 0)</f>
        <v>0</v>
      </c>
      <c r="AG2" s="5">
        <f>IF(Table3[[#This Row],[Efficiency Difference]]*0.2146 -10 &gt; Table3[[#This Row],[Scoring Margin]], 1, 0)</f>
        <v>0</v>
      </c>
    </row>
    <row r="3" spans="2:36">
      <c r="B3" s="5">
        <v>132.85000000000002</v>
      </c>
      <c r="C3" s="5">
        <v>26</v>
      </c>
      <c r="X3" s="5">
        <v>132.85000000000002</v>
      </c>
      <c r="Y3" s="5">
        <v>26</v>
      </c>
      <c r="Z3" s="5">
        <f>IF(Table3[[#This Row],[Efficiency Difference]]*0.2146 &gt; Table3[[#This Row],[Scoring Margin]], 1, 0)</f>
        <v>1</v>
      </c>
      <c r="AA3" s="5">
        <f>IF(Table3[[#This Row],[Efficiency Difference]]*0.2146 + 7 &gt; Table3[[#This Row],[Scoring Margin]], 1, 0)</f>
        <v>1</v>
      </c>
      <c r="AB3" s="5">
        <f>IF(Table3[[#This Row],[Efficiency Difference]]*0.2146 + 14 &gt; Table3[[#This Row],[Scoring Margin]], 1, 0)</f>
        <v>1</v>
      </c>
      <c r="AC3" s="5">
        <f>IF(Table3[[#This Row],[Efficiency Difference]]*0.2146 + 21 &gt; Table3[[#This Row],[Scoring Margin]], 1, 0)</f>
        <v>1</v>
      </c>
      <c r="AD3" s="5">
        <f>IF(Table3[[#This Row],[Efficiency Difference]]*0.2146 -7 &gt; Table3[[#This Row],[Scoring Margin]], 1, 0)</f>
        <v>0</v>
      </c>
      <c r="AE3" s="5">
        <f>IF(Table3[[#This Row],[Efficiency Difference]]*0.2146 -3 &gt; Table3[[#This Row],[Scoring Margin]], 1, 0)</f>
        <v>0</v>
      </c>
      <c r="AF3" s="5">
        <f>IF(Table3[[#This Row],[Efficiency Difference]]*0.2146 -5 &gt; Table3[[#This Row],[Scoring Margin]], 1, 0)</f>
        <v>0</v>
      </c>
      <c r="AG3" s="5">
        <f>IF(Table3[[#This Row],[Efficiency Difference]]*0.2146 -10 &gt; Table3[[#This Row],[Scoring Margin]], 1, 0)</f>
        <v>0</v>
      </c>
    </row>
    <row r="4" spans="2:36">
      <c r="B4" s="5">
        <v>95.769999999999953</v>
      </c>
      <c r="C4" s="5">
        <v>14</v>
      </c>
      <c r="X4" s="5">
        <v>95.769999999999953</v>
      </c>
      <c r="Y4" s="5">
        <v>14</v>
      </c>
      <c r="Z4" s="5">
        <f>IF(Table3[[#This Row],[Efficiency Difference]]*0.2146 &gt; Table3[[#This Row],[Scoring Margin]], 1, 0)</f>
        <v>1</v>
      </c>
      <c r="AA4" s="5">
        <f>IF(Table3[[#This Row],[Efficiency Difference]]*0.2146 + 7 &gt; Table3[[#This Row],[Scoring Margin]], 1, 0)</f>
        <v>1</v>
      </c>
      <c r="AB4" s="5">
        <f>IF(Table3[[#This Row],[Efficiency Difference]]*0.2146 + 14 &gt; Table3[[#This Row],[Scoring Margin]], 1, 0)</f>
        <v>1</v>
      </c>
      <c r="AC4" s="5">
        <f>IF(Table3[[#This Row],[Efficiency Difference]]*0.2146 + 21 &gt; Table3[[#This Row],[Scoring Margin]], 1, 0)</f>
        <v>1</v>
      </c>
      <c r="AD4" s="5">
        <f>IF(Table3[[#This Row],[Efficiency Difference]]*0.2146 -7 &gt; Table3[[#This Row],[Scoring Margin]], 1, 0)</f>
        <v>0</v>
      </c>
      <c r="AE4" s="5">
        <f>IF(Table3[[#This Row],[Efficiency Difference]]*0.2146 -3 &gt; Table3[[#This Row],[Scoring Margin]], 1, 0)</f>
        <v>1</v>
      </c>
      <c r="AF4" s="5">
        <f>IF(Table3[[#This Row],[Efficiency Difference]]*0.2146 -5 &gt; Table3[[#This Row],[Scoring Margin]], 1, 0)</f>
        <v>1</v>
      </c>
      <c r="AG4" s="5">
        <f>IF(Table3[[#This Row],[Efficiency Difference]]*0.2146 -10 &gt; Table3[[#This Row],[Scoring Margin]], 1, 0)</f>
        <v>0</v>
      </c>
      <c r="AI4" t="s">
        <v>276</v>
      </c>
      <c r="AJ4" t="s">
        <v>277</v>
      </c>
    </row>
    <row r="5" spans="2:36">
      <c r="B5" s="5">
        <v>86.110000000000014</v>
      </c>
      <c r="C5" s="5">
        <v>11</v>
      </c>
      <c r="X5" s="5">
        <v>86.110000000000014</v>
      </c>
      <c r="Y5" s="5">
        <v>11</v>
      </c>
      <c r="Z5" s="5">
        <f>IF(Table3[[#This Row],[Efficiency Difference]]*0.2146 &gt; Table3[[#This Row],[Scoring Margin]], 1, 0)</f>
        <v>1</v>
      </c>
      <c r="AA5" s="5">
        <f>IF(Table3[[#This Row],[Efficiency Difference]]*0.2146 + 7 &gt; Table3[[#This Row],[Scoring Margin]], 1, 0)</f>
        <v>1</v>
      </c>
      <c r="AB5" s="5">
        <f>IF(Table3[[#This Row],[Efficiency Difference]]*0.2146 + 14 &gt; Table3[[#This Row],[Scoring Margin]], 1, 0)</f>
        <v>1</v>
      </c>
      <c r="AC5" s="5">
        <f>IF(Table3[[#This Row],[Efficiency Difference]]*0.2146 + 21 &gt; Table3[[#This Row],[Scoring Margin]], 1, 0)</f>
        <v>1</v>
      </c>
      <c r="AD5" s="5">
        <f>IF(Table3[[#This Row],[Efficiency Difference]]*0.2146 -7 &gt; Table3[[#This Row],[Scoring Margin]], 1, 0)</f>
        <v>1</v>
      </c>
      <c r="AE5" s="5">
        <f>IF(Table3[[#This Row],[Efficiency Difference]]*0.2146 -3 &gt; Table3[[#This Row],[Scoring Margin]], 1, 0)</f>
        <v>1</v>
      </c>
      <c r="AF5" s="5">
        <f>IF(Table3[[#This Row],[Efficiency Difference]]*0.2146 -5 &gt; Table3[[#This Row],[Scoring Margin]], 1, 0)</f>
        <v>1</v>
      </c>
      <c r="AG5" s="5">
        <f>IF(Table3[[#This Row],[Efficiency Difference]]*0.2146 -10 &gt; Table3[[#This Row],[Scoring Margin]], 1, 0)</f>
        <v>0</v>
      </c>
      <c r="AI5">
        <v>-30</v>
      </c>
      <c r="AJ5">
        <v>1</v>
      </c>
    </row>
    <row r="6" spans="2:36">
      <c r="B6" s="5">
        <v>184.89</v>
      </c>
      <c r="C6" s="5">
        <v>42</v>
      </c>
      <c r="X6" s="5">
        <v>184.89</v>
      </c>
      <c r="Y6" s="5">
        <v>42</v>
      </c>
      <c r="Z6" s="5">
        <f>IF(Table3[[#This Row],[Efficiency Difference]]*0.2146 &gt; Table3[[#This Row],[Scoring Margin]], 1, 0)</f>
        <v>0</v>
      </c>
      <c r="AA6" s="5">
        <f>IF(Table3[[#This Row],[Efficiency Difference]]*0.2146 + 7 &gt; Table3[[#This Row],[Scoring Margin]], 1, 0)</f>
        <v>1</v>
      </c>
      <c r="AB6" s="5">
        <f>IF(Table3[[#This Row],[Efficiency Difference]]*0.2146 + 14 &gt; Table3[[#This Row],[Scoring Margin]], 1, 0)</f>
        <v>1</v>
      </c>
      <c r="AC6" s="5">
        <f>IF(Table3[[#This Row],[Efficiency Difference]]*0.2146 + 21 &gt; Table3[[#This Row],[Scoring Margin]], 1, 0)</f>
        <v>1</v>
      </c>
      <c r="AD6" s="5">
        <f>IF(Table3[[#This Row],[Efficiency Difference]]*0.2146 -7 &gt; Table3[[#This Row],[Scoring Margin]], 1, 0)</f>
        <v>0</v>
      </c>
      <c r="AE6" s="5">
        <f>IF(Table3[[#This Row],[Efficiency Difference]]*0.2146 -3 &gt; Table3[[#This Row],[Scoring Margin]], 1, 0)</f>
        <v>0</v>
      </c>
      <c r="AF6" s="5">
        <f>IF(Table3[[#This Row],[Efficiency Difference]]*0.2146 -5 &gt; Table3[[#This Row],[Scoring Margin]], 1, 0)</f>
        <v>0</v>
      </c>
      <c r="AG6" s="5">
        <f>IF(Table3[[#This Row],[Efficiency Difference]]*0.2146 -10 &gt; Table3[[#This Row],[Scoring Margin]], 1, 0)</f>
        <v>0</v>
      </c>
      <c r="AI6">
        <v>-25</v>
      </c>
      <c r="AJ6">
        <v>1</v>
      </c>
    </row>
    <row r="7" spans="2:36">
      <c r="B7" s="5">
        <v>133.66</v>
      </c>
      <c r="C7" s="5">
        <v>38</v>
      </c>
      <c r="X7" s="5">
        <v>133.66</v>
      </c>
      <c r="Y7" s="5">
        <v>38</v>
      </c>
      <c r="Z7" s="5">
        <f>IF(Table3[[#This Row],[Efficiency Difference]]*0.2146 &gt; Table3[[#This Row],[Scoring Margin]], 1, 0)</f>
        <v>0</v>
      </c>
      <c r="AA7" s="5">
        <f>IF(Table3[[#This Row],[Efficiency Difference]]*0.2146 + 7 &gt; Table3[[#This Row],[Scoring Margin]], 1, 0)</f>
        <v>0</v>
      </c>
      <c r="AB7" s="5">
        <f>IF(Table3[[#This Row],[Efficiency Difference]]*0.2146 + 14 &gt; Table3[[#This Row],[Scoring Margin]], 1, 0)</f>
        <v>1</v>
      </c>
      <c r="AC7" s="5">
        <f>IF(Table3[[#This Row],[Efficiency Difference]]*0.2146 + 21 &gt; Table3[[#This Row],[Scoring Margin]], 1, 0)</f>
        <v>1</v>
      </c>
      <c r="AD7" s="5">
        <f>IF(Table3[[#This Row],[Efficiency Difference]]*0.2146 -7 &gt; Table3[[#This Row],[Scoring Margin]], 1, 0)</f>
        <v>0</v>
      </c>
      <c r="AE7" s="5">
        <f>IF(Table3[[#This Row],[Efficiency Difference]]*0.2146 -3 &gt; Table3[[#This Row],[Scoring Margin]], 1, 0)</f>
        <v>0</v>
      </c>
      <c r="AF7" s="5">
        <f>IF(Table3[[#This Row],[Efficiency Difference]]*0.2146 -5 &gt; Table3[[#This Row],[Scoring Margin]], 1, 0)</f>
        <v>0</v>
      </c>
      <c r="AG7" s="5">
        <f>IF(Table3[[#This Row],[Efficiency Difference]]*0.2146 -10 &gt; Table3[[#This Row],[Scoring Margin]], 1, 0)</f>
        <v>0</v>
      </c>
      <c r="AI7">
        <v>-21</v>
      </c>
      <c r="AJ7">
        <v>1</v>
      </c>
    </row>
    <row r="8" spans="2:36">
      <c r="B8" s="5">
        <v>80.549999999999983</v>
      </c>
      <c r="C8" s="5">
        <v>45</v>
      </c>
      <c r="X8" s="5">
        <v>80.549999999999983</v>
      </c>
      <c r="Y8" s="5">
        <v>45</v>
      </c>
      <c r="Z8" s="5">
        <f>IF(Table3[[#This Row],[Efficiency Difference]]*0.2146 &gt; Table3[[#This Row],[Scoring Margin]], 1, 0)</f>
        <v>0</v>
      </c>
      <c r="AA8" s="5">
        <f>IF(Table3[[#This Row],[Efficiency Difference]]*0.2146 + 7 &gt; Table3[[#This Row],[Scoring Margin]], 1, 0)</f>
        <v>0</v>
      </c>
      <c r="AB8" s="5">
        <f>IF(Table3[[#This Row],[Efficiency Difference]]*0.2146 + 14 &gt; Table3[[#This Row],[Scoring Margin]], 1, 0)</f>
        <v>0</v>
      </c>
      <c r="AC8" s="5">
        <f>IF(Table3[[#This Row],[Efficiency Difference]]*0.2146 + 21 &gt; Table3[[#This Row],[Scoring Margin]], 1, 0)</f>
        <v>0</v>
      </c>
      <c r="AD8" s="5">
        <f>IF(Table3[[#This Row],[Efficiency Difference]]*0.2146 -7 &gt; Table3[[#This Row],[Scoring Margin]], 1, 0)</f>
        <v>0</v>
      </c>
      <c r="AE8" s="5">
        <f>IF(Table3[[#This Row],[Efficiency Difference]]*0.2146 -3 &gt; Table3[[#This Row],[Scoring Margin]], 1, 0)</f>
        <v>0</v>
      </c>
      <c r="AF8" s="5">
        <f>IF(Table3[[#This Row],[Efficiency Difference]]*0.2146 -5 &gt; Table3[[#This Row],[Scoring Margin]], 1, 0)</f>
        <v>0</v>
      </c>
      <c r="AG8" s="5">
        <f>IF(Table3[[#This Row],[Efficiency Difference]]*0.2146 -10 &gt; Table3[[#This Row],[Scoring Margin]], 1, 0)</f>
        <v>0</v>
      </c>
      <c r="AI8">
        <v>-18</v>
      </c>
      <c r="AJ8">
        <v>3</v>
      </c>
    </row>
    <row r="9" spans="2:36">
      <c r="B9" s="5">
        <v>61.300000000000011</v>
      </c>
      <c r="C9" s="5">
        <v>10</v>
      </c>
      <c r="X9" s="5">
        <v>61.300000000000011</v>
      </c>
      <c r="Y9" s="5">
        <v>10</v>
      </c>
      <c r="Z9" s="5">
        <f>IF(Table3[[#This Row],[Efficiency Difference]]*0.2146 &gt; Table3[[#This Row],[Scoring Margin]], 1, 0)</f>
        <v>1</v>
      </c>
      <c r="AA9" s="5">
        <f>IF(Table3[[#This Row],[Efficiency Difference]]*0.2146 + 7 &gt; Table3[[#This Row],[Scoring Margin]], 1, 0)</f>
        <v>1</v>
      </c>
      <c r="AB9" s="5">
        <f>IF(Table3[[#This Row],[Efficiency Difference]]*0.2146 + 14 &gt; Table3[[#This Row],[Scoring Margin]], 1, 0)</f>
        <v>1</v>
      </c>
      <c r="AC9" s="5">
        <f>IF(Table3[[#This Row],[Efficiency Difference]]*0.2146 + 21 &gt; Table3[[#This Row],[Scoring Margin]], 1, 0)</f>
        <v>1</v>
      </c>
      <c r="AD9" s="5">
        <f>IF(Table3[[#This Row],[Efficiency Difference]]*0.2146 -7 &gt; Table3[[#This Row],[Scoring Margin]], 1, 0)</f>
        <v>0</v>
      </c>
      <c r="AE9" s="5">
        <f>IF(Table3[[#This Row],[Efficiency Difference]]*0.2146 -3 &gt; Table3[[#This Row],[Scoring Margin]], 1, 0)</f>
        <v>1</v>
      </c>
      <c r="AF9" s="5">
        <f>IF(Table3[[#This Row],[Efficiency Difference]]*0.2146 -5 &gt; Table3[[#This Row],[Scoring Margin]], 1, 0)</f>
        <v>0</v>
      </c>
      <c r="AG9" s="5">
        <f>IF(Table3[[#This Row],[Efficiency Difference]]*0.2146 -10 &gt; Table3[[#This Row],[Scoring Margin]], 1, 0)</f>
        <v>0</v>
      </c>
      <c r="AI9">
        <v>-14</v>
      </c>
      <c r="AJ9">
        <v>8</v>
      </c>
    </row>
    <row r="10" spans="2:36">
      <c r="B10" s="5">
        <v>95.449999999999989</v>
      </c>
      <c r="C10" s="5">
        <v>17</v>
      </c>
      <c r="X10" s="5">
        <v>95.449999999999989</v>
      </c>
      <c r="Y10" s="5">
        <v>17</v>
      </c>
      <c r="Z10" s="5">
        <f>IF(Table3[[#This Row],[Efficiency Difference]]*0.2146 &gt; Table3[[#This Row],[Scoring Margin]], 1, 0)</f>
        <v>1</v>
      </c>
      <c r="AA10" s="5">
        <f>IF(Table3[[#This Row],[Efficiency Difference]]*0.2146 + 7 &gt; Table3[[#This Row],[Scoring Margin]], 1, 0)</f>
        <v>1</v>
      </c>
      <c r="AB10" s="5">
        <f>IF(Table3[[#This Row],[Efficiency Difference]]*0.2146 + 14 &gt; Table3[[#This Row],[Scoring Margin]], 1, 0)</f>
        <v>1</v>
      </c>
      <c r="AC10" s="5">
        <f>IF(Table3[[#This Row],[Efficiency Difference]]*0.2146 + 21 &gt; Table3[[#This Row],[Scoring Margin]], 1, 0)</f>
        <v>1</v>
      </c>
      <c r="AD10" s="5">
        <f>IF(Table3[[#This Row],[Efficiency Difference]]*0.2146 -7 &gt; Table3[[#This Row],[Scoring Margin]], 1, 0)</f>
        <v>0</v>
      </c>
      <c r="AE10" s="5">
        <f>IF(Table3[[#This Row],[Efficiency Difference]]*0.2146 -3 &gt; Table3[[#This Row],[Scoring Margin]], 1, 0)</f>
        <v>1</v>
      </c>
      <c r="AF10" s="5">
        <f>IF(Table3[[#This Row],[Efficiency Difference]]*0.2146 -5 &gt; Table3[[#This Row],[Scoring Margin]], 1, 0)</f>
        <v>0</v>
      </c>
      <c r="AG10" s="5">
        <f>IF(Table3[[#This Row],[Efficiency Difference]]*0.2146 -10 &gt; Table3[[#This Row],[Scoring Margin]], 1, 0)</f>
        <v>0</v>
      </c>
      <c r="AI10" s="11">
        <v>-10</v>
      </c>
      <c r="AJ10" s="11">
        <v>11</v>
      </c>
    </row>
    <row r="11" spans="2:36">
      <c r="B11" s="5">
        <v>164.82</v>
      </c>
      <c r="C11" s="5">
        <v>41</v>
      </c>
      <c r="X11" s="5">
        <v>164.82</v>
      </c>
      <c r="Y11" s="5">
        <v>41</v>
      </c>
      <c r="Z11" s="5">
        <f>IF(Table3[[#This Row],[Efficiency Difference]]*0.2146 &gt; Table3[[#This Row],[Scoring Margin]], 1, 0)</f>
        <v>0</v>
      </c>
      <c r="AA11" s="5">
        <f>IF(Table3[[#This Row],[Efficiency Difference]]*0.2146 + 7 &gt; Table3[[#This Row],[Scoring Margin]], 1, 0)</f>
        <v>1</v>
      </c>
      <c r="AB11" s="5">
        <f>IF(Table3[[#This Row],[Efficiency Difference]]*0.2146 + 14 &gt; Table3[[#This Row],[Scoring Margin]], 1, 0)</f>
        <v>1</v>
      </c>
      <c r="AC11" s="5">
        <f>IF(Table3[[#This Row],[Efficiency Difference]]*0.2146 + 21 &gt; Table3[[#This Row],[Scoring Margin]], 1, 0)</f>
        <v>1</v>
      </c>
      <c r="AD11" s="5">
        <f>IF(Table3[[#This Row],[Efficiency Difference]]*0.2146 -7 &gt; Table3[[#This Row],[Scoring Margin]], 1, 0)</f>
        <v>0</v>
      </c>
      <c r="AE11" s="5">
        <f>IF(Table3[[#This Row],[Efficiency Difference]]*0.2146 -3 &gt; Table3[[#This Row],[Scoring Margin]], 1, 0)</f>
        <v>0</v>
      </c>
      <c r="AF11" s="5">
        <f>IF(Table3[[#This Row],[Efficiency Difference]]*0.2146 -5 &gt; Table3[[#This Row],[Scoring Margin]], 1, 0)</f>
        <v>0</v>
      </c>
      <c r="AG11" s="5">
        <f>IF(Table3[[#This Row],[Efficiency Difference]]*0.2146 -10 &gt; Table3[[#This Row],[Scoring Margin]], 1, 0)</f>
        <v>0</v>
      </c>
      <c r="AI11" s="11">
        <v>-7</v>
      </c>
      <c r="AJ11" s="11">
        <v>18</v>
      </c>
    </row>
    <row r="12" spans="2:36">
      <c r="B12" s="5">
        <v>102.06</v>
      </c>
      <c r="C12" s="5">
        <v>16</v>
      </c>
      <c r="X12" s="5">
        <v>102.06</v>
      </c>
      <c r="Y12" s="5">
        <v>16</v>
      </c>
      <c r="Z12" s="5">
        <f>IF(Table3[[#This Row],[Efficiency Difference]]*0.2146 &gt; Table3[[#This Row],[Scoring Margin]], 1, 0)</f>
        <v>1</v>
      </c>
      <c r="AA12" s="5">
        <f>IF(Table3[[#This Row],[Efficiency Difference]]*0.2146 + 7 &gt; Table3[[#This Row],[Scoring Margin]], 1, 0)</f>
        <v>1</v>
      </c>
      <c r="AB12" s="5">
        <f>IF(Table3[[#This Row],[Efficiency Difference]]*0.2146 + 14 &gt; Table3[[#This Row],[Scoring Margin]], 1, 0)</f>
        <v>1</v>
      </c>
      <c r="AC12" s="5">
        <f>IF(Table3[[#This Row],[Efficiency Difference]]*0.2146 + 21 &gt; Table3[[#This Row],[Scoring Margin]], 1, 0)</f>
        <v>1</v>
      </c>
      <c r="AD12" s="5">
        <f>IF(Table3[[#This Row],[Efficiency Difference]]*0.2146 -7 &gt; Table3[[#This Row],[Scoring Margin]], 1, 0)</f>
        <v>0</v>
      </c>
      <c r="AE12" s="5">
        <f>IF(Table3[[#This Row],[Efficiency Difference]]*0.2146 -3 &gt; Table3[[#This Row],[Scoring Margin]], 1, 0)</f>
        <v>1</v>
      </c>
      <c r="AF12" s="5">
        <f>IF(Table3[[#This Row],[Efficiency Difference]]*0.2146 -5 &gt; Table3[[#This Row],[Scoring Margin]], 1, 0)</f>
        <v>1</v>
      </c>
      <c r="AG12" s="5">
        <f>IF(Table3[[#This Row],[Efficiency Difference]]*0.2146 -10 &gt; Table3[[#This Row],[Scoring Margin]], 1, 0)</f>
        <v>0</v>
      </c>
      <c r="AI12" s="11">
        <v>-5</v>
      </c>
      <c r="AJ12" s="11">
        <v>26</v>
      </c>
    </row>
    <row r="13" spans="2:36">
      <c r="B13" s="5">
        <v>256.83999999999997</v>
      </c>
      <c r="C13" s="5">
        <v>41</v>
      </c>
      <c r="X13" s="5">
        <v>256.83999999999997</v>
      </c>
      <c r="Y13" s="5">
        <v>41</v>
      </c>
      <c r="Z13" s="5">
        <f>IF(Table3[[#This Row],[Efficiency Difference]]*0.2146 &gt; Table3[[#This Row],[Scoring Margin]], 1, 0)</f>
        <v>1</v>
      </c>
      <c r="AA13" s="5">
        <f>IF(Table3[[#This Row],[Efficiency Difference]]*0.2146 + 7 &gt; Table3[[#This Row],[Scoring Margin]], 1, 0)</f>
        <v>1</v>
      </c>
      <c r="AB13" s="5">
        <f>IF(Table3[[#This Row],[Efficiency Difference]]*0.2146 + 14 &gt; Table3[[#This Row],[Scoring Margin]], 1, 0)</f>
        <v>1</v>
      </c>
      <c r="AC13" s="5">
        <f>IF(Table3[[#This Row],[Efficiency Difference]]*0.2146 + 21 &gt; Table3[[#This Row],[Scoring Margin]], 1, 0)</f>
        <v>1</v>
      </c>
      <c r="AD13" s="5">
        <f>IF(Table3[[#This Row],[Efficiency Difference]]*0.2146 -7 &gt; Table3[[#This Row],[Scoring Margin]], 1, 0)</f>
        <v>1</v>
      </c>
      <c r="AE13" s="5">
        <f>IF(Table3[[#This Row],[Efficiency Difference]]*0.2146 -3 &gt; Table3[[#This Row],[Scoring Margin]], 1, 0)</f>
        <v>1</v>
      </c>
      <c r="AF13" s="5">
        <f>IF(Table3[[#This Row],[Efficiency Difference]]*0.2146 -5 &gt; Table3[[#This Row],[Scoring Margin]], 1, 0)</f>
        <v>1</v>
      </c>
      <c r="AG13" s="5">
        <f>IF(Table3[[#This Row],[Efficiency Difference]]*0.2146 -10 &gt; Table3[[#This Row],[Scoring Margin]], 1, 0)</f>
        <v>1</v>
      </c>
      <c r="AI13" s="11">
        <v>-3</v>
      </c>
      <c r="AJ13" s="11">
        <v>32</v>
      </c>
    </row>
    <row r="14" spans="2:36">
      <c r="B14" s="5">
        <v>163.80000000000001</v>
      </c>
      <c r="C14" s="5">
        <v>24</v>
      </c>
      <c r="X14" s="5">
        <v>163.80000000000001</v>
      </c>
      <c r="Y14" s="5">
        <v>24</v>
      </c>
      <c r="Z14" s="5">
        <f>IF(Table3[[#This Row],[Efficiency Difference]]*0.2146 &gt; Table3[[#This Row],[Scoring Margin]], 1, 0)</f>
        <v>1</v>
      </c>
      <c r="AA14" s="5">
        <f>IF(Table3[[#This Row],[Efficiency Difference]]*0.2146 + 7 &gt; Table3[[#This Row],[Scoring Margin]], 1, 0)</f>
        <v>1</v>
      </c>
      <c r="AB14" s="5">
        <f>IF(Table3[[#This Row],[Efficiency Difference]]*0.2146 + 14 &gt; Table3[[#This Row],[Scoring Margin]], 1, 0)</f>
        <v>1</v>
      </c>
      <c r="AC14" s="5">
        <f>IF(Table3[[#This Row],[Efficiency Difference]]*0.2146 + 21 &gt; Table3[[#This Row],[Scoring Margin]], 1, 0)</f>
        <v>1</v>
      </c>
      <c r="AD14" s="5">
        <f>IF(Table3[[#This Row],[Efficiency Difference]]*0.2146 -7 &gt; Table3[[#This Row],[Scoring Margin]], 1, 0)</f>
        <v>1</v>
      </c>
      <c r="AE14" s="5">
        <f>IF(Table3[[#This Row],[Efficiency Difference]]*0.2146 -3 &gt; Table3[[#This Row],[Scoring Margin]], 1, 0)</f>
        <v>1</v>
      </c>
      <c r="AF14" s="5">
        <f>IF(Table3[[#This Row],[Efficiency Difference]]*0.2146 -5 &gt; Table3[[#This Row],[Scoring Margin]], 1, 0)</f>
        <v>1</v>
      </c>
      <c r="AG14" s="5">
        <f>IF(Table3[[#This Row],[Efficiency Difference]]*0.2146 -10 &gt; Table3[[#This Row],[Scoring Margin]], 1, 0)</f>
        <v>1</v>
      </c>
      <c r="AI14" s="11">
        <v>0</v>
      </c>
      <c r="AJ14" s="11">
        <v>50</v>
      </c>
    </row>
    <row r="15" spans="2:36">
      <c r="B15" s="5">
        <v>109.34999999999997</v>
      </c>
      <c r="C15" s="5">
        <v>28</v>
      </c>
      <c r="X15" s="5">
        <v>109.34999999999997</v>
      </c>
      <c r="Y15" s="5">
        <v>28</v>
      </c>
      <c r="Z15" s="5">
        <f>IF(Table3[[#This Row],[Efficiency Difference]]*0.2146 &gt; Table3[[#This Row],[Scoring Margin]], 1, 0)</f>
        <v>0</v>
      </c>
      <c r="AA15" s="5">
        <f>IF(Table3[[#This Row],[Efficiency Difference]]*0.2146 + 7 &gt; Table3[[#This Row],[Scoring Margin]], 1, 0)</f>
        <v>1</v>
      </c>
      <c r="AB15" s="5">
        <f>IF(Table3[[#This Row],[Efficiency Difference]]*0.2146 + 14 &gt; Table3[[#This Row],[Scoring Margin]], 1, 0)</f>
        <v>1</v>
      </c>
      <c r="AC15" s="5">
        <f>IF(Table3[[#This Row],[Efficiency Difference]]*0.2146 + 21 &gt; Table3[[#This Row],[Scoring Margin]], 1, 0)</f>
        <v>1</v>
      </c>
      <c r="AD15" s="5">
        <f>IF(Table3[[#This Row],[Efficiency Difference]]*0.2146 -7 &gt; Table3[[#This Row],[Scoring Margin]], 1, 0)</f>
        <v>0</v>
      </c>
      <c r="AE15" s="5">
        <f>IF(Table3[[#This Row],[Efficiency Difference]]*0.2146 -3 &gt; Table3[[#This Row],[Scoring Margin]], 1, 0)</f>
        <v>0</v>
      </c>
      <c r="AF15" s="5">
        <f>IF(Table3[[#This Row],[Efficiency Difference]]*0.2146 -5 &gt; Table3[[#This Row],[Scoring Margin]], 1, 0)</f>
        <v>0</v>
      </c>
      <c r="AG15" s="5">
        <f>IF(Table3[[#This Row],[Efficiency Difference]]*0.2146 -10 &gt; Table3[[#This Row],[Scoring Margin]], 1, 0)</f>
        <v>0</v>
      </c>
      <c r="AI15" s="11">
        <v>7</v>
      </c>
      <c r="AJ15" s="11">
        <v>75</v>
      </c>
    </row>
    <row r="16" spans="2:36">
      <c r="B16" s="5">
        <v>105.54000000000002</v>
      </c>
      <c r="C16" s="5">
        <v>34</v>
      </c>
      <c r="X16" s="5">
        <v>105.54000000000002</v>
      </c>
      <c r="Y16" s="5">
        <v>34</v>
      </c>
      <c r="Z16" s="5">
        <f>IF(Table3[[#This Row],[Efficiency Difference]]*0.2146 &gt; Table3[[#This Row],[Scoring Margin]], 1, 0)</f>
        <v>0</v>
      </c>
      <c r="AA16" s="5">
        <f>IF(Table3[[#This Row],[Efficiency Difference]]*0.2146 + 7 &gt; Table3[[#This Row],[Scoring Margin]], 1, 0)</f>
        <v>0</v>
      </c>
      <c r="AB16" s="5">
        <f>IF(Table3[[#This Row],[Efficiency Difference]]*0.2146 + 14 &gt; Table3[[#This Row],[Scoring Margin]], 1, 0)</f>
        <v>1</v>
      </c>
      <c r="AC16" s="5">
        <f>IF(Table3[[#This Row],[Efficiency Difference]]*0.2146 + 21 &gt; Table3[[#This Row],[Scoring Margin]], 1, 0)</f>
        <v>1</v>
      </c>
      <c r="AD16" s="5">
        <f>IF(Table3[[#This Row],[Efficiency Difference]]*0.2146 -7 &gt; Table3[[#This Row],[Scoring Margin]], 1, 0)</f>
        <v>0</v>
      </c>
      <c r="AE16" s="5">
        <f>IF(Table3[[#This Row],[Efficiency Difference]]*0.2146 -3 &gt; Table3[[#This Row],[Scoring Margin]], 1, 0)</f>
        <v>0</v>
      </c>
      <c r="AF16" s="5">
        <f>IF(Table3[[#This Row],[Efficiency Difference]]*0.2146 -5 &gt; Table3[[#This Row],[Scoring Margin]], 1, 0)</f>
        <v>0</v>
      </c>
      <c r="AG16" s="5">
        <f>IF(Table3[[#This Row],[Efficiency Difference]]*0.2146 -10 &gt; Table3[[#This Row],[Scoring Margin]], 1, 0)</f>
        <v>0</v>
      </c>
      <c r="AI16" s="11">
        <v>14</v>
      </c>
      <c r="AJ16" s="11">
        <v>90</v>
      </c>
    </row>
    <row r="17" spans="2:36">
      <c r="B17" s="5">
        <v>292.79000000000008</v>
      </c>
      <c r="C17" s="5">
        <v>45</v>
      </c>
      <c r="X17" s="5">
        <v>292.79000000000008</v>
      </c>
      <c r="Y17" s="5">
        <v>45</v>
      </c>
      <c r="Z17" s="5">
        <f>IF(Table3[[#This Row],[Efficiency Difference]]*0.2146 &gt; Table3[[#This Row],[Scoring Margin]], 1, 0)</f>
        <v>1</v>
      </c>
      <c r="AA17" s="5">
        <f>IF(Table3[[#This Row],[Efficiency Difference]]*0.2146 + 7 &gt; Table3[[#This Row],[Scoring Margin]], 1, 0)</f>
        <v>1</v>
      </c>
      <c r="AB17" s="5">
        <f>IF(Table3[[#This Row],[Efficiency Difference]]*0.2146 + 14 &gt; Table3[[#This Row],[Scoring Margin]], 1, 0)</f>
        <v>1</v>
      </c>
      <c r="AC17" s="5">
        <f>IF(Table3[[#This Row],[Efficiency Difference]]*0.2146 + 21 &gt; Table3[[#This Row],[Scoring Margin]], 1, 0)</f>
        <v>1</v>
      </c>
      <c r="AD17" s="5">
        <f>IF(Table3[[#This Row],[Efficiency Difference]]*0.2146 -7 &gt; Table3[[#This Row],[Scoring Margin]], 1, 0)</f>
        <v>1</v>
      </c>
      <c r="AE17" s="5">
        <f>IF(Table3[[#This Row],[Efficiency Difference]]*0.2146 -3 &gt; Table3[[#This Row],[Scoring Margin]], 1, 0)</f>
        <v>1</v>
      </c>
      <c r="AF17" s="5">
        <f>IF(Table3[[#This Row],[Efficiency Difference]]*0.2146 -5 &gt; Table3[[#This Row],[Scoring Margin]], 1, 0)</f>
        <v>1</v>
      </c>
      <c r="AG17" s="5">
        <f>IF(Table3[[#This Row],[Efficiency Difference]]*0.2146 -10 &gt; Table3[[#This Row],[Scoring Margin]], 1, 0)</f>
        <v>1</v>
      </c>
      <c r="AI17" s="11">
        <v>21</v>
      </c>
      <c r="AJ17" s="11">
        <v>97</v>
      </c>
    </row>
    <row r="18" spans="2:36">
      <c r="B18" s="5">
        <v>105.56</v>
      </c>
      <c r="C18" s="5">
        <v>31</v>
      </c>
      <c r="X18" s="5">
        <v>105.56</v>
      </c>
      <c r="Y18" s="5">
        <v>31</v>
      </c>
      <c r="Z18" s="5">
        <f>IF(Table3[[#This Row],[Efficiency Difference]]*0.2146 &gt; Table3[[#This Row],[Scoring Margin]], 1, 0)</f>
        <v>0</v>
      </c>
      <c r="AA18" s="5">
        <f>IF(Table3[[#This Row],[Efficiency Difference]]*0.2146 + 7 &gt; Table3[[#This Row],[Scoring Margin]], 1, 0)</f>
        <v>0</v>
      </c>
      <c r="AB18" s="5">
        <f>IF(Table3[[#This Row],[Efficiency Difference]]*0.2146 + 14 &gt; Table3[[#This Row],[Scoring Margin]], 1, 0)</f>
        <v>1</v>
      </c>
      <c r="AC18" s="5">
        <f>IF(Table3[[#This Row],[Efficiency Difference]]*0.2146 + 21 &gt; Table3[[#This Row],[Scoring Margin]], 1, 0)</f>
        <v>1</v>
      </c>
      <c r="AD18" s="5">
        <f>IF(Table3[[#This Row],[Efficiency Difference]]*0.2146 -7 &gt; Table3[[#This Row],[Scoring Margin]], 1, 0)</f>
        <v>0</v>
      </c>
      <c r="AE18" s="5">
        <f>IF(Table3[[#This Row],[Efficiency Difference]]*0.2146 -3 &gt; Table3[[#This Row],[Scoring Margin]], 1, 0)</f>
        <v>0</v>
      </c>
      <c r="AF18" s="5">
        <f>IF(Table3[[#This Row],[Efficiency Difference]]*0.2146 -5 &gt; Table3[[#This Row],[Scoring Margin]], 1, 0)</f>
        <v>0</v>
      </c>
      <c r="AG18" s="5">
        <f>IF(Table3[[#This Row],[Efficiency Difference]]*0.2146 -10 &gt; Table3[[#This Row],[Scoring Margin]], 1, 0)</f>
        <v>0</v>
      </c>
      <c r="AI18" s="11">
        <v>25</v>
      </c>
      <c r="AJ18" s="11">
        <v>99</v>
      </c>
    </row>
    <row r="19" spans="2:36">
      <c r="B19" s="5">
        <v>125.85</v>
      </c>
      <c r="C19" s="5">
        <v>23</v>
      </c>
      <c r="X19" s="5">
        <v>125.85</v>
      </c>
      <c r="Y19" s="5">
        <v>23</v>
      </c>
      <c r="Z19" s="5">
        <f>IF(Table3[[#This Row],[Efficiency Difference]]*0.2146 &gt; Table3[[#This Row],[Scoring Margin]], 1, 0)</f>
        <v>1</v>
      </c>
      <c r="AA19" s="5">
        <f>IF(Table3[[#This Row],[Efficiency Difference]]*0.2146 + 7 &gt; Table3[[#This Row],[Scoring Margin]], 1, 0)</f>
        <v>1</v>
      </c>
      <c r="AB19" s="5">
        <f>IF(Table3[[#This Row],[Efficiency Difference]]*0.2146 + 14 &gt; Table3[[#This Row],[Scoring Margin]], 1, 0)</f>
        <v>1</v>
      </c>
      <c r="AC19" s="5">
        <f>IF(Table3[[#This Row],[Efficiency Difference]]*0.2146 + 21 &gt; Table3[[#This Row],[Scoring Margin]], 1, 0)</f>
        <v>1</v>
      </c>
      <c r="AD19" s="5">
        <f>IF(Table3[[#This Row],[Efficiency Difference]]*0.2146 -7 &gt; Table3[[#This Row],[Scoring Margin]], 1, 0)</f>
        <v>0</v>
      </c>
      <c r="AE19" s="5">
        <f>IF(Table3[[#This Row],[Efficiency Difference]]*0.2146 -3 &gt; Table3[[#This Row],[Scoring Margin]], 1, 0)</f>
        <v>1</v>
      </c>
      <c r="AF19" s="5">
        <f>IF(Table3[[#This Row],[Efficiency Difference]]*0.2146 -5 &gt; Table3[[#This Row],[Scoring Margin]], 1, 0)</f>
        <v>0</v>
      </c>
      <c r="AG19" s="5">
        <f>IF(Table3[[#This Row],[Efficiency Difference]]*0.2146 -10 &gt; Table3[[#This Row],[Scoring Margin]], 1, 0)</f>
        <v>0</v>
      </c>
      <c r="AI19" s="11">
        <v>28</v>
      </c>
      <c r="AJ19" s="11">
        <v>99</v>
      </c>
    </row>
    <row r="20" spans="2:36">
      <c r="B20" s="5">
        <v>116.49000000000001</v>
      </c>
      <c r="C20" s="5">
        <v>27</v>
      </c>
      <c r="X20" s="5">
        <v>116.49000000000001</v>
      </c>
      <c r="Y20" s="5">
        <v>27</v>
      </c>
      <c r="Z20" s="5">
        <f>IF(Table3[[#This Row],[Efficiency Difference]]*0.2146 &gt; Table3[[#This Row],[Scoring Margin]], 1, 0)</f>
        <v>0</v>
      </c>
      <c r="AA20" s="5">
        <f>IF(Table3[[#This Row],[Efficiency Difference]]*0.2146 + 7 &gt; Table3[[#This Row],[Scoring Margin]], 1, 0)</f>
        <v>1</v>
      </c>
      <c r="AB20" s="5">
        <f>IF(Table3[[#This Row],[Efficiency Difference]]*0.2146 + 14 &gt; Table3[[#This Row],[Scoring Margin]], 1, 0)</f>
        <v>1</v>
      </c>
      <c r="AC20" s="5">
        <f>IF(Table3[[#This Row],[Efficiency Difference]]*0.2146 + 21 &gt; Table3[[#This Row],[Scoring Margin]], 1, 0)</f>
        <v>1</v>
      </c>
      <c r="AD20" s="5">
        <f>IF(Table3[[#This Row],[Efficiency Difference]]*0.2146 -7 &gt; Table3[[#This Row],[Scoring Margin]], 1, 0)</f>
        <v>0</v>
      </c>
      <c r="AE20" s="5">
        <f>IF(Table3[[#This Row],[Efficiency Difference]]*0.2146 -3 &gt; Table3[[#This Row],[Scoring Margin]], 1, 0)</f>
        <v>0</v>
      </c>
      <c r="AF20" s="5">
        <f>IF(Table3[[#This Row],[Efficiency Difference]]*0.2146 -5 &gt; Table3[[#This Row],[Scoring Margin]], 1, 0)</f>
        <v>0</v>
      </c>
      <c r="AG20" s="5">
        <f>IF(Table3[[#This Row],[Efficiency Difference]]*0.2146 -10 &gt; Table3[[#This Row],[Scoring Margin]], 1, 0)</f>
        <v>0</v>
      </c>
      <c r="AI20" s="11">
        <v>35</v>
      </c>
      <c r="AJ20" s="11">
        <v>100</v>
      </c>
    </row>
    <row r="21" spans="2:36">
      <c r="B21" s="5">
        <v>157.27999999999997</v>
      </c>
      <c r="C21" s="5">
        <v>25</v>
      </c>
      <c r="X21" s="5">
        <v>157.27999999999997</v>
      </c>
      <c r="Y21" s="5">
        <v>25</v>
      </c>
      <c r="Z21" s="5">
        <f>IF(Table3[[#This Row],[Efficiency Difference]]*0.2146 &gt; Table3[[#This Row],[Scoring Margin]], 1, 0)</f>
        <v>1</v>
      </c>
      <c r="AA21" s="5">
        <f>IF(Table3[[#This Row],[Efficiency Difference]]*0.2146 + 7 &gt; Table3[[#This Row],[Scoring Margin]], 1, 0)</f>
        <v>1</v>
      </c>
      <c r="AB21" s="5">
        <f>IF(Table3[[#This Row],[Efficiency Difference]]*0.2146 + 14 &gt; Table3[[#This Row],[Scoring Margin]], 1, 0)</f>
        <v>1</v>
      </c>
      <c r="AC21" s="5">
        <f>IF(Table3[[#This Row],[Efficiency Difference]]*0.2146 + 21 &gt; Table3[[#This Row],[Scoring Margin]], 1, 0)</f>
        <v>1</v>
      </c>
      <c r="AD21" s="5">
        <f>IF(Table3[[#This Row],[Efficiency Difference]]*0.2146 -7 &gt; Table3[[#This Row],[Scoring Margin]], 1, 0)</f>
        <v>1</v>
      </c>
      <c r="AE21" s="5">
        <f>IF(Table3[[#This Row],[Efficiency Difference]]*0.2146 -3 &gt; Table3[[#This Row],[Scoring Margin]], 1, 0)</f>
        <v>1</v>
      </c>
      <c r="AF21" s="5">
        <f>IF(Table3[[#This Row],[Efficiency Difference]]*0.2146 -5 &gt; Table3[[#This Row],[Scoring Margin]], 1, 0)</f>
        <v>1</v>
      </c>
      <c r="AG21" s="5">
        <f>IF(Table3[[#This Row],[Efficiency Difference]]*0.2146 -10 &gt; Table3[[#This Row],[Scoring Margin]], 1, 0)</f>
        <v>0</v>
      </c>
    </row>
    <row r="22" spans="2:36">
      <c r="B22" s="5">
        <v>52.09</v>
      </c>
      <c r="C22" s="5">
        <v>7</v>
      </c>
      <c r="X22" s="5">
        <v>52.09</v>
      </c>
      <c r="Y22" s="5">
        <v>7</v>
      </c>
      <c r="Z22" s="5">
        <f>IF(Table3[[#This Row],[Efficiency Difference]]*0.2146 &gt; Table3[[#This Row],[Scoring Margin]], 1, 0)</f>
        <v>1</v>
      </c>
      <c r="AA22" s="5">
        <f>IF(Table3[[#This Row],[Efficiency Difference]]*0.2146 + 7 &gt; Table3[[#This Row],[Scoring Margin]], 1, 0)</f>
        <v>1</v>
      </c>
      <c r="AB22" s="5">
        <f>IF(Table3[[#This Row],[Efficiency Difference]]*0.2146 + 14 &gt; Table3[[#This Row],[Scoring Margin]], 1, 0)</f>
        <v>1</v>
      </c>
      <c r="AC22" s="5">
        <f>IF(Table3[[#This Row],[Efficiency Difference]]*0.2146 + 21 &gt; Table3[[#This Row],[Scoring Margin]], 1, 0)</f>
        <v>1</v>
      </c>
      <c r="AD22" s="5">
        <f>IF(Table3[[#This Row],[Efficiency Difference]]*0.2146 -7 &gt; Table3[[#This Row],[Scoring Margin]], 1, 0)</f>
        <v>0</v>
      </c>
      <c r="AE22" s="5">
        <f>IF(Table3[[#This Row],[Efficiency Difference]]*0.2146 -3 &gt; Table3[[#This Row],[Scoring Margin]], 1, 0)</f>
        <v>1</v>
      </c>
      <c r="AF22" s="5">
        <f>IF(Table3[[#This Row],[Efficiency Difference]]*0.2146 -5 &gt; Table3[[#This Row],[Scoring Margin]], 1, 0)</f>
        <v>0</v>
      </c>
      <c r="AG22" s="5">
        <f>IF(Table3[[#This Row],[Efficiency Difference]]*0.2146 -10 &gt; Table3[[#This Row],[Scoring Margin]], 1, 0)</f>
        <v>0</v>
      </c>
    </row>
    <row r="23" spans="2:36">
      <c r="B23" s="5">
        <v>40.789999999999992</v>
      </c>
      <c r="C23" s="5">
        <v>10</v>
      </c>
      <c r="X23" s="5">
        <v>40.789999999999992</v>
      </c>
      <c r="Y23" s="5">
        <v>10</v>
      </c>
      <c r="Z23" s="5">
        <f>IF(Table3[[#This Row],[Efficiency Difference]]*0.2146 &gt; Table3[[#This Row],[Scoring Margin]], 1, 0)</f>
        <v>0</v>
      </c>
      <c r="AA23" s="5">
        <f>IF(Table3[[#This Row],[Efficiency Difference]]*0.2146 + 7 &gt; Table3[[#This Row],[Scoring Margin]], 1, 0)</f>
        <v>1</v>
      </c>
      <c r="AB23" s="5">
        <f>IF(Table3[[#This Row],[Efficiency Difference]]*0.2146 + 14 &gt; Table3[[#This Row],[Scoring Margin]], 1, 0)</f>
        <v>1</v>
      </c>
      <c r="AC23" s="5">
        <f>IF(Table3[[#This Row],[Efficiency Difference]]*0.2146 + 21 &gt; Table3[[#This Row],[Scoring Margin]], 1, 0)</f>
        <v>1</v>
      </c>
      <c r="AD23" s="5">
        <f>IF(Table3[[#This Row],[Efficiency Difference]]*0.2146 -7 &gt; Table3[[#This Row],[Scoring Margin]], 1, 0)</f>
        <v>0</v>
      </c>
      <c r="AE23" s="5">
        <f>IF(Table3[[#This Row],[Efficiency Difference]]*0.2146 -3 &gt; Table3[[#This Row],[Scoring Margin]], 1, 0)</f>
        <v>0</v>
      </c>
      <c r="AF23" s="5">
        <f>IF(Table3[[#This Row],[Efficiency Difference]]*0.2146 -5 &gt; Table3[[#This Row],[Scoring Margin]], 1, 0)</f>
        <v>0</v>
      </c>
      <c r="AG23" s="5">
        <f>IF(Table3[[#This Row],[Efficiency Difference]]*0.2146 -10 &gt; Table3[[#This Row],[Scoring Margin]], 1, 0)</f>
        <v>0</v>
      </c>
    </row>
    <row r="24" spans="2:36">
      <c r="B24" s="5">
        <v>136.71999999999997</v>
      </c>
      <c r="C24" s="5">
        <v>36</v>
      </c>
      <c r="X24" s="5">
        <v>136.71999999999997</v>
      </c>
      <c r="Y24" s="5">
        <v>36</v>
      </c>
      <c r="Z24" s="5">
        <f>IF(Table3[[#This Row],[Efficiency Difference]]*0.2146 &gt; Table3[[#This Row],[Scoring Margin]], 1, 0)</f>
        <v>0</v>
      </c>
      <c r="AA24" s="5">
        <f>IF(Table3[[#This Row],[Efficiency Difference]]*0.2146 + 7 &gt; Table3[[#This Row],[Scoring Margin]], 1, 0)</f>
        <v>1</v>
      </c>
      <c r="AB24" s="5">
        <f>IF(Table3[[#This Row],[Efficiency Difference]]*0.2146 + 14 &gt; Table3[[#This Row],[Scoring Margin]], 1, 0)</f>
        <v>1</v>
      </c>
      <c r="AC24" s="5">
        <f>IF(Table3[[#This Row],[Efficiency Difference]]*0.2146 + 21 &gt; Table3[[#This Row],[Scoring Margin]], 1, 0)</f>
        <v>1</v>
      </c>
      <c r="AD24" s="5">
        <f>IF(Table3[[#This Row],[Efficiency Difference]]*0.2146 -7 &gt; Table3[[#This Row],[Scoring Margin]], 1, 0)</f>
        <v>0</v>
      </c>
      <c r="AE24" s="5">
        <f>IF(Table3[[#This Row],[Efficiency Difference]]*0.2146 -3 &gt; Table3[[#This Row],[Scoring Margin]], 1, 0)</f>
        <v>0</v>
      </c>
      <c r="AF24" s="5">
        <f>IF(Table3[[#This Row],[Efficiency Difference]]*0.2146 -5 &gt; Table3[[#This Row],[Scoring Margin]], 1, 0)</f>
        <v>0</v>
      </c>
      <c r="AG24" s="5">
        <f>IF(Table3[[#This Row],[Efficiency Difference]]*0.2146 -10 &gt; Table3[[#This Row],[Scoring Margin]], 1, 0)</f>
        <v>0</v>
      </c>
    </row>
    <row r="25" spans="2:36">
      <c r="B25" s="5">
        <v>89.02000000000001</v>
      </c>
      <c r="C25" s="5">
        <v>34</v>
      </c>
      <c r="X25" s="5">
        <v>89.02000000000001</v>
      </c>
      <c r="Y25" s="5">
        <v>34</v>
      </c>
      <c r="Z25" s="5">
        <f>IF(Table3[[#This Row],[Efficiency Difference]]*0.2146 &gt; Table3[[#This Row],[Scoring Margin]], 1, 0)</f>
        <v>0</v>
      </c>
      <c r="AA25" s="5">
        <f>IF(Table3[[#This Row],[Efficiency Difference]]*0.2146 + 7 &gt; Table3[[#This Row],[Scoring Margin]], 1, 0)</f>
        <v>0</v>
      </c>
      <c r="AB25" s="5">
        <f>IF(Table3[[#This Row],[Efficiency Difference]]*0.2146 + 14 &gt; Table3[[#This Row],[Scoring Margin]], 1, 0)</f>
        <v>0</v>
      </c>
      <c r="AC25" s="5">
        <f>IF(Table3[[#This Row],[Efficiency Difference]]*0.2146 + 21 &gt; Table3[[#This Row],[Scoring Margin]], 1, 0)</f>
        <v>1</v>
      </c>
      <c r="AD25" s="5">
        <f>IF(Table3[[#This Row],[Efficiency Difference]]*0.2146 -7 &gt; Table3[[#This Row],[Scoring Margin]], 1, 0)</f>
        <v>0</v>
      </c>
      <c r="AE25" s="5">
        <f>IF(Table3[[#This Row],[Efficiency Difference]]*0.2146 -3 &gt; Table3[[#This Row],[Scoring Margin]], 1, 0)</f>
        <v>0</v>
      </c>
      <c r="AF25" s="5">
        <f>IF(Table3[[#This Row],[Efficiency Difference]]*0.2146 -5 &gt; Table3[[#This Row],[Scoring Margin]], 1, 0)</f>
        <v>0</v>
      </c>
      <c r="AG25" s="5">
        <f>IF(Table3[[#This Row],[Efficiency Difference]]*0.2146 -10 &gt; Table3[[#This Row],[Scoring Margin]], 1, 0)</f>
        <v>0</v>
      </c>
    </row>
    <row r="26" spans="2:36">
      <c r="B26" s="5">
        <v>2.3999999999999773</v>
      </c>
      <c r="C26" s="5">
        <v>7</v>
      </c>
      <c r="X26" s="5">
        <v>2.3999999999999773</v>
      </c>
      <c r="Y26" s="5">
        <v>7</v>
      </c>
      <c r="Z26" s="5">
        <f>IF(Table3[[#This Row],[Efficiency Difference]]*0.2146 &gt; Table3[[#This Row],[Scoring Margin]], 1, 0)</f>
        <v>0</v>
      </c>
      <c r="AA26" s="5">
        <f>IF(Table3[[#This Row],[Efficiency Difference]]*0.2146 + 7 &gt; Table3[[#This Row],[Scoring Margin]], 1, 0)</f>
        <v>1</v>
      </c>
      <c r="AB26" s="5">
        <f>IF(Table3[[#This Row],[Efficiency Difference]]*0.2146 + 14 &gt; Table3[[#This Row],[Scoring Margin]], 1, 0)</f>
        <v>1</v>
      </c>
      <c r="AC26" s="5">
        <f>IF(Table3[[#This Row],[Efficiency Difference]]*0.2146 + 21 &gt; Table3[[#This Row],[Scoring Margin]], 1, 0)</f>
        <v>1</v>
      </c>
      <c r="AD26" s="5">
        <f>IF(Table3[[#This Row],[Efficiency Difference]]*0.2146 -7 &gt; Table3[[#This Row],[Scoring Margin]], 1, 0)</f>
        <v>0</v>
      </c>
      <c r="AE26" s="5">
        <f>IF(Table3[[#This Row],[Efficiency Difference]]*0.2146 -3 &gt; Table3[[#This Row],[Scoring Margin]], 1, 0)</f>
        <v>0</v>
      </c>
      <c r="AF26" s="5">
        <f>IF(Table3[[#This Row],[Efficiency Difference]]*0.2146 -5 &gt; Table3[[#This Row],[Scoring Margin]], 1, 0)</f>
        <v>0</v>
      </c>
      <c r="AG26" s="5">
        <f>IF(Table3[[#This Row],[Efficiency Difference]]*0.2146 -10 &gt; Table3[[#This Row],[Scoring Margin]], 1, 0)</f>
        <v>0</v>
      </c>
    </row>
    <row r="27" spans="2:36">
      <c r="B27" s="5">
        <v>12.029999999999973</v>
      </c>
      <c r="C27" s="5">
        <v>3</v>
      </c>
      <c r="X27" s="5">
        <v>12.029999999999973</v>
      </c>
      <c r="Y27" s="5">
        <v>3</v>
      </c>
      <c r="Z27" s="5">
        <f>IF(Table3[[#This Row],[Efficiency Difference]]*0.2146 &gt; Table3[[#This Row],[Scoring Margin]], 1, 0)</f>
        <v>0</v>
      </c>
      <c r="AA27" s="5">
        <f>IF(Table3[[#This Row],[Efficiency Difference]]*0.2146 + 7 &gt; Table3[[#This Row],[Scoring Margin]], 1, 0)</f>
        <v>1</v>
      </c>
      <c r="AB27" s="5">
        <f>IF(Table3[[#This Row],[Efficiency Difference]]*0.2146 + 14 &gt; Table3[[#This Row],[Scoring Margin]], 1, 0)</f>
        <v>1</v>
      </c>
      <c r="AC27" s="5">
        <f>IF(Table3[[#This Row],[Efficiency Difference]]*0.2146 + 21 &gt; Table3[[#This Row],[Scoring Margin]], 1, 0)</f>
        <v>1</v>
      </c>
      <c r="AD27" s="5">
        <f>IF(Table3[[#This Row],[Efficiency Difference]]*0.2146 -7 &gt; Table3[[#This Row],[Scoring Margin]], 1, 0)</f>
        <v>0</v>
      </c>
      <c r="AE27" s="5">
        <f>IF(Table3[[#This Row],[Efficiency Difference]]*0.2146 -3 &gt; Table3[[#This Row],[Scoring Margin]], 1, 0)</f>
        <v>0</v>
      </c>
      <c r="AF27" s="5">
        <f>IF(Table3[[#This Row],[Efficiency Difference]]*0.2146 -5 &gt; Table3[[#This Row],[Scoring Margin]], 1, 0)</f>
        <v>0</v>
      </c>
      <c r="AG27" s="5">
        <f>IF(Table3[[#This Row],[Efficiency Difference]]*0.2146 -10 &gt; Table3[[#This Row],[Scoring Margin]], 1, 0)</f>
        <v>0</v>
      </c>
    </row>
    <row r="28" spans="2:36">
      <c r="B28" s="5">
        <v>50.009999999999991</v>
      </c>
      <c r="C28" s="5">
        <v>21</v>
      </c>
      <c r="X28" s="5">
        <v>50.009999999999991</v>
      </c>
      <c r="Y28" s="5">
        <v>21</v>
      </c>
      <c r="Z28" s="5">
        <f>IF(Table3[[#This Row],[Efficiency Difference]]*0.2146 &gt; Table3[[#This Row],[Scoring Margin]], 1, 0)</f>
        <v>0</v>
      </c>
      <c r="AA28" s="5">
        <f>IF(Table3[[#This Row],[Efficiency Difference]]*0.2146 + 7 &gt; Table3[[#This Row],[Scoring Margin]], 1, 0)</f>
        <v>0</v>
      </c>
      <c r="AB28" s="5">
        <f>IF(Table3[[#This Row],[Efficiency Difference]]*0.2146 + 14 &gt; Table3[[#This Row],[Scoring Margin]], 1, 0)</f>
        <v>1</v>
      </c>
      <c r="AC28" s="5">
        <f>IF(Table3[[#This Row],[Efficiency Difference]]*0.2146 + 21 &gt; Table3[[#This Row],[Scoring Margin]], 1, 0)</f>
        <v>1</v>
      </c>
      <c r="AD28" s="5">
        <f>IF(Table3[[#This Row],[Efficiency Difference]]*0.2146 -7 &gt; Table3[[#This Row],[Scoring Margin]], 1, 0)</f>
        <v>0</v>
      </c>
      <c r="AE28" s="5">
        <f>IF(Table3[[#This Row],[Efficiency Difference]]*0.2146 -3 &gt; Table3[[#This Row],[Scoring Margin]], 1, 0)</f>
        <v>0</v>
      </c>
      <c r="AF28" s="5">
        <f>IF(Table3[[#This Row],[Efficiency Difference]]*0.2146 -5 &gt; Table3[[#This Row],[Scoring Margin]], 1, 0)</f>
        <v>0</v>
      </c>
      <c r="AG28" s="5">
        <f>IF(Table3[[#This Row],[Efficiency Difference]]*0.2146 -10 &gt; Table3[[#This Row],[Scoring Margin]], 1, 0)</f>
        <v>0</v>
      </c>
    </row>
    <row r="29" spans="2:36">
      <c r="B29" s="5">
        <v>14.560000000000002</v>
      </c>
      <c r="C29" s="5">
        <v>21</v>
      </c>
      <c r="X29" s="5">
        <v>14.560000000000002</v>
      </c>
      <c r="Y29" s="5">
        <v>21</v>
      </c>
      <c r="Z29" s="5">
        <f>IF(Table3[[#This Row],[Efficiency Difference]]*0.2146 &gt; Table3[[#This Row],[Scoring Margin]], 1, 0)</f>
        <v>0</v>
      </c>
      <c r="AA29" s="5">
        <f>IF(Table3[[#This Row],[Efficiency Difference]]*0.2146 + 7 &gt; Table3[[#This Row],[Scoring Margin]], 1, 0)</f>
        <v>0</v>
      </c>
      <c r="AB29" s="5">
        <f>IF(Table3[[#This Row],[Efficiency Difference]]*0.2146 + 14 &gt; Table3[[#This Row],[Scoring Margin]], 1, 0)</f>
        <v>0</v>
      </c>
      <c r="AC29" s="5">
        <f>IF(Table3[[#This Row],[Efficiency Difference]]*0.2146 + 21 &gt; Table3[[#This Row],[Scoring Margin]], 1, 0)</f>
        <v>1</v>
      </c>
      <c r="AD29" s="5">
        <f>IF(Table3[[#This Row],[Efficiency Difference]]*0.2146 -7 &gt; Table3[[#This Row],[Scoring Margin]], 1, 0)</f>
        <v>0</v>
      </c>
      <c r="AE29" s="5">
        <f>IF(Table3[[#This Row],[Efficiency Difference]]*0.2146 -3 &gt; Table3[[#This Row],[Scoring Margin]], 1, 0)</f>
        <v>0</v>
      </c>
      <c r="AF29" s="5">
        <f>IF(Table3[[#This Row],[Efficiency Difference]]*0.2146 -5 &gt; Table3[[#This Row],[Scoring Margin]], 1, 0)</f>
        <v>0</v>
      </c>
      <c r="AG29" s="5">
        <f>IF(Table3[[#This Row],[Efficiency Difference]]*0.2146 -10 &gt; Table3[[#This Row],[Scoring Margin]], 1, 0)</f>
        <v>0</v>
      </c>
    </row>
    <row r="30" spans="2:36">
      <c r="B30" s="5">
        <v>70.539999999999964</v>
      </c>
      <c r="C30" s="5">
        <v>14</v>
      </c>
      <c r="X30" s="5">
        <v>70.539999999999964</v>
      </c>
      <c r="Y30" s="5">
        <v>14</v>
      </c>
      <c r="Z30" s="5">
        <f>IF(Table3[[#This Row],[Efficiency Difference]]*0.2146 &gt; Table3[[#This Row],[Scoring Margin]], 1, 0)</f>
        <v>1</v>
      </c>
      <c r="AA30" s="5">
        <f>IF(Table3[[#This Row],[Efficiency Difference]]*0.2146 + 7 &gt; Table3[[#This Row],[Scoring Margin]], 1, 0)</f>
        <v>1</v>
      </c>
      <c r="AB30" s="5">
        <f>IF(Table3[[#This Row],[Efficiency Difference]]*0.2146 + 14 &gt; Table3[[#This Row],[Scoring Margin]], 1, 0)</f>
        <v>1</v>
      </c>
      <c r="AC30" s="5">
        <f>IF(Table3[[#This Row],[Efficiency Difference]]*0.2146 + 21 &gt; Table3[[#This Row],[Scoring Margin]], 1, 0)</f>
        <v>1</v>
      </c>
      <c r="AD30" s="5">
        <f>IF(Table3[[#This Row],[Efficiency Difference]]*0.2146 -7 &gt; Table3[[#This Row],[Scoring Margin]], 1, 0)</f>
        <v>0</v>
      </c>
      <c r="AE30" s="5">
        <f>IF(Table3[[#This Row],[Efficiency Difference]]*0.2146 -3 &gt; Table3[[#This Row],[Scoring Margin]], 1, 0)</f>
        <v>0</v>
      </c>
      <c r="AF30" s="5">
        <f>IF(Table3[[#This Row],[Efficiency Difference]]*0.2146 -5 &gt; Table3[[#This Row],[Scoring Margin]], 1, 0)</f>
        <v>0</v>
      </c>
      <c r="AG30" s="5">
        <f>IF(Table3[[#This Row],[Efficiency Difference]]*0.2146 -10 &gt; Table3[[#This Row],[Scoring Margin]], 1, 0)</f>
        <v>0</v>
      </c>
    </row>
    <row r="31" spans="2:36">
      <c r="B31" s="5">
        <v>103.42000000000002</v>
      </c>
      <c r="C31" s="5">
        <v>49</v>
      </c>
      <c r="X31" s="5">
        <v>103.42000000000002</v>
      </c>
      <c r="Y31" s="5">
        <v>49</v>
      </c>
      <c r="Z31" s="5">
        <f>IF(Table3[[#This Row],[Efficiency Difference]]*0.2146 &gt; Table3[[#This Row],[Scoring Margin]], 1, 0)</f>
        <v>0</v>
      </c>
      <c r="AA31" s="5">
        <f>IF(Table3[[#This Row],[Efficiency Difference]]*0.2146 + 7 &gt; Table3[[#This Row],[Scoring Margin]], 1, 0)</f>
        <v>0</v>
      </c>
      <c r="AB31" s="5">
        <f>IF(Table3[[#This Row],[Efficiency Difference]]*0.2146 + 14 &gt; Table3[[#This Row],[Scoring Margin]], 1, 0)</f>
        <v>0</v>
      </c>
      <c r="AC31" s="5">
        <f>IF(Table3[[#This Row],[Efficiency Difference]]*0.2146 + 21 &gt; Table3[[#This Row],[Scoring Margin]], 1, 0)</f>
        <v>0</v>
      </c>
      <c r="AD31" s="5">
        <f>IF(Table3[[#This Row],[Efficiency Difference]]*0.2146 -7 &gt; Table3[[#This Row],[Scoring Margin]], 1, 0)</f>
        <v>0</v>
      </c>
      <c r="AE31" s="5">
        <f>IF(Table3[[#This Row],[Efficiency Difference]]*0.2146 -3 &gt; Table3[[#This Row],[Scoring Margin]], 1, 0)</f>
        <v>0</v>
      </c>
      <c r="AF31" s="5">
        <f>IF(Table3[[#This Row],[Efficiency Difference]]*0.2146 -5 &gt; Table3[[#This Row],[Scoring Margin]], 1, 0)</f>
        <v>0</v>
      </c>
      <c r="AG31" s="5">
        <f>IF(Table3[[#This Row],[Efficiency Difference]]*0.2146 -10 &gt; Table3[[#This Row],[Scoring Margin]], 1, 0)</f>
        <v>0</v>
      </c>
    </row>
    <row r="32" spans="2:36">
      <c r="B32" s="5">
        <v>4.3599999999999852</v>
      </c>
      <c r="C32" s="5">
        <v>10</v>
      </c>
      <c r="X32" s="5">
        <v>4.3599999999999852</v>
      </c>
      <c r="Y32" s="5">
        <v>10</v>
      </c>
      <c r="Z32" s="5">
        <f>IF(Table3[[#This Row],[Efficiency Difference]]*0.2146 &gt; Table3[[#This Row],[Scoring Margin]], 1, 0)</f>
        <v>0</v>
      </c>
      <c r="AA32" s="5">
        <f>IF(Table3[[#This Row],[Efficiency Difference]]*0.2146 + 7 &gt; Table3[[#This Row],[Scoring Margin]], 1, 0)</f>
        <v>0</v>
      </c>
      <c r="AB32" s="5">
        <f>IF(Table3[[#This Row],[Efficiency Difference]]*0.2146 + 14 &gt; Table3[[#This Row],[Scoring Margin]], 1, 0)</f>
        <v>1</v>
      </c>
      <c r="AC32" s="5">
        <f>IF(Table3[[#This Row],[Efficiency Difference]]*0.2146 + 21 &gt; Table3[[#This Row],[Scoring Margin]], 1, 0)</f>
        <v>1</v>
      </c>
      <c r="AD32" s="5">
        <f>IF(Table3[[#This Row],[Efficiency Difference]]*0.2146 -7 &gt; Table3[[#This Row],[Scoring Margin]], 1, 0)</f>
        <v>0</v>
      </c>
      <c r="AE32" s="5">
        <f>IF(Table3[[#This Row],[Efficiency Difference]]*0.2146 -3 &gt; Table3[[#This Row],[Scoring Margin]], 1, 0)</f>
        <v>0</v>
      </c>
      <c r="AF32" s="5">
        <f>IF(Table3[[#This Row],[Efficiency Difference]]*0.2146 -5 &gt; Table3[[#This Row],[Scoring Margin]], 1, 0)</f>
        <v>0</v>
      </c>
      <c r="AG32" s="5">
        <f>IF(Table3[[#This Row],[Efficiency Difference]]*0.2146 -10 &gt; Table3[[#This Row],[Scoring Margin]], 1, 0)</f>
        <v>0</v>
      </c>
    </row>
    <row r="33" spans="2:33">
      <c r="B33" s="5">
        <v>163.80000000000001</v>
      </c>
      <c r="C33" s="5">
        <v>24</v>
      </c>
      <c r="X33" s="5">
        <v>163.80000000000001</v>
      </c>
      <c r="Y33" s="5">
        <v>24</v>
      </c>
      <c r="Z33" s="5">
        <f>IF(Table3[[#This Row],[Efficiency Difference]]*0.2146 &gt; Table3[[#This Row],[Scoring Margin]], 1, 0)</f>
        <v>1</v>
      </c>
      <c r="AA33" s="5">
        <f>IF(Table3[[#This Row],[Efficiency Difference]]*0.2146 + 7 &gt; Table3[[#This Row],[Scoring Margin]], 1, 0)</f>
        <v>1</v>
      </c>
      <c r="AB33" s="5">
        <f>IF(Table3[[#This Row],[Efficiency Difference]]*0.2146 + 14 &gt; Table3[[#This Row],[Scoring Margin]], 1, 0)</f>
        <v>1</v>
      </c>
      <c r="AC33" s="5">
        <f>IF(Table3[[#This Row],[Efficiency Difference]]*0.2146 + 21 &gt; Table3[[#This Row],[Scoring Margin]], 1, 0)</f>
        <v>1</v>
      </c>
      <c r="AD33" s="5">
        <f>IF(Table3[[#This Row],[Efficiency Difference]]*0.2146 -7 &gt; Table3[[#This Row],[Scoring Margin]], 1, 0)</f>
        <v>1</v>
      </c>
      <c r="AE33" s="5">
        <f>IF(Table3[[#This Row],[Efficiency Difference]]*0.2146 -3 &gt; Table3[[#This Row],[Scoring Margin]], 1, 0)</f>
        <v>1</v>
      </c>
      <c r="AF33" s="5">
        <f>IF(Table3[[#This Row],[Efficiency Difference]]*0.2146 -5 &gt; Table3[[#This Row],[Scoring Margin]], 1, 0)</f>
        <v>1</v>
      </c>
      <c r="AG33" s="5">
        <f>IF(Table3[[#This Row],[Efficiency Difference]]*0.2146 -10 &gt; Table3[[#This Row],[Scoring Margin]], 1, 0)</f>
        <v>1</v>
      </c>
    </row>
    <row r="34" spans="2:33">
      <c r="B34" s="5">
        <v>86.28000000000003</v>
      </c>
      <c r="C34" s="5">
        <v>4</v>
      </c>
      <c r="X34" s="5">
        <v>86.28000000000003</v>
      </c>
      <c r="Y34" s="5">
        <v>4</v>
      </c>
      <c r="Z34" s="5">
        <f>IF(Table3[[#This Row],[Efficiency Difference]]*0.2146 &gt; Table3[[#This Row],[Scoring Margin]], 1, 0)</f>
        <v>1</v>
      </c>
      <c r="AA34" s="5">
        <f>IF(Table3[[#This Row],[Efficiency Difference]]*0.2146 + 7 &gt; Table3[[#This Row],[Scoring Margin]], 1, 0)</f>
        <v>1</v>
      </c>
      <c r="AB34" s="5">
        <f>IF(Table3[[#This Row],[Efficiency Difference]]*0.2146 + 14 &gt; Table3[[#This Row],[Scoring Margin]], 1, 0)</f>
        <v>1</v>
      </c>
      <c r="AC34" s="5">
        <f>IF(Table3[[#This Row],[Efficiency Difference]]*0.2146 + 21 &gt; Table3[[#This Row],[Scoring Margin]], 1, 0)</f>
        <v>1</v>
      </c>
      <c r="AD34" s="5">
        <f>IF(Table3[[#This Row],[Efficiency Difference]]*0.2146 -7 &gt; Table3[[#This Row],[Scoring Margin]], 1, 0)</f>
        <v>1</v>
      </c>
      <c r="AE34" s="5">
        <f>IF(Table3[[#This Row],[Efficiency Difference]]*0.2146 -3 &gt; Table3[[#This Row],[Scoring Margin]], 1, 0)</f>
        <v>1</v>
      </c>
      <c r="AF34" s="5">
        <f>IF(Table3[[#This Row],[Efficiency Difference]]*0.2146 -5 &gt; Table3[[#This Row],[Scoring Margin]], 1, 0)</f>
        <v>1</v>
      </c>
      <c r="AG34" s="5">
        <f>IF(Table3[[#This Row],[Efficiency Difference]]*0.2146 -10 &gt; Table3[[#This Row],[Scoring Margin]], 1, 0)</f>
        <v>1</v>
      </c>
    </row>
    <row r="35" spans="2:33">
      <c r="B35" s="5">
        <v>92.94</v>
      </c>
      <c r="C35" s="5">
        <v>24</v>
      </c>
      <c r="X35" s="5">
        <v>92.94</v>
      </c>
      <c r="Y35" s="5">
        <v>24</v>
      </c>
      <c r="Z35" s="5">
        <f>IF(Table3[[#This Row],[Efficiency Difference]]*0.2146 &gt; Table3[[#This Row],[Scoring Margin]], 1, 0)</f>
        <v>0</v>
      </c>
      <c r="AA35" s="5">
        <f>IF(Table3[[#This Row],[Efficiency Difference]]*0.2146 + 7 &gt; Table3[[#This Row],[Scoring Margin]], 1, 0)</f>
        <v>1</v>
      </c>
      <c r="AB35" s="5">
        <f>IF(Table3[[#This Row],[Efficiency Difference]]*0.2146 + 14 &gt; Table3[[#This Row],[Scoring Margin]], 1, 0)</f>
        <v>1</v>
      </c>
      <c r="AC35" s="5">
        <f>IF(Table3[[#This Row],[Efficiency Difference]]*0.2146 + 21 &gt; Table3[[#This Row],[Scoring Margin]], 1, 0)</f>
        <v>1</v>
      </c>
      <c r="AD35" s="5">
        <f>IF(Table3[[#This Row],[Efficiency Difference]]*0.2146 -7 &gt; Table3[[#This Row],[Scoring Margin]], 1, 0)</f>
        <v>0</v>
      </c>
      <c r="AE35" s="5">
        <f>IF(Table3[[#This Row],[Efficiency Difference]]*0.2146 -3 &gt; Table3[[#This Row],[Scoring Margin]], 1, 0)</f>
        <v>0</v>
      </c>
      <c r="AF35" s="5">
        <f>IF(Table3[[#This Row],[Efficiency Difference]]*0.2146 -5 &gt; Table3[[#This Row],[Scoring Margin]], 1, 0)</f>
        <v>0</v>
      </c>
      <c r="AG35" s="5">
        <f>IF(Table3[[#This Row],[Efficiency Difference]]*0.2146 -10 &gt; Table3[[#This Row],[Scoring Margin]], 1, 0)</f>
        <v>0</v>
      </c>
    </row>
    <row r="36" spans="2:33">
      <c r="B36" s="5">
        <v>82.35</v>
      </c>
      <c r="C36" s="5">
        <v>5</v>
      </c>
      <c r="X36" s="5">
        <v>82.35</v>
      </c>
      <c r="Y36" s="5">
        <v>5</v>
      </c>
      <c r="Z36" s="5">
        <f>IF(Table3[[#This Row],[Efficiency Difference]]*0.2146 &gt; Table3[[#This Row],[Scoring Margin]], 1, 0)</f>
        <v>1</v>
      </c>
      <c r="AA36" s="5">
        <f>IF(Table3[[#This Row],[Efficiency Difference]]*0.2146 + 7 &gt; Table3[[#This Row],[Scoring Margin]], 1, 0)</f>
        <v>1</v>
      </c>
      <c r="AB36" s="5">
        <f>IF(Table3[[#This Row],[Efficiency Difference]]*0.2146 + 14 &gt; Table3[[#This Row],[Scoring Margin]], 1, 0)</f>
        <v>1</v>
      </c>
      <c r="AC36" s="5">
        <f>IF(Table3[[#This Row],[Efficiency Difference]]*0.2146 + 21 &gt; Table3[[#This Row],[Scoring Margin]], 1, 0)</f>
        <v>1</v>
      </c>
      <c r="AD36" s="5">
        <f>IF(Table3[[#This Row],[Efficiency Difference]]*0.2146 -7 &gt; Table3[[#This Row],[Scoring Margin]], 1, 0)</f>
        <v>1</v>
      </c>
      <c r="AE36" s="5">
        <f>IF(Table3[[#This Row],[Efficiency Difference]]*0.2146 -3 &gt; Table3[[#This Row],[Scoring Margin]], 1, 0)</f>
        <v>1</v>
      </c>
      <c r="AF36" s="5">
        <f>IF(Table3[[#This Row],[Efficiency Difference]]*0.2146 -5 &gt; Table3[[#This Row],[Scoring Margin]], 1, 0)</f>
        <v>1</v>
      </c>
      <c r="AG36" s="5">
        <f>IF(Table3[[#This Row],[Efficiency Difference]]*0.2146 -10 &gt; Table3[[#This Row],[Scoring Margin]], 1, 0)</f>
        <v>1</v>
      </c>
    </row>
    <row r="37" spans="2:33">
      <c r="B37" s="5">
        <v>100.85</v>
      </c>
      <c r="C37" s="5">
        <v>18</v>
      </c>
      <c r="X37" s="5">
        <v>100.85</v>
      </c>
      <c r="Y37" s="5">
        <v>18</v>
      </c>
      <c r="Z37" s="5">
        <f>IF(Table3[[#This Row],[Efficiency Difference]]*0.2146 &gt; Table3[[#This Row],[Scoring Margin]], 1, 0)</f>
        <v>1</v>
      </c>
      <c r="AA37" s="5">
        <f>IF(Table3[[#This Row],[Efficiency Difference]]*0.2146 + 7 &gt; Table3[[#This Row],[Scoring Margin]], 1, 0)</f>
        <v>1</v>
      </c>
      <c r="AB37" s="5">
        <f>IF(Table3[[#This Row],[Efficiency Difference]]*0.2146 + 14 &gt; Table3[[#This Row],[Scoring Margin]], 1, 0)</f>
        <v>1</v>
      </c>
      <c r="AC37" s="5">
        <f>IF(Table3[[#This Row],[Efficiency Difference]]*0.2146 + 21 &gt; Table3[[#This Row],[Scoring Margin]], 1, 0)</f>
        <v>1</v>
      </c>
      <c r="AD37" s="5">
        <f>IF(Table3[[#This Row],[Efficiency Difference]]*0.2146 -7 &gt; Table3[[#This Row],[Scoring Margin]], 1, 0)</f>
        <v>0</v>
      </c>
      <c r="AE37" s="5">
        <f>IF(Table3[[#This Row],[Efficiency Difference]]*0.2146 -3 &gt; Table3[[#This Row],[Scoring Margin]], 1, 0)</f>
        <v>1</v>
      </c>
      <c r="AF37" s="5">
        <f>IF(Table3[[#This Row],[Efficiency Difference]]*0.2146 -5 &gt; Table3[[#This Row],[Scoring Margin]], 1, 0)</f>
        <v>0</v>
      </c>
      <c r="AG37" s="5">
        <f>IF(Table3[[#This Row],[Efficiency Difference]]*0.2146 -10 &gt; Table3[[#This Row],[Scoring Margin]], 1, 0)</f>
        <v>0</v>
      </c>
    </row>
    <row r="38" spans="2:33">
      <c r="B38" s="5">
        <v>174.57999999999998</v>
      </c>
      <c r="C38" s="5">
        <v>44</v>
      </c>
      <c r="X38" s="5">
        <v>174.57999999999998</v>
      </c>
      <c r="Y38" s="5">
        <v>44</v>
      </c>
      <c r="Z38" s="5">
        <f>IF(Table3[[#This Row],[Efficiency Difference]]*0.2146 &gt; Table3[[#This Row],[Scoring Margin]], 1, 0)</f>
        <v>0</v>
      </c>
      <c r="AA38" s="5">
        <f>IF(Table3[[#This Row],[Efficiency Difference]]*0.2146 + 7 &gt; Table3[[#This Row],[Scoring Margin]], 1, 0)</f>
        <v>1</v>
      </c>
      <c r="AB38" s="5">
        <f>IF(Table3[[#This Row],[Efficiency Difference]]*0.2146 + 14 &gt; Table3[[#This Row],[Scoring Margin]], 1, 0)</f>
        <v>1</v>
      </c>
      <c r="AC38" s="5">
        <f>IF(Table3[[#This Row],[Efficiency Difference]]*0.2146 + 21 &gt; Table3[[#This Row],[Scoring Margin]], 1, 0)</f>
        <v>1</v>
      </c>
      <c r="AD38" s="5">
        <f>IF(Table3[[#This Row],[Efficiency Difference]]*0.2146 -7 &gt; Table3[[#This Row],[Scoring Margin]], 1, 0)</f>
        <v>0</v>
      </c>
      <c r="AE38" s="5">
        <f>IF(Table3[[#This Row],[Efficiency Difference]]*0.2146 -3 &gt; Table3[[#This Row],[Scoring Margin]], 1, 0)</f>
        <v>0</v>
      </c>
      <c r="AF38" s="5">
        <f>IF(Table3[[#This Row],[Efficiency Difference]]*0.2146 -5 &gt; Table3[[#This Row],[Scoring Margin]], 1, 0)</f>
        <v>0</v>
      </c>
      <c r="AG38" s="5">
        <f>IF(Table3[[#This Row],[Efficiency Difference]]*0.2146 -10 &gt; Table3[[#This Row],[Scoring Margin]], 1, 0)</f>
        <v>0</v>
      </c>
    </row>
    <row r="39" spans="2:33">
      <c r="B39" s="5">
        <v>73.269999999999982</v>
      </c>
      <c r="C39" s="5">
        <v>19</v>
      </c>
      <c r="X39" s="5">
        <v>73.269999999999982</v>
      </c>
      <c r="Y39" s="5">
        <v>19</v>
      </c>
      <c r="Z39" s="5">
        <f>IF(Table3[[#This Row],[Efficiency Difference]]*0.2146 &gt; Table3[[#This Row],[Scoring Margin]], 1, 0)</f>
        <v>0</v>
      </c>
      <c r="AA39" s="5">
        <f>IF(Table3[[#This Row],[Efficiency Difference]]*0.2146 + 7 &gt; Table3[[#This Row],[Scoring Margin]], 1, 0)</f>
        <v>1</v>
      </c>
      <c r="AB39" s="5">
        <f>IF(Table3[[#This Row],[Efficiency Difference]]*0.2146 + 14 &gt; Table3[[#This Row],[Scoring Margin]], 1, 0)</f>
        <v>1</v>
      </c>
      <c r="AC39" s="5">
        <f>IF(Table3[[#This Row],[Efficiency Difference]]*0.2146 + 21 &gt; Table3[[#This Row],[Scoring Margin]], 1, 0)</f>
        <v>1</v>
      </c>
      <c r="AD39" s="5">
        <f>IF(Table3[[#This Row],[Efficiency Difference]]*0.2146 -7 &gt; Table3[[#This Row],[Scoring Margin]], 1, 0)</f>
        <v>0</v>
      </c>
      <c r="AE39" s="5">
        <f>IF(Table3[[#This Row],[Efficiency Difference]]*0.2146 -3 &gt; Table3[[#This Row],[Scoring Margin]], 1, 0)</f>
        <v>0</v>
      </c>
      <c r="AF39" s="5">
        <f>IF(Table3[[#This Row],[Efficiency Difference]]*0.2146 -5 &gt; Table3[[#This Row],[Scoring Margin]], 1, 0)</f>
        <v>0</v>
      </c>
      <c r="AG39" s="5">
        <f>IF(Table3[[#This Row],[Efficiency Difference]]*0.2146 -10 &gt; Table3[[#This Row],[Scoring Margin]], 1, 0)</f>
        <v>0</v>
      </c>
    </row>
    <row r="40" spans="2:33">
      <c r="B40" s="5">
        <v>27.560000000000002</v>
      </c>
      <c r="C40" s="5">
        <v>4</v>
      </c>
      <c r="X40" s="5">
        <v>27.560000000000002</v>
      </c>
      <c r="Y40" s="5">
        <v>4</v>
      </c>
      <c r="Z40" s="5">
        <f>IF(Table3[[#This Row],[Efficiency Difference]]*0.2146 &gt; Table3[[#This Row],[Scoring Margin]], 1, 0)</f>
        <v>1</v>
      </c>
      <c r="AA40" s="5">
        <f>IF(Table3[[#This Row],[Efficiency Difference]]*0.2146 + 7 &gt; Table3[[#This Row],[Scoring Margin]], 1, 0)</f>
        <v>1</v>
      </c>
      <c r="AB40" s="5">
        <f>IF(Table3[[#This Row],[Efficiency Difference]]*0.2146 + 14 &gt; Table3[[#This Row],[Scoring Margin]], 1, 0)</f>
        <v>1</v>
      </c>
      <c r="AC40" s="5">
        <f>IF(Table3[[#This Row],[Efficiency Difference]]*0.2146 + 21 &gt; Table3[[#This Row],[Scoring Margin]], 1, 0)</f>
        <v>1</v>
      </c>
      <c r="AD40" s="5">
        <f>IF(Table3[[#This Row],[Efficiency Difference]]*0.2146 -7 &gt; Table3[[#This Row],[Scoring Margin]], 1, 0)</f>
        <v>0</v>
      </c>
      <c r="AE40" s="5">
        <f>IF(Table3[[#This Row],[Efficiency Difference]]*0.2146 -3 &gt; Table3[[#This Row],[Scoring Margin]], 1, 0)</f>
        <v>0</v>
      </c>
      <c r="AF40" s="5">
        <f>IF(Table3[[#This Row],[Efficiency Difference]]*0.2146 -5 &gt; Table3[[#This Row],[Scoring Margin]], 1, 0)</f>
        <v>0</v>
      </c>
      <c r="AG40" s="5">
        <f>IF(Table3[[#This Row],[Efficiency Difference]]*0.2146 -10 &gt; Table3[[#This Row],[Scoring Margin]], 1, 0)</f>
        <v>0</v>
      </c>
    </row>
    <row r="41" spans="2:33">
      <c r="B41" s="5">
        <v>49.330000000000041</v>
      </c>
      <c r="C41" s="5">
        <v>5</v>
      </c>
      <c r="X41" s="5">
        <v>49.330000000000041</v>
      </c>
      <c r="Y41" s="5">
        <v>5</v>
      </c>
      <c r="Z41" s="5">
        <f>IF(Table3[[#This Row],[Efficiency Difference]]*0.2146 &gt; Table3[[#This Row],[Scoring Margin]], 1, 0)</f>
        <v>1</v>
      </c>
      <c r="AA41" s="5">
        <f>IF(Table3[[#This Row],[Efficiency Difference]]*0.2146 + 7 &gt; Table3[[#This Row],[Scoring Margin]], 1, 0)</f>
        <v>1</v>
      </c>
      <c r="AB41" s="5">
        <f>IF(Table3[[#This Row],[Efficiency Difference]]*0.2146 + 14 &gt; Table3[[#This Row],[Scoring Margin]], 1, 0)</f>
        <v>1</v>
      </c>
      <c r="AC41" s="5">
        <f>IF(Table3[[#This Row],[Efficiency Difference]]*0.2146 + 21 &gt; Table3[[#This Row],[Scoring Margin]], 1, 0)</f>
        <v>1</v>
      </c>
      <c r="AD41" s="5">
        <f>IF(Table3[[#This Row],[Efficiency Difference]]*0.2146 -7 &gt; Table3[[#This Row],[Scoring Margin]], 1, 0)</f>
        <v>0</v>
      </c>
      <c r="AE41" s="5">
        <f>IF(Table3[[#This Row],[Efficiency Difference]]*0.2146 -3 &gt; Table3[[#This Row],[Scoring Margin]], 1, 0)</f>
        <v>1</v>
      </c>
      <c r="AF41" s="5">
        <f>IF(Table3[[#This Row],[Efficiency Difference]]*0.2146 -5 &gt; Table3[[#This Row],[Scoring Margin]], 1, 0)</f>
        <v>1</v>
      </c>
      <c r="AG41" s="5">
        <f>IF(Table3[[#This Row],[Efficiency Difference]]*0.2146 -10 &gt; Table3[[#This Row],[Scoring Margin]], 1, 0)</f>
        <v>0</v>
      </c>
    </row>
    <row r="42" spans="2:33">
      <c r="B42" s="5">
        <v>84.739999999999952</v>
      </c>
      <c r="C42" s="5">
        <v>18</v>
      </c>
      <c r="X42" s="5">
        <v>84.739999999999952</v>
      </c>
      <c r="Y42" s="5">
        <v>18</v>
      </c>
      <c r="Z42" s="5">
        <f>IF(Table3[[#This Row],[Efficiency Difference]]*0.2146 &gt; Table3[[#This Row],[Scoring Margin]], 1, 0)</f>
        <v>1</v>
      </c>
      <c r="AA42" s="5">
        <f>IF(Table3[[#This Row],[Efficiency Difference]]*0.2146 + 7 &gt; Table3[[#This Row],[Scoring Margin]], 1, 0)</f>
        <v>1</v>
      </c>
      <c r="AB42" s="5">
        <f>IF(Table3[[#This Row],[Efficiency Difference]]*0.2146 + 14 &gt; Table3[[#This Row],[Scoring Margin]], 1, 0)</f>
        <v>1</v>
      </c>
      <c r="AC42" s="5">
        <f>IF(Table3[[#This Row],[Efficiency Difference]]*0.2146 + 21 &gt; Table3[[#This Row],[Scoring Margin]], 1, 0)</f>
        <v>1</v>
      </c>
      <c r="AD42" s="5">
        <f>IF(Table3[[#This Row],[Efficiency Difference]]*0.2146 -7 &gt; Table3[[#This Row],[Scoring Margin]], 1, 0)</f>
        <v>0</v>
      </c>
      <c r="AE42" s="5">
        <f>IF(Table3[[#This Row],[Efficiency Difference]]*0.2146 -3 &gt; Table3[[#This Row],[Scoring Margin]], 1, 0)</f>
        <v>0</v>
      </c>
      <c r="AF42" s="5">
        <f>IF(Table3[[#This Row],[Efficiency Difference]]*0.2146 -5 &gt; Table3[[#This Row],[Scoring Margin]], 1, 0)</f>
        <v>0</v>
      </c>
      <c r="AG42" s="5">
        <f>IF(Table3[[#This Row],[Efficiency Difference]]*0.2146 -10 &gt; Table3[[#This Row],[Scoring Margin]], 1, 0)</f>
        <v>0</v>
      </c>
    </row>
    <row r="43" spans="2:33">
      <c r="B43" s="5">
        <v>90.990000000000009</v>
      </c>
      <c r="C43" s="5">
        <v>23</v>
      </c>
      <c r="X43" s="5">
        <v>90.990000000000009</v>
      </c>
      <c r="Y43" s="5">
        <v>23</v>
      </c>
      <c r="Z43" s="5">
        <f>IF(Table3[[#This Row],[Efficiency Difference]]*0.2146 &gt; Table3[[#This Row],[Scoring Margin]], 1, 0)</f>
        <v>0</v>
      </c>
      <c r="AA43" s="5">
        <f>IF(Table3[[#This Row],[Efficiency Difference]]*0.2146 + 7 &gt; Table3[[#This Row],[Scoring Margin]], 1, 0)</f>
        <v>1</v>
      </c>
      <c r="AB43" s="5">
        <f>IF(Table3[[#This Row],[Efficiency Difference]]*0.2146 + 14 &gt; Table3[[#This Row],[Scoring Margin]], 1, 0)</f>
        <v>1</v>
      </c>
      <c r="AC43" s="5">
        <f>IF(Table3[[#This Row],[Efficiency Difference]]*0.2146 + 21 &gt; Table3[[#This Row],[Scoring Margin]], 1, 0)</f>
        <v>1</v>
      </c>
      <c r="AD43" s="5">
        <f>IF(Table3[[#This Row],[Efficiency Difference]]*0.2146 -7 &gt; Table3[[#This Row],[Scoring Margin]], 1, 0)</f>
        <v>0</v>
      </c>
      <c r="AE43" s="5">
        <f>IF(Table3[[#This Row],[Efficiency Difference]]*0.2146 -3 &gt; Table3[[#This Row],[Scoring Margin]], 1, 0)</f>
        <v>0</v>
      </c>
      <c r="AF43" s="5">
        <f>IF(Table3[[#This Row],[Efficiency Difference]]*0.2146 -5 &gt; Table3[[#This Row],[Scoring Margin]], 1, 0)</f>
        <v>0</v>
      </c>
      <c r="AG43" s="5">
        <f>IF(Table3[[#This Row],[Efficiency Difference]]*0.2146 -10 &gt; Table3[[#This Row],[Scoring Margin]], 1, 0)</f>
        <v>0</v>
      </c>
    </row>
    <row r="44" spans="2:33">
      <c r="B44" s="5">
        <v>5.6800000000000068</v>
      </c>
      <c r="C44" s="5">
        <v>4</v>
      </c>
      <c r="X44" s="5">
        <v>5.6800000000000068</v>
      </c>
      <c r="Y44" s="5">
        <v>4</v>
      </c>
      <c r="Z44" s="5">
        <f>IF(Table3[[#This Row],[Efficiency Difference]]*0.2146 &gt; Table3[[#This Row],[Scoring Margin]], 1, 0)</f>
        <v>0</v>
      </c>
      <c r="AA44" s="5">
        <f>IF(Table3[[#This Row],[Efficiency Difference]]*0.2146 + 7 &gt; Table3[[#This Row],[Scoring Margin]], 1, 0)</f>
        <v>1</v>
      </c>
      <c r="AB44" s="5">
        <f>IF(Table3[[#This Row],[Efficiency Difference]]*0.2146 + 14 &gt; Table3[[#This Row],[Scoring Margin]], 1, 0)</f>
        <v>1</v>
      </c>
      <c r="AC44" s="5">
        <f>IF(Table3[[#This Row],[Efficiency Difference]]*0.2146 + 21 &gt; Table3[[#This Row],[Scoring Margin]], 1, 0)</f>
        <v>1</v>
      </c>
      <c r="AD44" s="5">
        <f>IF(Table3[[#This Row],[Efficiency Difference]]*0.2146 -7 &gt; Table3[[#This Row],[Scoring Margin]], 1, 0)</f>
        <v>0</v>
      </c>
      <c r="AE44" s="5">
        <f>IF(Table3[[#This Row],[Efficiency Difference]]*0.2146 -3 &gt; Table3[[#This Row],[Scoring Margin]], 1, 0)</f>
        <v>0</v>
      </c>
      <c r="AF44" s="5">
        <f>IF(Table3[[#This Row],[Efficiency Difference]]*0.2146 -5 &gt; Table3[[#This Row],[Scoring Margin]], 1, 0)</f>
        <v>0</v>
      </c>
      <c r="AG44" s="5">
        <f>IF(Table3[[#This Row],[Efficiency Difference]]*0.2146 -10 &gt; Table3[[#This Row],[Scoring Margin]], 1, 0)</f>
        <v>0</v>
      </c>
    </row>
    <row r="45" spans="2:33">
      <c r="B45" s="5">
        <v>47.45999999999998</v>
      </c>
      <c r="C45" s="5">
        <v>7</v>
      </c>
      <c r="X45" s="5">
        <v>47.45999999999998</v>
      </c>
      <c r="Y45" s="5">
        <v>7</v>
      </c>
      <c r="Z45" s="5">
        <f>IF(Table3[[#This Row],[Efficiency Difference]]*0.2146 &gt; Table3[[#This Row],[Scoring Margin]], 1, 0)</f>
        <v>1</v>
      </c>
      <c r="AA45" s="5">
        <f>IF(Table3[[#This Row],[Efficiency Difference]]*0.2146 + 7 &gt; Table3[[#This Row],[Scoring Margin]], 1, 0)</f>
        <v>1</v>
      </c>
      <c r="AB45" s="5">
        <f>IF(Table3[[#This Row],[Efficiency Difference]]*0.2146 + 14 &gt; Table3[[#This Row],[Scoring Margin]], 1, 0)</f>
        <v>1</v>
      </c>
      <c r="AC45" s="5">
        <f>IF(Table3[[#This Row],[Efficiency Difference]]*0.2146 + 21 &gt; Table3[[#This Row],[Scoring Margin]], 1, 0)</f>
        <v>1</v>
      </c>
      <c r="AD45" s="5">
        <f>IF(Table3[[#This Row],[Efficiency Difference]]*0.2146 -7 &gt; Table3[[#This Row],[Scoring Margin]], 1, 0)</f>
        <v>0</v>
      </c>
      <c r="AE45" s="5">
        <f>IF(Table3[[#This Row],[Efficiency Difference]]*0.2146 -3 &gt; Table3[[#This Row],[Scoring Margin]], 1, 0)</f>
        <v>1</v>
      </c>
      <c r="AF45" s="5">
        <f>IF(Table3[[#This Row],[Efficiency Difference]]*0.2146 -5 &gt; Table3[[#This Row],[Scoring Margin]], 1, 0)</f>
        <v>0</v>
      </c>
      <c r="AG45" s="5">
        <f>IF(Table3[[#This Row],[Efficiency Difference]]*0.2146 -10 &gt; Table3[[#This Row],[Scoring Margin]], 1, 0)</f>
        <v>0</v>
      </c>
    </row>
    <row r="46" spans="2:33">
      <c r="B46" s="5">
        <v>5.4800000000000182</v>
      </c>
      <c r="C46" s="5">
        <v>14</v>
      </c>
      <c r="X46" s="5">
        <v>5.4800000000000182</v>
      </c>
      <c r="Y46" s="5">
        <v>14</v>
      </c>
      <c r="Z46" s="5">
        <f>IF(Table3[[#This Row],[Efficiency Difference]]*0.2146 &gt; Table3[[#This Row],[Scoring Margin]], 1, 0)</f>
        <v>0</v>
      </c>
      <c r="AA46" s="5">
        <f>IF(Table3[[#This Row],[Efficiency Difference]]*0.2146 + 7 &gt; Table3[[#This Row],[Scoring Margin]], 1, 0)</f>
        <v>0</v>
      </c>
      <c r="AB46" s="5">
        <f>IF(Table3[[#This Row],[Efficiency Difference]]*0.2146 + 14 &gt; Table3[[#This Row],[Scoring Margin]], 1, 0)</f>
        <v>1</v>
      </c>
      <c r="AC46" s="5">
        <f>IF(Table3[[#This Row],[Efficiency Difference]]*0.2146 + 21 &gt; Table3[[#This Row],[Scoring Margin]], 1, 0)</f>
        <v>1</v>
      </c>
      <c r="AD46" s="5">
        <f>IF(Table3[[#This Row],[Efficiency Difference]]*0.2146 -7 &gt; Table3[[#This Row],[Scoring Margin]], 1, 0)</f>
        <v>0</v>
      </c>
      <c r="AE46" s="5">
        <f>IF(Table3[[#This Row],[Efficiency Difference]]*0.2146 -3 &gt; Table3[[#This Row],[Scoring Margin]], 1, 0)</f>
        <v>0</v>
      </c>
      <c r="AF46" s="5">
        <f>IF(Table3[[#This Row],[Efficiency Difference]]*0.2146 -5 &gt; Table3[[#This Row],[Scoring Margin]], 1, 0)</f>
        <v>0</v>
      </c>
      <c r="AG46" s="5">
        <f>IF(Table3[[#This Row],[Efficiency Difference]]*0.2146 -10 &gt; Table3[[#This Row],[Scoring Margin]], 1, 0)</f>
        <v>0</v>
      </c>
    </row>
    <row r="47" spans="2:33">
      <c r="B47" s="5">
        <v>35.170000000000016</v>
      </c>
      <c r="C47" s="5">
        <v>16</v>
      </c>
      <c r="X47" s="5">
        <v>35.170000000000016</v>
      </c>
      <c r="Y47" s="5">
        <v>16</v>
      </c>
      <c r="Z47" s="5">
        <f>IF(Table3[[#This Row],[Efficiency Difference]]*0.2146 &gt; Table3[[#This Row],[Scoring Margin]], 1, 0)</f>
        <v>0</v>
      </c>
      <c r="AA47" s="5">
        <f>IF(Table3[[#This Row],[Efficiency Difference]]*0.2146 + 7 &gt; Table3[[#This Row],[Scoring Margin]], 1, 0)</f>
        <v>0</v>
      </c>
      <c r="AB47" s="5">
        <f>IF(Table3[[#This Row],[Efficiency Difference]]*0.2146 + 14 &gt; Table3[[#This Row],[Scoring Margin]], 1, 0)</f>
        <v>1</v>
      </c>
      <c r="AC47" s="5">
        <f>IF(Table3[[#This Row],[Efficiency Difference]]*0.2146 + 21 &gt; Table3[[#This Row],[Scoring Margin]], 1, 0)</f>
        <v>1</v>
      </c>
      <c r="AD47" s="5">
        <f>IF(Table3[[#This Row],[Efficiency Difference]]*0.2146 -7 &gt; Table3[[#This Row],[Scoring Margin]], 1, 0)</f>
        <v>0</v>
      </c>
      <c r="AE47" s="5">
        <f>IF(Table3[[#This Row],[Efficiency Difference]]*0.2146 -3 &gt; Table3[[#This Row],[Scoring Margin]], 1, 0)</f>
        <v>0</v>
      </c>
      <c r="AF47" s="5">
        <f>IF(Table3[[#This Row],[Efficiency Difference]]*0.2146 -5 &gt; Table3[[#This Row],[Scoring Margin]], 1, 0)</f>
        <v>0</v>
      </c>
      <c r="AG47" s="5">
        <f>IF(Table3[[#This Row],[Efficiency Difference]]*0.2146 -10 &gt; Table3[[#This Row],[Scoring Margin]], 1, 0)</f>
        <v>0</v>
      </c>
    </row>
    <row r="48" spans="2:33">
      <c r="B48" s="5">
        <v>27.319999999999993</v>
      </c>
      <c r="C48" s="5">
        <v>3</v>
      </c>
      <c r="X48" s="5">
        <v>27.319999999999993</v>
      </c>
      <c r="Y48" s="5">
        <v>3</v>
      </c>
      <c r="Z48" s="5">
        <f>IF(Table3[[#This Row],[Efficiency Difference]]*0.2146 &gt; Table3[[#This Row],[Scoring Margin]], 1, 0)</f>
        <v>1</v>
      </c>
      <c r="AA48" s="5">
        <f>IF(Table3[[#This Row],[Efficiency Difference]]*0.2146 + 7 &gt; Table3[[#This Row],[Scoring Margin]], 1, 0)</f>
        <v>1</v>
      </c>
      <c r="AB48" s="5">
        <f>IF(Table3[[#This Row],[Efficiency Difference]]*0.2146 + 14 &gt; Table3[[#This Row],[Scoring Margin]], 1, 0)</f>
        <v>1</v>
      </c>
      <c r="AC48" s="5">
        <f>IF(Table3[[#This Row],[Efficiency Difference]]*0.2146 + 21 &gt; Table3[[#This Row],[Scoring Margin]], 1, 0)</f>
        <v>1</v>
      </c>
      <c r="AD48" s="5">
        <f>IF(Table3[[#This Row],[Efficiency Difference]]*0.2146 -7 &gt; Table3[[#This Row],[Scoring Margin]], 1, 0)</f>
        <v>0</v>
      </c>
      <c r="AE48" s="5">
        <f>IF(Table3[[#This Row],[Efficiency Difference]]*0.2146 -3 &gt; Table3[[#This Row],[Scoring Margin]], 1, 0)</f>
        <v>0</v>
      </c>
      <c r="AF48" s="5">
        <f>IF(Table3[[#This Row],[Efficiency Difference]]*0.2146 -5 &gt; Table3[[#This Row],[Scoring Margin]], 1, 0)</f>
        <v>0</v>
      </c>
      <c r="AG48" s="5">
        <f>IF(Table3[[#This Row],[Efficiency Difference]]*0.2146 -10 &gt; Table3[[#This Row],[Scoring Margin]], 1, 0)</f>
        <v>0</v>
      </c>
    </row>
    <row r="49" spans="2:33">
      <c r="B49" s="5">
        <v>92.940000000000026</v>
      </c>
      <c r="C49" s="5">
        <v>24</v>
      </c>
      <c r="X49" s="5">
        <v>92.940000000000026</v>
      </c>
      <c r="Y49" s="5">
        <v>24</v>
      </c>
      <c r="Z49" s="5">
        <f>IF(Table3[[#This Row],[Efficiency Difference]]*0.2146 &gt; Table3[[#This Row],[Scoring Margin]], 1, 0)</f>
        <v>0</v>
      </c>
      <c r="AA49" s="5">
        <f>IF(Table3[[#This Row],[Efficiency Difference]]*0.2146 + 7 &gt; Table3[[#This Row],[Scoring Margin]], 1, 0)</f>
        <v>1</v>
      </c>
      <c r="AB49" s="5">
        <f>IF(Table3[[#This Row],[Efficiency Difference]]*0.2146 + 14 &gt; Table3[[#This Row],[Scoring Margin]], 1, 0)</f>
        <v>1</v>
      </c>
      <c r="AC49" s="5">
        <f>IF(Table3[[#This Row],[Efficiency Difference]]*0.2146 + 21 &gt; Table3[[#This Row],[Scoring Margin]], 1, 0)</f>
        <v>1</v>
      </c>
      <c r="AD49" s="5">
        <f>IF(Table3[[#This Row],[Efficiency Difference]]*0.2146 -7 &gt; Table3[[#This Row],[Scoring Margin]], 1, 0)</f>
        <v>0</v>
      </c>
      <c r="AE49" s="5">
        <f>IF(Table3[[#This Row],[Efficiency Difference]]*0.2146 -3 &gt; Table3[[#This Row],[Scoring Margin]], 1, 0)</f>
        <v>0</v>
      </c>
      <c r="AF49" s="5">
        <f>IF(Table3[[#This Row],[Efficiency Difference]]*0.2146 -5 &gt; Table3[[#This Row],[Scoring Margin]], 1, 0)</f>
        <v>0</v>
      </c>
      <c r="AG49" s="5">
        <f>IF(Table3[[#This Row],[Efficiency Difference]]*0.2146 -10 &gt; Table3[[#This Row],[Scoring Margin]], 1, 0)</f>
        <v>0</v>
      </c>
    </row>
    <row r="50" spans="2:33">
      <c r="B50" s="5">
        <v>85.669999999999959</v>
      </c>
      <c r="C50" s="5">
        <v>11</v>
      </c>
      <c r="X50" s="5">
        <v>85.669999999999959</v>
      </c>
      <c r="Y50" s="5">
        <v>11</v>
      </c>
      <c r="Z50" s="5">
        <f>IF(Table3[[#This Row],[Efficiency Difference]]*0.2146 &gt; Table3[[#This Row],[Scoring Margin]], 1, 0)</f>
        <v>1</v>
      </c>
      <c r="AA50" s="5">
        <f>IF(Table3[[#This Row],[Efficiency Difference]]*0.2146 + 7 &gt; Table3[[#This Row],[Scoring Margin]], 1, 0)</f>
        <v>1</v>
      </c>
      <c r="AB50" s="5">
        <f>IF(Table3[[#This Row],[Efficiency Difference]]*0.2146 + 14 &gt; Table3[[#This Row],[Scoring Margin]], 1, 0)</f>
        <v>1</v>
      </c>
      <c r="AC50" s="5">
        <f>IF(Table3[[#This Row],[Efficiency Difference]]*0.2146 + 21 &gt; Table3[[#This Row],[Scoring Margin]], 1, 0)</f>
        <v>1</v>
      </c>
      <c r="AD50" s="5">
        <f>IF(Table3[[#This Row],[Efficiency Difference]]*0.2146 -7 &gt; Table3[[#This Row],[Scoring Margin]], 1, 0)</f>
        <v>1</v>
      </c>
      <c r="AE50" s="5">
        <f>IF(Table3[[#This Row],[Efficiency Difference]]*0.2146 -3 &gt; Table3[[#This Row],[Scoring Margin]], 1, 0)</f>
        <v>1</v>
      </c>
      <c r="AF50" s="5">
        <f>IF(Table3[[#This Row],[Efficiency Difference]]*0.2146 -5 &gt; Table3[[#This Row],[Scoring Margin]], 1, 0)</f>
        <v>1</v>
      </c>
      <c r="AG50" s="5">
        <f>IF(Table3[[#This Row],[Efficiency Difference]]*0.2146 -10 &gt; Table3[[#This Row],[Scoring Margin]], 1, 0)</f>
        <v>0</v>
      </c>
    </row>
    <row r="51" spans="2:33">
      <c r="B51" s="5">
        <v>124.15</v>
      </c>
      <c r="C51" s="5">
        <v>35</v>
      </c>
      <c r="X51" s="5">
        <v>124.15</v>
      </c>
      <c r="Y51" s="5">
        <v>35</v>
      </c>
      <c r="Z51" s="5">
        <f>IF(Table3[[#This Row],[Efficiency Difference]]*0.2146 &gt; Table3[[#This Row],[Scoring Margin]], 1, 0)</f>
        <v>0</v>
      </c>
      <c r="AA51" s="5">
        <f>IF(Table3[[#This Row],[Efficiency Difference]]*0.2146 + 7 &gt; Table3[[#This Row],[Scoring Margin]], 1, 0)</f>
        <v>0</v>
      </c>
      <c r="AB51" s="5">
        <f>IF(Table3[[#This Row],[Efficiency Difference]]*0.2146 + 14 &gt; Table3[[#This Row],[Scoring Margin]], 1, 0)</f>
        <v>1</v>
      </c>
      <c r="AC51" s="5">
        <f>IF(Table3[[#This Row],[Efficiency Difference]]*0.2146 + 21 &gt; Table3[[#This Row],[Scoring Margin]], 1, 0)</f>
        <v>1</v>
      </c>
      <c r="AD51" s="5">
        <f>IF(Table3[[#This Row],[Efficiency Difference]]*0.2146 -7 &gt; Table3[[#This Row],[Scoring Margin]], 1, 0)</f>
        <v>0</v>
      </c>
      <c r="AE51" s="5">
        <f>IF(Table3[[#This Row],[Efficiency Difference]]*0.2146 -3 &gt; Table3[[#This Row],[Scoring Margin]], 1, 0)</f>
        <v>0</v>
      </c>
      <c r="AF51" s="5">
        <f>IF(Table3[[#This Row],[Efficiency Difference]]*0.2146 -5 &gt; Table3[[#This Row],[Scoring Margin]], 1, 0)</f>
        <v>0</v>
      </c>
      <c r="AG51" s="5">
        <f>IF(Table3[[#This Row],[Efficiency Difference]]*0.2146 -10 &gt; Table3[[#This Row],[Scoring Margin]], 1, 0)</f>
        <v>0</v>
      </c>
    </row>
    <row r="52" spans="2:33">
      <c r="B52" s="5">
        <v>38.47</v>
      </c>
      <c r="C52" s="5">
        <v>7</v>
      </c>
      <c r="X52" s="5">
        <v>38.47</v>
      </c>
      <c r="Y52" s="5">
        <v>7</v>
      </c>
      <c r="Z52" s="5">
        <f>IF(Table3[[#This Row],[Efficiency Difference]]*0.2146 &gt; Table3[[#This Row],[Scoring Margin]], 1, 0)</f>
        <v>1</v>
      </c>
      <c r="AA52" s="5">
        <f>IF(Table3[[#This Row],[Efficiency Difference]]*0.2146 + 7 &gt; Table3[[#This Row],[Scoring Margin]], 1, 0)</f>
        <v>1</v>
      </c>
      <c r="AB52" s="5">
        <f>IF(Table3[[#This Row],[Efficiency Difference]]*0.2146 + 14 &gt; Table3[[#This Row],[Scoring Margin]], 1, 0)</f>
        <v>1</v>
      </c>
      <c r="AC52" s="5">
        <f>IF(Table3[[#This Row],[Efficiency Difference]]*0.2146 + 21 &gt; Table3[[#This Row],[Scoring Margin]], 1, 0)</f>
        <v>1</v>
      </c>
      <c r="AD52" s="5">
        <f>IF(Table3[[#This Row],[Efficiency Difference]]*0.2146 -7 &gt; Table3[[#This Row],[Scoring Margin]], 1, 0)</f>
        <v>0</v>
      </c>
      <c r="AE52" s="5">
        <f>IF(Table3[[#This Row],[Efficiency Difference]]*0.2146 -3 &gt; Table3[[#This Row],[Scoring Margin]], 1, 0)</f>
        <v>0</v>
      </c>
      <c r="AF52" s="5">
        <f>IF(Table3[[#This Row],[Efficiency Difference]]*0.2146 -5 &gt; Table3[[#This Row],[Scoring Margin]], 1, 0)</f>
        <v>0</v>
      </c>
      <c r="AG52" s="5">
        <f>IF(Table3[[#This Row],[Efficiency Difference]]*0.2146 -10 &gt; Table3[[#This Row],[Scoring Margin]], 1, 0)</f>
        <v>0</v>
      </c>
    </row>
    <row r="53" spans="2:33">
      <c r="B53" s="5">
        <v>68.16</v>
      </c>
      <c r="C53" s="5">
        <v>30</v>
      </c>
      <c r="X53" s="5">
        <v>68.16</v>
      </c>
      <c r="Y53" s="5">
        <v>30</v>
      </c>
      <c r="Z53" s="5">
        <f>IF(Table3[[#This Row],[Efficiency Difference]]*0.2146 &gt; Table3[[#This Row],[Scoring Margin]], 1, 0)</f>
        <v>0</v>
      </c>
      <c r="AA53" s="5">
        <f>IF(Table3[[#This Row],[Efficiency Difference]]*0.2146 + 7 &gt; Table3[[#This Row],[Scoring Margin]], 1, 0)</f>
        <v>0</v>
      </c>
      <c r="AB53" s="5">
        <f>IF(Table3[[#This Row],[Efficiency Difference]]*0.2146 + 14 &gt; Table3[[#This Row],[Scoring Margin]], 1, 0)</f>
        <v>0</v>
      </c>
      <c r="AC53" s="5">
        <f>IF(Table3[[#This Row],[Efficiency Difference]]*0.2146 + 21 &gt; Table3[[#This Row],[Scoring Margin]], 1, 0)</f>
        <v>1</v>
      </c>
      <c r="AD53" s="5">
        <f>IF(Table3[[#This Row],[Efficiency Difference]]*0.2146 -7 &gt; Table3[[#This Row],[Scoring Margin]], 1, 0)</f>
        <v>0</v>
      </c>
      <c r="AE53" s="5">
        <f>IF(Table3[[#This Row],[Efficiency Difference]]*0.2146 -3 &gt; Table3[[#This Row],[Scoring Margin]], 1, 0)</f>
        <v>0</v>
      </c>
      <c r="AF53" s="5">
        <f>IF(Table3[[#This Row],[Efficiency Difference]]*0.2146 -5 &gt; Table3[[#This Row],[Scoring Margin]], 1, 0)</f>
        <v>0</v>
      </c>
      <c r="AG53" s="5">
        <f>IF(Table3[[#This Row],[Efficiency Difference]]*0.2146 -10 &gt; Table3[[#This Row],[Scoring Margin]], 1, 0)</f>
        <v>0</v>
      </c>
    </row>
    <row r="54" spans="2:33">
      <c r="B54" s="5">
        <v>9.4799999999999898</v>
      </c>
      <c r="C54" s="5">
        <v>3</v>
      </c>
      <c r="X54" s="5">
        <v>9.4799999999999898</v>
      </c>
      <c r="Y54" s="5">
        <v>3</v>
      </c>
      <c r="Z54" s="5">
        <f>IF(Table3[[#This Row],[Efficiency Difference]]*0.2146 &gt; Table3[[#This Row],[Scoring Margin]], 1, 0)</f>
        <v>0</v>
      </c>
      <c r="AA54" s="5">
        <f>IF(Table3[[#This Row],[Efficiency Difference]]*0.2146 + 7 &gt; Table3[[#This Row],[Scoring Margin]], 1, 0)</f>
        <v>1</v>
      </c>
      <c r="AB54" s="5">
        <f>IF(Table3[[#This Row],[Efficiency Difference]]*0.2146 + 14 &gt; Table3[[#This Row],[Scoring Margin]], 1, 0)</f>
        <v>1</v>
      </c>
      <c r="AC54" s="5">
        <f>IF(Table3[[#This Row],[Efficiency Difference]]*0.2146 + 21 &gt; Table3[[#This Row],[Scoring Margin]], 1, 0)</f>
        <v>1</v>
      </c>
      <c r="AD54" s="5">
        <f>IF(Table3[[#This Row],[Efficiency Difference]]*0.2146 -7 &gt; Table3[[#This Row],[Scoring Margin]], 1, 0)</f>
        <v>0</v>
      </c>
      <c r="AE54" s="5">
        <f>IF(Table3[[#This Row],[Efficiency Difference]]*0.2146 -3 &gt; Table3[[#This Row],[Scoring Margin]], 1, 0)</f>
        <v>0</v>
      </c>
      <c r="AF54" s="5">
        <f>IF(Table3[[#This Row],[Efficiency Difference]]*0.2146 -5 &gt; Table3[[#This Row],[Scoring Margin]], 1, 0)</f>
        <v>0</v>
      </c>
      <c r="AG54" s="5">
        <f>IF(Table3[[#This Row],[Efficiency Difference]]*0.2146 -10 &gt; Table3[[#This Row],[Scoring Margin]], 1, 0)</f>
        <v>0</v>
      </c>
    </row>
    <row r="55" spans="2:33">
      <c r="B55" s="5">
        <v>171.64</v>
      </c>
      <c r="C55" s="5">
        <v>56</v>
      </c>
      <c r="X55" s="5">
        <v>171.64</v>
      </c>
      <c r="Y55" s="5">
        <v>56</v>
      </c>
      <c r="Z55" s="5">
        <f>IF(Table3[[#This Row],[Efficiency Difference]]*0.2146 &gt; Table3[[#This Row],[Scoring Margin]], 1, 0)</f>
        <v>0</v>
      </c>
      <c r="AA55" s="5">
        <f>IF(Table3[[#This Row],[Efficiency Difference]]*0.2146 + 7 &gt; Table3[[#This Row],[Scoring Margin]], 1, 0)</f>
        <v>0</v>
      </c>
      <c r="AB55" s="5">
        <f>IF(Table3[[#This Row],[Efficiency Difference]]*0.2146 + 14 &gt; Table3[[#This Row],[Scoring Margin]], 1, 0)</f>
        <v>0</v>
      </c>
      <c r="AC55" s="5">
        <f>IF(Table3[[#This Row],[Efficiency Difference]]*0.2146 + 21 &gt; Table3[[#This Row],[Scoring Margin]], 1, 0)</f>
        <v>1</v>
      </c>
      <c r="AD55" s="5">
        <f>IF(Table3[[#This Row],[Efficiency Difference]]*0.2146 -7 &gt; Table3[[#This Row],[Scoring Margin]], 1, 0)</f>
        <v>0</v>
      </c>
      <c r="AE55" s="5">
        <f>IF(Table3[[#This Row],[Efficiency Difference]]*0.2146 -3 &gt; Table3[[#This Row],[Scoring Margin]], 1, 0)</f>
        <v>0</v>
      </c>
      <c r="AF55" s="5">
        <f>IF(Table3[[#This Row],[Efficiency Difference]]*0.2146 -5 &gt; Table3[[#This Row],[Scoring Margin]], 1, 0)</f>
        <v>0</v>
      </c>
      <c r="AG55" s="5">
        <f>IF(Table3[[#This Row],[Efficiency Difference]]*0.2146 -10 &gt; Table3[[#This Row],[Scoring Margin]], 1, 0)</f>
        <v>0</v>
      </c>
    </row>
    <row r="56" spans="2:33">
      <c r="B56" s="5">
        <v>8.3800000000000239</v>
      </c>
      <c r="C56" s="5">
        <v>3</v>
      </c>
      <c r="X56" s="5">
        <v>8.3800000000000239</v>
      </c>
      <c r="Y56" s="5">
        <v>3</v>
      </c>
      <c r="Z56" s="5">
        <f>IF(Table3[[#This Row],[Efficiency Difference]]*0.2146 &gt; Table3[[#This Row],[Scoring Margin]], 1, 0)</f>
        <v>0</v>
      </c>
      <c r="AA56" s="5">
        <f>IF(Table3[[#This Row],[Efficiency Difference]]*0.2146 + 7 &gt; Table3[[#This Row],[Scoring Margin]], 1, 0)</f>
        <v>1</v>
      </c>
      <c r="AB56" s="5">
        <f>IF(Table3[[#This Row],[Efficiency Difference]]*0.2146 + 14 &gt; Table3[[#This Row],[Scoring Margin]], 1, 0)</f>
        <v>1</v>
      </c>
      <c r="AC56" s="5">
        <f>IF(Table3[[#This Row],[Efficiency Difference]]*0.2146 + 21 &gt; Table3[[#This Row],[Scoring Margin]], 1, 0)</f>
        <v>1</v>
      </c>
      <c r="AD56" s="5">
        <f>IF(Table3[[#This Row],[Efficiency Difference]]*0.2146 -7 &gt; Table3[[#This Row],[Scoring Margin]], 1, 0)</f>
        <v>0</v>
      </c>
      <c r="AE56" s="5">
        <f>IF(Table3[[#This Row],[Efficiency Difference]]*0.2146 -3 &gt; Table3[[#This Row],[Scoring Margin]], 1, 0)</f>
        <v>0</v>
      </c>
      <c r="AF56" s="5">
        <f>IF(Table3[[#This Row],[Efficiency Difference]]*0.2146 -5 &gt; Table3[[#This Row],[Scoring Margin]], 1, 0)</f>
        <v>0</v>
      </c>
      <c r="AG56" s="5">
        <f>IF(Table3[[#This Row],[Efficiency Difference]]*0.2146 -10 &gt; Table3[[#This Row],[Scoring Margin]], 1, 0)</f>
        <v>0</v>
      </c>
    </row>
    <row r="57" spans="2:33">
      <c r="B57" s="5">
        <v>15.230000000000018</v>
      </c>
      <c r="C57" s="5">
        <v>4</v>
      </c>
      <c r="X57" s="5">
        <v>15.230000000000018</v>
      </c>
      <c r="Y57" s="5">
        <v>4</v>
      </c>
      <c r="Z57" s="5">
        <f>IF(Table3[[#This Row],[Efficiency Difference]]*0.2146 &gt; Table3[[#This Row],[Scoring Margin]], 1, 0)</f>
        <v>0</v>
      </c>
      <c r="AA57" s="5">
        <f>IF(Table3[[#This Row],[Efficiency Difference]]*0.2146 + 7 &gt; Table3[[#This Row],[Scoring Margin]], 1, 0)</f>
        <v>1</v>
      </c>
      <c r="AB57" s="5">
        <f>IF(Table3[[#This Row],[Efficiency Difference]]*0.2146 + 14 &gt; Table3[[#This Row],[Scoring Margin]], 1, 0)</f>
        <v>1</v>
      </c>
      <c r="AC57" s="5">
        <f>IF(Table3[[#This Row],[Efficiency Difference]]*0.2146 + 21 &gt; Table3[[#This Row],[Scoring Margin]], 1, 0)</f>
        <v>1</v>
      </c>
      <c r="AD57" s="5">
        <f>IF(Table3[[#This Row],[Efficiency Difference]]*0.2146 -7 &gt; Table3[[#This Row],[Scoring Margin]], 1, 0)</f>
        <v>0</v>
      </c>
      <c r="AE57" s="5">
        <f>IF(Table3[[#This Row],[Efficiency Difference]]*0.2146 -3 &gt; Table3[[#This Row],[Scoring Margin]], 1, 0)</f>
        <v>0</v>
      </c>
      <c r="AF57" s="5">
        <f>IF(Table3[[#This Row],[Efficiency Difference]]*0.2146 -5 &gt; Table3[[#This Row],[Scoring Margin]], 1, 0)</f>
        <v>0</v>
      </c>
      <c r="AG57" s="5">
        <f>IF(Table3[[#This Row],[Efficiency Difference]]*0.2146 -10 &gt; Table3[[#This Row],[Scoring Margin]], 1, 0)</f>
        <v>0</v>
      </c>
    </row>
    <row r="58" spans="2:33">
      <c r="B58" s="5">
        <v>37.289999999999964</v>
      </c>
      <c r="C58" s="5">
        <v>2</v>
      </c>
      <c r="X58" s="5">
        <v>37.289999999999964</v>
      </c>
      <c r="Y58" s="5">
        <v>2</v>
      </c>
      <c r="Z58" s="5">
        <f>IF(Table3[[#This Row],[Efficiency Difference]]*0.2146 &gt; Table3[[#This Row],[Scoring Margin]], 1, 0)</f>
        <v>1</v>
      </c>
      <c r="AA58" s="5">
        <f>IF(Table3[[#This Row],[Efficiency Difference]]*0.2146 + 7 &gt; Table3[[#This Row],[Scoring Margin]], 1, 0)</f>
        <v>1</v>
      </c>
      <c r="AB58" s="5">
        <f>IF(Table3[[#This Row],[Efficiency Difference]]*0.2146 + 14 &gt; Table3[[#This Row],[Scoring Margin]], 1, 0)</f>
        <v>1</v>
      </c>
      <c r="AC58" s="5">
        <f>IF(Table3[[#This Row],[Efficiency Difference]]*0.2146 + 21 &gt; Table3[[#This Row],[Scoring Margin]], 1, 0)</f>
        <v>1</v>
      </c>
      <c r="AD58" s="5">
        <f>IF(Table3[[#This Row],[Efficiency Difference]]*0.2146 -7 &gt; Table3[[#This Row],[Scoring Margin]], 1, 0)</f>
        <v>0</v>
      </c>
      <c r="AE58" s="5">
        <f>IF(Table3[[#This Row],[Efficiency Difference]]*0.2146 -3 &gt; Table3[[#This Row],[Scoring Margin]], 1, 0)</f>
        <v>1</v>
      </c>
      <c r="AF58" s="5">
        <f>IF(Table3[[#This Row],[Efficiency Difference]]*0.2146 -5 &gt; Table3[[#This Row],[Scoring Margin]], 1, 0)</f>
        <v>1</v>
      </c>
      <c r="AG58" s="5">
        <f>IF(Table3[[#This Row],[Efficiency Difference]]*0.2146 -10 &gt; Table3[[#This Row],[Scoring Margin]], 1, 0)</f>
        <v>0</v>
      </c>
    </row>
    <row r="59" spans="2:33">
      <c r="B59" s="5">
        <v>236.54999999999995</v>
      </c>
      <c r="C59" s="5">
        <v>48</v>
      </c>
      <c r="X59" s="5">
        <v>236.54999999999995</v>
      </c>
      <c r="Y59" s="5">
        <v>48</v>
      </c>
      <c r="Z59" s="5">
        <f>IF(Table3[[#This Row],[Efficiency Difference]]*0.2146 &gt; Table3[[#This Row],[Scoring Margin]], 1, 0)</f>
        <v>1</v>
      </c>
      <c r="AA59" s="5">
        <f>IF(Table3[[#This Row],[Efficiency Difference]]*0.2146 + 7 &gt; Table3[[#This Row],[Scoring Margin]], 1, 0)</f>
        <v>1</v>
      </c>
      <c r="AB59" s="5">
        <f>IF(Table3[[#This Row],[Efficiency Difference]]*0.2146 + 14 &gt; Table3[[#This Row],[Scoring Margin]], 1, 0)</f>
        <v>1</v>
      </c>
      <c r="AC59" s="5">
        <f>IF(Table3[[#This Row],[Efficiency Difference]]*0.2146 + 21 &gt; Table3[[#This Row],[Scoring Margin]], 1, 0)</f>
        <v>1</v>
      </c>
      <c r="AD59" s="5">
        <f>IF(Table3[[#This Row],[Efficiency Difference]]*0.2146 -7 &gt; Table3[[#This Row],[Scoring Margin]], 1, 0)</f>
        <v>0</v>
      </c>
      <c r="AE59" s="5">
        <f>IF(Table3[[#This Row],[Efficiency Difference]]*0.2146 -3 &gt; Table3[[#This Row],[Scoring Margin]], 1, 0)</f>
        <v>0</v>
      </c>
      <c r="AF59" s="5">
        <f>IF(Table3[[#This Row],[Efficiency Difference]]*0.2146 -5 &gt; Table3[[#This Row],[Scoring Margin]], 1, 0)</f>
        <v>0</v>
      </c>
      <c r="AG59" s="5">
        <f>IF(Table3[[#This Row],[Efficiency Difference]]*0.2146 -10 &gt; Table3[[#This Row],[Scoring Margin]], 1, 0)</f>
        <v>0</v>
      </c>
    </row>
    <row r="60" spans="2:33">
      <c r="B60" s="5">
        <v>112.69</v>
      </c>
      <c r="C60" s="5">
        <v>25</v>
      </c>
      <c r="X60" s="5">
        <v>112.69</v>
      </c>
      <c r="Y60" s="5">
        <v>25</v>
      </c>
      <c r="Z60" s="5">
        <f>IF(Table3[[#This Row],[Efficiency Difference]]*0.2146 &gt; Table3[[#This Row],[Scoring Margin]], 1, 0)</f>
        <v>0</v>
      </c>
      <c r="AA60" s="5">
        <f>IF(Table3[[#This Row],[Efficiency Difference]]*0.2146 + 7 &gt; Table3[[#This Row],[Scoring Margin]], 1, 0)</f>
        <v>1</v>
      </c>
      <c r="AB60" s="5">
        <f>IF(Table3[[#This Row],[Efficiency Difference]]*0.2146 + 14 &gt; Table3[[#This Row],[Scoring Margin]], 1, 0)</f>
        <v>1</v>
      </c>
      <c r="AC60" s="5">
        <f>IF(Table3[[#This Row],[Efficiency Difference]]*0.2146 + 21 &gt; Table3[[#This Row],[Scoring Margin]], 1, 0)</f>
        <v>1</v>
      </c>
      <c r="AD60" s="5">
        <f>IF(Table3[[#This Row],[Efficiency Difference]]*0.2146 -7 &gt; Table3[[#This Row],[Scoring Margin]], 1, 0)</f>
        <v>0</v>
      </c>
      <c r="AE60" s="5">
        <f>IF(Table3[[#This Row],[Efficiency Difference]]*0.2146 -3 &gt; Table3[[#This Row],[Scoring Margin]], 1, 0)</f>
        <v>0</v>
      </c>
      <c r="AF60" s="5">
        <f>IF(Table3[[#This Row],[Efficiency Difference]]*0.2146 -5 &gt; Table3[[#This Row],[Scoring Margin]], 1, 0)</f>
        <v>0</v>
      </c>
      <c r="AG60" s="5">
        <f>IF(Table3[[#This Row],[Efficiency Difference]]*0.2146 -10 &gt; Table3[[#This Row],[Scoring Margin]], 1, 0)</f>
        <v>0</v>
      </c>
    </row>
    <row r="61" spans="2:33">
      <c r="B61" s="5">
        <v>12.800000000000011</v>
      </c>
      <c r="C61" s="5">
        <v>1</v>
      </c>
      <c r="X61" s="5">
        <v>12.800000000000011</v>
      </c>
      <c r="Y61" s="5">
        <v>1</v>
      </c>
      <c r="Z61" s="5">
        <f>IF(Table3[[#This Row],[Efficiency Difference]]*0.2146 &gt; Table3[[#This Row],[Scoring Margin]], 1, 0)</f>
        <v>1</v>
      </c>
      <c r="AA61" s="5">
        <f>IF(Table3[[#This Row],[Efficiency Difference]]*0.2146 + 7 &gt; Table3[[#This Row],[Scoring Margin]], 1, 0)</f>
        <v>1</v>
      </c>
      <c r="AB61" s="5">
        <f>IF(Table3[[#This Row],[Efficiency Difference]]*0.2146 + 14 &gt; Table3[[#This Row],[Scoring Margin]], 1, 0)</f>
        <v>1</v>
      </c>
      <c r="AC61" s="5">
        <f>IF(Table3[[#This Row],[Efficiency Difference]]*0.2146 + 21 &gt; Table3[[#This Row],[Scoring Margin]], 1, 0)</f>
        <v>1</v>
      </c>
      <c r="AD61" s="5">
        <f>IF(Table3[[#This Row],[Efficiency Difference]]*0.2146 -7 &gt; Table3[[#This Row],[Scoring Margin]], 1, 0)</f>
        <v>0</v>
      </c>
      <c r="AE61" s="5">
        <f>IF(Table3[[#This Row],[Efficiency Difference]]*0.2146 -3 &gt; Table3[[#This Row],[Scoring Margin]], 1, 0)</f>
        <v>0</v>
      </c>
      <c r="AF61" s="5">
        <f>IF(Table3[[#This Row],[Efficiency Difference]]*0.2146 -5 &gt; Table3[[#This Row],[Scoring Margin]], 1, 0)</f>
        <v>0</v>
      </c>
      <c r="AG61" s="5">
        <f>IF(Table3[[#This Row],[Efficiency Difference]]*0.2146 -10 &gt; Table3[[#This Row],[Scoring Margin]], 1, 0)</f>
        <v>0</v>
      </c>
    </row>
    <row r="62" spans="2:33">
      <c r="B62" s="5">
        <v>42.309999999999974</v>
      </c>
      <c r="C62" s="5">
        <v>23</v>
      </c>
      <c r="X62" s="5">
        <v>42.309999999999974</v>
      </c>
      <c r="Y62" s="5">
        <v>23</v>
      </c>
      <c r="Z62" s="5">
        <f>IF(Table3[[#This Row],[Efficiency Difference]]*0.2146 &gt; Table3[[#This Row],[Scoring Margin]], 1, 0)</f>
        <v>0</v>
      </c>
      <c r="AA62" s="5">
        <f>IF(Table3[[#This Row],[Efficiency Difference]]*0.2146 + 7 &gt; Table3[[#This Row],[Scoring Margin]], 1, 0)</f>
        <v>0</v>
      </c>
      <c r="AB62" s="5">
        <f>IF(Table3[[#This Row],[Efficiency Difference]]*0.2146 + 14 &gt; Table3[[#This Row],[Scoring Margin]], 1, 0)</f>
        <v>1</v>
      </c>
      <c r="AC62" s="5">
        <f>IF(Table3[[#This Row],[Efficiency Difference]]*0.2146 + 21 &gt; Table3[[#This Row],[Scoring Margin]], 1, 0)</f>
        <v>1</v>
      </c>
      <c r="AD62" s="5">
        <f>IF(Table3[[#This Row],[Efficiency Difference]]*0.2146 -7 &gt; Table3[[#This Row],[Scoring Margin]], 1, 0)</f>
        <v>0</v>
      </c>
      <c r="AE62" s="5">
        <f>IF(Table3[[#This Row],[Efficiency Difference]]*0.2146 -3 &gt; Table3[[#This Row],[Scoring Margin]], 1, 0)</f>
        <v>0</v>
      </c>
      <c r="AF62" s="5">
        <f>IF(Table3[[#This Row],[Efficiency Difference]]*0.2146 -5 &gt; Table3[[#This Row],[Scoring Margin]], 1, 0)</f>
        <v>0</v>
      </c>
      <c r="AG62" s="5">
        <f>IF(Table3[[#This Row],[Efficiency Difference]]*0.2146 -10 &gt; Table3[[#This Row],[Scoring Margin]], 1, 0)</f>
        <v>0</v>
      </c>
    </row>
    <row r="63" spans="2:33">
      <c r="B63" s="5">
        <v>106.97</v>
      </c>
      <c r="C63" s="5">
        <v>27</v>
      </c>
      <c r="X63" s="5">
        <v>106.97</v>
      </c>
      <c r="Y63" s="5">
        <v>27</v>
      </c>
      <c r="Z63" s="5">
        <f>IF(Table3[[#This Row],[Efficiency Difference]]*0.2146 &gt; Table3[[#This Row],[Scoring Margin]], 1, 0)</f>
        <v>0</v>
      </c>
      <c r="AA63" s="5">
        <f>IF(Table3[[#This Row],[Efficiency Difference]]*0.2146 + 7 &gt; Table3[[#This Row],[Scoring Margin]], 1, 0)</f>
        <v>1</v>
      </c>
      <c r="AB63" s="5">
        <f>IF(Table3[[#This Row],[Efficiency Difference]]*0.2146 + 14 &gt; Table3[[#This Row],[Scoring Margin]], 1, 0)</f>
        <v>1</v>
      </c>
      <c r="AC63" s="5">
        <f>IF(Table3[[#This Row],[Efficiency Difference]]*0.2146 + 21 &gt; Table3[[#This Row],[Scoring Margin]], 1, 0)</f>
        <v>1</v>
      </c>
      <c r="AD63" s="5">
        <f>IF(Table3[[#This Row],[Efficiency Difference]]*0.2146 -7 &gt; Table3[[#This Row],[Scoring Margin]], 1, 0)</f>
        <v>0</v>
      </c>
      <c r="AE63" s="5">
        <f>IF(Table3[[#This Row],[Efficiency Difference]]*0.2146 -3 &gt; Table3[[#This Row],[Scoring Margin]], 1, 0)</f>
        <v>0</v>
      </c>
      <c r="AF63" s="5">
        <f>IF(Table3[[#This Row],[Efficiency Difference]]*0.2146 -5 &gt; Table3[[#This Row],[Scoring Margin]], 1, 0)</f>
        <v>0</v>
      </c>
      <c r="AG63" s="5">
        <f>IF(Table3[[#This Row],[Efficiency Difference]]*0.2146 -10 &gt; Table3[[#This Row],[Scoring Margin]], 1, 0)</f>
        <v>0</v>
      </c>
    </row>
    <row r="64" spans="2:33">
      <c r="B64" s="5">
        <v>10.699999999999989</v>
      </c>
      <c r="C64" s="5">
        <v>14</v>
      </c>
      <c r="X64" s="5">
        <v>10.699999999999989</v>
      </c>
      <c r="Y64" s="5">
        <v>14</v>
      </c>
      <c r="Z64" s="5">
        <f>IF(Table3[[#This Row],[Efficiency Difference]]*0.2146 &gt; Table3[[#This Row],[Scoring Margin]], 1, 0)</f>
        <v>0</v>
      </c>
      <c r="AA64" s="5">
        <f>IF(Table3[[#This Row],[Efficiency Difference]]*0.2146 + 7 &gt; Table3[[#This Row],[Scoring Margin]], 1, 0)</f>
        <v>0</v>
      </c>
      <c r="AB64" s="5">
        <f>IF(Table3[[#This Row],[Efficiency Difference]]*0.2146 + 14 &gt; Table3[[#This Row],[Scoring Margin]], 1, 0)</f>
        <v>1</v>
      </c>
      <c r="AC64" s="5">
        <f>IF(Table3[[#This Row],[Efficiency Difference]]*0.2146 + 21 &gt; Table3[[#This Row],[Scoring Margin]], 1, 0)</f>
        <v>1</v>
      </c>
      <c r="AD64" s="5">
        <f>IF(Table3[[#This Row],[Efficiency Difference]]*0.2146 -7 &gt; Table3[[#This Row],[Scoring Margin]], 1, 0)</f>
        <v>0</v>
      </c>
      <c r="AE64" s="5">
        <f>IF(Table3[[#This Row],[Efficiency Difference]]*0.2146 -3 &gt; Table3[[#This Row],[Scoring Margin]], 1, 0)</f>
        <v>0</v>
      </c>
      <c r="AF64" s="5">
        <f>IF(Table3[[#This Row],[Efficiency Difference]]*0.2146 -5 &gt; Table3[[#This Row],[Scoring Margin]], 1, 0)</f>
        <v>0</v>
      </c>
      <c r="AG64" s="5">
        <f>IF(Table3[[#This Row],[Efficiency Difference]]*0.2146 -10 &gt; Table3[[#This Row],[Scoring Margin]], 1, 0)</f>
        <v>0</v>
      </c>
    </row>
    <row r="65" spans="2:33">
      <c r="B65" s="5">
        <v>87.38</v>
      </c>
      <c r="C65" s="5">
        <v>25</v>
      </c>
      <c r="X65" s="5">
        <v>87.38</v>
      </c>
      <c r="Y65" s="5">
        <v>25</v>
      </c>
      <c r="Z65" s="5">
        <f>IF(Table3[[#This Row],[Efficiency Difference]]*0.2146 &gt; Table3[[#This Row],[Scoring Margin]], 1, 0)</f>
        <v>0</v>
      </c>
      <c r="AA65" s="5">
        <f>IF(Table3[[#This Row],[Efficiency Difference]]*0.2146 + 7 &gt; Table3[[#This Row],[Scoring Margin]], 1, 0)</f>
        <v>1</v>
      </c>
      <c r="AB65" s="5">
        <f>IF(Table3[[#This Row],[Efficiency Difference]]*0.2146 + 14 &gt; Table3[[#This Row],[Scoring Margin]], 1, 0)</f>
        <v>1</v>
      </c>
      <c r="AC65" s="5">
        <f>IF(Table3[[#This Row],[Efficiency Difference]]*0.2146 + 21 &gt; Table3[[#This Row],[Scoring Margin]], 1, 0)</f>
        <v>1</v>
      </c>
      <c r="AD65" s="5">
        <f>IF(Table3[[#This Row],[Efficiency Difference]]*0.2146 -7 &gt; Table3[[#This Row],[Scoring Margin]], 1, 0)</f>
        <v>0</v>
      </c>
      <c r="AE65" s="5">
        <f>IF(Table3[[#This Row],[Efficiency Difference]]*0.2146 -3 &gt; Table3[[#This Row],[Scoring Margin]], 1, 0)</f>
        <v>0</v>
      </c>
      <c r="AF65" s="5">
        <f>IF(Table3[[#This Row],[Efficiency Difference]]*0.2146 -5 &gt; Table3[[#This Row],[Scoring Margin]], 1, 0)</f>
        <v>0</v>
      </c>
      <c r="AG65" s="5">
        <f>IF(Table3[[#This Row],[Efficiency Difference]]*0.2146 -10 &gt; Table3[[#This Row],[Scoring Margin]], 1, 0)</f>
        <v>0</v>
      </c>
    </row>
    <row r="66" spans="2:33">
      <c r="B66" s="5">
        <v>31.860000000000014</v>
      </c>
      <c r="C66" s="5">
        <v>20</v>
      </c>
      <c r="X66" s="5">
        <v>31.860000000000014</v>
      </c>
      <c r="Y66" s="5">
        <v>20</v>
      </c>
      <c r="Z66" s="5">
        <f>IF(Table3[[#This Row],[Efficiency Difference]]*0.2146 &gt; Table3[[#This Row],[Scoring Margin]], 1, 0)</f>
        <v>0</v>
      </c>
      <c r="AA66" s="5">
        <f>IF(Table3[[#This Row],[Efficiency Difference]]*0.2146 + 7 &gt; Table3[[#This Row],[Scoring Margin]], 1, 0)</f>
        <v>0</v>
      </c>
      <c r="AB66" s="5">
        <f>IF(Table3[[#This Row],[Efficiency Difference]]*0.2146 + 14 &gt; Table3[[#This Row],[Scoring Margin]], 1, 0)</f>
        <v>1</v>
      </c>
      <c r="AC66" s="5">
        <f>IF(Table3[[#This Row],[Efficiency Difference]]*0.2146 + 21 &gt; Table3[[#This Row],[Scoring Margin]], 1, 0)</f>
        <v>1</v>
      </c>
      <c r="AD66" s="5">
        <f>IF(Table3[[#This Row],[Efficiency Difference]]*0.2146 -7 &gt; Table3[[#This Row],[Scoring Margin]], 1, 0)</f>
        <v>0</v>
      </c>
      <c r="AE66" s="5">
        <f>IF(Table3[[#This Row],[Efficiency Difference]]*0.2146 -3 &gt; Table3[[#This Row],[Scoring Margin]], 1, 0)</f>
        <v>0</v>
      </c>
      <c r="AF66" s="5">
        <f>IF(Table3[[#This Row],[Efficiency Difference]]*0.2146 -5 &gt; Table3[[#This Row],[Scoring Margin]], 1, 0)</f>
        <v>0</v>
      </c>
      <c r="AG66" s="5">
        <f>IF(Table3[[#This Row],[Efficiency Difference]]*0.2146 -10 &gt; Table3[[#This Row],[Scoring Margin]], 1, 0)</f>
        <v>0</v>
      </c>
    </row>
    <row r="67" spans="2:33">
      <c r="B67" s="5">
        <v>92.020000000000039</v>
      </c>
      <c r="C67" s="5">
        <v>20</v>
      </c>
      <c r="X67" s="5">
        <v>92.020000000000039</v>
      </c>
      <c r="Y67" s="5">
        <v>20</v>
      </c>
      <c r="Z67" s="5">
        <f>IF(Table3[[#This Row],[Efficiency Difference]]*0.2146 &gt; Table3[[#This Row],[Scoring Margin]], 1, 0)</f>
        <v>0</v>
      </c>
      <c r="AA67" s="5">
        <f>IF(Table3[[#This Row],[Efficiency Difference]]*0.2146 + 7 &gt; Table3[[#This Row],[Scoring Margin]], 1, 0)</f>
        <v>1</v>
      </c>
      <c r="AB67" s="5">
        <f>IF(Table3[[#This Row],[Efficiency Difference]]*0.2146 + 14 &gt; Table3[[#This Row],[Scoring Margin]], 1, 0)</f>
        <v>1</v>
      </c>
      <c r="AC67" s="5">
        <f>IF(Table3[[#This Row],[Efficiency Difference]]*0.2146 + 21 &gt; Table3[[#This Row],[Scoring Margin]], 1, 0)</f>
        <v>1</v>
      </c>
      <c r="AD67" s="5">
        <f>IF(Table3[[#This Row],[Efficiency Difference]]*0.2146 -7 &gt; Table3[[#This Row],[Scoring Margin]], 1, 0)</f>
        <v>0</v>
      </c>
      <c r="AE67" s="5">
        <f>IF(Table3[[#This Row],[Efficiency Difference]]*0.2146 -3 &gt; Table3[[#This Row],[Scoring Margin]], 1, 0)</f>
        <v>0</v>
      </c>
      <c r="AF67" s="5">
        <f>IF(Table3[[#This Row],[Efficiency Difference]]*0.2146 -5 &gt; Table3[[#This Row],[Scoring Margin]], 1, 0)</f>
        <v>0</v>
      </c>
      <c r="AG67" s="5">
        <f>IF(Table3[[#This Row],[Efficiency Difference]]*0.2146 -10 &gt; Table3[[#This Row],[Scoring Margin]], 1, 0)</f>
        <v>0</v>
      </c>
    </row>
    <row r="68" spans="2:33">
      <c r="B68" s="5">
        <v>92.22</v>
      </c>
      <c r="C68" s="5">
        <v>50</v>
      </c>
      <c r="X68" s="5">
        <v>92.22</v>
      </c>
      <c r="Y68" s="5">
        <v>50</v>
      </c>
      <c r="Z68" s="5">
        <f>IF(Table3[[#This Row],[Efficiency Difference]]*0.2146 &gt; Table3[[#This Row],[Scoring Margin]], 1, 0)</f>
        <v>0</v>
      </c>
      <c r="AA68" s="5">
        <f>IF(Table3[[#This Row],[Efficiency Difference]]*0.2146 + 7 &gt; Table3[[#This Row],[Scoring Margin]], 1, 0)</f>
        <v>0</v>
      </c>
      <c r="AB68" s="5">
        <f>IF(Table3[[#This Row],[Efficiency Difference]]*0.2146 + 14 &gt; Table3[[#This Row],[Scoring Margin]], 1, 0)</f>
        <v>0</v>
      </c>
      <c r="AC68" s="5">
        <f>IF(Table3[[#This Row],[Efficiency Difference]]*0.2146 + 21 &gt; Table3[[#This Row],[Scoring Margin]], 1, 0)</f>
        <v>0</v>
      </c>
      <c r="AD68" s="5">
        <f>IF(Table3[[#This Row],[Efficiency Difference]]*0.2146 -7 &gt; Table3[[#This Row],[Scoring Margin]], 1, 0)</f>
        <v>0</v>
      </c>
      <c r="AE68" s="5">
        <f>IF(Table3[[#This Row],[Efficiency Difference]]*0.2146 -3 &gt; Table3[[#This Row],[Scoring Margin]], 1, 0)</f>
        <v>0</v>
      </c>
      <c r="AF68" s="5">
        <f>IF(Table3[[#This Row],[Efficiency Difference]]*0.2146 -5 &gt; Table3[[#This Row],[Scoring Margin]], 1, 0)</f>
        <v>0</v>
      </c>
      <c r="AG68" s="5">
        <f>IF(Table3[[#This Row],[Efficiency Difference]]*0.2146 -10 &gt; Table3[[#This Row],[Scoring Margin]], 1, 0)</f>
        <v>0</v>
      </c>
    </row>
    <row r="69" spans="2:33">
      <c r="B69" s="5">
        <v>212.12</v>
      </c>
      <c r="C69" s="5">
        <v>50</v>
      </c>
      <c r="X69" s="5">
        <v>212.12</v>
      </c>
      <c r="Y69" s="5">
        <v>50</v>
      </c>
      <c r="Z69" s="5">
        <f>IF(Table3[[#This Row],[Efficiency Difference]]*0.2146 &gt; Table3[[#This Row],[Scoring Margin]], 1, 0)</f>
        <v>0</v>
      </c>
      <c r="AA69" s="5">
        <f>IF(Table3[[#This Row],[Efficiency Difference]]*0.2146 + 7 &gt; Table3[[#This Row],[Scoring Margin]], 1, 0)</f>
        <v>1</v>
      </c>
      <c r="AB69" s="5">
        <f>IF(Table3[[#This Row],[Efficiency Difference]]*0.2146 + 14 &gt; Table3[[#This Row],[Scoring Margin]], 1, 0)</f>
        <v>1</v>
      </c>
      <c r="AC69" s="5">
        <f>IF(Table3[[#This Row],[Efficiency Difference]]*0.2146 + 21 &gt; Table3[[#This Row],[Scoring Margin]], 1, 0)</f>
        <v>1</v>
      </c>
      <c r="AD69" s="5">
        <f>IF(Table3[[#This Row],[Efficiency Difference]]*0.2146 -7 &gt; Table3[[#This Row],[Scoring Margin]], 1, 0)</f>
        <v>0</v>
      </c>
      <c r="AE69" s="5">
        <f>IF(Table3[[#This Row],[Efficiency Difference]]*0.2146 -3 &gt; Table3[[#This Row],[Scoring Margin]], 1, 0)</f>
        <v>0</v>
      </c>
      <c r="AF69" s="5">
        <f>IF(Table3[[#This Row],[Efficiency Difference]]*0.2146 -5 &gt; Table3[[#This Row],[Scoring Margin]], 1, 0)</f>
        <v>0</v>
      </c>
      <c r="AG69" s="5">
        <f>IF(Table3[[#This Row],[Efficiency Difference]]*0.2146 -10 &gt; Table3[[#This Row],[Scoring Margin]], 1, 0)</f>
        <v>0</v>
      </c>
    </row>
    <row r="70" spans="2:33">
      <c r="B70" s="5">
        <v>86.110000000000014</v>
      </c>
      <c r="C70" s="5">
        <v>11</v>
      </c>
      <c r="X70" s="5">
        <v>86.110000000000014</v>
      </c>
      <c r="Y70" s="5">
        <v>11</v>
      </c>
      <c r="Z70" s="5">
        <f>IF(Table3[[#This Row],[Efficiency Difference]]*0.2146 &gt; Table3[[#This Row],[Scoring Margin]], 1, 0)</f>
        <v>1</v>
      </c>
      <c r="AA70" s="5">
        <f>IF(Table3[[#This Row],[Efficiency Difference]]*0.2146 + 7 &gt; Table3[[#This Row],[Scoring Margin]], 1, 0)</f>
        <v>1</v>
      </c>
      <c r="AB70" s="5">
        <f>IF(Table3[[#This Row],[Efficiency Difference]]*0.2146 + 14 &gt; Table3[[#This Row],[Scoring Margin]], 1, 0)</f>
        <v>1</v>
      </c>
      <c r="AC70" s="5">
        <f>IF(Table3[[#This Row],[Efficiency Difference]]*0.2146 + 21 &gt; Table3[[#This Row],[Scoring Margin]], 1, 0)</f>
        <v>1</v>
      </c>
      <c r="AD70" s="5">
        <f>IF(Table3[[#This Row],[Efficiency Difference]]*0.2146 -7 &gt; Table3[[#This Row],[Scoring Margin]], 1, 0)</f>
        <v>1</v>
      </c>
      <c r="AE70" s="5">
        <f>IF(Table3[[#This Row],[Efficiency Difference]]*0.2146 -3 &gt; Table3[[#This Row],[Scoring Margin]], 1, 0)</f>
        <v>1</v>
      </c>
      <c r="AF70" s="5">
        <f>IF(Table3[[#This Row],[Efficiency Difference]]*0.2146 -5 &gt; Table3[[#This Row],[Scoring Margin]], 1, 0)</f>
        <v>1</v>
      </c>
      <c r="AG70" s="5">
        <f>IF(Table3[[#This Row],[Efficiency Difference]]*0.2146 -10 &gt; Table3[[#This Row],[Scoring Margin]], 1, 0)</f>
        <v>0</v>
      </c>
    </row>
    <row r="71" spans="2:33">
      <c r="B71" s="5">
        <v>27.300000000000011</v>
      </c>
      <c r="C71" s="5">
        <v>7</v>
      </c>
      <c r="X71" s="5">
        <v>27.300000000000011</v>
      </c>
      <c r="Y71" s="5">
        <v>7</v>
      </c>
      <c r="Z71" s="5">
        <f>IF(Table3[[#This Row],[Efficiency Difference]]*0.2146 &gt; Table3[[#This Row],[Scoring Margin]], 1, 0)</f>
        <v>0</v>
      </c>
      <c r="AA71" s="5">
        <f>IF(Table3[[#This Row],[Efficiency Difference]]*0.2146 + 7 &gt; Table3[[#This Row],[Scoring Margin]], 1, 0)</f>
        <v>1</v>
      </c>
      <c r="AB71" s="5">
        <f>IF(Table3[[#This Row],[Efficiency Difference]]*0.2146 + 14 &gt; Table3[[#This Row],[Scoring Margin]], 1, 0)</f>
        <v>1</v>
      </c>
      <c r="AC71" s="5">
        <f>IF(Table3[[#This Row],[Efficiency Difference]]*0.2146 + 21 &gt; Table3[[#This Row],[Scoring Margin]], 1, 0)</f>
        <v>1</v>
      </c>
      <c r="AD71" s="5">
        <f>IF(Table3[[#This Row],[Efficiency Difference]]*0.2146 -7 &gt; Table3[[#This Row],[Scoring Margin]], 1, 0)</f>
        <v>0</v>
      </c>
      <c r="AE71" s="5">
        <f>IF(Table3[[#This Row],[Efficiency Difference]]*0.2146 -3 &gt; Table3[[#This Row],[Scoring Margin]], 1, 0)</f>
        <v>0</v>
      </c>
      <c r="AF71" s="5">
        <f>IF(Table3[[#This Row],[Efficiency Difference]]*0.2146 -5 &gt; Table3[[#This Row],[Scoring Margin]], 1, 0)</f>
        <v>0</v>
      </c>
      <c r="AG71" s="5">
        <f>IF(Table3[[#This Row],[Efficiency Difference]]*0.2146 -10 &gt; Table3[[#This Row],[Scoring Margin]], 1, 0)</f>
        <v>0</v>
      </c>
    </row>
    <row r="72" spans="2:33">
      <c r="B72" s="5">
        <v>154.52000000000001</v>
      </c>
      <c r="C72" s="5">
        <v>27</v>
      </c>
      <c r="X72" s="5">
        <v>154.52000000000001</v>
      </c>
      <c r="Y72" s="5">
        <v>27</v>
      </c>
      <c r="Z72" s="5">
        <f>IF(Table3[[#This Row],[Efficiency Difference]]*0.2146 &gt; Table3[[#This Row],[Scoring Margin]], 1, 0)</f>
        <v>1</v>
      </c>
      <c r="AA72" s="5">
        <f>IF(Table3[[#This Row],[Efficiency Difference]]*0.2146 + 7 &gt; Table3[[#This Row],[Scoring Margin]], 1, 0)</f>
        <v>1</v>
      </c>
      <c r="AB72" s="5">
        <f>IF(Table3[[#This Row],[Efficiency Difference]]*0.2146 + 14 &gt; Table3[[#This Row],[Scoring Margin]], 1, 0)</f>
        <v>1</v>
      </c>
      <c r="AC72" s="5">
        <f>IF(Table3[[#This Row],[Efficiency Difference]]*0.2146 + 21 &gt; Table3[[#This Row],[Scoring Margin]], 1, 0)</f>
        <v>1</v>
      </c>
      <c r="AD72" s="5">
        <f>IF(Table3[[#This Row],[Efficiency Difference]]*0.2146 -7 &gt; Table3[[#This Row],[Scoring Margin]], 1, 0)</f>
        <v>0</v>
      </c>
      <c r="AE72" s="5">
        <f>IF(Table3[[#This Row],[Efficiency Difference]]*0.2146 -3 &gt; Table3[[#This Row],[Scoring Margin]], 1, 0)</f>
        <v>1</v>
      </c>
      <c r="AF72" s="5">
        <f>IF(Table3[[#This Row],[Efficiency Difference]]*0.2146 -5 &gt; Table3[[#This Row],[Scoring Margin]], 1, 0)</f>
        <v>1</v>
      </c>
      <c r="AG72" s="5">
        <f>IF(Table3[[#This Row],[Efficiency Difference]]*0.2146 -10 &gt; Table3[[#This Row],[Scoring Margin]], 1, 0)</f>
        <v>0</v>
      </c>
    </row>
    <row r="73" spans="2:33">
      <c r="B73" s="5">
        <v>19.109999999999985</v>
      </c>
      <c r="C73" s="5">
        <v>1</v>
      </c>
      <c r="X73" s="5">
        <v>19.109999999999985</v>
      </c>
      <c r="Y73" s="5">
        <v>1</v>
      </c>
      <c r="Z73" s="5">
        <f>IF(Table3[[#This Row],[Efficiency Difference]]*0.2146 &gt; Table3[[#This Row],[Scoring Margin]], 1, 0)</f>
        <v>1</v>
      </c>
      <c r="AA73" s="5">
        <f>IF(Table3[[#This Row],[Efficiency Difference]]*0.2146 + 7 &gt; Table3[[#This Row],[Scoring Margin]], 1, 0)</f>
        <v>1</v>
      </c>
      <c r="AB73" s="5">
        <f>IF(Table3[[#This Row],[Efficiency Difference]]*0.2146 + 14 &gt; Table3[[#This Row],[Scoring Margin]], 1, 0)</f>
        <v>1</v>
      </c>
      <c r="AC73" s="5">
        <f>IF(Table3[[#This Row],[Efficiency Difference]]*0.2146 + 21 &gt; Table3[[#This Row],[Scoring Margin]], 1, 0)</f>
        <v>1</v>
      </c>
      <c r="AD73" s="5">
        <f>IF(Table3[[#This Row],[Efficiency Difference]]*0.2146 -7 &gt; Table3[[#This Row],[Scoring Margin]], 1, 0)</f>
        <v>0</v>
      </c>
      <c r="AE73" s="5">
        <f>IF(Table3[[#This Row],[Efficiency Difference]]*0.2146 -3 &gt; Table3[[#This Row],[Scoring Margin]], 1, 0)</f>
        <v>1</v>
      </c>
      <c r="AF73" s="5">
        <f>IF(Table3[[#This Row],[Efficiency Difference]]*0.2146 -5 &gt; Table3[[#This Row],[Scoring Margin]], 1, 0)</f>
        <v>0</v>
      </c>
      <c r="AG73" s="5">
        <f>IF(Table3[[#This Row],[Efficiency Difference]]*0.2146 -10 &gt; Table3[[#This Row],[Scoring Margin]], 1, 0)</f>
        <v>0</v>
      </c>
    </row>
    <row r="74" spans="2:33">
      <c r="B74" s="5">
        <v>37.899999999999977</v>
      </c>
      <c r="C74" s="5">
        <v>8</v>
      </c>
      <c r="X74" s="5">
        <v>37.899999999999977</v>
      </c>
      <c r="Y74" s="5">
        <v>8</v>
      </c>
      <c r="Z74" s="5">
        <f>IF(Table3[[#This Row],[Efficiency Difference]]*0.2146 &gt; Table3[[#This Row],[Scoring Margin]], 1, 0)</f>
        <v>1</v>
      </c>
      <c r="AA74" s="5">
        <f>IF(Table3[[#This Row],[Efficiency Difference]]*0.2146 + 7 &gt; Table3[[#This Row],[Scoring Margin]], 1, 0)</f>
        <v>1</v>
      </c>
      <c r="AB74" s="5">
        <f>IF(Table3[[#This Row],[Efficiency Difference]]*0.2146 + 14 &gt; Table3[[#This Row],[Scoring Margin]], 1, 0)</f>
        <v>1</v>
      </c>
      <c r="AC74" s="5">
        <f>IF(Table3[[#This Row],[Efficiency Difference]]*0.2146 + 21 &gt; Table3[[#This Row],[Scoring Margin]], 1, 0)</f>
        <v>1</v>
      </c>
      <c r="AD74" s="5">
        <f>IF(Table3[[#This Row],[Efficiency Difference]]*0.2146 -7 &gt; Table3[[#This Row],[Scoring Margin]], 1, 0)</f>
        <v>0</v>
      </c>
      <c r="AE74" s="5">
        <f>IF(Table3[[#This Row],[Efficiency Difference]]*0.2146 -3 &gt; Table3[[#This Row],[Scoring Margin]], 1, 0)</f>
        <v>0</v>
      </c>
      <c r="AF74" s="5">
        <f>IF(Table3[[#This Row],[Efficiency Difference]]*0.2146 -5 &gt; Table3[[#This Row],[Scoring Margin]], 1, 0)</f>
        <v>0</v>
      </c>
      <c r="AG74" s="5">
        <f>IF(Table3[[#This Row],[Efficiency Difference]]*0.2146 -10 &gt; Table3[[#This Row],[Scoring Margin]], 1, 0)</f>
        <v>0</v>
      </c>
    </row>
    <row r="75" spans="2:33">
      <c r="B75" s="5">
        <v>51.069999999999993</v>
      </c>
      <c r="C75" s="5">
        <v>22</v>
      </c>
      <c r="X75" s="5">
        <v>51.069999999999993</v>
      </c>
      <c r="Y75" s="5">
        <v>22</v>
      </c>
      <c r="Z75" s="5">
        <f>IF(Table3[[#This Row],[Efficiency Difference]]*0.2146 &gt; Table3[[#This Row],[Scoring Margin]], 1, 0)</f>
        <v>0</v>
      </c>
      <c r="AA75" s="5">
        <f>IF(Table3[[#This Row],[Efficiency Difference]]*0.2146 + 7 &gt; Table3[[#This Row],[Scoring Margin]], 1, 0)</f>
        <v>0</v>
      </c>
      <c r="AB75" s="5">
        <f>IF(Table3[[#This Row],[Efficiency Difference]]*0.2146 + 14 &gt; Table3[[#This Row],[Scoring Margin]], 1, 0)</f>
        <v>1</v>
      </c>
      <c r="AC75" s="5">
        <f>IF(Table3[[#This Row],[Efficiency Difference]]*0.2146 + 21 &gt; Table3[[#This Row],[Scoring Margin]], 1, 0)</f>
        <v>1</v>
      </c>
      <c r="AD75" s="5">
        <f>IF(Table3[[#This Row],[Efficiency Difference]]*0.2146 -7 &gt; Table3[[#This Row],[Scoring Margin]], 1, 0)</f>
        <v>0</v>
      </c>
      <c r="AE75" s="5">
        <f>IF(Table3[[#This Row],[Efficiency Difference]]*0.2146 -3 &gt; Table3[[#This Row],[Scoring Margin]], 1, 0)</f>
        <v>0</v>
      </c>
      <c r="AF75" s="5">
        <f>IF(Table3[[#This Row],[Efficiency Difference]]*0.2146 -5 &gt; Table3[[#This Row],[Scoring Margin]], 1, 0)</f>
        <v>0</v>
      </c>
      <c r="AG75" s="5">
        <f>IF(Table3[[#This Row],[Efficiency Difference]]*0.2146 -10 &gt; Table3[[#This Row],[Scoring Margin]], 1, 0)</f>
        <v>0</v>
      </c>
    </row>
    <row r="76" spans="2:33">
      <c r="B76" s="5">
        <v>98.62</v>
      </c>
      <c r="C76" s="5">
        <v>16</v>
      </c>
      <c r="X76" s="5">
        <v>98.62</v>
      </c>
      <c r="Y76" s="5">
        <v>16</v>
      </c>
      <c r="Z76" s="5">
        <f>IF(Table3[[#This Row],[Efficiency Difference]]*0.2146 &gt; Table3[[#This Row],[Scoring Margin]], 1, 0)</f>
        <v>1</v>
      </c>
      <c r="AA76" s="5">
        <f>IF(Table3[[#This Row],[Efficiency Difference]]*0.2146 + 7 &gt; Table3[[#This Row],[Scoring Margin]], 1, 0)</f>
        <v>1</v>
      </c>
      <c r="AB76" s="5">
        <f>IF(Table3[[#This Row],[Efficiency Difference]]*0.2146 + 14 &gt; Table3[[#This Row],[Scoring Margin]], 1, 0)</f>
        <v>1</v>
      </c>
      <c r="AC76" s="5">
        <f>IF(Table3[[#This Row],[Efficiency Difference]]*0.2146 + 21 &gt; Table3[[#This Row],[Scoring Margin]], 1, 0)</f>
        <v>1</v>
      </c>
      <c r="AD76" s="5">
        <f>IF(Table3[[#This Row],[Efficiency Difference]]*0.2146 -7 &gt; Table3[[#This Row],[Scoring Margin]], 1, 0)</f>
        <v>0</v>
      </c>
      <c r="AE76" s="5">
        <f>IF(Table3[[#This Row],[Efficiency Difference]]*0.2146 -3 &gt; Table3[[#This Row],[Scoring Margin]], 1, 0)</f>
        <v>1</v>
      </c>
      <c r="AF76" s="5">
        <f>IF(Table3[[#This Row],[Efficiency Difference]]*0.2146 -5 &gt; Table3[[#This Row],[Scoring Margin]], 1, 0)</f>
        <v>1</v>
      </c>
      <c r="AG76" s="5">
        <f>IF(Table3[[#This Row],[Efficiency Difference]]*0.2146 -10 &gt; Table3[[#This Row],[Scoring Margin]], 1, 0)</f>
        <v>0</v>
      </c>
    </row>
    <row r="77" spans="2:33">
      <c r="B77" s="5">
        <v>116.18</v>
      </c>
      <c r="C77" s="5">
        <v>17</v>
      </c>
      <c r="X77" s="5">
        <v>116.18</v>
      </c>
      <c r="Y77" s="5">
        <v>17</v>
      </c>
      <c r="Z77" s="5">
        <f>IF(Table3[[#This Row],[Efficiency Difference]]*0.2146 &gt; Table3[[#This Row],[Scoring Margin]], 1, 0)</f>
        <v>1</v>
      </c>
      <c r="AA77" s="5">
        <f>IF(Table3[[#This Row],[Efficiency Difference]]*0.2146 + 7 &gt; Table3[[#This Row],[Scoring Margin]], 1, 0)</f>
        <v>1</v>
      </c>
      <c r="AB77" s="5">
        <f>IF(Table3[[#This Row],[Efficiency Difference]]*0.2146 + 14 &gt; Table3[[#This Row],[Scoring Margin]], 1, 0)</f>
        <v>1</v>
      </c>
      <c r="AC77" s="5">
        <f>IF(Table3[[#This Row],[Efficiency Difference]]*0.2146 + 21 &gt; Table3[[#This Row],[Scoring Margin]], 1, 0)</f>
        <v>1</v>
      </c>
      <c r="AD77" s="5">
        <f>IF(Table3[[#This Row],[Efficiency Difference]]*0.2146 -7 &gt; Table3[[#This Row],[Scoring Margin]], 1, 0)</f>
        <v>1</v>
      </c>
      <c r="AE77" s="5">
        <f>IF(Table3[[#This Row],[Efficiency Difference]]*0.2146 -3 &gt; Table3[[#This Row],[Scoring Margin]], 1, 0)</f>
        <v>1</v>
      </c>
      <c r="AF77" s="5">
        <f>IF(Table3[[#This Row],[Efficiency Difference]]*0.2146 -5 &gt; Table3[[#This Row],[Scoring Margin]], 1, 0)</f>
        <v>1</v>
      </c>
      <c r="AG77" s="5">
        <f>IF(Table3[[#This Row],[Efficiency Difference]]*0.2146 -10 &gt; Table3[[#This Row],[Scoring Margin]], 1, 0)</f>
        <v>0</v>
      </c>
    </row>
    <row r="78" spans="2:33">
      <c r="B78" s="5">
        <v>70.39</v>
      </c>
      <c r="C78" s="5">
        <v>1</v>
      </c>
      <c r="X78" s="5">
        <v>70.39</v>
      </c>
      <c r="Y78" s="5">
        <v>1</v>
      </c>
      <c r="Z78" s="5">
        <f>IF(Table3[[#This Row],[Efficiency Difference]]*0.2146 &gt; Table3[[#This Row],[Scoring Margin]], 1, 0)</f>
        <v>1</v>
      </c>
      <c r="AA78" s="5">
        <f>IF(Table3[[#This Row],[Efficiency Difference]]*0.2146 + 7 &gt; Table3[[#This Row],[Scoring Margin]], 1, 0)</f>
        <v>1</v>
      </c>
      <c r="AB78" s="5">
        <f>IF(Table3[[#This Row],[Efficiency Difference]]*0.2146 + 14 &gt; Table3[[#This Row],[Scoring Margin]], 1, 0)</f>
        <v>1</v>
      </c>
      <c r="AC78" s="5">
        <f>IF(Table3[[#This Row],[Efficiency Difference]]*0.2146 + 21 &gt; Table3[[#This Row],[Scoring Margin]], 1, 0)</f>
        <v>1</v>
      </c>
      <c r="AD78" s="5">
        <f>IF(Table3[[#This Row],[Efficiency Difference]]*0.2146 -7 &gt; Table3[[#This Row],[Scoring Margin]], 1, 0)</f>
        <v>1</v>
      </c>
      <c r="AE78" s="5">
        <f>IF(Table3[[#This Row],[Efficiency Difference]]*0.2146 -3 &gt; Table3[[#This Row],[Scoring Margin]], 1, 0)</f>
        <v>1</v>
      </c>
      <c r="AF78" s="5">
        <f>IF(Table3[[#This Row],[Efficiency Difference]]*0.2146 -5 &gt; Table3[[#This Row],[Scoring Margin]], 1, 0)</f>
        <v>1</v>
      </c>
      <c r="AG78" s="5">
        <f>IF(Table3[[#This Row],[Efficiency Difference]]*0.2146 -10 &gt; Table3[[#This Row],[Scoring Margin]], 1, 0)</f>
        <v>1</v>
      </c>
    </row>
    <row r="79" spans="2:33">
      <c r="B79" s="5">
        <v>88.71999999999997</v>
      </c>
      <c r="C79" s="5">
        <v>14</v>
      </c>
      <c r="X79" s="5">
        <v>88.71999999999997</v>
      </c>
      <c r="Y79" s="5">
        <v>14</v>
      </c>
      <c r="Z79" s="5">
        <f>IF(Table3[[#This Row],[Efficiency Difference]]*0.2146 &gt; Table3[[#This Row],[Scoring Margin]], 1, 0)</f>
        <v>1</v>
      </c>
      <c r="AA79" s="5">
        <f>IF(Table3[[#This Row],[Efficiency Difference]]*0.2146 + 7 &gt; Table3[[#This Row],[Scoring Margin]], 1, 0)</f>
        <v>1</v>
      </c>
      <c r="AB79" s="5">
        <f>IF(Table3[[#This Row],[Efficiency Difference]]*0.2146 + 14 &gt; Table3[[#This Row],[Scoring Margin]], 1, 0)</f>
        <v>1</v>
      </c>
      <c r="AC79" s="5">
        <f>IF(Table3[[#This Row],[Efficiency Difference]]*0.2146 + 21 &gt; Table3[[#This Row],[Scoring Margin]], 1, 0)</f>
        <v>1</v>
      </c>
      <c r="AD79" s="5">
        <f>IF(Table3[[#This Row],[Efficiency Difference]]*0.2146 -7 &gt; Table3[[#This Row],[Scoring Margin]], 1, 0)</f>
        <v>0</v>
      </c>
      <c r="AE79" s="5">
        <f>IF(Table3[[#This Row],[Efficiency Difference]]*0.2146 -3 &gt; Table3[[#This Row],[Scoring Margin]], 1, 0)</f>
        <v>1</v>
      </c>
      <c r="AF79" s="5">
        <f>IF(Table3[[#This Row],[Efficiency Difference]]*0.2146 -5 &gt; Table3[[#This Row],[Scoring Margin]], 1, 0)</f>
        <v>1</v>
      </c>
      <c r="AG79" s="5">
        <f>IF(Table3[[#This Row],[Efficiency Difference]]*0.2146 -10 &gt; Table3[[#This Row],[Scoring Margin]], 1, 0)</f>
        <v>0</v>
      </c>
    </row>
    <row r="80" spans="2:33">
      <c r="B80" s="5">
        <v>217.8</v>
      </c>
      <c r="C80" s="5">
        <v>45</v>
      </c>
      <c r="X80" s="5">
        <v>217.8</v>
      </c>
      <c r="Y80" s="5">
        <v>45</v>
      </c>
      <c r="Z80" s="5">
        <f>IF(Table3[[#This Row],[Efficiency Difference]]*0.2146 &gt; Table3[[#This Row],[Scoring Margin]], 1, 0)</f>
        <v>1</v>
      </c>
      <c r="AA80" s="5">
        <f>IF(Table3[[#This Row],[Efficiency Difference]]*0.2146 + 7 &gt; Table3[[#This Row],[Scoring Margin]], 1, 0)</f>
        <v>1</v>
      </c>
      <c r="AB80" s="5">
        <f>IF(Table3[[#This Row],[Efficiency Difference]]*0.2146 + 14 &gt; Table3[[#This Row],[Scoring Margin]], 1, 0)</f>
        <v>1</v>
      </c>
      <c r="AC80" s="5">
        <f>IF(Table3[[#This Row],[Efficiency Difference]]*0.2146 + 21 &gt; Table3[[#This Row],[Scoring Margin]], 1, 0)</f>
        <v>1</v>
      </c>
      <c r="AD80" s="5">
        <f>IF(Table3[[#This Row],[Efficiency Difference]]*0.2146 -7 &gt; Table3[[#This Row],[Scoring Margin]], 1, 0)</f>
        <v>0</v>
      </c>
      <c r="AE80" s="5">
        <f>IF(Table3[[#This Row],[Efficiency Difference]]*0.2146 -3 &gt; Table3[[#This Row],[Scoring Margin]], 1, 0)</f>
        <v>0</v>
      </c>
      <c r="AF80" s="5">
        <f>IF(Table3[[#This Row],[Efficiency Difference]]*0.2146 -5 &gt; Table3[[#This Row],[Scoring Margin]], 1, 0)</f>
        <v>0</v>
      </c>
      <c r="AG80" s="5">
        <f>IF(Table3[[#This Row],[Efficiency Difference]]*0.2146 -10 &gt; Table3[[#This Row],[Scoring Margin]], 1, 0)</f>
        <v>0</v>
      </c>
    </row>
    <row r="81" spans="2:33">
      <c r="B81" s="5">
        <v>89.580000000000041</v>
      </c>
      <c r="C81" s="5">
        <v>24</v>
      </c>
      <c r="X81" s="5">
        <v>89.580000000000041</v>
      </c>
      <c r="Y81" s="5">
        <v>24</v>
      </c>
      <c r="Z81" s="5">
        <f>IF(Table3[[#This Row],[Efficiency Difference]]*0.2146 &gt; Table3[[#This Row],[Scoring Margin]], 1, 0)</f>
        <v>0</v>
      </c>
      <c r="AA81" s="5">
        <f>IF(Table3[[#This Row],[Efficiency Difference]]*0.2146 + 7 &gt; Table3[[#This Row],[Scoring Margin]], 1, 0)</f>
        <v>1</v>
      </c>
      <c r="AB81" s="5">
        <f>IF(Table3[[#This Row],[Efficiency Difference]]*0.2146 + 14 &gt; Table3[[#This Row],[Scoring Margin]], 1, 0)</f>
        <v>1</v>
      </c>
      <c r="AC81" s="5">
        <f>IF(Table3[[#This Row],[Efficiency Difference]]*0.2146 + 21 &gt; Table3[[#This Row],[Scoring Margin]], 1, 0)</f>
        <v>1</v>
      </c>
      <c r="AD81" s="5">
        <f>IF(Table3[[#This Row],[Efficiency Difference]]*0.2146 -7 &gt; Table3[[#This Row],[Scoring Margin]], 1, 0)</f>
        <v>0</v>
      </c>
      <c r="AE81" s="5">
        <f>IF(Table3[[#This Row],[Efficiency Difference]]*0.2146 -3 &gt; Table3[[#This Row],[Scoring Margin]], 1, 0)</f>
        <v>0</v>
      </c>
      <c r="AF81" s="5">
        <f>IF(Table3[[#This Row],[Efficiency Difference]]*0.2146 -5 &gt; Table3[[#This Row],[Scoring Margin]], 1, 0)</f>
        <v>0</v>
      </c>
      <c r="AG81" s="5">
        <f>IF(Table3[[#This Row],[Efficiency Difference]]*0.2146 -10 &gt; Table3[[#This Row],[Scoring Margin]], 1, 0)</f>
        <v>0</v>
      </c>
    </row>
    <row r="82" spans="2:33">
      <c r="B82" s="5">
        <v>89.269999999999982</v>
      </c>
      <c r="C82" s="5">
        <v>7</v>
      </c>
      <c r="X82" s="5">
        <v>89.269999999999982</v>
      </c>
      <c r="Y82" s="5">
        <v>7</v>
      </c>
      <c r="Z82" s="5">
        <f>IF(Table3[[#This Row],[Efficiency Difference]]*0.2146 &gt; Table3[[#This Row],[Scoring Margin]], 1, 0)</f>
        <v>1</v>
      </c>
      <c r="AA82" s="5">
        <f>IF(Table3[[#This Row],[Efficiency Difference]]*0.2146 + 7 &gt; Table3[[#This Row],[Scoring Margin]], 1, 0)</f>
        <v>1</v>
      </c>
      <c r="AB82" s="5">
        <f>IF(Table3[[#This Row],[Efficiency Difference]]*0.2146 + 14 &gt; Table3[[#This Row],[Scoring Margin]], 1, 0)</f>
        <v>1</v>
      </c>
      <c r="AC82" s="5">
        <f>IF(Table3[[#This Row],[Efficiency Difference]]*0.2146 + 21 &gt; Table3[[#This Row],[Scoring Margin]], 1, 0)</f>
        <v>1</v>
      </c>
      <c r="AD82" s="5">
        <f>IF(Table3[[#This Row],[Efficiency Difference]]*0.2146 -7 &gt; Table3[[#This Row],[Scoring Margin]], 1, 0)</f>
        <v>1</v>
      </c>
      <c r="AE82" s="5">
        <f>IF(Table3[[#This Row],[Efficiency Difference]]*0.2146 -3 &gt; Table3[[#This Row],[Scoring Margin]], 1, 0)</f>
        <v>1</v>
      </c>
      <c r="AF82" s="5">
        <f>IF(Table3[[#This Row],[Efficiency Difference]]*0.2146 -5 &gt; Table3[[#This Row],[Scoring Margin]], 1, 0)</f>
        <v>1</v>
      </c>
      <c r="AG82" s="5">
        <f>IF(Table3[[#This Row],[Efficiency Difference]]*0.2146 -10 &gt; Table3[[#This Row],[Scoring Margin]], 1, 0)</f>
        <v>1</v>
      </c>
    </row>
    <row r="83" spans="2:33">
      <c r="B83" s="5">
        <v>82.610000000000014</v>
      </c>
      <c r="C83" s="5">
        <v>19</v>
      </c>
      <c r="X83" s="5">
        <v>82.610000000000014</v>
      </c>
      <c r="Y83" s="5">
        <v>19</v>
      </c>
      <c r="Z83" s="5">
        <f>IF(Table3[[#This Row],[Efficiency Difference]]*0.2146 &gt; Table3[[#This Row],[Scoring Margin]], 1, 0)</f>
        <v>0</v>
      </c>
      <c r="AA83" s="5">
        <f>IF(Table3[[#This Row],[Efficiency Difference]]*0.2146 + 7 &gt; Table3[[#This Row],[Scoring Margin]], 1, 0)</f>
        <v>1</v>
      </c>
      <c r="AB83" s="5">
        <f>IF(Table3[[#This Row],[Efficiency Difference]]*0.2146 + 14 &gt; Table3[[#This Row],[Scoring Margin]], 1, 0)</f>
        <v>1</v>
      </c>
      <c r="AC83" s="5">
        <f>IF(Table3[[#This Row],[Efficiency Difference]]*0.2146 + 21 &gt; Table3[[#This Row],[Scoring Margin]], 1, 0)</f>
        <v>1</v>
      </c>
      <c r="AD83" s="5">
        <f>IF(Table3[[#This Row],[Efficiency Difference]]*0.2146 -7 &gt; Table3[[#This Row],[Scoring Margin]], 1, 0)</f>
        <v>0</v>
      </c>
      <c r="AE83" s="5">
        <f>IF(Table3[[#This Row],[Efficiency Difference]]*0.2146 -3 &gt; Table3[[#This Row],[Scoring Margin]], 1, 0)</f>
        <v>0</v>
      </c>
      <c r="AF83" s="5">
        <f>IF(Table3[[#This Row],[Efficiency Difference]]*0.2146 -5 &gt; Table3[[#This Row],[Scoring Margin]], 1, 0)</f>
        <v>0</v>
      </c>
      <c r="AG83" s="5">
        <f>IF(Table3[[#This Row],[Efficiency Difference]]*0.2146 -10 &gt; Table3[[#This Row],[Scoring Margin]], 1, 0)</f>
        <v>0</v>
      </c>
    </row>
    <row r="84" spans="2:33">
      <c r="B84" s="5">
        <v>9.4799999999999898</v>
      </c>
      <c r="C84" s="5">
        <v>3</v>
      </c>
      <c r="X84" s="5">
        <v>9.4799999999999898</v>
      </c>
      <c r="Y84" s="5">
        <v>3</v>
      </c>
      <c r="Z84" s="5">
        <f>IF(Table3[[#This Row],[Efficiency Difference]]*0.2146 &gt; Table3[[#This Row],[Scoring Margin]], 1, 0)</f>
        <v>0</v>
      </c>
      <c r="AA84" s="5">
        <f>IF(Table3[[#This Row],[Efficiency Difference]]*0.2146 + 7 &gt; Table3[[#This Row],[Scoring Margin]], 1, 0)</f>
        <v>1</v>
      </c>
      <c r="AB84" s="5">
        <f>IF(Table3[[#This Row],[Efficiency Difference]]*0.2146 + 14 &gt; Table3[[#This Row],[Scoring Margin]], 1, 0)</f>
        <v>1</v>
      </c>
      <c r="AC84" s="5">
        <f>IF(Table3[[#This Row],[Efficiency Difference]]*0.2146 + 21 &gt; Table3[[#This Row],[Scoring Margin]], 1, 0)</f>
        <v>1</v>
      </c>
      <c r="AD84" s="5">
        <f>IF(Table3[[#This Row],[Efficiency Difference]]*0.2146 -7 &gt; Table3[[#This Row],[Scoring Margin]], 1, 0)</f>
        <v>0</v>
      </c>
      <c r="AE84" s="5">
        <f>IF(Table3[[#This Row],[Efficiency Difference]]*0.2146 -3 &gt; Table3[[#This Row],[Scoring Margin]], 1, 0)</f>
        <v>0</v>
      </c>
      <c r="AF84" s="5">
        <f>IF(Table3[[#This Row],[Efficiency Difference]]*0.2146 -5 &gt; Table3[[#This Row],[Scoring Margin]], 1, 0)</f>
        <v>0</v>
      </c>
      <c r="AG84" s="5">
        <f>IF(Table3[[#This Row],[Efficiency Difference]]*0.2146 -10 &gt; Table3[[#This Row],[Scoring Margin]], 1, 0)</f>
        <v>0</v>
      </c>
    </row>
    <row r="85" spans="2:33">
      <c r="B85" s="5">
        <v>7.039999999999992</v>
      </c>
      <c r="C85" s="5">
        <v>14</v>
      </c>
      <c r="X85" s="5">
        <v>7.039999999999992</v>
      </c>
      <c r="Y85" s="5">
        <v>14</v>
      </c>
      <c r="Z85" s="5">
        <f>IF(Table3[[#This Row],[Efficiency Difference]]*0.2146 &gt; Table3[[#This Row],[Scoring Margin]], 1, 0)</f>
        <v>0</v>
      </c>
      <c r="AA85" s="5">
        <f>IF(Table3[[#This Row],[Efficiency Difference]]*0.2146 + 7 &gt; Table3[[#This Row],[Scoring Margin]], 1, 0)</f>
        <v>0</v>
      </c>
      <c r="AB85" s="5">
        <f>IF(Table3[[#This Row],[Efficiency Difference]]*0.2146 + 14 &gt; Table3[[#This Row],[Scoring Margin]], 1, 0)</f>
        <v>1</v>
      </c>
      <c r="AC85" s="5">
        <f>IF(Table3[[#This Row],[Efficiency Difference]]*0.2146 + 21 &gt; Table3[[#This Row],[Scoring Margin]], 1, 0)</f>
        <v>1</v>
      </c>
      <c r="AD85" s="5">
        <f>IF(Table3[[#This Row],[Efficiency Difference]]*0.2146 -7 &gt; Table3[[#This Row],[Scoring Margin]], 1, 0)</f>
        <v>0</v>
      </c>
      <c r="AE85" s="5">
        <f>IF(Table3[[#This Row],[Efficiency Difference]]*0.2146 -3 &gt; Table3[[#This Row],[Scoring Margin]], 1, 0)</f>
        <v>0</v>
      </c>
      <c r="AF85" s="5">
        <f>IF(Table3[[#This Row],[Efficiency Difference]]*0.2146 -5 &gt; Table3[[#This Row],[Scoring Margin]], 1, 0)</f>
        <v>0</v>
      </c>
      <c r="AG85" s="5">
        <f>IF(Table3[[#This Row],[Efficiency Difference]]*0.2146 -10 &gt; Table3[[#This Row],[Scoring Margin]], 1, 0)</f>
        <v>0</v>
      </c>
    </row>
    <row r="86" spans="2:33">
      <c r="B86" s="5">
        <v>59.360000000000014</v>
      </c>
      <c r="C86" s="5">
        <v>31</v>
      </c>
      <c r="X86" s="5">
        <v>59.360000000000014</v>
      </c>
      <c r="Y86" s="5">
        <v>31</v>
      </c>
      <c r="Z86" s="5">
        <f>IF(Table3[[#This Row],[Efficiency Difference]]*0.2146 &gt; Table3[[#This Row],[Scoring Margin]], 1, 0)</f>
        <v>0</v>
      </c>
      <c r="AA86" s="5">
        <f>IF(Table3[[#This Row],[Efficiency Difference]]*0.2146 + 7 &gt; Table3[[#This Row],[Scoring Margin]], 1, 0)</f>
        <v>0</v>
      </c>
      <c r="AB86" s="5">
        <f>IF(Table3[[#This Row],[Efficiency Difference]]*0.2146 + 14 &gt; Table3[[#This Row],[Scoring Margin]], 1, 0)</f>
        <v>0</v>
      </c>
      <c r="AC86" s="5">
        <f>IF(Table3[[#This Row],[Efficiency Difference]]*0.2146 + 21 &gt; Table3[[#This Row],[Scoring Margin]], 1, 0)</f>
        <v>1</v>
      </c>
      <c r="AD86" s="5">
        <f>IF(Table3[[#This Row],[Efficiency Difference]]*0.2146 -7 &gt; Table3[[#This Row],[Scoring Margin]], 1, 0)</f>
        <v>0</v>
      </c>
      <c r="AE86" s="5">
        <f>IF(Table3[[#This Row],[Efficiency Difference]]*0.2146 -3 &gt; Table3[[#This Row],[Scoring Margin]], 1, 0)</f>
        <v>0</v>
      </c>
      <c r="AF86" s="5">
        <f>IF(Table3[[#This Row],[Efficiency Difference]]*0.2146 -5 &gt; Table3[[#This Row],[Scoring Margin]], 1, 0)</f>
        <v>0</v>
      </c>
      <c r="AG86" s="5">
        <f>IF(Table3[[#This Row],[Efficiency Difference]]*0.2146 -10 &gt; Table3[[#This Row],[Scoring Margin]], 1, 0)</f>
        <v>0</v>
      </c>
    </row>
    <row r="87" spans="2:33">
      <c r="B87" s="5">
        <v>39.220000000000027</v>
      </c>
      <c r="C87" s="5">
        <v>1</v>
      </c>
      <c r="X87" s="5">
        <v>39.220000000000027</v>
      </c>
      <c r="Y87" s="5">
        <v>1</v>
      </c>
      <c r="Z87" s="5">
        <f>IF(Table3[[#This Row],[Efficiency Difference]]*0.2146 &gt; Table3[[#This Row],[Scoring Margin]], 1, 0)</f>
        <v>1</v>
      </c>
      <c r="AA87" s="5">
        <f>IF(Table3[[#This Row],[Efficiency Difference]]*0.2146 + 7 &gt; Table3[[#This Row],[Scoring Margin]], 1, 0)</f>
        <v>1</v>
      </c>
      <c r="AB87" s="5">
        <f>IF(Table3[[#This Row],[Efficiency Difference]]*0.2146 + 14 &gt; Table3[[#This Row],[Scoring Margin]], 1, 0)</f>
        <v>1</v>
      </c>
      <c r="AC87" s="5">
        <f>IF(Table3[[#This Row],[Efficiency Difference]]*0.2146 + 21 &gt; Table3[[#This Row],[Scoring Margin]], 1, 0)</f>
        <v>1</v>
      </c>
      <c r="AD87" s="5">
        <f>IF(Table3[[#This Row],[Efficiency Difference]]*0.2146 -7 &gt; Table3[[#This Row],[Scoring Margin]], 1, 0)</f>
        <v>1</v>
      </c>
      <c r="AE87" s="5">
        <f>IF(Table3[[#This Row],[Efficiency Difference]]*0.2146 -3 &gt; Table3[[#This Row],[Scoring Margin]], 1, 0)</f>
        <v>1</v>
      </c>
      <c r="AF87" s="5">
        <f>IF(Table3[[#This Row],[Efficiency Difference]]*0.2146 -5 &gt; Table3[[#This Row],[Scoring Margin]], 1, 0)</f>
        <v>1</v>
      </c>
      <c r="AG87" s="5">
        <f>IF(Table3[[#This Row],[Efficiency Difference]]*0.2146 -10 &gt; Table3[[#This Row],[Scoring Margin]], 1, 0)</f>
        <v>0</v>
      </c>
    </row>
    <row r="88" spans="2:33">
      <c r="B88" s="5">
        <v>11.259999999999991</v>
      </c>
      <c r="C88" s="5">
        <v>1</v>
      </c>
      <c r="X88" s="5">
        <v>11.259999999999991</v>
      </c>
      <c r="Y88" s="5">
        <v>1</v>
      </c>
      <c r="Z88" s="5">
        <f>IF(Table3[[#This Row],[Efficiency Difference]]*0.2146 &gt; Table3[[#This Row],[Scoring Margin]], 1, 0)</f>
        <v>1</v>
      </c>
      <c r="AA88" s="5">
        <f>IF(Table3[[#This Row],[Efficiency Difference]]*0.2146 + 7 &gt; Table3[[#This Row],[Scoring Margin]], 1, 0)</f>
        <v>1</v>
      </c>
      <c r="AB88" s="5">
        <f>IF(Table3[[#This Row],[Efficiency Difference]]*0.2146 + 14 &gt; Table3[[#This Row],[Scoring Margin]], 1, 0)</f>
        <v>1</v>
      </c>
      <c r="AC88" s="5">
        <f>IF(Table3[[#This Row],[Efficiency Difference]]*0.2146 + 21 &gt; Table3[[#This Row],[Scoring Margin]], 1, 0)</f>
        <v>1</v>
      </c>
      <c r="AD88" s="5">
        <f>IF(Table3[[#This Row],[Efficiency Difference]]*0.2146 -7 &gt; Table3[[#This Row],[Scoring Margin]], 1, 0)</f>
        <v>0</v>
      </c>
      <c r="AE88" s="5">
        <f>IF(Table3[[#This Row],[Efficiency Difference]]*0.2146 -3 &gt; Table3[[#This Row],[Scoring Margin]], 1, 0)</f>
        <v>0</v>
      </c>
      <c r="AF88" s="5">
        <f>IF(Table3[[#This Row],[Efficiency Difference]]*0.2146 -5 &gt; Table3[[#This Row],[Scoring Margin]], 1, 0)</f>
        <v>0</v>
      </c>
      <c r="AG88" s="5">
        <f>IF(Table3[[#This Row],[Efficiency Difference]]*0.2146 -10 &gt; Table3[[#This Row],[Scoring Margin]], 1, 0)</f>
        <v>0</v>
      </c>
    </row>
    <row r="89" spans="2:33">
      <c r="B89" s="5">
        <v>47.46999999999997</v>
      </c>
      <c r="C89" s="5">
        <v>1</v>
      </c>
      <c r="X89" s="5">
        <v>47.46999999999997</v>
      </c>
      <c r="Y89" s="5">
        <v>1</v>
      </c>
      <c r="Z89" s="5">
        <f>IF(Table3[[#This Row],[Efficiency Difference]]*0.2146 &gt; Table3[[#This Row],[Scoring Margin]], 1, 0)</f>
        <v>1</v>
      </c>
      <c r="AA89" s="5">
        <f>IF(Table3[[#This Row],[Efficiency Difference]]*0.2146 + 7 &gt; Table3[[#This Row],[Scoring Margin]], 1, 0)</f>
        <v>1</v>
      </c>
      <c r="AB89" s="5">
        <f>IF(Table3[[#This Row],[Efficiency Difference]]*0.2146 + 14 &gt; Table3[[#This Row],[Scoring Margin]], 1, 0)</f>
        <v>1</v>
      </c>
      <c r="AC89" s="5">
        <f>IF(Table3[[#This Row],[Efficiency Difference]]*0.2146 + 21 &gt; Table3[[#This Row],[Scoring Margin]], 1, 0)</f>
        <v>1</v>
      </c>
      <c r="AD89" s="5">
        <f>IF(Table3[[#This Row],[Efficiency Difference]]*0.2146 -7 &gt; Table3[[#This Row],[Scoring Margin]], 1, 0)</f>
        <v>1</v>
      </c>
      <c r="AE89" s="5">
        <f>IF(Table3[[#This Row],[Efficiency Difference]]*0.2146 -3 &gt; Table3[[#This Row],[Scoring Margin]], 1, 0)</f>
        <v>1</v>
      </c>
      <c r="AF89" s="5">
        <f>IF(Table3[[#This Row],[Efficiency Difference]]*0.2146 -5 &gt; Table3[[#This Row],[Scoring Margin]], 1, 0)</f>
        <v>1</v>
      </c>
      <c r="AG89" s="5">
        <f>IF(Table3[[#This Row],[Efficiency Difference]]*0.2146 -10 &gt; Table3[[#This Row],[Scoring Margin]], 1, 0)</f>
        <v>0</v>
      </c>
    </row>
    <row r="90" spans="2:33">
      <c r="B90" s="5">
        <v>43.099999999999994</v>
      </c>
      <c r="C90" s="5">
        <v>1</v>
      </c>
      <c r="X90" s="5">
        <v>43.099999999999994</v>
      </c>
      <c r="Y90" s="5">
        <v>1</v>
      </c>
      <c r="Z90" s="5">
        <f>IF(Table3[[#This Row],[Efficiency Difference]]*0.2146 &gt; Table3[[#This Row],[Scoring Margin]], 1, 0)</f>
        <v>1</v>
      </c>
      <c r="AA90" s="5">
        <f>IF(Table3[[#This Row],[Efficiency Difference]]*0.2146 + 7 &gt; Table3[[#This Row],[Scoring Margin]], 1, 0)</f>
        <v>1</v>
      </c>
      <c r="AB90" s="5">
        <f>IF(Table3[[#This Row],[Efficiency Difference]]*0.2146 + 14 &gt; Table3[[#This Row],[Scoring Margin]], 1, 0)</f>
        <v>1</v>
      </c>
      <c r="AC90" s="5">
        <f>IF(Table3[[#This Row],[Efficiency Difference]]*0.2146 + 21 &gt; Table3[[#This Row],[Scoring Margin]], 1, 0)</f>
        <v>1</v>
      </c>
      <c r="AD90" s="5">
        <f>IF(Table3[[#This Row],[Efficiency Difference]]*0.2146 -7 &gt; Table3[[#This Row],[Scoring Margin]], 1, 0)</f>
        <v>1</v>
      </c>
      <c r="AE90" s="5">
        <f>IF(Table3[[#This Row],[Efficiency Difference]]*0.2146 -3 &gt; Table3[[#This Row],[Scoring Margin]], 1, 0)</f>
        <v>1</v>
      </c>
      <c r="AF90" s="5">
        <f>IF(Table3[[#This Row],[Efficiency Difference]]*0.2146 -5 &gt; Table3[[#This Row],[Scoring Margin]], 1, 0)</f>
        <v>1</v>
      </c>
      <c r="AG90" s="5">
        <f>IF(Table3[[#This Row],[Efficiency Difference]]*0.2146 -10 &gt; Table3[[#This Row],[Scoring Margin]], 1, 0)</f>
        <v>0</v>
      </c>
    </row>
    <row r="91" spans="2:33">
      <c r="B91" s="5">
        <v>231.26999999999998</v>
      </c>
      <c r="C91" s="5">
        <v>44</v>
      </c>
      <c r="X91" s="5">
        <v>231.26999999999998</v>
      </c>
      <c r="Y91" s="5">
        <v>44</v>
      </c>
      <c r="Z91" s="5">
        <f>IF(Table3[[#This Row],[Efficiency Difference]]*0.2146 &gt; Table3[[#This Row],[Scoring Margin]], 1, 0)</f>
        <v>1</v>
      </c>
      <c r="AA91" s="5">
        <f>IF(Table3[[#This Row],[Efficiency Difference]]*0.2146 + 7 &gt; Table3[[#This Row],[Scoring Margin]], 1, 0)</f>
        <v>1</v>
      </c>
      <c r="AB91" s="5">
        <f>IF(Table3[[#This Row],[Efficiency Difference]]*0.2146 + 14 &gt; Table3[[#This Row],[Scoring Margin]], 1, 0)</f>
        <v>1</v>
      </c>
      <c r="AC91" s="5">
        <f>IF(Table3[[#This Row],[Efficiency Difference]]*0.2146 + 21 &gt; Table3[[#This Row],[Scoring Margin]], 1, 0)</f>
        <v>1</v>
      </c>
      <c r="AD91" s="5">
        <f>IF(Table3[[#This Row],[Efficiency Difference]]*0.2146 -7 &gt; Table3[[#This Row],[Scoring Margin]], 1, 0)</f>
        <v>0</v>
      </c>
      <c r="AE91" s="5">
        <f>IF(Table3[[#This Row],[Efficiency Difference]]*0.2146 -3 &gt; Table3[[#This Row],[Scoring Margin]], 1, 0)</f>
        <v>1</v>
      </c>
      <c r="AF91" s="5">
        <f>IF(Table3[[#This Row],[Efficiency Difference]]*0.2146 -5 &gt; Table3[[#This Row],[Scoring Margin]], 1, 0)</f>
        <v>1</v>
      </c>
      <c r="AG91" s="5">
        <f>IF(Table3[[#This Row],[Efficiency Difference]]*0.2146 -10 &gt; Table3[[#This Row],[Scoring Margin]], 1, 0)</f>
        <v>0</v>
      </c>
    </row>
    <row r="92" spans="2:33">
      <c r="B92" s="5">
        <v>1.1199999999999761</v>
      </c>
      <c r="C92" s="5">
        <v>7</v>
      </c>
      <c r="X92" s="5">
        <v>1.1199999999999761</v>
      </c>
      <c r="Y92" s="5">
        <v>7</v>
      </c>
      <c r="Z92" s="5">
        <f>IF(Table3[[#This Row],[Efficiency Difference]]*0.2146 &gt; Table3[[#This Row],[Scoring Margin]], 1, 0)</f>
        <v>0</v>
      </c>
      <c r="AA92" s="5">
        <f>IF(Table3[[#This Row],[Efficiency Difference]]*0.2146 + 7 &gt; Table3[[#This Row],[Scoring Margin]], 1, 0)</f>
        <v>1</v>
      </c>
      <c r="AB92" s="5">
        <f>IF(Table3[[#This Row],[Efficiency Difference]]*0.2146 + 14 &gt; Table3[[#This Row],[Scoring Margin]], 1, 0)</f>
        <v>1</v>
      </c>
      <c r="AC92" s="5">
        <f>IF(Table3[[#This Row],[Efficiency Difference]]*0.2146 + 21 &gt; Table3[[#This Row],[Scoring Margin]], 1, 0)</f>
        <v>1</v>
      </c>
      <c r="AD92" s="5">
        <f>IF(Table3[[#This Row],[Efficiency Difference]]*0.2146 -7 &gt; Table3[[#This Row],[Scoring Margin]], 1, 0)</f>
        <v>0</v>
      </c>
      <c r="AE92" s="5">
        <f>IF(Table3[[#This Row],[Efficiency Difference]]*0.2146 -3 &gt; Table3[[#This Row],[Scoring Margin]], 1, 0)</f>
        <v>0</v>
      </c>
      <c r="AF92" s="5">
        <f>IF(Table3[[#This Row],[Efficiency Difference]]*0.2146 -5 &gt; Table3[[#This Row],[Scoring Margin]], 1, 0)</f>
        <v>0</v>
      </c>
      <c r="AG92" s="5">
        <f>IF(Table3[[#This Row],[Efficiency Difference]]*0.2146 -10 &gt; Table3[[#This Row],[Scoring Margin]], 1, 0)</f>
        <v>0</v>
      </c>
    </row>
    <row r="93" spans="2:33">
      <c r="B93" s="5">
        <v>75.02000000000001</v>
      </c>
      <c r="C93" s="5">
        <v>3</v>
      </c>
      <c r="X93" s="5">
        <v>75.02000000000001</v>
      </c>
      <c r="Y93" s="5">
        <v>3</v>
      </c>
      <c r="Z93" s="5">
        <f>IF(Table3[[#This Row],[Efficiency Difference]]*0.2146 &gt; Table3[[#This Row],[Scoring Margin]], 1, 0)</f>
        <v>1</v>
      </c>
      <c r="AA93" s="5">
        <f>IF(Table3[[#This Row],[Efficiency Difference]]*0.2146 + 7 &gt; Table3[[#This Row],[Scoring Margin]], 1, 0)</f>
        <v>1</v>
      </c>
      <c r="AB93" s="5">
        <f>IF(Table3[[#This Row],[Efficiency Difference]]*0.2146 + 14 &gt; Table3[[#This Row],[Scoring Margin]], 1, 0)</f>
        <v>1</v>
      </c>
      <c r="AC93" s="5">
        <f>IF(Table3[[#This Row],[Efficiency Difference]]*0.2146 + 21 &gt; Table3[[#This Row],[Scoring Margin]], 1, 0)</f>
        <v>1</v>
      </c>
      <c r="AD93" s="5">
        <f>IF(Table3[[#This Row],[Efficiency Difference]]*0.2146 -7 &gt; Table3[[#This Row],[Scoring Margin]], 1, 0)</f>
        <v>1</v>
      </c>
      <c r="AE93" s="5">
        <f>IF(Table3[[#This Row],[Efficiency Difference]]*0.2146 -3 &gt; Table3[[#This Row],[Scoring Margin]], 1, 0)</f>
        <v>1</v>
      </c>
      <c r="AF93" s="5">
        <f>IF(Table3[[#This Row],[Efficiency Difference]]*0.2146 -5 &gt; Table3[[#This Row],[Scoring Margin]], 1, 0)</f>
        <v>1</v>
      </c>
      <c r="AG93" s="5">
        <f>IF(Table3[[#This Row],[Efficiency Difference]]*0.2146 -10 &gt; Table3[[#This Row],[Scoring Margin]], 1, 0)</f>
        <v>1</v>
      </c>
    </row>
    <row r="94" spans="2:33">
      <c r="B94" s="5">
        <v>50.879999999999995</v>
      </c>
      <c r="C94" s="5">
        <v>13</v>
      </c>
      <c r="X94" s="5">
        <v>50.879999999999995</v>
      </c>
      <c r="Y94" s="5">
        <v>13</v>
      </c>
      <c r="Z94" s="5">
        <f>IF(Table3[[#This Row],[Efficiency Difference]]*0.2146 &gt; Table3[[#This Row],[Scoring Margin]], 1, 0)</f>
        <v>0</v>
      </c>
      <c r="AA94" s="5">
        <f>IF(Table3[[#This Row],[Efficiency Difference]]*0.2146 + 7 &gt; Table3[[#This Row],[Scoring Margin]], 1, 0)</f>
        <v>1</v>
      </c>
      <c r="AB94" s="5">
        <f>IF(Table3[[#This Row],[Efficiency Difference]]*0.2146 + 14 &gt; Table3[[#This Row],[Scoring Margin]], 1, 0)</f>
        <v>1</v>
      </c>
      <c r="AC94" s="5">
        <f>IF(Table3[[#This Row],[Efficiency Difference]]*0.2146 + 21 &gt; Table3[[#This Row],[Scoring Margin]], 1, 0)</f>
        <v>1</v>
      </c>
      <c r="AD94" s="5">
        <f>IF(Table3[[#This Row],[Efficiency Difference]]*0.2146 -7 &gt; Table3[[#This Row],[Scoring Margin]], 1, 0)</f>
        <v>0</v>
      </c>
      <c r="AE94" s="5">
        <f>IF(Table3[[#This Row],[Efficiency Difference]]*0.2146 -3 &gt; Table3[[#This Row],[Scoring Margin]], 1, 0)</f>
        <v>0</v>
      </c>
      <c r="AF94" s="5">
        <f>IF(Table3[[#This Row],[Efficiency Difference]]*0.2146 -5 &gt; Table3[[#This Row],[Scoring Margin]], 1, 0)</f>
        <v>0</v>
      </c>
      <c r="AG94" s="5">
        <f>IF(Table3[[#This Row],[Efficiency Difference]]*0.2146 -10 &gt; Table3[[#This Row],[Scoring Margin]], 1, 0)</f>
        <v>0</v>
      </c>
    </row>
    <row r="95" spans="2:33">
      <c r="B95" s="5">
        <v>103.29000000000002</v>
      </c>
      <c r="C95" s="5">
        <v>10</v>
      </c>
      <c r="X95" s="5">
        <v>103.29000000000002</v>
      </c>
      <c r="Y95" s="5">
        <v>10</v>
      </c>
      <c r="Z95" s="5">
        <f>IF(Table3[[#This Row],[Efficiency Difference]]*0.2146 &gt; Table3[[#This Row],[Scoring Margin]], 1, 0)</f>
        <v>1</v>
      </c>
      <c r="AA95" s="5">
        <f>IF(Table3[[#This Row],[Efficiency Difference]]*0.2146 + 7 &gt; Table3[[#This Row],[Scoring Margin]], 1, 0)</f>
        <v>1</v>
      </c>
      <c r="AB95" s="5">
        <f>IF(Table3[[#This Row],[Efficiency Difference]]*0.2146 + 14 &gt; Table3[[#This Row],[Scoring Margin]], 1, 0)</f>
        <v>1</v>
      </c>
      <c r="AC95" s="5">
        <f>IF(Table3[[#This Row],[Efficiency Difference]]*0.2146 + 21 &gt; Table3[[#This Row],[Scoring Margin]], 1, 0)</f>
        <v>1</v>
      </c>
      <c r="AD95" s="5">
        <f>IF(Table3[[#This Row],[Efficiency Difference]]*0.2146 -7 &gt; Table3[[#This Row],[Scoring Margin]], 1, 0)</f>
        <v>1</v>
      </c>
      <c r="AE95" s="5">
        <f>IF(Table3[[#This Row],[Efficiency Difference]]*0.2146 -3 &gt; Table3[[#This Row],[Scoring Margin]], 1, 0)</f>
        <v>1</v>
      </c>
      <c r="AF95" s="5">
        <f>IF(Table3[[#This Row],[Efficiency Difference]]*0.2146 -5 &gt; Table3[[#This Row],[Scoring Margin]], 1, 0)</f>
        <v>1</v>
      </c>
      <c r="AG95" s="5">
        <f>IF(Table3[[#This Row],[Efficiency Difference]]*0.2146 -10 &gt; Table3[[#This Row],[Scoring Margin]], 1, 0)</f>
        <v>1</v>
      </c>
    </row>
    <row r="96" spans="2:33">
      <c r="B96" s="5">
        <v>46.260000000000019</v>
      </c>
      <c r="C96" s="5">
        <v>15</v>
      </c>
      <c r="X96" s="5">
        <v>46.260000000000019</v>
      </c>
      <c r="Y96" s="5">
        <v>15</v>
      </c>
      <c r="Z96" s="5">
        <f>IF(Table3[[#This Row],[Efficiency Difference]]*0.2146 &gt; Table3[[#This Row],[Scoring Margin]], 1, 0)</f>
        <v>0</v>
      </c>
      <c r="AA96" s="5">
        <f>IF(Table3[[#This Row],[Efficiency Difference]]*0.2146 + 7 &gt; Table3[[#This Row],[Scoring Margin]], 1, 0)</f>
        <v>1</v>
      </c>
      <c r="AB96" s="5">
        <f>IF(Table3[[#This Row],[Efficiency Difference]]*0.2146 + 14 &gt; Table3[[#This Row],[Scoring Margin]], 1, 0)</f>
        <v>1</v>
      </c>
      <c r="AC96" s="5">
        <f>IF(Table3[[#This Row],[Efficiency Difference]]*0.2146 + 21 &gt; Table3[[#This Row],[Scoring Margin]], 1, 0)</f>
        <v>1</v>
      </c>
      <c r="AD96" s="5">
        <f>IF(Table3[[#This Row],[Efficiency Difference]]*0.2146 -7 &gt; Table3[[#This Row],[Scoring Margin]], 1, 0)</f>
        <v>0</v>
      </c>
      <c r="AE96" s="5">
        <f>IF(Table3[[#This Row],[Efficiency Difference]]*0.2146 -3 &gt; Table3[[#This Row],[Scoring Margin]], 1, 0)</f>
        <v>0</v>
      </c>
      <c r="AF96" s="5">
        <f>IF(Table3[[#This Row],[Efficiency Difference]]*0.2146 -5 &gt; Table3[[#This Row],[Scoring Margin]], 1, 0)</f>
        <v>0</v>
      </c>
      <c r="AG96" s="5">
        <f>IF(Table3[[#This Row],[Efficiency Difference]]*0.2146 -10 &gt; Table3[[#This Row],[Scoring Margin]], 1, 0)</f>
        <v>0</v>
      </c>
    </row>
    <row r="97" spans="2:33">
      <c r="B97" s="5">
        <v>13.299999999999983</v>
      </c>
      <c r="C97" s="5">
        <v>3</v>
      </c>
      <c r="X97" s="5">
        <v>13.299999999999983</v>
      </c>
      <c r="Y97" s="5">
        <v>3</v>
      </c>
      <c r="Z97" s="5">
        <f>IF(Table3[[#This Row],[Efficiency Difference]]*0.2146 &gt; Table3[[#This Row],[Scoring Margin]], 1, 0)</f>
        <v>0</v>
      </c>
      <c r="AA97" s="5">
        <f>IF(Table3[[#This Row],[Efficiency Difference]]*0.2146 + 7 &gt; Table3[[#This Row],[Scoring Margin]], 1, 0)</f>
        <v>1</v>
      </c>
      <c r="AB97" s="5">
        <f>IF(Table3[[#This Row],[Efficiency Difference]]*0.2146 + 14 &gt; Table3[[#This Row],[Scoring Margin]], 1, 0)</f>
        <v>1</v>
      </c>
      <c r="AC97" s="5">
        <f>IF(Table3[[#This Row],[Efficiency Difference]]*0.2146 + 21 &gt; Table3[[#This Row],[Scoring Margin]], 1, 0)</f>
        <v>1</v>
      </c>
      <c r="AD97" s="5">
        <f>IF(Table3[[#This Row],[Efficiency Difference]]*0.2146 -7 &gt; Table3[[#This Row],[Scoring Margin]], 1, 0)</f>
        <v>0</v>
      </c>
      <c r="AE97" s="5">
        <f>IF(Table3[[#This Row],[Efficiency Difference]]*0.2146 -3 &gt; Table3[[#This Row],[Scoring Margin]], 1, 0)</f>
        <v>0</v>
      </c>
      <c r="AF97" s="5">
        <f>IF(Table3[[#This Row],[Efficiency Difference]]*0.2146 -5 &gt; Table3[[#This Row],[Scoring Margin]], 1, 0)</f>
        <v>0</v>
      </c>
      <c r="AG97" s="5">
        <f>IF(Table3[[#This Row],[Efficiency Difference]]*0.2146 -10 &gt; Table3[[#This Row],[Scoring Margin]], 1, 0)</f>
        <v>0</v>
      </c>
    </row>
    <row r="98" spans="2:33">
      <c r="B98" s="5">
        <v>42.579999999999984</v>
      </c>
      <c r="C98" s="5">
        <v>8</v>
      </c>
      <c r="X98" s="5">
        <v>42.579999999999984</v>
      </c>
      <c r="Y98" s="5">
        <v>8</v>
      </c>
      <c r="Z98" s="5">
        <f>IF(Table3[[#This Row],[Efficiency Difference]]*0.2146 &gt; Table3[[#This Row],[Scoring Margin]], 1, 0)</f>
        <v>1</v>
      </c>
      <c r="AA98" s="5">
        <f>IF(Table3[[#This Row],[Efficiency Difference]]*0.2146 + 7 &gt; Table3[[#This Row],[Scoring Margin]], 1, 0)</f>
        <v>1</v>
      </c>
      <c r="AB98" s="5">
        <f>IF(Table3[[#This Row],[Efficiency Difference]]*0.2146 + 14 &gt; Table3[[#This Row],[Scoring Margin]], 1, 0)</f>
        <v>1</v>
      </c>
      <c r="AC98" s="5">
        <f>IF(Table3[[#This Row],[Efficiency Difference]]*0.2146 + 21 &gt; Table3[[#This Row],[Scoring Margin]], 1, 0)</f>
        <v>1</v>
      </c>
      <c r="AD98" s="5">
        <f>IF(Table3[[#This Row],[Efficiency Difference]]*0.2146 -7 &gt; Table3[[#This Row],[Scoring Margin]], 1, 0)</f>
        <v>0</v>
      </c>
      <c r="AE98" s="5">
        <f>IF(Table3[[#This Row],[Efficiency Difference]]*0.2146 -3 &gt; Table3[[#This Row],[Scoring Margin]], 1, 0)</f>
        <v>0</v>
      </c>
      <c r="AF98" s="5">
        <f>IF(Table3[[#This Row],[Efficiency Difference]]*0.2146 -5 &gt; Table3[[#This Row],[Scoring Margin]], 1, 0)</f>
        <v>0</v>
      </c>
      <c r="AG98" s="5">
        <f>IF(Table3[[#This Row],[Efficiency Difference]]*0.2146 -10 &gt; Table3[[#This Row],[Scoring Margin]], 1, 0)</f>
        <v>0</v>
      </c>
    </row>
    <row r="99" spans="2:33">
      <c r="B99" s="5">
        <v>73.96999999999997</v>
      </c>
      <c r="C99" s="5">
        <v>28</v>
      </c>
      <c r="X99" s="5">
        <v>73.96999999999997</v>
      </c>
      <c r="Y99" s="5">
        <v>28</v>
      </c>
      <c r="Z99" s="5">
        <f>IF(Table3[[#This Row],[Efficiency Difference]]*0.2146 &gt; Table3[[#This Row],[Scoring Margin]], 1, 0)</f>
        <v>0</v>
      </c>
      <c r="AA99" s="5">
        <f>IF(Table3[[#This Row],[Efficiency Difference]]*0.2146 + 7 &gt; Table3[[#This Row],[Scoring Margin]], 1, 0)</f>
        <v>0</v>
      </c>
      <c r="AB99" s="5">
        <f>IF(Table3[[#This Row],[Efficiency Difference]]*0.2146 + 14 &gt; Table3[[#This Row],[Scoring Margin]], 1, 0)</f>
        <v>1</v>
      </c>
      <c r="AC99" s="5">
        <f>IF(Table3[[#This Row],[Efficiency Difference]]*0.2146 + 21 &gt; Table3[[#This Row],[Scoring Margin]], 1, 0)</f>
        <v>1</v>
      </c>
      <c r="AD99" s="5">
        <f>IF(Table3[[#This Row],[Efficiency Difference]]*0.2146 -7 &gt; Table3[[#This Row],[Scoring Margin]], 1, 0)</f>
        <v>0</v>
      </c>
      <c r="AE99" s="5">
        <f>IF(Table3[[#This Row],[Efficiency Difference]]*0.2146 -3 &gt; Table3[[#This Row],[Scoring Margin]], 1, 0)</f>
        <v>0</v>
      </c>
      <c r="AF99" s="5">
        <f>IF(Table3[[#This Row],[Efficiency Difference]]*0.2146 -5 &gt; Table3[[#This Row],[Scoring Margin]], 1, 0)</f>
        <v>0</v>
      </c>
      <c r="AG99" s="5">
        <f>IF(Table3[[#This Row],[Efficiency Difference]]*0.2146 -10 &gt; Table3[[#This Row],[Scoring Margin]], 1, 0)</f>
        <v>0</v>
      </c>
    </row>
    <row r="100" spans="2:33">
      <c r="B100" s="5">
        <v>66.659999999999982</v>
      </c>
      <c r="C100" s="5">
        <v>21</v>
      </c>
      <c r="X100" s="5">
        <v>66.659999999999982</v>
      </c>
      <c r="Y100" s="5">
        <v>21</v>
      </c>
      <c r="Z100" s="5">
        <f>IF(Table3[[#This Row],[Efficiency Difference]]*0.2146 &gt; Table3[[#This Row],[Scoring Margin]], 1, 0)</f>
        <v>0</v>
      </c>
      <c r="AA100" s="5">
        <f>IF(Table3[[#This Row],[Efficiency Difference]]*0.2146 + 7 &gt; Table3[[#This Row],[Scoring Margin]], 1, 0)</f>
        <v>1</v>
      </c>
      <c r="AB100" s="5">
        <f>IF(Table3[[#This Row],[Efficiency Difference]]*0.2146 + 14 &gt; Table3[[#This Row],[Scoring Margin]], 1, 0)</f>
        <v>1</v>
      </c>
      <c r="AC100" s="5">
        <f>IF(Table3[[#This Row],[Efficiency Difference]]*0.2146 + 21 &gt; Table3[[#This Row],[Scoring Margin]], 1, 0)</f>
        <v>1</v>
      </c>
      <c r="AD100" s="5">
        <f>IF(Table3[[#This Row],[Efficiency Difference]]*0.2146 -7 &gt; Table3[[#This Row],[Scoring Margin]], 1, 0)</f>
        <v>0</v>
      </c>
      <c r="AE100" s="5">
        <f>IF(Table3[[#This Row],[Efficiency Difference]]*0.2146 -3 &gt; Table3[[#This Row],[Scoring Margin]], 1, 0)</f>
        <v>0</v>
      </c>
      <c r="AF100" s="5">
        <f>IF(Table3[[#This Row],[Efficiency Difference]]*0.2146 -5 &gt; Table3[[#This Row],[Scoring Margin]], 1, 0)</f>
        <v>0</v>
      </c>
      <c r="AG100" s="5">
        <f>IF(Table3[[#This Row],[Efficiency Difference]]*0.2146 -10 &gt; Table3[[#This Row],[Scoring Margin]], 1, 0)</f>
        <v>0</v>
      </c>
    </row>
    <row r="101" spans="2:33">
      <c r="B101" s="5">
        <v>141.20999999999998</v>
      </c>
      <c r="C101" s="5">
        <v>24</v>
      </c>
      <c r="X101" s="5">
        <v>141.20999999999998</v>
      </c>
      <c r="Y101" s="5">
        <v>24</v>
      </c>
      <c r="Z101" s="5">
        <f>IF(Table3[[#This Row],[Efficiency Difference]]*0.2146 &gt; Table3[[#This Row],[Scoring Margin]], 1, 0)</f>
        <v>1</v>
      </c>
      <c r="AA101" s="5">
        <f>IF(Table3[[#This Row],[Efficiency Difference]]*0.2146 + 7 &gt; Table3[[#This Row],[Scoring Margin]], 1, 0)</f>
        <v>1</v>
      </c>
      <c r="AB101" s="5">
        <f>IF(Table3[[#This Row],[Efficiency Difference]]*0.2146 + 14 &gt; Table3[[#This Row],[Scoring Margin]], 1, 0)</f>
        <v>1</v>
      </c>
      <c r="AC101" s="5">
        <f>IF(Table3[[#This Row],[Efficiency Difference]]*0.2146 + 21 &gt; Table3[[#This Row],[Scoring Margin]], 1, 0)</f>
        <v>1</v>
      </c>
      <c r="AD101" s="5">
        <f>IF(Table3[[#This Row],[Efficiency Difference]]*0.2146 -7 &gt; Table3[[#This Row],[Scoring Margin]], 1, 0)</f>
        <v>0</v>
      </c>
      <c r="AE101" s="5">
        <f>IF(Table3[[#This Row],[Efficiency Difference]]*0.2146 -3 &gt; Table3[[#This Row],[Scoring Margin]], 1, 0)</f>
        <v>1</v>
      </c>
      <c r="AF101" s="5">
        <f>IF(Table3[[#This Row],[Efficiency Difference]]*0.2146 -5 &gt; Table3[[#This Row],[Scoring Margin]], 1, 0)</f>
        <v>1</v>
      </c>
      <c r="AG101" s="5">
        <f>IF(Table3[[#This Row],[Efficiency Difference]]*0.2146 -10 &gt; Table3[[#This Row],[Scoring Margin]], 1, 0)</f>
        <v>0</v>
      </c>
    </row>
    <row r="102" spans="2:33">
      <c r="B102" s="5">
        <v>77.539999999999992</v>
      </c>
      <c r="C102" s="5">
        <v>14</v>
      </c>
      <c r="X102" s="5">
        <v>77.539999999999992</v>
      </c>
      <c r="Y102" s="5">
        <v>14</v>
      </c>
      <c r="Z102" s="5">
        <f>IF(Table3[[#This Row],[Efficiency Difference]]*0.2146 &gt; Table3[[#This Row],[Scoring Margin]], 1, 0)</f>
        <v>1</v>
      </c>
      <c r="AA102" s="5">
        <f>IF(Table3[[#This Row],[Efficiency Difference]]*0.2146 + 7 &gt; Table3[[#This Row],[Scoring Margin]], 1, 0)</f>
        <v>1</v>
      </c>
      <c r="AB102" s="5">
        <f>IF(Table3[[#This Row],[Efficiency Difference]]*0.2146 + 14 &gt; Table3[[#This Row],[Scoring Margin]], 1, 0)</f>
        <v>1</v>
      </c>
      <c r="AC102" s="5">
        <f>IF(Table3[[#This Row],[Efficiency Difference]]*0.2146 + 21 &gt; Table3[[#This Row],[Scoring Margin]], 1, 0)</f>
        <v>1</v>
      </c>
      <c r="AD102" s="5">
        <f>IF(Table3[[#This Row],[Efficiency Difference]]*0.2146 -7 &gt; Table3[[#This Row],[Scoring Margin]], 1, 0)</f>
        <v>0</v>
      </c>
      <c r="AE102" s="5">
        <f>IF(Table3[[#This Row],[Efficiency Difference]]*0.2146 -3 &gt; Table3[[#This Row],[Scoring Margin]], 1, 0)</f>
        <v>0</v>
      </c>
      <c r="AF102" s="5">
        <f>IF(Table3[[#This Row],[Efficiency Difference]]*0.2146 -5 &gt; Table3[[#This Row],[Scoring Margin]], 1, 0)</f>
        <v>0</v>
      </c>
      <c r="AG102" s="5">
        <f>IF(Table3[[#This Row],[Efficiency Difference]]*0.2146 -10 &gt; Table3[[#This Row],[Scoring Margin]], 1, 0)</f>
        <v>0</v>
      </c>
    </row>
    <row r="103" spans="2:33">
      <c r="B103" s="5">
        <v>0.46999999999999886</v>
      </c>
      <c r="C103" s="5">
        <v>30</v>
      </c>
      <c r="X103" s="5">
        <v>0.46999999999999886</v>
      </c>
      <c r="Y103" s="5">
        <v>30</v>
      </c>
      <c r="Z103" s="5">
        <f>IF(Table3[[#This Row],[Efficiency Difference]]*0.2146 &gt; Table3[[#This Row],[Scoring Margin]], 1, 0)</f>
        <v>0</v>
      </c>
      <c r="AA103" s="5">
        <f>IF(Table3[[#This Row],[Efficiency Difference]]*0.2146 + 7 &gt; Table3[[#This Row],[Scoring Margin]], 1, 0)</f>
        <v>0</v>
      </c>
      <c r="AB103" s="5">
        <f>IF(Table3[[#This Row],[Efficiency Difference]]*0.2146 + 14 &gt; Table3[[#This Row],[Scoring Margin]], 1, 0)</f>
        <v>0</v>
      </c>
      <c r="AC103" s="5">
        <f>IF(Table3[[#This Row],[Efficiency Difference]]*0.2146 + 21 &gt; Table3[[#This Row],[Scoring Margin]], 1, 0)</f>
        <v>0</v>
      </c>
      <c r="AD103" s="5">
        <f>IF(Table3[[#This Row],[Efficiency Difference]]*0.2146 -7 &gt; Table3[[#This Row],[Scoring Margin]], 1, 0)</f>
        <v>0</v>
      </c>
      <c r="AE103" s="5">
        <f>IF(Table3[[#This Row],[Efficiency Difference]]*0.2146 -3 &gt; Table3[[#This Row],[Scoring Margin]], 1, 0)</f>
        <v>0</v>
      </c>
      <c r="AF103" s="5">
        <f>IF(Table3[[#This Row],[Efficiency Difference]]*0.2146 -5 &gt; Table3[[#This Row],[Scoring Margin]], 1, 0)</f>
        <v>0</v>
      </c>
      <c r="AG103" s="5">
        <f>IF(Table3[[#This Row],[Efficiency Difference]]*0.2146 -10 &gt; Table3[[#This Row],[Scoring Margin]], 1, 0)</f>
        <v>0</v>
      </c>
    </row>
    <row r="104" spans="2:33">
      <c r="B104" s="5">
        <v>178.44</v>
      </c>
      <c r="C104" s="5">
        <v>38</v>
      </c>
      <c r="X104" s="5">
        <v>178.44</v>
      </c>
      <c r="Y104" s="5">
        <v>38</v>
      </c>
      <c r="Z104" s="5">
        <f>IF(Table3[[#This Row],[Efficiency Difference]]*0.2146 &gt; Table3[[#This Row],[Scoring Margin]], 1, 0)</f>
        <v>1</v>
      </c>
      <c r="AA104" s="5">
        <f>IF(Table3[[#This Row],[Efficiency Difference]]*0.2146 + 7 &gt; Table3[[#This Row],[Scoring Margin]], 1, 0)</f>
        <v>1</v>
      </c>
      <c r="AB104" s="5">
        <f>IF(Table3[[#This Row],[Efficiency Difference]]*0.2146 + 14 &gt; Table3[[#This Row],[Scoring Margin]], 1, 0)</f>
        <v>1</v>
      </c>
      <c r="AC104" s="5">
        <f>IF(Table3[[#This Row],[Efficiency Difference]]*0.2146 + 21 &gt; Table3[[#This Row],[Scoring Margin]], 1, 0)</f>
        <v>1</v>
      </c>
      <c r="AD104" s="5">
        <f>IF(Table3[[#This Row],[Efficiency Difference]]*0.2146 -7 &gt; Table3[[#This Row],[Scoring Margin]], 1, 0)</f>
        <v>0</v>
      </c>
      <c r="AE104" s="5">
        <f>IF(Table3[[#This Row],[Efficiency Difference]]*0.2146 -3 &gt; Table3[[#This Row],[Scoring Margin]], 1, 0)</f>
        <v>0</v>
      </c>
      <c r="AF104" s="5">
        <f>IF(Table3[[#This Row],[Efficiency Difference]]*0.2146 -5 &gt; Table3[[#This Row],[Scoring Margin]], 1, 0)</f>
        <v>0</v>
      </c>
      <c r="AG104" s="5">
        <f>IF(Table3[[#This Row],[Efficiency Difference]]*0.2146 -10 &gt; Table3[[#This Row],[Scoring Margin]], 1, 0)</f>
        <v>0</v>
      </c>
    </row>
    <row r="105" spans="2:33">
      <c r="B105" s="5">
        <v>86.610000000000014</v>
      </c>
      <c r="C105" s="5">
        <v>7</v>
      </c>
      <c r="X105" s="5">
        <v>86.610000000000014</v>
      </c>
      <c r="Y105" s="5">
        <v>7</v>
      </c>
      <c r="Z105" s="5">
        <f>IF(Table3[[#This Row],[Efficiency Difference]]*0.2146 &gt; Table3[[#This Row],[Scoring Margin]], 1, 0)</f>
        <v>1</v>
      </c>
      <c r="AA105" s="5">
        <f>IF(Table3[[#This Row],[Efficiency Difference]]*0.2146 + 7 &gt; Table3[[#This Row],[Scoring Margin]], 1, 0)</f>
        <v>1</v>
      </c>
      <c r="AB105" s="5">
        <f>IF(Table3[[#This Row],[Efficiency Difference]]*0.2146 + 14 &gt; Table3[[#This Row],[Scoring Margin]], 1, 0)</f>
        <v>1</v>
      </c>
      <c r="AC105" s="5">
        <f>IF(Table3[[#This Row],[Efficiency Difference]]*0.2146 + 21 &gt; Table3[[#This Row],[Scoring Margin]], 1, 0)</f>
        <v>1</v>
      </c>
      <c r="AD105" s="5">
        <f>IF(Table3[[#This Row],[Efficiency Difference]]*0.2146 -7 &gt; Table3[[#This Row],[Scoring Margin]], 1, 0)</f>
        <v>1</v>
      </c>
      <c r="AE105" s="5">
        <f>IF(Table3[[#This Row],[Efficiency Difference]]*0.2146 -3 &gt; Table3[[#This Row],[Scoring Margin]], 1, 0)</f>
        <v>1</v>
      </c>
      <c r="AF105" s="5">
        <f>IF(Table3[[#This Row],[Efficiency Difference]]*0.2146 -5 &gt; Table3[[#This Row],[Scoring Margin]], 1, 0)</f>
        <v>1</v>
      </c>
      <c r="AG105" s="5">
        <f>IF(Table3[[#This Row],[Efficiency Difference]]*0.2146 -10 &gt; Table3[[#This Row],[Scoring Margin]], 1, 0)</f>
        <v>1</v>
      </c>
    </row>
    <row r="106" spans="2:33">
      <c r="B106" s="5">
        <v>46.53</v>
      </c>
      <c r="C106" s="5">
        <v>14</v>
      </c>
      <c r="X106" s="5">
        <v>46.53</v>
      </c>
      <c r="Y106" s="5">
        <v>14</v>
      </c>
      <c r="Z106" s="5">
        <f>IF(Table3[[#This Row],[Efficiency Difference]]*0.2146 &gt; Table3[[#This Row],[Scoring Margin]], 1, 0)</f>
        <v>0</v>
      </c>
      <c r="AA106" s="5">
        <f>IF(Table3[[#This Row],[Efficiency Difference]]*0.2146 + 7 &gt; Table3[[#This Row],[Scoring Margin]], 1, 0)</f>
        <v>1</v>
      </c>
      <c r="AB106" s="5">
        <f>IF(Table3[[#This Row],[Efficiency Difference]]*0.2146 + 14 &gt; Table3[[#This Row],[Scoring Margin]], 1, 0)</f>
        <v>1</v>
      </c>
      <c r="AC106" s="5">
        <f>IF(Table3[[#This Row],[Efficiency Difference]]*0.2146 + 21 &gt; Table3[[#This Row],[Scoring Margin]], 1, 0)</f>
        <v>1</v>
      </c>
      <c r="AD106" s="5">
        <f>IF(Table3[[#This Row],[Efficiency Difference]]*0.2146 -7 &gt; Table3[[#This Row],[Scoring Margin]], 1, 0)</f>
        <v>0</v>
      </c>
      <c r="AE106" s="5">
        <f>IF(Table3[[#This Row],[Efficiency Difference]]*0.2146 -3 &gt; Table3[[#This Row],[Scoring Margin]], 1, 0)</f>
        <v>0</v>
      </c>
      <c r="AF106" s="5">
        <f>IF(Table3[[#This Row],[Efficiency Difference]]*0.2146 -5 &gt; Table3[[#This Row],[Scoring Margin]], 1, 0)</f>
        <v>0</v>
      </c>
      <c r="AG106" s="5">
        <f>IF(Table3[[#This Row],[Efficiency Difference]]*0.2146 -10 &gt; Table3[[#This Row],[Scoring Margin]], 1, 0)</f>
        <v>0</v>
      </c>
    </row>
    <row r="107" spans="2:33">
      <c r="B107" s="5">
        <v>15.230000000000018</v>
      </c>
      <c r="C107" s="5">
        <v>4</v>
      </c>
      <c r="X107" s="5">
        <v>15.230000000000018</v>
      </c>
      <c r="Y107" s="5">
        <v>4</v>
      </c>
      <c r="Z107" s="5">
        <f>IF(Table3[[#This Row],[Efficiency Difference]]*0.2146 &gt; Table3[[#This Row],[Scoring Margin]], 1, 0)</f>
        <v>0</v>
      </c>
      <c r="AA107" s="5">
        <f>IF(Table3[[#This Row],[Efficiency Difference]]*0.2146 + 7 &gt; Table3[[#This Row],[Scoring Margin]], 1, 0)</f>
        <v>1</v>
      </c>
      <c r="AB107" s="5">
        <f>IF(Table3[[#This Row],[Efficiency Difference]]*0.2146 + 14 &gt; Table3[[#This Row],[Scoring Margin]], 1, 0)</f>
        <v>1</v>
      </c>
      <c r="AC107" s="5">
        <f>IF(Table3[[#This Row],[Efficiency Difference]]*0.2146 + 21 &gt; Table3[[#This Row],[Scoring Margin]], 1, 0)</f>
        <v>1</v>
      </c>
      <c r="AD107" s="5">
        <f>IF(Table3[[#This Row],[Efficiency Difference]]*0.2146 -7 &gt; Table3[[#This Row],[Scoring Margin]], 1, 0)</f>
        <v>0</v>
      </c>
      <c r="AE107" s="5">
        <f>IF(Table3[[#This Row],[Efficiency Difference]]*0.2146 -3 &gt; Table3[[#This Row],[Scoring Margin]], 1, 0)</f>
        <v>0</v>
      </c>
      <c r="AF107" s="5">
        <f>IF(Table3[[#This Row],[Efficiency Difference]]*0.2146 -5 &gt; Table3[[#This Row],[Scoring Margin]], 1, 0)</f>
        <v>0</v>
      </c>
      <c r="AG107" s="5">
        <f>IF(Table3[[#This Row],[Efficiency Difference]]*0.2146 -10 &gt; Table3[[#This Row],[Scoring Margin]], 1, 0)</f>
        <v>0</v>
      </c>
    </row>
    <row r="108" spans="2:33">
      <c r="B108" s="5">
        <v>34.999999999999943</v>
      </c>
      <c r="C108" s="5">
        <v>22</v>
      </c>
      <c r="X108" s="5">
        <v>34.999999999999943</v>
      </c>
      <c r="Y108" s="5">
        <v>22</v>
      </c>
      <c r="Z108" s="5">
        <f>IF(Table3[[#This Row],[Efficiency Difference]]*0.2146 &gt; Table3[[#This Row],[Scoring Margin]], 1, 0)</f>
        <v>0</v>
      </c>
      <c r="AA108" s="5">
        <f>IF(Table3[[#This Row],[Efficiency Difference]]*0.2146 + 7 &gt; Table3[[#This Row],[Scoring Margin]], 1, 0)</f>
        <v>0</v>
      </c>
      <c r="AB108" s="5">
        <f>IF(Table3[[#This Row],[Efficiency Difference]]*0.2146 + 14 &gt; Table3[[#This Row],[Scoring Margin]], 1, 0)</f>
        <v>0</v>
      </c>
      <c r="AC108" s="5">
        <f>IF(Table3[[#This Row],[Efficiency Difference]]*0.2146 + 21 &gt; Table3[[#This Row],[Scoring Margin]], 1, 0)</f>
        <v>1</v>
      </c>
      <c r="AD108" s="5">
        <f>IF(Table3[[#This Row],[Efficiency Difference]]*0.2146 -7 &gt; Table3[[#This Row],[Scoring Margin]], 1, 0)</f>
        <v>0</v>
      </c>
      <c r="AE108" s="5">
        <f>IF(Table3[[#This Row],[Efficiency Difference]]*0.2146 -3 &gt; Table3[[#This Row],[Scoring Margin]], 1, 0)</f>
        <v>0</v>
      </c>
      <c r="AF108" s="5">
        <f>IF(Table3[[#This Row],[Efficiency Difference]]*0.2146 -5 &gt; Table3[[#This Row],[Scoring Margin]], 1, 0)</f>
        <v>0</v>
      </c>
      <c r="AG108" s="5">
        <f>IF(Table3[[#This Row],[Efficiency Difference]]*0.2146 -10 &gt; Table3[[#This Row],[Scoring Margin]], 1, 0)</f>
        <v>0</v>
      </c>
    </row>
    <row r="109" spans="2:33">
      <c r="B109" s="5">
        <v>80.550000000000011</v>
      </c>
      <c r="C109" s="5">
        <v>45</v>
      </c>
      <c r="X109" s="5">
        <v>80.550000000000011</v>
      </c>
      <c r="Y109" s="5">
        <v>45</v>
      </c>
      <c r="Z109" s="5">
        <f>IF(Table3[[#This Row],[Efficiency Difference]]*0.2146 &gt; Table3[[#This Row],[Scoring Margin]], 1, 0)</f>
        <v>0</v>
      </c>
      <c r="AA109" s="5">
        <f>IF(Table3[[#This Row],[Efficiency Difference]]*0.2146 + 7 &gt; Table3[[#This Row],[Scoring Margin]], 1, 0)</f>
        <v>0</v>
      </c>
      <c r="AB109" s="5">
        <f>IF(Table3[[#This Row],[Efficiency Difference]]*0.2146 + 14 &gt; Table3[[#This Row],[Scoring Margin]], 1, 0)</f>
        <v>0</v>
      </c>
      <c r="AC109" s="5">
        <f>IF(Table3[[#This Row],[Efficiency Difference]]*0.2146 + 21 &gt; Table3[[#This Row],[Scoring Margin]], 1, 0)</f>
        <v>0</v>
      </c>
      <c r="AD109" s="5">
        <f>IF(Table3[[#This Row],[Efficiency Difference]]*0.2146 -7 &gt; Table3[[#This Row],[Scoring Margin]], 1, 0)</f>
        <v>0</v>
      </c>
      <c r="AE109" s="5">
        <f>IF(Table3[[#This Row],[Efficiency Difference]]*0.2146 -3 &gt; Table3[[#This Row],[Scoring Margin]], 1, 0)</f>
        <v>0</v>
      </c>
      <c r="AF109" s="5">
        <f>IF(Table3[[#This Row],[Efficiency Difference]]*0.2146 -5 &gt; Table3[[#This Row],[Scoring Margin]], 1, 0)</f>
        <v>0</v>
      </c>
      <c r="AG109" s="5">
        <f>IF(Table3[[#This Row],[Efficiency Difference]]*0.2146 -10 &gt; Table3[[#This Row],[Scoring Margin]], 1, 0)</f>
        <v>0</v>
      </c>
    </row>
    <row r="110" spans="2:33">
      <c r="B110" s="5">
        <v>177.65</v>
      </c>
      <c r="C110" s="5">
        <v>30</v>
      </c>
      <c r="X110" s="5">
        <v>177.65</v>
      </c>
      <c r="Y110" s="5">
        <v>30</v>
      </c>
      <c r="Z110" s="5">
        <f>IF(Table3[[#This Row],[Efficiency Difference]]*0.2146 &gt; Table3[[#This Row],[Scoring Margin]], 1, 0)</f>
        <v>1</v>
      </c>
      <c r="AA110" s="5">
        <f>IF(Table3[[#This Row],[Efficiency Difference]]*0.2146 + 7 &gt; Table3[[#This Row],[Scoring Margin]], 1, 0)</f>
        <v>1</v>
      </c>
      <c r="AB110" s="5">
        <f>IF(Table3[[#This Row],[Efficiency Difference]]*0.2146 + 14 &gt; Table3[[#This Row],[Scoring Margin]], 1, 0)</f>
        <v>1</v>
      </c>
      <c r="AC110" s="5">
        <f>IF(Table3[[#This Row],[Efficiency Difference]]*0.2146 + 21 &gt; Table3[[#This Row],[Scoring Margin]], 1, 0)</f>
        <v>1</v>
      </c>
      <c r="AD110" s="5">
        <f>IF(Table3[[#This Row],[Efficiency Difference]]*0.2146 -7 &gt; Table3[[#This Row],[Scoring Margin]], 1, 0)</f>
        <v>1</v>
      </c>
      <c r="AE110" s="5">
        <f>IF(Table3[[#This Row],[Efficiency Difference]]*0.2146 -3 &gt; Table3[[#This Row],[Scoring Margin]], 1, 0)</f>
        <v>1</v>
      </c>
      <c r="AF110" s="5">
        <f>IF(Table3[[#This Row],[Efficiency Difference]]*0.2146 -5 &gt; Table3[[#This Row],[Scoring Margin]], 1, 0)</f>
        <v>1</v>
      </c>
      <c r="AG110" s="5">
        <f>IF(Table3[[#This Row],[Efficiency Difference]]*0.2146 -10 &gt; Table3[[#This Row],[Scoring Margin]], 1, 0)</f>
        <v>0</v>
      </c>
    </row>
    <row r="111" spans="2:33">
      <c r="B111" s="5">
        <v>78.420000000000016</v>
      </c>
      <c r="C111" s="5">
        <v>27</v>
      </c>
      <c r="X111" s="5">
        <v>78.420000000000016</v>
      </c>
      <c r="Y111" s="5">
        <v>27</v>
      </c>
      <c r="Z111" s="5">
        <f>IF(Table3[[#This Row],[Efficiency Difference]]*0.2146 &gt; Table3[[#This Row],[Scoring Margin]], 1, 0)</f>
        <v>0</v>
      </c>
      <c r="AA111" s="5">
        <f>IF(Table3[[#This Row],[Efficiency Difference]]*0.2146 + 7 &gt; Table3[[#This Row],[Scoring Margin]], 1, 0)</f>
        <v>0</v>
      </c>
      <c r="AB111" s="5">
        <f>IF(Table3[[#This Row],[Efficiency Difference]]*0.2146 + 14 &gt; Table3[[#This Row],[Scoring Margin]], 1, 0)</f>
        <v>1</v>
      </c>
      <c r="AC111" s="5">
        <f>IF(Table3[[#This Row],[Efficiency Difference]]*0.2146 + 21 &gt; Table3[[#This Row],[Scoring Margin]], 1, 0)</f>
        <v>1</v>
      </c>
      <c r="AD111" s="5">
        <f>IF(Table3[[#This Row],[Efficiency Difference]]*0.2146 -7 &gt; Table3[[#This Row],[Scoring Margin]], 1, 0)</f>
        <v>0</v>
      </c>
      <c r="AE111" s="5">
        <f>IF(Table3[[#This Row],[Efficiency Difference]]*0.2146 -3 &gt; Table3[[#This Row],[Scoring Margin]], 1, 0)</f>
        <v>0</v>
      </c>
      <c r="AF111" s="5">
        <f>IF(Table3[[#This Row],[Efficiency Difference]]*0.2146 -5 &gt; Table3[[#This Row],[Scoring Margin]], 1, 0)</f>
        <v>0</v>
      </c>
      <c r="AG111" s="5">
        <f>IF(Table3[[#This Row],[Efficiency Difference]]*0.2146 -10 &gt; Table3[[#This Row],[Scoring Margin]], 1, 0)</f>
        <v>0</v>
      </c>
    </row>
    <row r="112" spans="2:33">
      <c r="B112" s="5">
        <v>84.920000000000016</v>
      </c>
      <c r="C112" s="5">
        <v>9</v>
      </c>
      <c r="X112" s="5">
        <v>84.920000000000016</v>
      </c>
      <c r="Y112" s="5">
        <v>9</v>
      </c>
      <c r="Z112" s="5">
        <f>IF(Table3[[#This Row],[Efficiency Difference]]*0.2146 &gt; Table3[[#This Row],[Scoring Margin]], 1, 0)</f>
        <v>1</v>
      </c>
      <c r="AA112" s="5">
        <f>IF(Table3[[#This Row],[Efficiency Difference]]*0.2146 + 7 &gt; Table3[[#This Row],[Scoring Margin]], 1, 0)</f>
        <v>1</v>
      </c>
      <c r="AB112" s="5">
        <f>IF(Table3[[#This Row],[Efficiency Difference]]*0.2146 + 14 &gt; Table3[[#This Row],[Scoring Margin]], 1, 0)</f>
        <v>1</v>
      </c>
      <c r="AC112" s="5">
        <f>IF(Table3[[#This Row],[Efficiency Difference]]*0.2146 + 21 &gt; Table3[[#This Row],[Scoring Margin]], 1, 0)</f>
        <v>1</v>
      </c>
      <c r="AD112" s="5">
        <f>IF(Table3[[#This Row],[Efficiency Difference]]*0.2146 -7 &gt; Table3[[#This Row],[Scoring Margin]], 1, 0)</f>
        <v>1</v>
      </c>
      <c r="AE112" s="5">
        <f>IF(Table3[[#This Row],[Efficiency Difference]]*0.2146 -3 &gt; Table3[[#This Row],[Scoring Margin]], 1, 0)</f>
        <v>1</v>
      </c>
      <c r="AF112" s="5">
        <f>IF(Table3[[#This Row],[Efficiency Difference]]*0.2146 -5 &gt; Table3[[#This Row],[Scoring Margin]], 1, 0)</f>
        <v>1</v>
      </c>
      <c r="AG112" s="5">
        <f>IF(Table3[[#This Row],[Efficiency Difference]]*0.2146 -10 &gt; Table3[[#This Row],[Scoring Margin]], 1, 0)</f>
        <v>0</v>
      </c>
    </row>
    <row r="113" spans="2:33">
      <c r="B113" s="5">
        <v>43.239999999999981</v>
      </c>
      <c r="C113" s="5">
        <v>3</v>
      </c>
      <c r="X113" s="5">
        <v>43.239999999999981</v>
      </c>
      <c r="Y113" s="5">
        <v>3</v>
      </c>
      <c r="Z113" s="5">
        <f>IF(Table3[[#This Row],[Efficiency Difference]]*0.2146 &gt; Table3[[#This Row],[Scoring Margin]], 1, 0)</f>
        <v>1</v>
      </c>
      <c r="AA113" s="5">
        <f>IF(Table3[[#This Row],[Efficiency Difference]]*0.2146 + 7 &gt; Table3[[#This Row],[Scoring Margin]], 1, 0)</f>
        <v>1</v>
      </c>
      <c r="AB113" s="5">
        <f>IF(Table3[[#This Row],[Efficiency Difference]]*0.2146 + 14 &gt; Table3[[#This Row],[Scoring Margin]], 1, 0)</f>
        <v>1</v>
      </c>
      <c r="AC113" s="5">
        <f>IF(Table3[[#This Row],[Efficiency Difference]]*0.2146 + 21 &gt; Table3[[#This Row],[Scoring Margin]], 1, 0)</f>
        <v>1</v>
      </c>
      <c r="AD113" s="5">
        <f>IF(Table3[[#This Row],[Efficiency Difference]]*0.2146 -7 &gt; Table3[[#This Row],[Scoring Margin]], 1, 0)</f>
        <v>0</v>
      </c>
      <c r="AE113" s="5">
        <f>IF(Table3[[#This Row],[Efficiency Difference]]*0.2146 -3 &gt; Table3[[#This Row],[Scoring Margin]], 1, 0)</f>
        <v>1</v>
      </c>
      <c r="AF113" s="5">
        <f>IF(Table3[[#This Row],[Efficiency Difference]]*0.2146 -5 &gt; Table3[[#This Row],[Scoring Margin]], 1, 0)</f>
        <v>1</v>
      </c>
      <c r="AG113" s="5">
        <f>IF(Table3[[#This Row],[Efficiency Difference]]*0.2146 -10 &gt; Table3[[#This Row],[Scoring Margin]], 1, 0)</f>
        <v>0</v>
      </c>
    </row>
    <row r="114" spans="2:33">
      <c r="B114" s="5">
        <v>67.509999999999991</v>
      </c>
      <c r="C114" s="5">
        <v>24</v>
      </c>
      <c r="X114" s="5">
        <v>67.509999999999991</v>
      </c>
      <c r="Y114" s="5">
        <v>24</v>
      </c>
      <c r="Z114" s="5">
        <f>IF(Table3[[#This Row],[Efficiency Difference]]*0.2146 &gt; Table3[[#This Row],[Scoring Margin]], 1, 0)</f>
        <v>0</v>
      </c>
      <c r="AA114" s="5">
        <f>IF(Table3[[#This Row],[Efficiency Difference]]*0.2146 + 7 &gt; Table3[[#This Row],[Scoring Margin]], 1, 0)</f>
        <v>0</v>
      </c>
      <c r="AB114" s="5">
        <f>IF(Table3[[#This Row],[Efficiency Difference]]*0.2146 + 14 &gt; Table3[[#This Row],[Scoring Margin]], 1, 0)</f>
        <v>1</v>
      </c>
      <c r="AC114" s="5">
        <f>IF(Table3[[#This Row],[Efficiency Difference]]*0.2146 + 21 &gt; Table3[[#This Row],[Scoring Margin]], 1, 0)</f>
        <v>1</v>
      </c>
      <c r="AD114" s="5">
        <f>IF(Table3[[#This Row],[Efficiency Difference]]*0.2146 -7 &gt; Table3[[#This Row],[Scoring Margin]], 1, 0)</f>
        <v>0</v>
      </c>
      <c r="AE114" s="5">
        <f>IF(Table3[[#This Row],[Efficiency Difference]]*0.2146 -3 &gt; Table3[[#This Row],[Scoring Margin]], 1, 0)</f>
        <v>0</v>
      </c>
      <c r="AF114" s="5">
        <f>IF(Table3[[#This Row],[Efficiency Difference]]*0.2146 -5 &gt; Table3[[#This Row],[Scoring Margin]], 1, 0)</f>
        <v>0</v>
      </c>
      <c r="AG114" s="5">
        <f>IF(Table3[[#This Row],[Efficiency Difference]]*0.2146 -10 &gt; Table3[[#This Row],[Scoring Margin]], 1, 0)</f>
        <v>0</v>
      </c>
    </row>
    <row r="115" spans="2:33">
      <c r="B115" s="5">
        <v>5.4800000000000182</v>
      </c>
      <c r="C115" s="5">
        <v>14</v>
      </c>
      <c r="X115" s="5">
        <v>5.4800000000000182</v>
      </c>
      <c r="Y115" s="5">
        <v>14</v>
      </c>
      <c r="Z115" s="5">
        <f>IF(Table3[[#This Row],[Efficiency Difference]]*0.2146 &gt; Table3[[#This Row],[Scoring Margin]], 1, 0)</f>
        <v>0</v>
      </c>
      <c r="AA115" s="5">
        <f>IF(Table3[[#This Row],[Efficiency Difference]]*0.2146 + 7 &gt; Table3[[#This Row],[Scoring Margin]], 1, 0)</f>
        <v>0</v>
      </c>
      <c r="AB115" s="5">
        <f>IF(Table3[[#This Row],[Efficiency Difference]]*0.2146 + 14 &gt; Table3[[#This Row],[Scoring Margin]], 1, 0)</f>
        <v>1</v>
      </c>
      <c r="AC115" s="5">
        <f>IF(Table3[[#This Row],[Efficiency Difference]]*0.2146 + 21 &gt; Table3[[#This Row],[Scoring Margin]], 1, 0)</f>
        <v>1</v>
      </c>
      <c r="AD115" s="5">
        <f>IF(Table3[[#This Row],[Efficiency Difference]]*0.2146 -7 &gt; Table3[[#This Row],[Scoring Margin]], 1, 0)</f>
        <v>0</v>
      </c>
      <c r="AE115" s="5">
        <f>IF(Table3[[#This Row],[Efficiency Difference]]*0.2146 -3 &gt; Table3[[#This Row],[Scoring Margin]], 1, 0)</f>
        <v>0</v>
      </c>
      <c r="AF115" s="5">
        <f>IF(Table3[[#This Row],[Efficiency Difference]]*0.2146 -5 &gt; Table3[[#This Row],[Scoring Margin]], 1, 0)</f>
        <v>0</v>
      </c>
      <c r="AG115" s="5">
        <f>IF(Table3[[#This Row],[Efficiency Difference]]*0.2146 -10 &gt; Table3[[#This Row],[Scoring Margin]], 1, 0)</f>
        <v>0</v>
      </c>
    </row>
    <row r="116" spans="2:33">
      <c r="B116" s="5">
        <v>15.080000000000013</v>
      </c>
      <c r="C116" s="5">
        <v>5</v>
      </c>
      <c r="X116" s="5">
        <v>15.080000000000013</v>
      </c>
      <c r="Y116" s="5">
        <v>5</v>
      </c>
      <c r="Z116" s="5">
        <f>IF(Table3[[#This Row],[Efficiency Difference]]*0.2146 &gt; Table3[[#This Row],[Scoring Margin]], 1, 0)</f>
        <v>0</v>
      </c>
      <c r="AA116" s="5">
        <f>IF(Table3[[#This Row],[Efficiency Difference]]*0.2146 + 7 &gt; Table3[[#This Row],[Scoring Margin]], 1, 0)</f>
        <v>1</v>
      </c>
      <c r="AB116" s="5">
        <f>IF(Table3[[#This Row],[Efficiency Difference]]*0.2146 + 14 &gt; Table3[[#This Row],[Scoring Margin]], 1, 0)</f>
        <v>1</v>
      </c>
      <c r="AC116" s="5">
        <f>IF(Table3[[#This Row],[Efficiency Difference]]*0.2146 + 21 &gt; Table3[[#This Row],[Scoring Margin]], 1, 0)</f>
        <v>1</v>
      </c>
      <c r="AD116" s="5">
        <f>IF(Table3[[#This Row],[Efficiency Difference]]*0.2146 -7 &gt; Table3[[#This Row],[Scoring Margin]], 1, 0)</f>
        <v>0</v>
      </c>
      <c r="AE116" s="5">
        <f>IF(Table3[[#This Row],[Efficiency Difference]]*0.2146 -3 &gt; Table3[[#This Row],[Scoring Margin]], 1, 0)</f>
        <v>0</v>
      </c>
      <c r="AF116" s="5">
        <f>IF(Table3[[#This Row],[Efficiency Difference]]*0.2146 -5 &gt; Table3[[#This Row],[Scoring Margin]], 1, 0)</f>
        <v>0</v>
      </c>
      <c r="AG116" s="5">
        <f>IF(Table3[[#This Row],[Efficiency Difference]]*0.2146 -10 &gt; Table3[[#This Row],[Scoring Margin]], 1, 0)</f>
        <v>0</v>
      </c>
    </row>
    <row r="117" spans="2:33">
      <c r="B117" s="5">
        <v>18.810000000000002</v>
      </c>
      <c r="C117" s="5">
        <v>20</v>
      </c>
      <c r="X117" s="5">
        <v>18.810000000000002</v>
      </c>
      <c r="Y117" s="5">
        <v>20</v>
      </c>
      <c r="Z117" s="5">
        <f>IF(Table3[[#This Row],[Efficiency Difference]]*0.2146 &gt; Table3[[#This Row],[Scoring Margin]], 1, 0)</f>
        <v>0</v>
      </c>
      <c r="AA117" s="5">
        <f>IF(Table3[[#This Row],[Efficiency Difference]]*0.2146 + 7 &gt; Table3[[#This Row],[Scoring Margin]], 1, 0)</f>
        <v>0</v>
      </c>
      <c r="AB117" s="5">
        <f>IF(Table3[[#This Row],[Efficiency Difference]]*0.2146 + 14 &gt; Table3[[#This Row],[Scoring Margin]], 1, 0)</f>
        <v>0</v>
      </c>
      <c r="AC117" s="5">
        <f>IF(Table3[[#This Row],[Efficiency Difference]]*0.2146 + 21 &gt; Table3[[#This Row],[Scoring Margin]], 1, 0)</f>
        <v>1</v>
      </c>
      <c r="AD117" s="5">
        <f>IF(Table3[[#This Row],[Efficiency Difference]]*0.2146 -7 &gt; Table3[[#This Row],[Scoring Margin]], 1, 0)</f>
        <v>0</v>
      </c>
      <c r="AE117" s="5">
        <f>IF(Table3[[#This Row],[Efficiency Difference]]*0.2146 -3 &gt; Table3[[#This Row],[Scoring Margin]], 1, 0)</f>
        <v>0</v>
      </c>
      <c r="AF117" s="5">
        <f>IF(Table3[[#This Row],[Efficiency Difference]]*0.2146 -5 &gt; Table3[[#This Row],[Scoring Margin]], 1, 0)</f>
        <v>0</v>
      </c>
      <c r="AG117" s="5">
        <f>IF(Table3[[#This Row],[Efficiency Difference]]*0.2146 -10 &gt; Table3[[#This Row],[Scoring Margin]], 1, 0)</f>
        <v>0</v>
      </c>
    </row>
    <row r="118" spans="2:33">
      <c r="B118" s="5">
        <v>51.069999999999993</v>
      </c>
      <c r="C118" s="5">
        <v>22</v>
      </c>
      <c r="X118" s="5">
        <v>51.069999999999993</v>
      </c>
      <c r="Y118" s="5">
        <v>22</v>
      </c>
      <c r="Z118" s="5">
        <f>IF(Table3[[#This Row],[Efficiency Difference]]*0.2146 &gt; Table3[[#This Row],[Scoring Margin]], 1, 0)</f>
        <v>0</v>
      </c>
      <c r="AA118" s="5">
        <f>IF(Table3[[#This Row],[Efficiency Difference]]*0.2146 + 7 &gt; Table3[[#This Row],[Scoring Margin]], 1, 0)</f>
        <v>0</v>
      </c>
      <c r="AB118" s="5">
        <f>IF(Table3[[#This Row],[Efficiency Difference]]*0.2146 + 14 &gt; Table3[[#This Row],[Scoring Margin]], 1, 0)</f>
        <v>1</v>
      </c>
      <c r="AC118" s="5">
        <f>IF(Table3[[#This Row],[Efficiency Difference]]*0.2146 + 21 &gt; Table3[[#This Row],[Scoring Margin]], 1, 0)</f>
        <v>1</v>
      </c>
      <c r="AD118" s="5">
        <f>IF(Table3[[#This Row],[Efficiency Difference]]*0.2146 -7 &gt; Table3[[#This Row],[Scoring Margin]], 1, 0)</f>
        <v>0</v>
      </c>
      <c r="AE118" s="5">
        <f>IF(Table3[[#This Row],[Efficiency Difference]]*0.2146 -3 &gt; Table3[[#This Row],[Scoring Margin]], 1, 0)</f>
        <v>0</v>
      </c>
      <c r="AF118" s="5">
        <f>IF(Table3[[#This Row],[Efficiency Difference]]*0.2146 -5 &gt; Table3[[#This Row],[Scoring Margin]], 1, 0)</f>
        <v>0</v>
      </c>
      <c r="AG118" s="5">
        <f>IF(Table3[[#This Row],[Efficiency Difference]]*0.2146 -10 &gt; Table3[[#This Row],[Scoring Margin]], 1, 0)</f>
        <v>0</v>
      </c>
    </row>
    <row r="119" spans="2:33">
      <c r="B119" s="5">
        <v>56.75</v>
      </c>
      <c r="C119" s="5">
        <v>11</v>
      </c>
      <c r="X119" s="5">
        <v>56.75</v>
      </c>
      <c r="Y119" s="5">
        <v>11</v>
      </c>
      <c r="Z119" s="5">
        <f>IF(Table3[[#This Row],[Efficiency Difference]]*0.2146 &gt; Table3[[#This Row],[Scoring Margin]], 1, 0)</f>
        <v>1</v>
      </c>
      <c r="AA119" s="5">
        <f>IF(Table3[[#This Row],[Efficiency Difference]]*0.2146 + 7 &gt; Table3[[#This Row],[Scoring Margin]], 1, 0)</f>
        <v>1</v>
      </c>
      <c r="AB119" s="5">
        <f>IF(Table3[[#This Row],[Efficiency Difference]]*0.2146 + 14 &gt; Table3[[#This Row],[Scoring Margin]], 1, 0)</f>
        <v>1</v>
      </c>
      <c r="AC119" s="5">
        <f>IF(Table3[[#This Row],[Efficiency Difference]]*0.2146 + 21 &gt; Table3[[#This Row],[Scoring Margin]], 1, 0)</f>
        <v>1</v>
      </c>
      <c r="AD119" s="5">
        <f>IF(Table3[[#This Row],[Efficiency Difference]]*0.2146 -7 &gt; Table3[[#This Row],[Scoring Margin]], 1, 0)</f>
        <v>0</v>
      </c>
      <c r="AE119" s="5">
        <f>IF(Table3[[#This Row],[Efficiency Difference]]*0.2146 -3 &gt; Table3[[#This Row],[Scoring Margin]], 1, 0)</f>
        <v>0</v>
      </c>
      <c r="AF119" s="5">
        <f>IF(Table3[[#This Row],[Efficiency Difference]]*0.2146 -5 &gt; Table3[[#This Row],[Scoring Margin]], 1, 0)</f>
        <v>0</v>
      </c>
      <c r="AG119" s="5">
        <f>IF(Table3[[#This Row],[Efficiency Difference]]*0.2146 -10 &gt; Table3[[#This Row],[Scoring Margin]], 1, 0)</f>
        <v>0</v>
      </c>
    </row>
    <row r="120" spans="2:33">
      <c r="B120" s="5">
        <v>9.4699999999999989</v>
      </c>
      <c r="C120" s="5">
        <v>21</v>
      </c>
      <c r="X120" s="5">
        <v>9.4699999999999989</v>
      </c>
      <c r="Y120" s="5">
        <v>21</v>
      </c>
      <c r="Z120" s="5">
        <f>IF(Table3[[#This Row],[Efficiency Difference]]*0.2146 &gt; Table3[[#This Row],[Scoring Margin]], 1, 0)</f>
        <v>0</v>
      </c>
      <c r="AA120" s="5">
        <f>IF(Table3[[#This Row],[Efficiency Difference]]*0.2146 + 7 &gt; Table3[[#This Row],[Scoring Margin]], 1, 0)</f>
        <v>0</v>
      </c>
      <c r="AB120" s="5">
        <f>IF(Table3[[#This Row],[Efficiency Difference]]*0.2146 + 14 &gt; Table3[[#This Row],[Scoring Margin]], 1, 0)</f>
        <v>0</v>
      </c>
      <c r="AC120" s="5">
        <f>IF(Table3[[#This Row],[Efficiency Difference]]*0.2146 + 21 &gt; Table3[[#This Row],[Scoring Margin]], 1, 0)</f>
        <v>1</v>
      </c>
      <c r="AD120" s="5">
        <f>IF(Table3[[#This Row],[Efficiency Difference]]*0.2146 -7 &gt; Table3[[#This Row],[Scoring Margin]], 1, 0)</f>
        <v>0</v>
      </c>
      <c r="AE120" s="5">
        <f>IF(Table3[[#This Row],[Efficiency Difference]]*0.2146 -3 &gt; Table3[[#This Row],[Scoring Margin]], 1, 0)</f>
        <v>0</v>
      </c>
      <c r="AF120" s="5">
        <f>IF(Table3[[#This Row],[Efficiency Difference]]*0.2146 -5 &gt; Table3[[#This Row],[Scoring Margin]], 1, 0)</f>
        <v>0</v>
      </c>
      <c r="AG120" s="5">
        <f>IF(Table3[[#This Row],[Efficiency Difference]]*0.2146 -10 &gt; Table3[[#This Row],[Scoring Margin]], 1, 0)</f>
        <v>0</v>
      </c>
    </row>
    <row r="121" spans="2:33">
      <c r="B121" s="5">
        <v>110.92000000000002</v>
      </c>
      <c r="C121" s="5">
        <v>17</v>
      </c>
      <c r="X121" s="5">
        <v>110.92000000000002</v>
      </c>
      <c r="Y121" s="5">
        <v>17</v>
      </c>
      <c r="Z121" s="5">
        <f>IF(Table3[[#This Row],[Efficiency Difference]]*0.2146 &gt; Table3[[#This Row],[Scoring Margin]], 1, 0)</f>
        <v>1</v>
      </c>
      <c r="AA121" s="5">
        <f>IF(Table3[[#This Row],[Efficiency Difference]]*0.2146 + 7 &gt; Table3[[#This Row],[Scoring Margin]], 1, 0)</f>
        <v>1</v>
      </c>
      <c r="AB121" s="5">
        <f>IF(Table3[[#This Row],[Efficiency Difference]]*0.2146 + 14 &gt; Table3[[#This Row],[Scoring Margin]], 1, 0)</f>
        <v>1</v>
      </c>
      <c r="AC121" s="5">
        <f>IF(Table3[[#This Row],[Efficiency Difference]]*0.2146 + 21 &gt; Table3[[#This Row],[Scoring Margin]], 1, 0)</f>
        <v>1</v>
      </c>
      <c r="AD121" s="5">
        <f>IF(Table3[[#This Row],[Efficiency Difference]]*0.2146 -7 &gt; Table3[[#This Row],[Scoring Margin]], 1, 0)</f>
        <v>0</v>
      </c>
      <c r="AE121" s="5">
        <f>IF(Table3[[#This Row],[Efficiency Difference]]*0.2146 -3 &gt; Table3[[#This Row],[Scoring Margin]], 1, 0)</f>
        <v>1</v>
      </c>
      <c r="AF121" s="5">
        <f>IF(Table3[[#This Row],[Efficiency Difference]]*0.2146 -5 &gt; Table3[[#This Row],[Scoring Margin]], 1, 0)</f>
        <v>1</v>
      </c>
      <c r="AG121" s="5">
        <f>IF(Table3[[#This Row],[Efficiency Difference]]*0.2146 -10 &gt; Table3[[#This Row],[Scoring Margin]], 1, 0)</f>
        <v>0</v>
      </c>
    </row>
    <row r="122" spans="2:33">
      <c r="B122" s="5">
        <v>13.299999999999983</v>
      </c>
      <c r="C122" s="5">
        <v>3</v>
      </c>
      <c r="X122" s="5">
        <v>13.299999999999983</v>
      </c>
      <c r="Y122" s="5">
        <v>3</v>
      </c>
      <c r="Z122" s="5">
        <f>IF(Table3[[#This Row],[Efficiency Difference]]*0.2146 &gt; Table3[[#This Row],[Scoring Margin]], 1, 0)</f>
        <v>0</v>
      </c>
      <c r="AA122" s="5">
        <f>IF(Table3[[#This Row],[Efficiency Difference]]*0.2146 + 7 &gt; Table3[[#This Row],[Scoring Margin]], 1, 0)</f>
        <v>1</v>
      </c>
      <c r="AB122" s="5">
        <f>IF(Table3[[#This Row],[Efficiency Difference]]*0.2146 + 14 &gt; Table3[[#This Row],[Scoring Margin]], 1, 0)</f>
        <v>1</v>
      </c>
      <c r="AC122" s="5">
        <f>IF(Table3[[#This Row],[Efficiency Difference]]*0.2146 + 21 &gt; Table3[[#This Row],[Scoring Margin]], 1, 0)</f>
        <v>1</v>
      </c>
      <c r="AD122" s="5">
        <f>IF(Table3[[#This Row],[Efficiency Difference]]*0.2146 -7 &gt; Table3[[#This Row],[Scoring Margin]], 1, 0)</f>
        <v>0</v>
      </c>
      <c r="AE122" s="5">
        <f>IF(Table3[[#This Row],[Efficiency Difference]]*0.2146 -3 &gt; Table3[[#This Row],[Scoring Margin]], 1, 0)</f>
        <v>0</v>
      </c>
      <c r="AF122" s="5">
        <f>IF(Table3[[#This Row],[Efficiency Difference]]*0.2146 -5 &gt; Table3[[#This Row],[Scoring Margin]], 1, 0)</f>
        <v>0</v>
      </c>
      <c r="AG122" s="5">
        <f>IF(Table3[[#This Row],[Efficiency Difference]]*0.2146 -10 &gt; Table3[[#This Row],[Scoring Margin]], 1, 0)</f>
        <v>0</v>
      </c>
    </row>
    <row r="123" spans="2:33">
      <c r="B123" s="5">
        <v>47.06</v>
      </c>
      <c r="C123" s="5">
        <v>14</v>
      </c>
      <c r="X123" s="5">
        <v>47.06</v>
      </c>
      <c r="Y123" s="5">
        <v>14</v>
      </c>
      <c r="Z123" s="5">
        <f>IF(Table3[[#This Row],[Efficiency Difference]]*0.2146 &gt; Table3[[#This Row],[Scoring Margin]], 1, 0)</f>
        <v>0</v>
      </c>
      <c r="AA123" s="5">
        <f>IF(Table3[[#This Row],[Efficiency Difference]]*0.2146 + 7 &gt; Table3[[#This Row],[Scoring Margin]], 1, 0)</f>
        <v>1</v>
      </c>
      <c r="AB123" s="5">
        <f>IF(Table3[[#This Row],[Efficiency Difference]]*0.2146 + 14 &gt; Table3[[#This Row],[Scoring Margin]], 1, 0)</f>
        <v>1</v>
      </c>
      <c r="AC123" s="5">
        <f>IF(Table3[[#This Row],[Efficiency Difference]]*0.2146 + 21 &gt; Table3[[#This Row],[Scoring Margin]], 1, 0)</f>
        <v>1</v>
      </c>
      <c r="AD123" s="5">
        <f>IF(Table3[[#This Row],[Efficiency Difference]]*0.2146 -7 &gt; Table3[[#This Row],[Scoring Margin]], 1, 0)</f>
        <v>0</v>
      </c>
      <c r="AE123" s="5">
        <f>IF(Table3[[#This Row],[Efficiency Difference]]*0.2146 -3 &gt; Table3[[#This Row],[Scoring Margin]], 1, 0)</f>
        <v>0</v>
      </c>
      <c r="AF123" s="5">
        <f>IF(Table3[[#This Row],[Efficiency Difference]]*0.2146 -5 &gt; Table3[[#This Row],[Scoring Margin]], 1, 0)</f>
        <v>0</v>
      </c>
      <c r="AG123" s="5">
        <f>IF(Table3[[#This Row],[Efficiency Difference]]*0.2146 -10 &gt; Table3[[#This Row],[Scoring Margin]], 1, 0)</f>
        <v>0</v>
      </c>
    </row>
    <row r="124" spans="2:33">
      <c r="B124" s="5">
        <v>54.509999999999991</v>
      </c>
      <c r="C124" s="5">
        <v>20</v>
      </c>
      <c r="X124" s="5">
        <v>54.509999999999991</v>
      </c>
      <c r="Y124" s="5">
        <v>20</v>
      </c>
      <c r="Z124" s="5">
        <f>IF(Table3[[#This Row],[Efficiency Difference]]*0.2146 &gt; Table3[[#This Row],[Scoring Margin]], 1, 0)</f>
        <v>0</v>
      </c>
      <c r="AA124" s="5">
        <f>IF(Table3[[#This Row],[Efficiency Difference]]*0.2146 + 7 &gt; Table3[[#This Row],[Scoring Margin]], 1, 0)</f>
        <v>0</v>
      </c>
      <c r="AB124" s="5">
        <f>IF(Table3[[#This Row],[Efficiency Difference]]*0.2146 + 14 &gt; Table3[[#This Row],[Scoring Margin]], 1, 0)</f>
        <v>1</v>
      </c>
      <c r="AC124" s="5">
        <f>IF(Table3[[#This Row],[Efficiency Difference]]*0.2146 + 21 &gt; Table3[[#This Row],[Scoring Margin]], 1, 0)</f>
        <v>1</v>
      </c>
      <c r="AD124" s="5">
        <f>IF(Table3[[#This Row],[Efficiency Difference]]*0.2146 -7 &gt; Table3[[#This Row],[Scoring Margin]], 1, 0)</f>
        <v>0</v>
      </c>
      <c r="AE124" s="5">
        <f>IF(Table3[[#This Row],[Efficiency Difference]]*0.2146 -3 &gt; Table3[[#This Row],[Scoring Margin]], 1, 0)</f>
        <v>0</v>
      </c>
      <c r="AF124" s="5">
        <f>IF(Table3[[#This Row],[Efficiency Difference]]*0.2146 -5 &gt; Table3[[#This Row],[Scoring Margin]], 1, 0)</f>
        <v>0</v>
      </c>
      <c r="AG124" s="5">
        <f>IF(Table3[[#This Row],[Efficiency Difference]]*0.2146 -10 &gt; Table3[[#This Row],[Scoring Margin]], 1, 0)</f>
        <v>0</v>
      </c>
    </row>
    <row r="125" spans="2:33">
      <c r="B125" s="5">
        <v>12.95999999999998</v>
      </c>
      <c r="C125" s="5">
        <v>4</v>
      </c>
      <c r="X125" s="5">
        <v>12.95999999999998</v>
      </c>
      <c r="Y125" s="5">
        <v>4</v>
      </c>
      <c r="Z125" s="5">
        <f>IF(Table3[[#This Row],[Efficiency Difference]]*0.2146 &gt; Table3[[#This Row],[Scoring Margin]], 1, 0)</f>
        <v>0</v>
      </c>
      <c r="AA125" s="5">
        <f>IF(Table3[[#This Row],[Efficiency Difference]]*0.2146 + 7 &gt; Table3[[#This Row],[Scoring Margin]], 1, 0)</f>
        <v>1</v>
      </c>
      <c r="AB125" s="5">
        <f>IF(Table3[[#This Row],[Efficiency Difference]]*0.2146 + 14 &gt; Table3[[#This Row],[Scoring Margin]], 1, 0)</f>
        <v>1</v>
      </c>
      <c r="AC125" s="5">
        <f>IF(Table3[[#This Row],[Efficiency Difference]]*0.2146 + 21 &gt; Table3[[#This Row],[Scoring Margin]], 1, 0)</f>
        <v>1</v>
      </c>
      <c r="AD125" s="5">
        <f>IF(Table3[[#This Row],[Efficiency Difference]]*0.2146 -7 &gt; Table3[[#This Row],[Scoring Margin]], 1, 0)</f>
        <v>0</v>
      </c>
      <c r="AE125" s="5">
        <f>IF(Table3[[#This Row],[Efficiency Difference]]*0.2146 -3 &gt; Table3[[#This Row],[Scoring Margin]], 1, 0)</f>
        <v>0</v>
      </c>
      <c r="AF125" s="5">
        <f>IF(Table3[[#This Row],[Efficiency Difference]]*0.2146 -5 &gt; Table3[[#This Row],[Scoring Margin]], 1, 0)</f>
        <v>0</v>
      </c>
      <c r="AG125" s="5">
        <f>IF(Table3[[#This Row],[Efficiency Difference]]*0.2146 -10 &gt; Table3[[#This Row],[Scoring Margin]], 1, 0)</f>
        <v>0</v>
      </c>
    </row>
    <row r="126" spans="2:33">
      <c r="B126" s="5">
        <v>116.53000000000003</v>
      </c>
      <c r="C126" s="5">
        <v>41</v>
      </c>
      <c r="X126" s="5">
        <v>116.53000000000003</v>
      </c>
      <c r="Y126" s="5">
        <v>41</v>
      </c>
      <c r="Z126" s="5">
        <f>IF(Table3[[#This Row],[Efficiency Difference]]*0.2146 &gt; Table3[[#This Row],[Scoring Margin]], 1, 0)</f>
        <v>0</v>
      </c>
      <c r="AA126" s="5">
        <f>IF(Table3[[#This Row],[Efficiency Difference]]*0.2146 + 7 &gt; Table3[[#This Row],[Scoring Margin]], 1, 0)</f>
        <v>0</v>
      </c>
      <c r="AB126" s="5">
        <f>IF(Table3[[#This Row],[Efficiency Difference]]*0.2146 + 14 &gt; Table3[[#This Row],[Scoring Margin]], 1, 0)</f>
        <v>0</v>
      </c>
      <c r="AC126" s="5">
        <f>IF(Table3[[#This Row],[Efficiency Difference]]*0.2146 + 21 &gt; Table3[[#This Row],[Scoring Margin]], 1, 0)</f>
        <v>1</v>
      </c>
      <c r="AD126" s="5">
        <f>IF(Table3[[#This Row],[Efficiency Difference]]*0.2146 -7 &gt; Table3[[#This Row],[Scoring Margin]], 1, 0)</f>
        <v>0</v>
      </c>
      <c r="AE126" s="5">
        <f>IF(Table3[[#This Row],[Efficiency Difference]]*0.2146 -3 &gt; Table3[[#This Row],[Scoring Margin]], 1, 0)</f>
        <v>0</v>
      </c>
      <c r="AF126" s="5">
        <f>IF(Table3[[#This Row],[Efficiency Difference]]*0.2146 -5 &gt; Table3[[#This Row],[Scoring Margin]], 1, 0)</f>
        <v>0</v>
      </c>
      <c r="AG126" s="5">
        <f>IF(Table3[[#This Row],[Efficiency Difference]]*0.2146 -10 &gt; Table3[[#This Row],[Scoring Margin]], 1, 0)</f>
        <v>0</v>
      </c>
    </row>
    <row r="127" spans="2:33">
      <c r="B127" s="5">
        <v>164.09999999999997</v>
      </c>
      <c r="C127" s="5">
        <v>28</v>
      </c>
      <c r="X127" s="5">
        <v>164.09999999999997</v>
      </c>
      <c r="Y127" s="5">
        <v>28</v>
      </c>
      <c r="Z127" s="5">
        <f>IF(Table3[[#This Row],[Efficiency Difference]]*0.2146 &gt; Table3[[#This Row],[Scoring Margin]], 1, 0)</f>
        <v>1</v>
      </c>
      <c r="AA127" s="5">
        <f>IF(Table3[[#This Row],[Efficiency Difference]]*0.2146 + 7 &gt; Table3[[#This Row],[Scoring Margin]], 1, 0)</f>
        <v>1</v>
      </c>
      <c r="AB127" s="5">
        <f>IF(Table3[[#This Row],[Efficiency Difference]]*0.2146 + 14 &gt; Table3[[#This Row],[Scoring Margin]], 1, 0)</f>
        <v>1</v>
      </c>
      <c r="AC127" s="5">
        <f>IF(Table3[[#This Row],[Efficiency Difference]]*0.2146 + 21 &gt; Table3[[#This Row],[Scoring Margin]], 1, 0)</f>
        <v>1</v>
      </c>
      <c r="AD127" s="5">
        <f>IF(Table3[[#This Row],[Efficiency Difference]]*0.2146 -7 &gt; Table3[[#This Row],[Scoring Margin]], 1, 0)</f>
        <v>1</v>
      </c>
      <c r="AE127" s="5">
        <f>IF(Table3[[#This Row],[Efficiency Difference]]*0.2146 -3 &gt; Table3[[#This Row],[Scoring Margin]], 1, 0)</f>
        <v>1</v>
      </c>
      <c r="AF127" s="5">
        <f>IF(Table3[[#This Row],[Efficiency Difference]]*0.2146 -5 &gt; Table3[[#This Row],[Scoring Margin]], 1, 0)</f>
        <v>1</v>
      </c>
      <c r="AG127" s="5">
        <f>IF(Table3[[#This Row],[Efficiency Difference]]*0.2146 -10 &gt; Table3[[#This Row],[Scoring Margin]], 1, 0)</f>
        <v>0</v>
      </c>
    </row>
    <row r="128" spans="2:33">
      <c r="B128" s="5">
        <v>179.21000000000004</v>
      </c>
      <c r="C128" s="5">
        <v>43</v>
      </c>
      <c r="X128" s="5">
        <v>179.21000000000004</v>
      </c>
      <c r="Y128" s="5">
        <v>43</v>
      </c>
      <c r="Z128" s="5">
        <f>IF(Table3[[#This Row],[Efficiency Difference]]*0.2146 &gt; Table3[[#This Row],[Scoring Margin]], 1, 0)</f>
        <v>0</v>
      </c>
      <c r="AA128" s="5">
        <f>IF(Table3[[#This Row],[Efficiency Difference]]*0.2146 + 7 &gt; Table3[[#This Row],[Scoring Margin]], 1, 0)</f>
        <v>1</v>
      </c>
      <c r="AB128" s="5">
        <f>IF(Table3[[#This Row],[Efficiency Difference]]*0.2146 + 14 &gt; Table3[[#This Row],[Scoring Margin]], 1, 0)</f>
        <v>1</v>
      </c>
      <c r="AC128" s="5">
        <f>IF(Table3[[#This Row],[Efficiency Difference]]*0.2146 + 21 &gt; Table3[[#This Row],[Scoring Margin]], 1, 0)</f>
        <v>1</v>
      </c>
      <c r="AD128" s="5">
        <f>IF(Table3[[#This Row],[Efficiency Difference]]*0.2146 -7 &gt; Table3[[#This Row],[Scoring Margin]], 1, 0)</f>
        <v>0</v>
      </c>
      <c r="AE128" s="5">
        <f>IF(Table3[[#This Row],[Efficiency Difference]]*0.2146 -3 &gt; Table3[[#This Row],[Scoring Margin]], 1, 0)</f>
        <v>0</v>
      </c>
      <c r="AF128" s="5">
        <f>IF(Table3[[#This Row],[Efficiency Difference]]*0.2146 -5 &gt; Table3[[#This Row],[Scoring Margin]], 1, 0)</f>
        <v>0</v>
      </c>
      <c r="AG128" s="5">
        <f>IF(Table3[[#This Row],[Efficiency Difference]]*0.2146 -10 &gt; Table3[[#This Row],[Scoring Margin]], 1, 0)</f>
        <v>0</v>
      </c>
    </row>
    <row r="129" spans="2:33">
      <c r="B129" s="5">
        <v>44</v>
      </c>
      <c r="C129" s="5">
        <v>4</v>
      </c>
      <c r="X129" s="5">
        <v>44</v>
      </c>
      <c r="Y129" s="5">
        <v>4</v>
      </c>
      <c r="Z129" s="5">
        <f>IF(Table3[[#This Row],[Efficiency Difference]]*0.2146 &gt; Table3[[#This Row],[Scoring Margin]], 1, 0)</f>
        <v>1</v>
      </c>
      <c r="AA129" s="5">
        <f>IF(Table3[[#This Row],[Efficiency Difference]]*0.2146 + 7 &gt; Table3[[#This Row],[Scoring Margin]], 1, 0)</f>
        <v>1</v>
      </c>
      <c r="AB129" s="5">
        <f>IF(Table3[[#This Row],[Efficiency Difference]]*0.2146 + 14 &gt; Table3[[#This Row],[Scoring Margin]], 1, 0)</f>
        <v>1</v>
      </c>
      <c r="AC129" s="5">
        <f>IF(Table3[[#This Row],[Efficiency Difference]]*0.2146 + 21 &gt; Table3[[#This Row],[Scoring Margin]], 1, 0)</f>
        <v>1</v>
      </c>
      <c r="AD129" s="5">
        <f>IF(Table3[[#This Row],[Efficiency Difference]]*0.2146 -7 &gt; Table3[[#This Row],[Scoring Margin]], 1, 0)</f>
        <v>0</v>
      </c>
      <c r="AE129" s="5">
        <f>IF(Table3[[#This Row],[Efficiency Difference]]*0.2146 -3 &gt; Table3[[#This Row],[Scoring Margin]], 1, 0)</f>
        <v>1</v>
      </c>
      <c r="AF129" s="5">
        <f>IF(Table3[[#This Row],[Efficiency Difference]]*0.2146 -5 &gt; Table3[[#This Row],[Scoring Margin]], 1, 0)</f>
        <v>1</v>
      </c>
      <c r="AG129" s="5">
        <f>IF(Table3[[#This Row],[Efficiency Difference]]*0.2146 -10 &gt; Table3[[#This Row],[Scoring Margin]], 1, 0)</f>
        <v>0</v>
      </c>
    </row>
    <row r="130" spans="2:33">
      <c r="B130" s="5">
        <v>47.06</v>
      </c>
      <c r="C130" s="5">
        <v>14</v>
      </c>
      <c r="X130" s="5">
        <v>47.06</v>
      </c>
      <c r="Y130" s="5">
        <v>14</v>
      </c>
      <c r="Z130" s="5">
        <f>IF(Table3[[#This Row],[Efficiency Difference]]*0.2146 &gt; Table3[[#This Row],[Scoring Margin]], 1, 0)</f>
        <v>0</v>
      </c>
      <c r="AA130" s="5">
        <f>IF(Table3[[#This Row],[Efficiency Difference]]*0.2146 + 7 &gt; Table3[[#This Row],[Scoring Margin]], 1, 0)</f>
        <v>1</v>
      </c>
      <c r="AB130" s="5">
        <f>IF(Table3[[#This Row],[Efficiency Difference]]*0.2146 + 14 &gt; Table3[[#This Row],[Scoring Margin]], 1, 0)</f>
        <v>1</v>
      </c>
      <c r="AC130" s="5">
        <f>IF(Table3[[#This Row],[Efficiency Difference]]*0.2146 + 21 &gt; Table3[[#This Row],[Scoring Margin]], 1, 0)</f>
        <v>1</v>
      </c>
      <c r="AD130" s="5">
        <f>IF(Table3[[#This Row],[Efficiency Difference]]*0.2146 -7 &gt; Table3[[#This Row],[Scoring Margin]], 1, 0)</f>
        <v>0</v>
      </c>
      <c r="AE130" s="5">
        <f>IF(Table3[[#This Row],[Efficiency Difference]]*0.2146 -3 &gt; Table3[[#This Row],[Scoring Margin]], 1, 0)</f>
        <v>0</v>
      </c>
      <c r="AF130" s="5">
        <f>IF(Table3[[#This Row],[Efficiency Difference]]*0.2146 -5 &gt; Table3[[#This Row],[Scoring Margin]], 1, 0)</f>
        <v>0</v>
      </c>
      <c r="AG130" s="5">
        <f>IF(Table3[[#This Row],[Efficiency Difference]]*0.2146 -10 &gt; Table3[[#This Row],[Scoring Margin]], 1, 0)</f>
        <v>0</v>
      </c>
    </row>
    <row r="131" spans="2:33">
      <c r="B131" s="5">
        <v>62.34</v>
      </c>
      <c r="C131" s="5">
        <v>1</v>
      </c>
      <c r="X131" s="5">
        <v>62.34</v>
      </c>
      <c r="Y131" s="5">
        <v>1</v>
      </c>
      <c r="Z131" s="5">
        <f>IF(Table3[[#This Row],[Efficiency Difference]]*0.2146 &gt; Table3[[#This Row],[Scoring Margin]], 1, 0)</f>
        <v>1</v>
      </c>
      <c r="AA131" s="5">
        <f>IF(Table3[[#This Row],[Efficiency Difference]]*0.2146 + 7 &gt; Table3[[#This Row],[Scoring Margin]], 1, 0)</f>
        <v>1</v>
      </c>
      <c r="AB131" s="5">
        <f>IF(Table3[[#This Row],[Efficiency Difference]]*0.2146 + 14 &gt; Table3[[#This Row],[Scoring Margin]], 1, 0)</f>
        <v>1</v>
      </c>
      <c r="AC131" s="5">
        <f>IF(Table3[[#This Row],[Efficiency Difference]]*0.2146 + 21 &gt; Table3[[#This Row],[Scoring Margin]], 1, 0)</f>
        <v>1</v>
      </c>
      <c r="AD131" s="5">
        <f>IF(Table3[[#This Row],[Efficiency Difference]]*0.2146 -7 &gt; Table3[[#This Row],[Scoring Margin]], 1, 0)</f>
        <v>1</v>
      </c>
      <c r="AE131" s="5">
        <f>IF(Table3[[#This Row],[Efficiency Difference]]*0.2146 -3 &gt; Table3[[#This Row],[Scoring Margin]], 1, 0)</f>
        <v>1</v>
      </c>
      <c r="AF131" s="5">
        <f>IF(Table3[[#This Row],[Efficiency Difference]]*0.2146 -5 &gt; Table3[[#This Row],[Scoring Margin]], 1, 0)</f>
        <v>1</v>
      </c>
      <c r="AG131" s="5">
        <f>IF(Table3[[#This Row],[Efficiency Difference]]*0.2146 -10 &gt; Table3[[#This Row],[Scoring Margin]], 1, 0)</f>
        <v>1</v>
      </c>
    </row>
    <row r="132" spans="2:33">
      <c r="B132" s="5">
        <v>16.230000000000018</v>
      </c>
      <c r="C132" s="5">
        <v>7</v>
      </c>
      <c r="X132" s="5">
        <v>16.230000000000018</v>
      </c>
      <c r="Y132" s="5">
        <v>7</v>
      </c>
      <c r="Z132" s="5">
        <f>IF(Table3[[#This Row],[Efficiency Difference]]*0.2146 &gt; Table3[[#This Row],[Scoring Margin]], 1, 0)</f>
        <v>0</v>
      </c>
      <c r="AA132" s="5">
        <f>IF(Table3[[#This Row],[Efficiency Difference]]*0.2146 + 7 &gt; Table3[[#This Row],[Scoring Margin]], 1, 0)</f>
        <v>1</v>
      </c>
      <c r="AB132" s="5">
        <f>IF(Table3[[#This Row],[Efficiency Difference]]*0.2146 + 14 &gt; Table3[[#This Row],[Scoring Margin]], 1, 0)</f>
        <v>1</v>
      </c>
      <c r="AC132" s="5">
        <f>IF(Table3[[#This Row],[Efficiency Difference]]*0.2146 + 21 &gt; Table3[[#This Row],[Scoring Margin]], 1, 0)</f>
        <v>1</v>
      </c>
      <c r="AD132" s="5">
        <f>IF(Table3[[#This Row],[Efficiency Difference]]*0.2146 -7 &gt; Table3[[#This Row],[Scoring Margin]], 1, 0)</f>
        <v>0</v>
      </c>
      <c r="AE132" s="5">
        <f>IF(Table3[[#This Row],[Efficiency Difference]]*0.2146 -3 &gt; Table3[[#This Row],[Scoring Margin]], 1, 0)</f>
        <v>0</v>
      </c>
      <c r="AF132" s="5">
        <f>IF(Table3[[#This Row],[Efficiency Difference]]*0.2146 -5 &gt; Table3[[#This Row],[Scoring Margin]], 1, 0)</f>
        <v>0</v>
      </c>
      <c r="AG132" s="5">
        <f>IF(Table3[[#This Row],[Efficiency Difference]]*0.2146 -10 &gt; Table3[[#This Row],[Scoring Margin]], 1, 0)</f>
        <v>0</v>
      </c>
    </row>
    <row r="133" spans="2:33">
      <c r="B133" s="5">
        <v>212.11999999999998</v>
      </c>
      <c r="C133" s="5">
        <v>50</v>
      </c>
      <c r="X133" s="5">
        <v>212.11999999999998</v>
      </c>
      <c r="Y133" s="5">
        <v>50</v>
      </c>
      <c r="Z133" s="5">
        <f>IF(Table3[[#This Row],[Efficiency Difference]]*0.2146 &gt; Table3[[#This Row],[Scoring Margin]], 1, 0)</f>
        <v>0</v>
      </c>
      <c r="AA133" s="5">
        <f>IF(Table3[[#This Row],[Efficiency Difference]]*0.2146 + 7 &gt; Table3[[#This Row],[Scoring Margin]], 1, 0)</f>
        <v>1</v>
      </c>
      <c r="AB133" s="5">
        <f>IF(Table3[[#This Row],[Efficiency Difference]]*0.2146 + 14 &gt; Table3[[#This Row],[Scoring Margin]], 1, 0)</f>
        <v>1</v>
      </c>
      <c r="AC133" s="5">
        <f>IF(Table3[[#This Row],[Efficiency Difference]]*0.2146 + 21 &gt; Table3[[#This Row],[Scoring Margin]], 1, 0)</f>
        <v>1</v>
      </c>
      <c r="AD133" s="5">
        <f>IF(Table3[[#This Row],[Efficiency Difference]]*0.2146 -7 &gt; Table3[[#This Row],[Scoring Margin]], 1, 0)</f>
        <v>0</v>
      </c>
      <c r="AE133" s="5">
        <f>IF(Table3[[#This Row],[Efficiency Difference]]*0.2146 -3 &gt; Table3[[#This Row],[Scoring Margin]], 1, 0)</f>
        <v>0</v>
      </c>
      <c r="AF133" s="5">
        <f>IF(Table3[[#This Row],[Efficiency Difference]]*0.2146 -5 &gt; Table3[[#This Row],[Scoring Margin]], 1, 0)</f>
        <v>0</v>
      </c>
      <c r="AG133" s="5">
        <f>IF(Table3[[#This Row],[Efficiency Difference]]*0.2146 -10 &gt; Table3[[#This Row],[Scoring Margin]], 1, 0)</f>
        <v>0</v>
      </c>
    </row>
    <row r="134" spans="2:33">
      <c r="B134" s="5">
        <v>186.82999999999998</v>
      </c>
      <c r="C134" s="5">
        <v>14</v>
      </c>
      <c r="X134" s="5">
        <v>186.82999999999998</v>
      </c>
      <c r="Y134" s="5">
        <v>14</v>
      </c>
      <c r="Z134" s="5">
        <f>IF(Table3[[#This Row],[Efficiency Difference]]*0.2146 &gt; Table3[[#This Row],[Scoring Margin]], 1, 0)</f>
        <v>1</v>
      </c>
      <c r="AA134" s="5">
        <f>IF(Table3[[#This Row],[Efficiency Difference]]*0.2146 + 7 &gt; Table3[[#This Row],[Scoring Margin]], 1, 0)</f>
        <v>1</v>
      </c>
      <c r="AB134" s="5">
        <f>IF(Table3[[#This Row],[Efficiency Difference]]*0.2146 + 14 &gt; Table3[[#This Row],[Scoring Margin]], 1, 0)</f>
        <v>1</v>
      </c>
      <c r="AC134" s="5">
        <f>IF(Table3[[#This Row],[Efficiency Difference]]*0.2146 + 21 &gt; Table3[[#This Row],[Scoring Margin]], 1, 0)</f>
        <v>1</v>
      </c>
      <c r="AD134" s="5">
        <f>IF(Table3[[#This Row],[Efficiency Difference]]*0.2146 -7 &gt; Table3[[#This Row],[Scoring Margin]], 1, 0)</f>
        <v>1</v>
      </c>
      <c r="AE134" s="5">
        <f>IF(Table3[[#This Row],[Efficiency Difference]]*0.2146 -3 &gt; Table3[[#This Row],[Scoring Margin]], 1, 0)</f>
        <v>1</v>
      </c>
      <c r="AF134" s="5">
        <f>IF(Table3[[#This Row],[Efficiency Difference]]*0.2146 -5 &gt; Table3[[#This Row],[Scoring Margin]], 1, 0)</f>
        <v>1</v>
      </c>
      <c r="AG134" s="5">
        <f>IF(Table3[[#This Row],[Efficiency Difference]]*0.2146 -10 &gt; Table3[[#This Row],[Scoring Margin]], 1, 0)</f>
        <v>1</v>
      </c>
    </row>
    <row r="135" spans="2:33">
      <c r="B135" s="5">
        <v>65.34</v>
      </c>
      <c r="C135" s="5">
        <v>3</v>
      </c>
      <c r="X135" s="5">
        <v>65.34</v>
      </c>
      <c r="Y135" s="5">
        <v>3</v>
      </c>
      <c r="Z135" s="5">
        <f>IF(Table3[[#This Row],[Efficiency Difference]]*0.2146 &gt; Table3[[#This Row],[Scoring Margin]], 1, 0)</f>
        <v>1</v>
      </c>
      <c r="AA135" s="5">
        <f>IF(Table3[[#This Row],[Efficiency Difference]]*0.2146 + 7 &gt; Table3[[#This Row],[Scoring Margin]], 1, 0)</f>
        <v>1</v>
      </c>
      <c r="AB135" s="5">
        <f>IF(Table3[[#This Row],[Efficiency Difference]]*0.2146 + 14 &gt; Table3[[#This Row],[Scoring Margin]], 1, 0)</f>
        <v>1</v>
      </c>
      <c r="AC135" s="5">
        <f>IF(Table3[[#This Row],[Efficiency Difference]]*0.2146 + 21 &gt; Table3[[#This Row],[Scoring Margin]], 1, 0)</f>
        <v>1</v>
      </c>
      <c r="AD135" s="5">
        <f>IF(Table3[[#This Row],[Efficiency Difference]]*0.2146 -7 &gt; Table3[[#This Row],[Scoring Margin]], 1, 0)</f>
        <v>1</v>
      </c>
      <c r="AE135" s="5">
        <f>IF(Table3[[#This Row],[Efficiency Difference]]*0.2146 -3 &gt; Table3[[#This Row],[Scoring Margin]], 1, 0)</f>
        <v>1</v>
      </c>
      <c r="AF135" s="5">
        <f>IF(Table3[[#This Row],[Efficiency Difference]]*0.2146 -5 &gt; Table3[[#This Row],[Scoring Margin]], 1, 0)</f>
        <v>1</v>
      </c>
      <c r="AG135" s="5">
        <f>IF(Table3[[#This Row],[Efficiency Difference]]*0.2146 -10 &gt; Table3[[#This Row],[Scoring Margin]], 1, 0)</f>
        <v>1</v>
      </c>
    </row>
    <row r="136" spans="2:33">
      <c r="B136" s="5">
        <v>36.639999999999986</v>
      </c>
      <c r="C136" s="5">
        <v>4</v>
      </c>
      <c r="X136" s="5">
        <v>36.639999999999986</v>
      </c>
      <c r="Y136" s="5">
        <v>4</v>
      </c>
      <c r="Z136" s="5">
        <f>IF(Table3[[#This Row],[Efficiency Difference]]*0.2146 &gt; Table3[[#This Row],[Scoring Margin]], 1, 0)</f>
        <v>1</v>
      </c>
      <c r="AA136" s="5">
        <f>IF(Table3[[#This Row],[Efficiency Difference]]*0.2146 + 7 &gt; Table3[[#This Row],[Scoring Margin]], 1, 0)</f>
        <v>1</v>
      </c>
      <c r="AB136" s="5">
        <f>IF(Table3[[#This Row],[Efficiency Difference]]*0.2146 + 14 &gt; Table3[[#This Row],[Scoring Margin]], 1, 0)</f>
        <v>1</v>
      </c>
      <c r="AC136" s="5">
        <f>IF(Table3[[#This Row],[Efficiency Difference]]*0.2146 + 21 &gt; Table3[[#This Row],[Scoring Margin]], 1, 0)</f>
        <v>1</v>
      </c>
      <c r="AD136" s="5">
        <f>IF(Table3[[#This Row],[Efficiency Difference]]*0.2146 -7 &gt; Table3[[#This Row],[Scoring Margin]], 1, 0)</f>
        <v>0</v>
      </c>
      <c r="AE136" s="5">
        <f>IF(Table3[[#This Row],[Efficiency Difference]]*0.2146 -3 &gt; Table3[[#This Row],[Scoring Margin]], 1, 0)</f>
        <v>1</v>
      </c>
      <c r="AF136" s="5">
        <f>IF(Table3[[#This Row],[Efficiency Difference]]*0.2146 -5 &gt; Table3[[#This Row],[Scoring Margin]], 1, 0)</f>
        <v>0</v>
      </c>
      <c r="AG136" s="5">
        <f>IF(Table3[[#This Row],[Efficiency Difference]]*0.2146 -10 &gt; Table3[[#This Row],[Scoring Margin]], 1, 0)</f>
        <v>0</v>
      </c>
    </row>
    <row r="137" spans="2:33">
      <c r="B137" s="5">
        <v>7.0399999999999636</v>
      </c>
      <c r="C137" s="5">
        <v>14</v>
      </c>
      <c r="X137" s="5">
        <v>7.0399999999999636</v>
      </c>
      <c r="Y137" s="5">
        <v>14</v>
      </c>
      <c r="Z137" s="5">
        <f>IF(Table3[[#This Row],[Efficiency Difference]]*0.2146 &gt; Table3[[#This Row],[Scoring Margin]], 1, 0)</f>
        <v>0</v>
      </c>
      <c r="AA137" s="5">
        <f>IF(Table3[[#This Row],[Efficiency Difference]]*0.2146 + 7 &gt; Table3[[#This Row],[Scoring Margin]], 1, 0)</f>
        <v>0</v>
      </c>
      <c r="AB137" s="5">
        <f>IF(Table3[[#This Row],[Efficiency Difference]]*0.2146 + 14 &gt; Table3[[#This Row],[Scoring Margin]], 1, 0)</f>
        <v>1</v>
      </c>
      <c r="AC137" s="5">
        <f>IF(Table3[[#This Row],[Efficiency Difference]]*0.2146 + 21 &gt; Table3[[#This Row],[Scoring Margin]], 1, 0)</f>
        <v>1</v>
      </c>
      <c r="AD137" s="5">
        <f>IF(Table3[[#This Row],[Efficiency Difference]]*0.2146 -7 &gt; Table3[[#This Row],[Scoring Margin]], 1, 0)</f>
        <v>0</v>
      </c>
      <c r="AE137" s="5">
        <f>IF(Table3[[#This Row],[Efficiency Difference]]*0.2146 -3 &gt; Table3[[#This Row],[Scoring Margin]], 1, 0)</f>
        <v>0</v>
      </c>
      <c r="AF137" s="5">
        <f>IF(Table3[[#This Row],[Efficiency Difference]]*0.2146 -5 &gt; Table3[[#This Row],[Scoring Margin]], 1, 0)</f>
        <v>0</v>
      </c>
      <c r="AG137" s="5">
        <f>IF(Table3[[#This Row],[Efficiency Difference]]*0.2146 -10 &gt; Table3[[#This Row],[Scoring Margin]], 1, 0)</f>
        <v>0</v>
      </c>
    </row>
    <row r="138" spans="2:33">
      <c r="B138" s="5">
        <v>88.02000000000001</v>
      </c>
      <c r="C138" s="5">
        <v>7</v>
      </c>
      <c r="X138" s="5">
        <v>88.02000000000001</v>
      </c>
      <c r="Y138" s="5">
        <v>7</v>
      </c>
      <c r="Z138" s="5">
        <f>IF(Table3[[#This Row],[Efficiency Difference]]*0.2146 &gt; Table3[[#This Row],[Scoring Margin]], 1, 0)</f>
        <v>1</v>
      </c>
      <c r="AA138" s="5">
        <f>IF(Table3[[#This Row],[Efficiency Difference]]*0.2146 + 7 &gt; Table3[[#This Row],[Scoring Margin]], 1, 0)</f>
        <v>1</v>
      </c>
      <c r="AB138" s="5">
        <f>IF(Table3[[#This Row],[Efficiency Difference]]*0.2146 + 14 &gt; Table3[[#This Row],[Scoring Margin]], 1, 0)</f>
        <v>1</v>
      </c>
      <c r="AC138" s="5">
        <f>IF(Table3[[#This Row],[Efficiency Difference]]*0.2146 + 21 &gt; Table3[[#This Row],[Scoring Margin]], 1, 0)</f>
        <v>1</v>
      </c>
      <c r="AD138" s="5">
        <f>IF(Table3[[#This Row],[Efficiency Difference]]*0.2146 -7 &gt; Table3[[#This Row],[Scoring Margin]], 1, 0)</f>
        <v>1</v>
      </c>
      <c r="AE138" s="5">
        <f>IF(Table3[[#This Row],[Efficiency Difference]]*0.2146 -3 &gt; Table3[[#This Row],[Scoring Margin]], 1, 0)</f>
        <v>1</v>
      </c>
      <c r="AF138" s="5">
        <f>IF(Table3[[#This Row],[Efficiency Difference]]*0.2146 -5 &gt; Table3[[#This Row],[Scoring Margin]], 1, 0)</f>
        <v>1</v>
      </c>
      <c r="AG138" s="5">
        <f>IF(Table3[[#This Row],[Efficiency Difference]]*0.2146 -10 &gt; Table3[[#This Row],[Scoring Margin]], 1, 0)</f>
        <v>1</v>
      </c>
    </row>
    <row r="139" spans="2:33">
      <c r="B139" s="5">
        <v>39.289999999999992</v>
      </c>
      <c r="C139" s="5">
        <v>27</v>
      </c>
      <c r="X139" s="5">
        <v>39.289999999999992</v>
      </c>
      <c r="Y139" s="5">
        <v>27</v>
      </c>
      <c r="Z139" s="5">
        <f>IF(Table3[[#This Row],[Efficiency Difference]]*0.2146 &gt; Table3[[#This Row],[Scoring Margin]], 1, 0)</f>
        <v>0</v>
      </c>
      <c r="AA139" s="5">
        <f>IF(Table3[[#This Row],[Efficiency Difference]]*0.2146 + 7 &gt; Table3[[#This Row],[Scoring Margin]], 1, 0)</f>
        <v>0</v>
      </c>
      <c r="AB139" s="5">
        <f>IF(Table3[[#This Row],[Efficiency Difference]]*0.2146 + 14 &gt; Table3[[#This Row],[Scoring Margin]], 1, 0)</f>
        <v>0</v>
      </c>
      <c r="AC139" s="5">
        <f>IF(Table3[[#This Row],[Efficiency Difference]]*0.2146 + 21 &gt; Table3[[#This Row],[Scoring Margin]], 1, 0)</f>
        <v>1</v>
      </c>
      <c r="AD139" s="5">
        <f>IF(Table3[[#This Row],[Efficiency Difference]]*0.2146 -7 &gt; Table3[[#This Row],[Scoring Margin]], 1, 0)</f>
        <v>0</v>
      </c>
      <c r="AE139" s="5">
        <f>IF(Table3[[#This Row],[Efficiency Difference]]*0.2146 -3 &gt; Table3[[#This Row],[Scoring Margin]], 1, 0)</f>
        <v>0</v>
      </c>
      <c r="AF139" s="5">
        <f>IF(Table3[[#This Row],[Efficiency Difference]]*0.2146 -5 &gt; Table3[[#This Row],[Scoring Margin]], 1, 0)</f>
        <v>0</v>
      </c>
      <c r="AG139" s="5">
        <f>IF(Table3[[#This Row],[Efficiency Difference]]*0.2146 -10 &gt; Table3[[#This Row],[Scoring Margin]], 1, 0)</f>
        <v>0</v>
      </c>
    </row>
    <row r="140" spans="2:33">
      <c r="B140" s="5">
        <v>36.759999999999991</v>
      </c>
      <c r="C140" s="5">
        <v>6</v>
      </c>
      <c r="X140" s="5">
        <v>36.759999999999991</v>
      </c>
      <c r="Y140" s="5">
        <v>6</v>
      </c>
      <c r="Z140" s="5">
        <f>IF(Table3[[#This Row],[Efficiency Difference]]*0.2146 &gt; Table3[[#This Row],[Scoring Margin]], 1, 0)</f>
        <v>1</v>
      </c>
      <c r="AA140" s="5">
        <f>IF(Table3[[#This Row],[Efficiency Difference]]*0.2146 + 7 &gt; Table3[[#This Row],[Scoring Margin]], 1, 0)</f>
        <v>1</v>
      </c>
      <c r="AB140" s="5">
        <f>IF(Table3[[#This Row],[Efficiency Difference]]*0.2146 + 14 &gt; Table3[[#This Row],[Scoring Margin]], 1, 0)</f>
        <v>1</v>
      </c>
      <c r="AC140" s="5">
        <f>IF(Table3[[#This Row],[Efficiency Difference]]*0.2146 + 21 &gt; Table3[[#This Row],[Scoring Margin]], 1, 0)</f>
        <v>1</v>
      </c>
      <c r="AD140" s="5">
        <f>IF(Table3[[#This Row],[Efficiency Difference]]*0.2146 -7 &gt; Table3[[#This Row],[Scoring Margin]], 1, 0)</f>
        <v>0</v>
      </c>
      <c r="AE140" s="5">
        <f>IF(Table3[[#This Row],[Efficiency Difference]]*0.2146 -3 &gt; Table3[[#This Row],[Scoring Margin]], 1, 0)</f>
        <v>0</v>
      </c>
      <c r="AF140" s="5">
        <f>IF(Table3[[#This Row],[Efficiency Difference]]*0.2146 -5 &gt; Table3[[#This Row],[Scoring Margin]], 1, 0)</f>
        <v>0</v>
      </c>
      <c r="AG140" s="5">
        <f>IF(Table3[[#This Row],[Efficiency Difference]]*0.2146 -10 &gt; Table3[[#This Row],[Scoring Margin]], 1, 0)</f>
        <v>0</v>
      </c>
    </row>
    <row r="141" spans="2:33">
      <c r="B141" s="5">
        <v>171.88000000000002</v>
      </c>
      <c r="C141" s="5">
        <v>30</v>
      </c>
      <c r="X141" s="5">
        <v>171.88000000000002</v>
      </c>
      <c r="Y141" s="5">
        <v>30</v>
      </c>
      <c r="Z141" s="5">
        <f>IF(Table3[[#This Row],[Efficiency Difference]]*0.2146 &gt; Table3[[#This Row],[Scoring Margin]], 1, 0)</f>
        <v>1</v>
      </c>
      <c r="AA141" s="5">
        <f>IF(Table3[[#This Row],[Efficiency Difference]]*0.2146 + 7 &gt; Table3[[#This Row],[Scoring Margin]], 1, 0)</f>
        <v>1</v>
      </c>
      <c r="AB141" s="5">
        <f>IF(Table3[[#This Row],[Efficiency Difference]]*0.2146 + 14 &gt; Table3[[#This Row],[Scoring Margin]], 1, 0)</f>
        <v>1</v>
      </c>
      <c r="AC141" s="5">
        <f>IF(Table3[[#This Row],[Efficiency Difference]]*0.2146 + 21 &gt; Table3[[#This Row],[Scoring Margin]], 1, 0)</f>
        <v>1</v>
      </c>
      <c r="AD141" s="5">
        <f>IF(Table3[[#This Row],[Efficiency Difference]]*0.2146 -7 &gt; Table3[[#This Row],[Scoring Margin]], 1, 0)</f>
        <v>0</v>
      </c>
      <c r="AE141" s="5">
        <f>IF(Table3[[#This Row],[Efficiency Difference]]*0.2146 -3 &gt; Table3[[#This Row],[Scoring Margin]], 1, 0)</f>
        <v>1</v>
      </c>
      <c r="AF141" s="5">
        <f>IF(Table3[[#This Row],[Efficiency Difference]]*0.2146 -5 &gt; Table3[[#This Row],[Scoring Margin]], 1, 0)</f>
        <v>1</v>
      </c>
      <c r="AG141" s="5">
        <f>IF(Table3[[#This Row],[Efficiency Difference]]*0.2146 -10 &gt; Table3[[#This Row],[Scoring Margin]], 1, 0)</f>
        <v>0</v>
      </c>
    </row>
    <row r="142" spans="2:33">
      <c r="B142" s="5">
        <v>19.109999999999985</v>
      </c>
      <c r="C142" s="5">
        <v>1</v>
      </c>
      <c r="X142" s="5">
        <v>19.109999999999985</v>
      </c>
      <c r="Y142" s="5">
        <v>1</v>
      </c>
      <c r="Z142" s="5">
        <f>IF(Table3[[#This Row],[Efficiency Difference]]*0.2146 &gt; Table3[[#This Row],[Scoring Margin]], 1, 0)</f>
        <v>1</v>
      </c>
      <c r="AA142" s="5">
        <f>IF(Table3[[#This Row],[Efficiency Difference]]*0.2146 + 7 &gt; Table3[[#This Row],[Scoring Margin]], 1, 0)</f>
        <v>1</v>
      </c>
      <c r="AB142" s="5">
        <f>IF(Table3[[#This Row],[Efficiency Difference]]*0.2146 + 14 &gt; Table3[[#This Row],[Scoring Margin]], 1, 0)</f>
        <v>1</v>
      </c>
      <c r="AC142" s="5">
        <f>IF(Table3[[#This Row],[Efficiency Difference]]*0.2146 + 21 &gt; Table3[[#This Row],[Scoring Margin]], 1, 0)</f>
        <v>1</v>
      </c>
      <c r="AD142" s="5">
        <f>IF(Table3[[#This Row],[Efficiency Difference]]*0.2146 -7 &gt; Table3[[#This Row],[Scoring Margin]], 1, 0)</f>
        <v>0</v>
      </c>
      <c r="AE142" s="5">
        <f>IF(Table3[[#This Row],[Efficiency Difference]]*0.2146 -3 &gt; Table3[[#This Row],[Scoring Margin]], 1, 0)</f>
        <v>1</v>
      </c>
      <c r="AF142" s="5">
        <f>IF(Table3[[#This Row],[Efficiency Difference]]*0.2146 -5 &gt; Table3[[#This Row],[Scoring Margin]], 1, 0)</f>
        <v>0</v>
      </c>
      <c r="AG142" s="5">
        <f>IF(Table3[[#This Row],[Efficiency Difference]]*0.2146 -10 &gt; Table3[[#This Row],[Scoring Margin]], 1, 0)</f>
        <v>0</v>
      </c>
    </row>
    <row r="143" spans="2:33">
      <c r="B143" s="5">
        <v>56.690000000000026</v>
      </c>
      <c r="C143" s="5">
        <v>21</v>
      </c>
      <c r="X143" s="5">
        <v>56.690000000000026</v>
      </c>
      <c r="Y143" s="5">
        <v>21</v>
      </c>
      <c r="Z143" s="5">
        <f>IF(Table3[[#This Row],[Efficiency Difference]]*0.2146 &gt; Table3[[#This Row],[Scoring Margin]], 1, 0)</f>
        <v>0</v>
      </c>
      <c r="AA143" s="5">
        <f>IF(Table3[[#This Row],[Efficiency Difference]]*0.2146 + 7 &gt; Table3[[#This Row],[Scoring Margin]], 1, 0)</f>
        <v>0</v>
      </c>
      <c r="AB143" s="5">
        <f>IF(Table3[[#This Row],[Efficiency Difference]]*0.2146 + 14 &gt; Table3[[#This Row],[Scoring Margin]], 1, 0)</f>
        <v>1</v>
      </c>
      <c r="AC143" s="5">
        <f>IF(Table3[[#This Row],[Efficiency Difference]]*0.2146 + 21 &gt; Table3[[#This Row],[Scoring Margin]], 1, 0)</f>
        <v>1</v>
      </c>
      <c r="AD143" s="5">
        <f>IF(Table3[[#This Row],[Efficiency Difference]]*0.2146 -7 &gt; Table3[[#This Row],[Scoring Margin]], 1, 0)</f>
        <v>0</v>
      </c>
      <c r="AE143" s="5">
        <f>IF(Table3[[#This Row],[Efficiency Difference]]*0.2146 -3 &gt; Table3[[#This Row],[Scoring Margin]], 1, 0)</f>
        <v>0</v>
      </c>
      <c r="AF143" s="5">
        <f>IF(Table3[[#This Row],[Efficiency Difference]]*0.2146 -5 &gt; Table3[[#This Row],[Scoring Margin]], 1, 0)</f>
        <v>0</v>
      </c>
      <c r="AG143" s="5">
        <f>IF(Table3[[#This Row],[Efficiency Difference]]*0.2146 -10 &gt; Table3[[#This Row],[Scoring Margin]], 1, 0)</f>
        <v>0</v>
      </c>
    </row>
    <row r="144" spans="2:33">
      <c r="B144" s="5">
        <v>38.909999999999968</v>
      </c>
      <c r="C144" s="5">
        <v>4</v>
      </c>
      <c r="X144" s="5">
        <v>38.909999999999968</v>
      </c>
      <c r="Y144" s="5">
        <v>4</v>
      </c>
      <c r="Z144" s="5">
        <f>IF(Table3[[#This Row],[Efficiency Difference]]*0.2146 &gt; Table3[[#This Row],[Scoring Margin]], 1, 0)</f>
        <v>1</v>
      </c>
      <c r="AA144" s="5">
        <f>IF(Table3[[#This Row],[Efficiency Difference]]*0.2146 + 7 &gt; Table3[[#This Row],[Scoring Margin]], 1, 0)</f>
        <v>1</v>
      </c>
      <c r="AB144" s="5">
        <f>IF(Table3[[#This Row],[Efficiency Difference]]*0.2146 + 14 &gt; Table3[[#This Row],[Scoring Margin]], 1, 0)</f>
        <v>1</v>
      </c>
      <c r="AC144" s="5">
        <f>IF(Table3[[#This Row],[Efficiency Difference]]*0.2146 + 21 &gt; Table3[[#This Row],[Scoring Margin]], 1, 0)</f>
        <v>1</v>
      </c>
      <c r="AD144" s="5">
        <f>IF(Table3[[#This Row],[Efficiency Difference]]*0.2146 -7 &gt; Table3[[#This Row],[Scoring Margin]], 1, 0)</f>
        <v>0</v>
      </c>
      <c r="AE144" s="5">
        <f>IF(Table3[[#This Row],[Efficiency Difference]]*0.2146 -3 &gt; Table3[[#This Row],[Scoring Margin]], 1, 0)</f>
        <v>1</v>
      </c>
      <c r="AF144" s="5">
        <f>IF(Table3[[#This Row],[Efficiency Difference]]*0.2146 -5 &gt; Table3[[#This Row],[Scoring Margin]], 1, 0)</f>
        <v>0</v>
      </c>
      <c r="AG144" s="5">
        <f>IF(Table3[[#This Row],[Efficiency Difference]]*0.2146 -10 &gt; Table3[[#This Row],[Scoring Margin]], 1, 0)</f>
        <v>0</v>
      </c>
    </row>
    <row r="145" spans="2:33">
      <c r="B145" s="5">
        <v>38.81</v>
      </c>
      <c r="C145" s="5">
        <v>1</v>
      </c>
      <c r="X145" s="5">
        <v>38.81</v>
      </c>
      <c r="Y145" s="5">
        <v>1</v>
      </c>
      <c r="Z145" s="5">
        <f>IF(Table3[[#This Row],[Efficiency Difference]]*0.2146 &gt; Table3[[#This Row],[Scoring Margin]], 1, 0)</f>
        <v>1</v>
      </c>
      <c r="AA145" s="5">
        <f>IF(Table3[[#This Row],[Efficiency Difference]]*0.2146 + 7 &gt; Table3[[#This Row],[Scoring Margin]], 1, 0)</f>
        <v>1</v>
      </c>
      <c r="AB145" s="5">
        <f>IF(Table3[[#This Row],[Efficiency Difference]]*0.2146 + 14 &gt; Table3[[#This Row],[Scoring Margin]], 1, 0)</f>
        <v>1</v>
      </c>
      <c r="AC145" s="5">
        <f>IF(Table3[[#This Row],[Efficiency Difference]]*0.2146 + 21 &gt; Table3[[#This Row],[Scoring Margin]], 1, 0)</f>
        <v>1</v>
      </c>
      <c r="AD145" s="5">
        <f>IF(Table3[[#This Row],[Efficiency Difference]]*0.2146 -7 &gt; Table3[[#This Row],[Scoring Margin]], 1, 0)</f>
        <v>1</v>
      </c>
      <c r="AE145" s="5">
        <f>IF(Table3[[#This Row],[Efficiency Difference]]*0.2146 -3 &gt; Table3[[#This Row],[Scoring Margin]], 1, 0)</f>
        <v>1</v>
      </c>
      <c r="AF145" s="5">
        <f>IF(Table3[[#This Row],[Efficiency Difference]]*0.2146 -5 &gt; Table3[[#This Row],[Scoring Margin]], 1, 0)</f>
        <v>1</v>
      </c>
      <c r="AG145" s="5">
        <f>IF(Table3[[#This Row],[Efficiency Difference]]*0.2146 -10 &gt; Table3[[#This Row],[Scoring Margin]], 1, 0)</f>
        <v>0</v>
      </c>
    </row>
    <row r="146" spans="2:33">
      <c r="B146" s="5">
        <v>61.25</v>
      </c>
      <c r="C146" s="5">
        <v>19</v>
      </c>
      <c r="X146" s="5">
        <v>61.25</v>
      </c>
      <c r="Y146" s="5">
        <v>19</v>
      </c>
      <c r="Z146" s="5">
        <f>IF(Table3[[#This Row],[Efficiency Difference]]*0.2146 &gt; Table3[[#This Row],[Scoring Margin]], 1, 0)</f>
        <v>0</v>
      </c>
      <c r="AA146" s="5">
        <f>IF(Table3[[#This Row],[Efficiency Difference]]*0.2146 + 7 &gt; Table3[[#This Row],[Scoring Margin]], 1, 0)</f>
        <v>1</v>
      </c>
      <c r="AB146" s="5">
        <f>IF(Table3[[#This Row],[Efficiency Difference]]*0.2146 + 14 &gt; Table3[[#This Row],[Scoring Margin]], 1, 0)</f>
        <v>1</v>
      </c>
      <c r="AC146" s="5">
        <f>IF(Table3[[#This Row],[Efficiency Difference]]*0.2146 + 21 &gt; Table3[[#This Row],[Scoring Margin]], 1, 0)</f>
        <v>1</v>
      </c>
      <c r="AD146" s="5">
        <f>IF(Table3[[#This Row],[Efficiency Difference]]*0.2146 -7 &gt; Table3[[#This Row],[Scoring Margin]], 1, 0)</f>
        <v>0</v>
      </c>
      <c r="AE146" s="5">
        <f>IF(Table3[[#This Row],[Efficiency Difference]]*0.2146 -3 &gt; Table3[[#This Row],[Scoring Margin]], 1, 0)</f>
        <v>0</v>
      </c>
      <c r="AF146" s="5">
        <f>IF(Table3[[#This Row],[Efficiency Difference]]*0.2146 -5 &gt; Table3[[#This Row],[Scoring Margin]], 1, 0)</f>
        <v>0</v>
      </c>
      <c r="AG146" s="5">
        <f>IF(Table3[[#This Row],[Efficiency Difference]]*0.2146 -10 &gt; Table3[[#This Row],[Scoring Margin]], 1, 0)</f>
        <v>0</v>
      </c>
    </row>
    <row r="147" spans="2:33">
      <c r="B147" s="5">
        <v>111.05000000000001</v>
      </c>
      <c r="C147" s="5">
        <v>7</v>
      </c>
      <c r="X147" s="5">
        <v>111.05000000000001</v>
      </c>
      <c r="Y147" s="5">
        <v>7</v>
      </c>
      <c r="Z147" s="5">
        <f>IF(Table3[[#This Row],[Efficiency Difference]]*0.2146 &gt; Table3[[#This Row],[Scoring Margin]], 1, 0)</f>
        <v>1</v>
      </c>
      <c r="AA147" s="5">
        <f>IF(Table3[[#This Row],[Efficiency Difference]]*0.2146 + 7 &gt; Table3[[#This Row],[Scoring Margin]], 1, 0)</f>
        <v>1</v>
      </c>
      <c r="AB147" s="5">
        <f>IF(Table3[[#This Row],[Efficiency Difference]]*0.2146 + 14 &gt; Table3[[#This Row],[Scoring Margin]], 1, 0)</f>
        <v>1</v>
      </c>
      <c r="AC147" s="5">
        <f>IF(Table3[[#This Row],[Efficiency Difference]]*0.2146 + 21 &gt; Table3[[#This Row],[Scoring Margin]], 1, 0)</f>
        <v>1</v>
      </c>
      <c r="AD147" s="5">
        <f>IF(Table3[[#This Row],[Efficiency Difference]]*0.2146 -7 &gt; Table3[[#This Row],[Scoring Margin]], 1, 0)</f>
        <v>1</v>
      </c>
      <c r="AE147" s="5">
        <f>IF(Table3[[#This Row],[Efficiency Difference]]*0.2146 -3 &gt; Table3[[#This Row],[Scoring Margin]], 1, 0)</f>
        <v>1</v>
      </c>
      <c r="AF147" s="5">
        <f>IF(Table3[[#This Row],[Efficiency Difference]]*0.2146 -5 &gt; Table3[[#This Row],[Scoring Margin]], 1, 0)</f>
        <v>1</v>
      </c>
      <c r="AG147" s="5">
        <f>IF(Table3[[#This Row],[Efficiency Difference]]*0.2146 -10 &gt; Table3[[#This Row],[Scoring Margin]], 1, 0)</f>
        <v>1</v>
      </c>
    </row>
    <row r="148" spans="2:33">
      <c r="B148" s="5">
        <v>54.240000000000009</v>
      </c>
      <c r="C148" s="5">
        <v>5</v>
      </c>
      <c r="X148" s="5">
        <v>54.240000000000009</v>
      </c>
      <c r="Y148" s="5">
        <v>5</v>
      </c>
      <c r="Z148" s="5">
        <f>IF(Table3[[#This Row],[Efficiency Difference]]*0.2146 &gt; Table3[[#This Row],[Scoring Margin]], 1, 0)</f>
        <v>1</v>
      </c>
      <c r="AA148" s="5">
        <f>IF(Table3[[#This Row],[Efficiency Difference]]*0.2146 + 7 &gt; Table3[[#This Row],[Scoring Margin]], 1, 0)</f>
        <v>1</v>
      </c>
      <c r="AB148" s="5">
        <f>IF(Table3[[#This Row],[Efficiency Difference]]*0.2146 + 14 &gt; Table3[[#This Row],[Scoring Margin]], 1, 0)</f>
        <v>1</v>
      </c>
      <c r="AC148" s="5">
        <f>IF(Table3[[#This Row],[Efficiency Difference]]*0.2146 + 21 &gt; Table3[[#This Row],[Scoring Margin]], 1, 0)</f>
        <v>1</v>
      </c>
      <c r="AD148" s="5">
        <f>IF(Table3[[#This Row],[Efficiency Difference]]*0.2146 -7 &gt; Table3[[#This Row],[Scoring Margin]], 1, 0)</f>
        <v>0</v>
      </c>
      <c r="AE148" s="5">
        <f>IF(Table3[[#This Row],[Efficiency Difference]]*0.2146 -3 &gt; Table3[[#This Row],[Scoring Margin]], 1, 0)</f>
        <v>1</v>
      </c>
      <c r="AF148" s="5">
        <f>IF(Table3[[#This Row],[Efficiency Difference]]*0.2146 -5 &gt; Table3[[#This Row],[Scoring Margin]], 1, 0)</f>
        <v>1</v>
      </c>
      <c r="AG148" s="5">
        <f>IF(Table3[[#This Row],[Efficiency Difference]]*0.2146 -10 &gt; Table3[[#This Row],[Scoring Margin]], 1, 0)</f>
        <v>0</v>
      </c>
    </row>
    <row r="149" spans="2:33">
      <c r="B149" s="5">
        <v>135.72999999999999</v>
      </c>
      <c r="C149" s="5">
        <v>15</v>
      </c>
      <c r="X149" s="5">
        <v>135.72999999999999</v>
      </c>
      <c r="Y149" s="5">
        <v>15</v>
      </c>
      <c r="Z149" s="5">
        <f>IF(Table3[[#This Row],[Efficiency Difference]]*0.2146 &gt; Table3[[#This Row],[Scoring Margin]], 1, 0)</f>
        <v>1</v>
      </c>
      <c r="AA149" s="5">
        <f>IF(Table3[[#This Row],[Efficiency Difference]]*0.2146 + 7 &gt; Table3[[#This Row],[Scoring Margin]], 1, 0)</f>
        <v>1</v>
      </c>
      <c r="AB149" s="5">
        <f>IF(Table3[[#This Row],[Efficiency Difference]]*0.2146 + 14 &gt; Table3[[#This Row],[Scoring Margin]], 1, 0)</f>
        <v>1</v>
      </c>
      <c r="AC149" s="5">
        <f>IF(Table3[[#This Row],[Efficiency Difference]]*0.2146 + 21 &gt; Table3[[#This Row],[Scoring Margin]], 1, 0)</f>
        <v>1</v>
      </c>
      <c r="AD149" s="5">
        <f>IF(Table3[[#This Row],[Efficiency Difference]]*0.2146 -7 &gt; Table3[[#This Row],[Scoring Margin]], 1, 0)</f>
        <v>1</v>
      </c>
      <c r="AE149" s="5">
        <f>IF(Table3[[#This Row],[Efficiency Difference]]*0.2146 -3 &gt; Table3[[#This Row],[Scoring Margin]], 1, 0)</f>
        <v>1</v>
      </c>
      <c r="AF149" s="5">
        <f>IF(Table3[[#This Row],[Efficiency Difference]]*0.2146 -5 &gt; Table3[[#This Row],[Scoring Margin]], 1, 0)</f>
        <v>1</v>
      </c>
      <c r="AG149" s="5">
        <f>IF(Table3[[#This Row],[Efficiency Difference]]*0.2146 -10 &gt; Table3[[#This Row],[Scoring Margin]], 1, 0)</f>
        <v>1</v>
      </c>
    </row>
    <row r="150" spans="2:33">
      <c r="B150" s="5">
        <v>199.36</v>
      </c>
      <c r="C150" s="5">
        <v>53</v>
      </c>
      <c r="X150" s="5">
        <v>199.36</v>
      </c>
      <c r="Y150" s="5">
        <v>53</v>
      </c>
      <c r="Z150" s="5">
        <f>IF(Table3[[#This Row],[Efficiency Difference]]*0.2146 &gt; Table3[[#This Row],[Scoring Margin]], 1, 0)</f>
        <v>0</v>
      </c>
      <c r="AA150" s="5">
        <f>IF(Table3[[#This Row],[Efficiency Difference]]*0.2146 + 7 &gt; Table3[[#This Row],[Scoring Margin]], 1, 0)</f>
        <v>0</v>
      </c>
      <c r="AB150" s="5">
        <f>IF(Table3[[#This Row],[Efficiency Difference]]*0.2146 + 14 &gt; Table3[[#This Row],[Scoring Margin]], 1, 0)</f>
        <v>1</v>
      </c>
      <c r="AC150" s="5">
        <f>IF(Table3[[#This Row],[Efficiency Difference]]*0.2146 + 21 &gt; Table3[[#This Row],[Scoring Margin]], 1, 0)</f>
        <v>1</v>
      </c>
      <c r="AD150" s="5">
        <f>IF(Table3[[#This Row],[Efficiency Difference]]*0.2146 -7 &gt; Table3[[#This Row],[Scoring Margin]], 1, 0)</f>
        <v>0</v>
      </c>
      <c r="AE150" s="5">
        <f>IF(Table3[[#This Row],[Efficiency Difference]]*0.2146 -3 &gt; Table3[[#This Row],[Scoring Margin]], 1, 0)</f>
        <v>0</v>
      </c>
      <c r="AF150" s="5">
        <f>IF(Table3[[#This Row],[Efficiency Difference]]*0.2146 -5 &gt; Table3[[#This Row],[Scoring Margin]], 1, 0)</f>
        <v>0</v>
      </c>
      <c r="AG150" s="5">
        <f>IF(Table3[[#This Row],[Efficiency Difference]]*0.2146 -10 &gt; Table3[[#This Row],[Scoring Margin]], 1, 0)</f>
        <v>0</v>
      </c>
    </row>
    <row r="151" spans="2:33">
      <c r="B151" s="5">
        <v>120.62999999999997</v>
      </c>
      <c r="C151" s="5">
        <v>18</v>
      </c>
      <c r="X151" s="5">
        <v>120.62999999999997</v>
      </c>
      <c r="Y151" s="5">
        <v>18</v>
      </c>
      <c r="Z151" s="5">
        <f>IF(Table3[[#This Row],[Efficiency Difference]]*0.2146 &gt; Table3[[#This Row],[Scoring Margin]], 1, 0)</f>
        <v>1</v>
      </c>
      <c r="AA151" s="5">
        <f>IF(Table3[[#This Row],[Efficiency Difference]]*0.2146 + 7 &gt; Table3[[#This Row],[Scoring Margin]], 1, 0)</f>
        <v>1</v>
      </c>
      <c r="AB151" s="5">
        <f>IF(Table3[[#This Row],[Efficiency Difference]]*0.2146 + 14 &gt; Table3[[#This Row],[Scoring Margin]], 1, 0)</f>
        <v>1</v>
      </c>
      <c r="AC151" s="5">
        <f>IF(Table3[[#This Row],[Efficiency Difference]]*0.2146 + 21 &gt; Table3[[#This Row],[Scoring Margin]], 1, 0)</f>
        <v>1</v>
      </c>
      <c r="AD151" s="5">
        <f>IF(Table3[[#This Row],[Efficiency Difference]]*0.2146 -7 &gt; Table3[[#This Row],[Scoring Margin]], 1, 0)</f>
        <v>1</v>
      </c>
      <c r="AE151" s="5">
        <f>IF(Table3[[#This Row],[Efficiency Difference]]*0.2146 -3 &gt; Table3[[#This Row],[Scoring Margin]], 1, 0)</f>
        <v>1</v>
      </c>
      <c r="AF151" s="5">
        <f>IF(Table3[[#This Row],[Efficiency Difference]]*0.2146 -5 &gt; Table3[[#This Row],[Scoring Margin]], 1, 0)</f>
        <v>1</v>
      </c>
      <c r="AG151" s="5">
        <f>IF(Table3[[#This Row],[Efficiency Difference]]*0.2146 -10 &gt; Table3[[#This Row],[Scoring Margin]], 1, 0)</f>
        <v>0</v>
      </c>
    </row>
    <row r="152" spans="2:33">
      <c r="B152" s="5">
        <v>17.579999999999984</v>
      </c>
      <c r="C152" s="5">
        <v>3</v>
      </c>
      <c r="X152" s="5">
        <v>17.579999999999984</v>
      </c>
      <c r="Y152" s="5">
        <v>3</v>
      </c>
      <c r="Z152" s="5">
        <f>IF(Table3[[#This Row],[Efficiency Difference]]*0.2146 &gt; Table3[[#This Row],[Scoring Margin]], 1, 0)</f>
        <v>1</v>
      </c>
      <c r="AA152" s="5">
        <f>IF(Table3[[#This Row],[Efficiency Difference]]*0.2146 + 7 &gt; Table3[[#This Row],[Scoring Margin]], 1, 0)</f>
        <v>1</v>
      </c>
      <c r="AB152" s="5">
        <f>IF(Table3[[#This Row],[Efficiency Difference]]*0.2146 + 14 &gt; Table3[[#This Row],[Scoring Margin]], 1, 0)</f>
        <v>1</v>
      </c>
      <c r="AC152" s="5">
        <f>IF(Table3[[#This Row],[Efficiency Difference]]*0.2146 + 21 &gt; Table3[[#This Row],[Scoring Margin]], 1, 0)</f>
        <v>1</v>
      </c>
      <c r="AD152" s="5">
        <f>IF(Table3[[#This Row],[Efficiency Difference]]*0.2146 -7 &gt; Table3[[#This Row],[Scoring Margin]], 1, 0)</f>
        <v>0</v>
      </c>
      <c r="AE152" s="5">
        <f>IF(Table3[[#This Row],[Efficiency Difference]]*0.2146 -3 &gt; Table3[[#This Row],[Scoring Margin]], 1, 0)</f>
        <v>0</v>
      </c>
      <c r="AF152" s="5">
        <f>IF(Table3[[#This Row],[Efficiency Difference]]*0.2146 -5 &gt; Table3[[#This Row],[Scoring Margin]], 1, 0)</f>
        <v>0</v>
      </c>
      <c r="AG152" s="5">
        <f>IF(Table3[[#This Row],[Efficiency Difference]]*0.2146 -10 &gt; Table3[[#This Row],[Scoring Margin]], 1, 0)</f>
        <v>0</v>
      </c>
    </row>
    <row r="153" spans="2:33">
      <c r="B153" s="5">
        <v>96.850000000000009</v>
      </c>
      <c r="C153" s="5">
        <v>28</v>
      </c>
      <c r="X153" s="5">
        <v>96.850000000000009</v>
      </c>
      <c r="Y153" s="5">
        <v>28</v>
      </c>
      <c r="Z153" s="5">
        <f>IF(Table3[[#This Row],[Efficiency Difference]]*0.2146 &gt; Table3[[#This Row],[Scoring Margin]], 1, 0)</f>
        <v>0</v>
      </c>
      <c r="AA153" s="5">
        <f>IF(Table3[[#This Row],[Efficiency Difference]]*0.2146 + 7 &gt; Table3[[#This Row],[Scoring Margin]], 1, 0)</f>
        <v>0</v>
      </c>
      <c r="AB153" s="5">
        <f>IF(Table3[[#This Row],[Efficiency Difference]]*0.2146 + 14 &gt; Table3[[#This Row],[Scoring Margin]], 1, 0)</f>
        <v>1</v>
      </c>
      <c r="AC153" s="5">
        <f>IF(Table3[[#This Row],[Efficiency Difference]]*0.2146 + 21 &gt; Table3[[#This Row],[Scoring Margin]], 1, 0)</f>
        <v>1</v>
      </c>
      <c r="AD153" s="5">
        <f>IF(Table3[[#This Row],[Efficiency Difference]]*0.2146 -7 &gt; Table3[[#This Row],[Scoring Margin]], 1, 0)</f>
        <v>0</v>
      </c>
      <c r="AE153" s="5">
        <f>IF(Table3[[#This Row],[Efficiency Difference]]*0.2146 -3 &gt; Table3[[#This Row],[Scoring Margin]], 1, 0)</f>
        <v>0</v>
      </c>
      <c r="AF153" s="5">
        <f>IF(Table3[[#This Row],[Efficiency Difference]]*0.2146 -5 &gt; Table3[[#This Row],[Scoring Margin]], 1, 0)</f>
        <v>0</v>
      </c>
      <c r="AG153" s="5">
        <f>IF(Table3[[#This Row],[Efficiency Difference]]*0.2146 -10 &gt; Table3[[#This Row],[Scoring Margin]], 1, 0)</f>
        <v>0</v>
      </c>
    </row>
    <row r="154" spans="2:33">
      <c r="B154" s="5">
        <v>162.45000000000002</v>
      </c>
      <c r="C154" s="5">
        <v>38</v>
      </c>
      <c r="X154" s="5">
        <v>162.45000000000002</v>
      </c>
      <c r="Y154" s="5">
        <v>38</v>
      </c>
      <c r="Z154" s="5">
        <f>IF(Table3[[#This Row],[Efficiency Difference]]*0.2146 &gt; Table3[[#This Row],[Scoring Margin]], 1, 0)</f>
        <v>0</v>
      </c>
      <c r="AA154" s="5">
        <f>IF(Table3[[#This Row],[Efficiency Difference]]*0.2146 + 7 &gt; Table3[[#This Row],[Scoring Margin]], 1, 0)</f>
        <v>1</v>
      </c>
      <c r="AB154" s="5">
        <f>IF(Table3[[#This Row],[Efficiency Difference]]*0.2146 + 14 &gt; Table3[[#This Row],[Scoring Margin]], 1, 0)</f>
        <v>1</v>
      </c>
      <c r="AC154" s="5">
        <f>IF(Table3[[#This Row],[Efficiency Difference]]*0.2146 + 21 &gt; Table3[[#This Row],[Scoring Margin]], 1, 0)</f>
        <v>1</v>
      </c>
      <c r="AD154" s="5">
        <f>IF(Table3[[#This Row],[Efficiency Difference]]*0.2146 -7 &gt; Table3[[#This Row],[Scoring Margin]], 1, 0)</f>
        <v>0</v>
      </c>
      <c r="AE154" s="5">
        <f>IF(Table3[[#This Row],[Efficiency Difference]]*0.2146 -3 &gt; Table3[[#This Row],[Scoring Margin]], 1, 0)</f>
        <v>0</v>
      </c>
      <c r="AF154" s="5">
        <f>IF(Table3[[#This Row],[Efficiency Difference]]*0.2146 -5 &gt; Table3[[#This Row],[Scoring Margin]], 1, 0)</f>
        <v>0</v>
      </c>
      <c r="AG154" s="5">
        <f>IF(Table3[[#This Row],[Efficiency Difference]]*0.2146 -10 &gt; Table3[[#This Row],[Scoring Margin]], 1, 0)</f>
        <v>0</v>
      </c>
    </row>
    <row r="155" spans="2:33">
      <c r="B155" s="5">
        <v>105.07999999999998</v>
      </c>
      <c r="C155" s="5">
        <v>25</v>
      </c>
      <c r="X155" s="5">
        <v>105.07999999999998</v>
      </c>
      <c r="Y155" s="5">
        <v>25</v>
      </c>
      <c r="Z155" s="5">
        <f>IF(Table3[[#This Row],[Efficiency Difference]]*0.2146 &gt; Table3[[#This Row],[Scoring Margin]], 1, 0)</f>
        <v>0</v>
      </c>
      <c r="AA155" s="5">
        <f>IF(Table3[[#This Row],[Efficiency Difference]]*0.2146 + 7 &gt; Table3[[#This Row],[Scoring Margin]], 1, 0)</f>
        <v>1</v>
      </c>
      <c r="AB155" s="5">
        <f>IF(Table3[[#This Row],[Efficiency Difference]]*0.2146 + 14 &gt; Table3[[#This Row],[Scoring Margin]], 1, 0)</f>
        <v>1</v>
      </c>
      <c r="AC155" s="5">
        <f>IF(Table3[[#This Row],[Efficiency Difference]]*0.2146 + 21 &gt; Table3[[#This Row],[Scoring Margin]], 1, 0)</f>
        <v>1</v>
      </c>
      <c r="AD155" s="5">
        <f>IF(Table3[[#This Row],[Efficiency Difference]]*0.2146 -7 &gt; Table3[[#This Row],[Scoring Margin]], 1, 0)</f>
        <v>0</v>
      </c>
      <c r="AE155" s="5">
        <f>IF(Table3[[#This Row],[Efficiency Difference]]*0.2146 -3 &gt; Table3[[#This Row],[Scoring Margin]], 1, 0)</f>
        <v>0</v>
      </c>
      <c r="AF155" s="5">
        <f>IF(Table3[[#This Row],[Efficiency Difference]]*0.2146 -5 &gt; Table3[[#This Row],[Scoring Margin]], 1, 0)</f>
        <v>0</v>
      </c>
      <c r="AG155" s="5">
        <f>IF(Table3[[#This Row],[Efficiency Difference]]*0.2146 -10 &gt; Table3[[#This Row],[Scoring Margin]], 1, 0)</f>
        <v>0</v>
      </c>
    </row>
    <row r="156" spans="2:33">
      <c r="B156" s="5">
        <v>30.740000000000009</v>
      </c>
      <c r="C156" s="5">
        <v>7</v>
      </c>
      <c r="X156" s="5">
        <v>30.740000000000009</v>
      </c>
      <c r="Y156" s="5">
        <v>7</v>
      </c>
      <c r="Z156" s="5">
        <f>IF(Table3[[#This Row],[Efficiency Difference]]*0.2146 &gt; Table3[[#This Row],[Scoring Margin]], 1, 0)</f>
        <v>0</v>
      </c>
      <c r="AA156" s="5">
        <f>IF(Table3[[#This Row],[Efficiency Difference]]*0.2146 + 7 &gt; Table3[[#This Row],[Scoring Margin]], 1, 0)</f>
        <v>1</v>
      </c>
      <c r="AB156" s="5">
        <f>IF(Table3[[#This Row],[Efficiency Difference]]*0.2146 + 14 &gt; Table3[[#This Row],[Scoring Margin]], 1, 0)</f>
        <v>1</v>
      </c>
      <c r="AC156" s="5">
        <f>IF(Table3[[#This Row],[Efficiency Difference]]*0.2146 + 21 &gt; Table3[[#This Row],[Scoring Margin]], 1, 0)</f>
        <v>1</v>
      </c>
      <c r="AD156" s="5">
        <f>IF(Table3[[#This Row],[Efficiency Difference]]*0.2146 -7 &gt; Table3[[#This Row],[Scoring Margin]], 1, 0)</f>
        <v>0</v>
      </c>
      <c r="AE156" s="5">
        <f>IF(Table3[[#This Row],[Efficiency Difference]]*0.2146 -3 &gt; Table3[[#This Row],[Scoring Margin]], 1, 0)</f>
        <v>0</v>
      </c>
      <c r="AF156" s="5">
        <f>IF(Table3[[#This Row],[Efficiency Difference]]*0.2146 -5 &gt; Table3[[#This Row],[Scoring Margin]], 1, 0)</f>
        <v>0</v>
      </c>
      <c r="AG156" s="5">
        <f>IF(Table3[[#This Row],[Efficiency Difference]]*0.2146 -10 &gt; Table3[[#This Row],[Scoring Margin]], 1, 0)</f>
        <v>0</v>
      </c>
    </row>
    <row r="157" spans="2:33">
      <c r="B157" s="5">
        <v>9.1599999999999966</v>
      </c>
      <c r="C157" s="5">
        <v>7</v>
      </c>
      <c r="X157" s="5">
        <v>9.1599999999999966</v>
      </c>
      <c r="Y157" s="5">
        <v>7</v>
      </c>
      <c r="Z157" s="5">
        <f>IF(Table3[[#This Row],[Efficiency Difference]]*0.2146 &gt; Table3[[#This Row],[Scoring Margin]], 1, 0)</f>
        <v>0</v>
      </c>
      <c r="AA157" s="5">
        <f>IF(Table3[[#This Row],[Efficiency Difference]]*0.2146 + 7 &gt; Table3[[#This Row],[Scoring Margin]], 1, 0)</f>
        <v>1</v>
      </c>
      <c r="AB157" s="5">
        <f>IF(Table3[[#This Row],[Efficiency Difference]]*0.2146 + 14 &gt; Table3[[#This Row],[Scoring Margin]], 1, 0)</f>
        <v>1</v>
      </c>
      <c r="AC157" s="5">
        <f>IF(Table3[[#This Row],[Efficiency Difference]]*0.2146 + 21 &gt; Table3[[#This Row],[Scoring Margin]], 1, 0)</f>
        <v>1</v>
      </c>
      <c r="AD157" s="5">
        <f>IF(Table3[[#This Row],[Efficiency Difference]]*0.2146 -7 &gt; Table3[[#This Row],[Scoring Margin]], 1, 0)</f>
        <v>0</v>
      </c>
      <c r="AE157" s="5">
        <f>IF(Table3[[#This Row],[Efficiency Difference]]*0.2146 -3 &gt; Table3[[#This Row],[Scoring Margin]], 1, 0)</f>
        <v>0</v>
      </c>
      <c r="AF157" s="5">
        <f>IF(Table3[[#This Row],[Efficiency Difference]]*0.2146 -5 &gt; Table3[[#This Row],[Scoring Margin]], 1, 0)</f>
        <v>0</v>
      </c>
      <c r="AG157" s="5">
        <f>IF(Table3[[#This Row],[Efficiency Difference]]*0.2146 -10 &gt; Table3[[#This Row],[Scoring Margin]], 1, 0)</f>
        <v>0</v>
      </c>
    </row>
    <row r="158" spans="2:33">
      <c r="B158" s="5">
        <v>38.650000000000006</v>
      </c>
      <c r="C158" s="5">
        <v>5</v>
      </c>
      <c r="X158" s="5">
        <v>38.650000000000006</v>
      </c>
      <c r="Y158" s="5">
        <v>5</v>
      </c>
      <c r="Z158" s="5">
        <f>IF(Table3[[#This Row],[Efficiency Difference]]*0.2146 &gt; Table3[[#This Row],[Scoring Margin]], 1, 0)</f>
        <v>1</v>
      </c>
      <c r="AA158" s="5">
        <f>IF(Table3[[#This Row],[Efficiency Difference]]*0.2146 + 7 &gt; Table3[[#This Row],[Scoring Margin]], 1, 0)</f>
        <v>1</v>
      </c>
      <c r="AB158" s="5">
        <f>IF(Table3[[#This Row],[Efficiency Difference]]*0.2146 + 14 &gt; Table3[[#This Row],[Scoring Margin]], 1, 0)</f>
        <v>1</v>
      </c>
      <c r="AC158" s="5">
        <f>IF(Table3[[#This Row],[Efficiency Difference]]*0.2146 + 21 &gt; Table3[[#This Row],[Scoring Margin]], 1, 0)</f>
        <v>1</v>
      </c>
      <c r="AD158" s="5">
        <f>IF(Table3[[#This Row],[Efficiency Difference]]*0.2146 -7 &gt; Table3[[#This Row],[Scoring Margin]], 1, 0)</f>
        <v>0</v>
      </c>
      <c r="AE158" s="5">
        <f>IF(Table3[[#This Row],[Efficiency Difference]]*0.2146 -3 &gt; Table3[[#This Row],[Scoring Margin]], 1, 0)</f>
        <v>1</v>
      </c>
      <c r="AF158" s="5">
        <f>IF(Table3[[#This Row],[Efficiency Difference]]*0.2146 -5 &gt; Table3[[#This Row],[Scoring Margin]], 1, 0)</f>
        <v>0</v>
      </c>
      <c r="AG158" s="5">
        <f>IF(Table3[[#This Row],[Efficiency Difference]]*0.2146 -10 &gt; Table3[[#This Row],[Scoring Margin]], 1, 0)</f>
        <v>0</v>
      </c>
    </row>
    <row r="159" spans="2:33">
      <c r="B159" s="5">
        <v>38.909999999999968</v>
      </c>
      <c r="C159" s="5">
        <v>4</v>
      </c>
      <c r="X159" s="5">
        <v>38.909999999999968</v>
      </c>
      <c r="Y159" s="5">
        <v>4</v>
      </c>
      <c r="Z159" s="5">
        <f>IF(Table3[[#This Row],[Efficiency Difference]]*0.2146 &gt; Table3[[#This Row],[Scoring Margin]], 1, 0)</f>
        <v>1</v>
      </c>
      <c r="AA159" s="5">
        <f>IF(Table3[[#This Row],[Efficiency Difference]]*0.2146 + 7 &gt; Table3[[#This Row],[Scoring Margin]], 1, 0)</f>
        <v>1</v>
      </c>
      <c r="AB159" s="5">
        <f>IF(Table3[[#This Row],[Efficiency Difference]]*0.2146 + 14 &gt; Table3[[#This Row],[Scoring Margin]], 1, 0)</f>
        <v>1</v>
      </c>
      <c r="AC159" s="5">
        <f>IF(Table3[[#This Row],[Efficiency Difference]]*0.2146 + 21 &gt; Table3[[#This Row],[Scoring Margin]], 1, 0)</f>
        <v>1</v>
      </c>
      <c r="AD159" s="5">
        <f>IF(Table3[[#This Row],[Efficiency Difference]]*0.2146 -7 &gt; Table3[[#This Row],[Scoring Margin]], 1, 0)</f>
        <v>0</v>
      </c>
      <c r="AE159" s="5">
        <f>IF(Table3[[#This Row],[Efficiency Difference]]*0.2146 -3 &gt; Table3[[#This Row],[Scoring Margin]], 1, 0)</f>
        <v>1</v>
      </c>
      <c r="AF159" s="5">
        <f>IF(Table3[[#This Row],[Efficiency Difference]]*0.2146 -5 &gt; Table3[[#This Row],[Scoring Margin]], 1, 0)</f>
        <v>0</v>
      </c>
      <c r="AG159" s="5">
        <f>IF(Table3[[#This Row],[Efficiency Difference]]*0.2146 -10 &gt; Table3[[#This Row],[Scoring Margin]], 1, 0)</f>
        <v>0</v>
      </c>
    </row>
    <row r="160" spans="2:33">
      <c r="B160" s="5">
        <v>61.300000000000011</v>
      </c>
      <c r="C160" s="5">
        <v>10</v>
      </c>
      <c r="X160" s="5">
        <v>61.300000000000011</v>
      </c>
      <c r="Y160" s="5">
        <v>10</v>
      </c>
      <c r="Z160" s="5">
        <f>IF(Table3[[#This Row],[Efficiency Difference]]*0.2146 &gt; Table3[[#This Row],[Scoring Margin]], 1, 0)</f>
        <v>1</v>
      </c>
      <c r="AA160" s="5">
        <f>IF(Table3[[#This Row],[Efficiency Difference]]*0.2146 + 7 &gt; Table3[[#This Row],[Scoring Margin]], 1, 0)</f>
        <v>1</v>
      </c>
      <c r="AB160" s="5">
        <f>IF(Table3[[#This Row],[Efficiency Difference]]*0.2146 + 14 &gt; Table3[[#This Row],[Scoring Margin]], 1, 0)</f>
        <v>1</v>
      </c>
      <c r="AC160" s="5">
        <f>IF(Table3[[#This Row],[Efficiency Difference]]*0.2146 + 21 &gt; Table3[[#This Row],[Scoring Margin]], 1, 0)</f>
        <v>1</v>
      </c>
      <c r="AD160" s="5">
        <f>IF(Table3[[#This Row],[Efficiency Difference]]*0.2146 -7 &gt; Table3[[#This Row],[Scoring Margin]], 1, 0)</f>
        <v>0</v>
      </c>
      <c r="AE160" s="5">
        <f>IF(Table3[[#This Row],[Efficiency Difference]]*0.2146 -3 &gt; Table3[[#This Row],[Scoring Margin]], 1, 0)</f>
        <v>1</v>
      </c>
      <c r="AF160" s="5">
        <f>IF(Table3[[#This Row],[Efficiency Difference]]*0.2146 -5 &gt; Table3[[#This Row],[Scoring Margin]], 1, 0)</f>
        <v>0</v>
      </c>
      <c r="AG160" s="5">
        <f>IF(Table3[[#This Row],[Efficiency Difference]]*0.2146 -10 &gt; Table3[[#This Row],[Scoring Margin]], 1, 0)</f>
        <v>0</v>
      </c>
    </row>
    <row r="161" spans="2:33">
      <c r="B161" s="5">
        <v>84.739999999999981</v>
      </c>
      <c r="C161" s="5">
        <v>18</v>
      </c>
      <c r="X161" s="5">
        <v>84.739999999999981</v>
      </c>
      <c r="Y161" s="5">
        <v>18</v>
      </c>
      <c r="Z161" s="5">
        <f>IF(Table3[[#This Row],[Efficiency Difference]]*0.2146 &gt; Table3[[#This Row],[Scoring Margin]], 1, 0)</f>
        <v>1</v>
      </c>
      <c r="AA161" s="5">
        <f>IF(Table3[[#This Row],[Efficiency Difference]]*0.2146 + 7 &gt; Table3[[#This Row],[Scoring Margin]], 1, 0)</f>
        <v>1</v>
      </c>
      <c r="AB161" s="5">
        <f>IF(Table3[[#This Row],[Efficiency Difference]]*0.2146 + 14 &gt; Table3[[#This Row],[Scoring Margin]], 1, 0)</f>
        <v>1</v>
      </c>
      <c r="AC161" s="5">
        <f>IF(Table3[[#This Row],[Efficiency Difference]]*0.2146 + 21 &gt; Table3[[#This Row],[Scoring Margin]], 1, 0)</f>
        <v>1</v>
      </c>
      <c r="AD161" s="5">
        <f>IF(Table3[[#This Row],[Efficiency Difference]]*0.2146 -7 &gt; Table3[[#This Row],[Scoring Margin]], 1, 0)</f>
        <v>0</v>
      </c>
      <c r="AE161" s="5">
        <f>IF(Table3[[#This Row],[Efficiency Difference]]*0.2146 -3 &gt; Table3[[#This Row],[Scoring Margin]], 1, 0)</f>
        <v>0</v>
      </c>
      <c r="AF161" s="5">
        <f>IF(Table3[[#This Row],[Efficiency Difference]]*0.2146 -5 &gt; Table3[[#This Row],[Scoring Margin]], 1, 0)</f>
        <v>0</v>
      </c>
      <c r="AG161" s="5">
        <f>IF(Table3[[#This Row],[Efficiency Difference]]*0.2146 -10 &gt; Table3[[#This Row],[Scoring Margin]], 1, 0)</f>
        <v>0</v>
      </c>
    </row>
    <row r="162" spans="2:33">
      <c r="B162" s="5">
        <v>145.11999999999998</v>
      </c>
      <c r="C162" s="5">
        <v>38</v>
      </c>
      <c r="X162" s="5">
        <v>145.11999999999998</v>
      </c>
      <c r="Y162" s="5">
        <v>38</v>
      </c>
      <c r="Z162" s="5">
        <f>IF(Table3[[#This Row],[Efficiency Difference]]*0.2146 &gt; Table3[[#This Row],[Scoring Margin]], 1, 0)</f>
        <v>0</v>
      </c>
      <c r="AA162" s="5">
        <f>IF(Table3[[#This Row],[Efficiency Difference]]*0.2146 + 7 &gt; Table3[[#This Row],[Scoring Margin]], 1, 0)</f>
        <v>1</v>
      </c>
      <c r="AB162" s="5">
        <f>IF(Table3[[#This Row],[Efficiency Difference]]*0.2146 + 14 &gt; Table3[[#This Row],[Scoring Margin]], 1, 0)</f>
        <v>1</v>
      </c>
      <c r="AC162" s="5">
        <f>IF(Table3[[#This Row],[Efficiency Difference]]*0.2146 + 21 &gt; Table3[[#This Row],[Scoring Margin]], 1, 0)</f>
        <v>1</v>
      </c>
      <c r="AD162" s="5">
        <f>IF(Table3[[#This Row],[Efficiency Difference]]*0.2146 -7 &gt; Table3[[#This Row],[Scoring Margin]], 1, 0)</f>
        <v>0</v>
      </c>
      <c r="AE162" s="5">
        <f>IF(Table3[[#This Row],[Efficiency Difference]]*0.2146 -3 &gt; Table3[[#This Row],[Scoring Margin]], 1, 0)</f>
        <v>0</v>
      </c>
      <c r="AF162" s="5">
        <f>IF(Table3[[#This Row],[Efficiency Difference]]*0.2146 -5 &gt; Table3[[#This Row],[Scoring Margin]], 1, 0)</f>
        <v>0</v>
      </c>
      <c r="AG162" s="5">
        <f>IF(Table3[[#This Row],[Efficiency Difference]]*0.2146 -10 &gt; Table3[[#This Row],[Scoring Margin]], 1, 0)</f>
        <v>0</v>
      </c>
    </row>
    <row r="163" spans="2:33">
      <c r="B163" s="5">
        <v>35.170000000000016</v>
      </c>
      <c r="C163" s="5">
        <v>16</v>
      </c>
      <c r="X163" s="5">
        <v>35.170000000000016</v>
      </c>
      <c r="Y163" s="5">
        <v>16</v>
      </c>
      <c r="Z163" s="5">
        <f>IF(Table3[[#This Row],[Efficiency Difference]]*0.2146 &gt; Table3[[#This Row],[Scoring Margin]], 1, 0)</f>
        <v>0</v>
      </c>
      <c r="AA163" s="5">
        <f>IF(Table3[[#This Row],[Efficiency Difference]]*0.2146 + 7 &gt; Table3[[#This Row],[Scoring Margin]], 1, 0)</f>
        <v>0</v>
      </c>
      <c r="AB163" s="5">
        <f>IF(Table3[[#This Row],[Efficiency Difference]]*0.2146 + 14 &gt; Table3[[#This Row],[Scoring Margin]], 1, 0)</f>
        <v>1</v>
      </c>
      <c r="AC163" s="5">
        <f>IF(Table3[[#This Row],[Efficiency Difference]]*0.2146 + 21 &gt; Table3[[#This Row],[Scoring Margin]], 1, 0)</f>
        <v>1</v>
      </c>
      <c r="AD163" s="5">
        <f>IF(Table3[[#This Row],[Efficiency Difference]]*0.2146 -7 &gt; Table3[[#This Row],[Scoring Margin]], 1, 0)</f>
        <v>0</v>
      </c>
      <c r="AE163" s="5">
        <f>IF(Table3[[#This Row],[Efficiency Difference]]*0.2146 -3 &gt; Table3[[#This Row],[Scoring Margin]], 1, 0)</f>
        <v>0</v>
      </c>
      <c r="AF163" s="5">
        <f>IF(Table3[[#This Row],[Efficiency Difference]]*0.2146 -5 &gt; Table3[[#This Row],[Scoring Margin]], 1, 0)</f>
        <v>0</v>
      </c>
      <c r="AG163" s="5">
        <f>IF(Table3[[#This Row],[Efficiency Difference]]*0.2146 -10 &gt; Table3[[#This Row],[Scoring Margin]], 1, 0)</f>
        <v>0</v>
      </c>
    </row>
    <row r="164" spans="2:33">
      <c r="B164" s="5">
        <v>17.420000000000016</v>
      </c>
      <c r="C164" s="5">
        <v>3</v>
      </c>
      <c r="X164" s="5">
        <v>17.420000000000016</v>
      </c>
      <c r="Y164" s="5">
        <v>3</v>
      </c>
      <c r="Z164" s="5">
        <f>IF(Table3[[#This Row],[Efficiency Difference]]*0.2146 &gt; Table3[[#This Row],[Scoring Margin]], 1, 0)</f>
        <v>1</v>
      </c>
      <c r="AA164" s="5">
        <f>IF(Table3[[#This Row],[Efficiency Difference]]*0.2146 + 7 &gt; Table3[[#This Row],[Scoring Margin]], 1, 0)</f>
        <v>1</v>
      </c>
      <c r="AB164" s="5">
        <f>IF(Table3[[#This Row],[Efficiency Difference]]*0.2146 + 14 &gt; Table3[[#This Row],[Scoring Margin]], 1, 0)</f>
        <v>1</v>
      </c>
      <c r="AC164" s="5">
        <f>IF(Table3[[#This Row],[Efficiency Difference]]*0.2146 + 21 &gt; Table3[[#This Row],[Scoring Margin]], 1, 0)</f>
        <v>1</v>
      </c>
      <c r="AD164" s="5">
        <f>IF(Table3[[#This Row],[Efficiency Difference]]*0.2146 -7 &gt; Table3[[#This Row],[Scoring Margin]], 1, 0)</f>
        <v>0</v>
      </c>
      <c r="AE164" s="5">
        <f>IF(Table3[[#This Row],[Efficiency Difference]]*0.2146 -3 &gt; Table3[[#This Row],[Scoring Margin]], 1, 0)</f>
        <v>0</v>
      </c>
      <c r="AF164" s="5">
        <f>IF(Table3[[#This Row],[Efficiency Difference]]*0.2146 -5 &gt; Table3[[#This Row],[Scoring Margin]], 1, 0)</f>
        <v>0</v>
      </c>
      <c r="AG164" s="5">
        <f>IF(Table3[[#This Row],[Efficiency Difference]]*0.2146 -10 &gt; Table3[[#This Row],[Scoring Margin]], 1, 0)</f>
        <v>0</v>
      </c>
    </row>
    <row r="165" spans="2:33">
      <c r="B165" s="5">
        <v>13.040000000000049</v>
      </c>
      <c r="C165" s="5">
        <v>14</v>
      </c>
      <c r="X165" s="5">
        <v>13.040000000000049</v>
      </c>
      <c r="Y165" s="5">
        <v>14</v>
      </c>
      <c r="Z165" s="5">
        <f>IF(Table3[[#This Row],[Efficiency Difference]]*0.2146 &gt; Table3[[#This Row],[Scoring Margin]], 1, 0)</f>
        <v>0</v>
      </c>
      <c r="AA165" s="5">
        <f>IF(Table3[[#This Row],[Efficiency Difference]]*0.2146 + 7 &gt; Table3[[#This Row],[Scoring Margin]], 1, 0)</f>
        <v>0</v>
      </c>
      <c r="AB165" s="5">
        <f>IF(Table3[[#This Row],[Efficiency Difference]]*0.2146 + 14 &gt; Table3[[#This Row],[Scoring Margin]], 1, 0)</f>
        <v>1</v>
      </c>
      <c r="AC165" s="5">
        <f>IF(Table3[[#This Row],[Efficiency Difference]]*0.2146 + 21 &gt; Table3[[#This Row],[Scoring Margin]], 1, 0)</f>
        <v>1</v>
      </c>
      <c r="AD165" s="5">
        <f>IF(Table3[[#This Row],[Efficiency Difference]]*0.2146 -7 &gt; Table3[[#This Row],[Scoring Margin]], 1, 0)</f>
        <v>0</v>
      </c>
      <c r="AE165" s="5">
        <f>IF(Table3[[#This Row],[Efficiency Difference]]*0.2146 -3 &gt; Table3[[#This Row],[Scoring Margin]], 1, 0)</f>
        <v>0</v>
      </c>
      <c r="AF165" s="5">
        <f>IF(Table3[[#This Row],[Efficiency Difference]]*0.2146 -5 &gt; Table3[[#This Row],[Scoring Margin]], 1, 0)</f>
        <v>0</v>
      </c>
      <c r="AG165" s="5">
        <f>IF(Table3[[#This Row],[Efficiency Difference]]*0.2146 -10 &gt; Table3[[#This Row],[Scoring Margin]], 1, 0)</f>
        <v>0</v>
      </c>
    </row>
    <row r="166" spans="2:33">
      <c r="B166" s="5">
        <v>92.88</v>
      </c>
      <c r="C166" s="5">
        <v>20</v>
      </c>
      <c r="X166" s="5">
        <v>92.88</v>
      </c>
      <c r="Y166" s="5">
        <v>20</v>
      </c>
      <c r="Z166" s="5">
        <f>IF(Table3[[#This Row],[Efficiency Difference]]*0.2146 &gt; Table3[[#This Row],[Scoring Margin]], 1, 0)</f>
        <v>0</v>
      </c>
      <c r="AA166" s="5">
        <f>IF(Table3[[#This Row],[Efficiency Difference]]*0.2146 + 7 &gt; Table3[[#This Row],[Scoring Margin]], 1, 0)</f>
        <v>1</v>
      </c>
      <c r="AB166" s="5">
        <f>IF(Table3[[#This Row],[Efficiency Difference]]*0.2146 + 14 &gt; Table3[[#This Row],[Scoring Margin]], 1, 0)</f>
        <v>1</v>
      </c>
      <c r="AC166" s="5">
        <f>IF(Table3[[#This Row],[Efficiency Difference]]*0.2146 + 21 &gt; Table3[[#This Row],[Scoring Margin]], 1, 0)</f>
        <v>1</v>
      </c>
      <c r="AD166" s="5">
        <f>IF(Table3[[#This Row],[Efficiency Difference]]*0.2146 -7 &gt; Table3[[#This Row],[Scoring Margin]], 1, 0)</f>
        <v>0</v>
      </c>
      <c r="AE166" s="5">
        <f>IF(Table3[[#This Row],[Efficiency Difference]]*0.2146 -3 &gt; Table3[[#This Row],[Scoring Margin]], 1, 0)</f>
        <v>0</v>
      </c>
      <c r="AF166" s="5">
        <f>IF(Table3[[#This Row],[Efficiency Difference]]*0.2146 -5 &gt; Table3[[#This Row],[Scoring Margin]], 1, 0)</f>
        <v>0</v>
      </c>
      <c r="AG166" s="5">
        <f>IF(Table3[[#This Row],[Efficiency Difference]]*0.2146 -10 &gt; Table3[[#This Row],[Scoring Margin]], 1, 0)</f>
        <v>0</v>
      </c>
    </row>
    <row r="167" spans="2:33">
      <c r="B167" s="5">
        <v>75.149999999999991</v>
      </c>
      <c r="C167" s="5">
        <v>24</v>
      </c>
      <c r="X167" s="5">
        <v>75.149999999999991</v>
      </c>
      <c r="Y167" s="5">
        <v>24</v>
      </c>
      <c r="Z167" s="5">
        <f>IF(Table3[[#This Row],[Efficiency Difference]]*0.2146 &gt; Table3[[#This Row],[Scoring Margin]], 1, 0)</f>
        <v>0</v>
      </c>
      <c r="AA167" s="5">
        <f>IF(Table3[[#This Row],[Efficiency Difference]]*0.2146 + 7 &gt; Table3[[#This Row],[Scoring Margin]], 1, 0)</f>
        <v>0</v>
      </c>
      <c r="AB167" s="5">
        <f>IF(Table3[[#This Row],[Efficiency Difference]]*0.2146 + 14 &gt; Table3[[#This Row],[Scoring Margin]], 1, 0)</f>
        <v>1</v>
      </c>
      <c r="AC167" s="5">
        <f>IF(Table3[[#This Row],[Efficiency Difference]]*0.2146 + 21 &gt; Table3[[#This Row],[Scoring Margin]], 1, 0)</f>
        <v>1</v>
      </c>
      <c r="AD167" s="5">
        <f>IF(Table3[[#This Row],[Efficiency Difference]]*0.2146 -7 &gt; Table3[[#This Row],[Scoring Margin]], 1, 0)</f>
        <v>0</v>
      </c>
      <c r="AE167" s="5">
        <f>IF(Table3[[#This Row],[Efficiency Difference]]*0.2146 -3 &gt; Table3[[#This Row],[Scoring Margin]], 1, 0)</f>
        <v>0</v>
      </c>
      <c r="AF167" s="5">
        <f>IF(Table3[[#This Row],[Efficiency Difference]]*0.2146 -5 &gt; Table3[[#This Row],[Scoring Margin]], 1, 0)</f>
        <v>0</v>
      </c>
      <c r="AG167" s="5">
        <f>IF(Table3[[#This Row],[Efficiency Difference]]*0.2146 -10 &gt; Table3[[#This Row],[Scoring Margin]], 1, 0)</f>
        <v>0</v>
      </c>
    </row>
    <row r="168" spans="2:33">
      <c r="B168" s="5">
        <v>145.12</v>
      </c>
      <c r="C168" s="5">
        <v>38</v>
      </c>
      <c r="X168" s="5">
        <v>145.12</v>
      </c>
      <c r="Y168" s="5">
        <v>38</v>
      </c>
      <c r="Z168" s="5">
        <f>IF(Table3[[#This Row],[Efficiency Difference]]*0.2146 &gt; Table3[[#This Row],[Scoring Margin]], 1, 0)</f>
        <v>0</v>
      </c>
      <c r="AA168" s="5">
        <f>IF(Table3[[#This Row],[Efficiency Difference]]*0.2146 + 7 &gt; Table3[[#This Row],[Scoring Margin]], 1, 0)</f>
        <v>1</v>
      </c>
      <c r="AB168" s="5">
        <f>IF(Table3[[#This Row],[Efficiency Difference]]*0.2146 + 14 &gt; Table3[[#This Row],[Scoring Margin]], 1, 0)</f>
        <v>1</v>
      </c>
      <c r="AC168" s="5">
        <f>IF(Table3[[#This Row],[Efficiency Difference]]*0.2146 + 21 &gt; Table3[[#This Row],[Scoring Margin]], 1, 0)</f>
        <v>1</v>
      </c>
      <c r="AD168" s="5">
        <f>IF(Table3[[#This Row],[Efficiency Difference]]*0.2146 -7 &gt; Table3[[#This Row],[Scoring Margin]], 1, 0)</f>
        <v>0</v>
      </c>
      <c r="AE168" s="5">
        <f>IF(Table3[[#This Row],[Efficiency Difference]]*0.2146 -3 &gt; Table3[[#This Row],[Scoring Margin]], 1, 0)</f>
        <v>0</v>
      </c>
      <c r="AF168" s="5">
        <f>IF(Table3[[#This Row],[Efficiency Difference]]*0.2146 -5 &gt; Table3[[#This Row],[Scoring Margin]], 1, 0)</f>
        <v>0</v>
      </c>
      <c r="AG168" s="5">
        <f>IF(Table3[[#This Row],[Efficiency Difference]]*0.2146 -10 &gt; Table3[[#This Row],[Scoring Margin]], 1, 0)</f>
        <v>0</v>
      </c>
    </row>
    <row r="169" spans="2:33">
      <c r="B169" s="5">
        <v>123.43</v>
      </c>
      <c r="C169" s="5">
        <v>39</v>
      </c>
      <c r="X169" s="5">
        <v>123.43</v>
      </c>
      <c r="Y169" s="5">
        <v>39</v>
      </c>
      <c r="Z169" s="5">
        <f>IF(Table3[[#This Row],[Efficiency Difference]]*0.2146 &gt; Table3[[#This Row],[Scoring Margin]], 1, 0)</f>
        <v>0</v>
      </c>
      <c r="AA169" s="5">
        <f>IF(Table3[[#This Row],[Efficiency Difference]]*0.2146 + 7 &gt; Table3[[#This Row],[Scoring Margin]], 1, 0)</f>
        <v>0</v>
      </c>
      <c r="AB169" s="5">
        <f>IF(Table3[[#This Row],[Efficiency Difference]]*0.2146 + 14 &gt; Table3[[#This Row],[Scoring Margin]], 1, 0)</f>
        <v>1</v>
      </c>
      <c r="AC169" s="5">
        <f>IF(Table3[[#This Row],[Efficiency Difference]]*0.2146 + 21 &gt; Table3[[#This Row],[Scoring Margin]], 1, 0)</f>
        <v>1</v>
      </c>
      <c r="AD169" s="5">
        <f>IF(Table3[[#This Row],[Efficiency Difference]]*0.2146 -7 &gt; Table3[[#This Row],[Scoring Margin]], 1, 0)</f>
        <v>0</v>
      </c>
      <c r="AE169" s="5">
        <f>IF(Table3[[#This Row],[Efficiency Difference]]*0.2146 -3 &gt; Table3[[#This Row],[Scoring Margin]], 1, 0)</f>
        <v>0</v>
      </c>
      <c r="AF169" s="5">
        <f>IF(Table3[[#This Row],[Efficiency Difference]]*0.2146 -5 &gt; Table3[[#This Row],[Scoring Margin]], 1, 0)</f>
        <v>0</v>
      </c>
      <c r="AG169" s="5">
        <f>IF(Table3[[#This Row],[Efficiency Difference]]*0.2146 -10 &gt; Table3[[#This Row],[Scoring Margin]], 1, 0)</f>
        <v>0</v>
      </c>
    </row>
    <row r="170" spans="2:33">
      <c r="B170" s="5">
        <v>124.54999999999998</v>
      </c>
      <c r="C170" s="5">
        <v>10</v>
      </c>
      <c r="X170" s="5">
        <v>124.54999999999998</v>
      </c>
      <c r="Y170" s="5">
        <v>10</v>
      </c>
      <c r="Z170" s="5">
        <f>IF(Table3[[#This Row],[Efficiency Difference]]*0.2146 &gt; Table3[[#This Row],[Scoring Margin]], 1, 0)</f>
        <v>1</v>
      </c>
      <c r="AA170" s="5">
        <f>IF(Table3[[#This Row],[Efficiency Difference]]*0.2146 + 7 &gt; Table3[[#This Row],[Scoring Margin]], 1, 0)</f>
        <v>1</v>
      </c>
      <c r="AB170" s="5">
        <f>IF(Table3[[#This Row],[Efficiency Difference]]*0.2146 + 14 &gt; Table3[[#This Row],[Scoring Margin]], 1, 0)</f>
        <v>1</v>
      </c>
      <c r="AC170" s="5">
        <f>IF(Table3[[#This Row],[Efficiency Difference]]*0.2146 + 21 &gt; Table3[[#This Row],[Scoring Margin]], 1, 0)</f>
        <v>1</v>
      </c>
      <c r="AD170" s="5">
        <f>IF(Table3[[#This Row],[Efficiency Difference]]*0.2146 -7 &gt; Table3[[#This Row],[Scoring Margin]], 1, 0)</f>
        <v>1</v>
      </c>
      <c r="AE170" s="5">
        <f>IF(Table3[[#This Row],[Efficiency Difference]]*0.2146 -3 &gt; Table3[[#This Row],[Scoring Margin]], 1, 0)</f>
        <v>1</v>
      </c>
      <c r="AF170" s="5">
        <f>IF(Table3[[#This Row],[Efficiency Difference]]*0.2146 -5 &gt; Table3[[#This Row],[Scoring Margin]], 1, 0)</f>
        <v>1</v>
      </c>
      <c r="AG170" s="5">
        <f>IF(Table3[[#This Row],[Efficiency Difference]]*0.2146 -10 &gt; Table3[[#This Row],[Scoring Margin]], 1, 0)</f>
        <v>1</v>
      </c>
    </row>
    <row r="171" spans="2:33">
      <c r="B171" s="5">
        <v>145.29000000000002</v>
      </c>
      <c r="C171" s="5">
        <v>38</v>
      </c>
      <c r="X171" s="5">
        <v>145.29000000000002</v>
      </c>
      <c r="Y171" s="5">
        <v>38</v>
      </c>
      <c r="Z171" s="5">
        <f>IF(Table3[[#This Row],[Efficiency Difference]]*0.2146 &gt; Table3[[#This Row],[Scoring Margin]], 1, 0)</f>
        <v>0</v>
      </c>
      <c r="AA171" s="5">
        <f>IF(Table3[[#This Row],[Efficiency Difference]]*0.2146 + 7 &gt; Table3[[#This Row],[Scoring Margin]], 1, 0)</f>
        <v>1</v>
      </c>
      <c r="AB171" s="5">
        <f>IF(Table3[[#This Row],[Efficiency Difference]]*0.2146 + 14 &gt; Table3[[#This Row],[Scoring Margin]], 1, 0)</f>
        <v>1</v>
      </c>
      <c r="AC171" s="5">
        <f>IF(Table3[[#This Row],[Efficiency Difference]]*0.2146 + 21 &gt; Table3[[#This Row],[Scoring Margin]], 1, 0)</f>
        <v>1</v>
      </c>
      <c r="AD171" s="5">
        <f>IF(Table3[[#This Row],[Efficiency Difference]]*0.2146 -7 &gt; Table3[[#This Row],[Scoring Margin]], 1, 0)</f>
        <v>0</v>
      </c>
      <c r="AE171" s="5">
        <f>IF(Table3[[#This Row],[Efficiency Difference]]*0.2146 -3 &gt; Table3[[#This Row],[Scoring Margin]], 1, 0)</f>
        <v>0</v>
      </c>
      <c r="AF171" s="5">
        <f>IF(Table3[[#This Row],[Efficiency Difference]]*0.2146 -5 &gt; Table3[[#This Row],[Scoring Margin]], 1, 0)</f>
        <v>0</v>
      </c>
      <c r="AG171" s="5">
        <f>IF(Table3[[#This Row],[Efficiency Difference]]*0.2146 -10 &gt; Table3[[#This Row],[Scoring Margin]], 1, 0)</f>
        <v>0</v>
      </c>
    </row>
    <row r="172" spans="2:33">
      <c r="B172" s="5">
        <v>109.34999999999997</v>
      </c>
      <c r="C172" s="5">
        <v>28</v>
      </c>
      <c r="X172" s="5">
        <v>109.34999999999997</v>
      </c>
      <c r="Y172" s="5">
        <v>28</v>
      </c>
      <c r="Z172" s="5">
        <f>IF(Table3[[#This Row],[Efficiency Difference]]*0.2146 &gt; Table3[[#This Row],[Scoring Margin]], 1, 0)</f>
        <v>0</v>
      </c>
      <c r="AA172" s="5">
        <f>IF(Table3[[#This Row],[Efficiency Difference]]*0.2146 + 7 &gt; Table3[[#This Row],[Scoring Margin]], 1, 0)</f>
        <v>1</v>
      </c>
      <c r="AB172" s="5">
        <f>IF(Table3[[#This Row],[Efficiency Difference]]*0.2146 + 14 &gt; Table3[[#This Row],[Scoring Margin]], 1, 0)</f>
        <v>1</v>
      </c>
      <c r="AC172" s="5">
        <f>IF(Table3[[#This Row],[Efficiency Difference]]*0.2146 + 21 &gt; Table3[[#This Row],[Scoring Margin]], 1, 0)</f>
        <v>1</v>
      </c>
      <c r="AD172" s="5">
        <f>IF(Table3[[#This Row],[Efficiency Difference]]*0.2146 -7 &gt; Table3[[#This Row],[Scoring Margin]], 1, 0)</f>
        <v>0</v>
      </c>
      <c r="AE172" s="5">
        <f>IF(Table3[[#This Row],[Efficiency Difference]]*0.2146 -3 &gt; Table3[[#This Row],[Scoring Margin]], 1, 0)</f>
        <v>0</v>
      </c>
      <c r="AF172" s="5">
        <f>IF(Table3[[#This Row],[Efficiency Difference]]*0.2146 -5 &gt; Table3[[#This Row],[Scoring Margin]], 1, 0)</f>
        <v>0</v>
      </c>
      <c r="AG172" s="5">
        <f>IF(Table3[[#This Row],[Efficiency Difference]]*0.2146 -10 &gt; Table3[[#This Row],[Scoring Margin]], 1, 0)</f>
        <v>0</v>
      </c>
    </row>
    <row r="173" spans="2:33">
      <c r="B173" s="5">
        <v>85.669999999999987</v>
      </c>
      <c r="C173" s="5">
        <v>11</v>
      </c>
      <c r="X173" s="5">
        <v>85.669999999999987</v>
      </c>
      <c r="Y173" s="5">
        <v>11</v>
      </c>
      <c r="Z173" s="5">
        <f>IF(Table3[[#This Row],[Efficiency Difference]]*0.2146 &gt; Table3[[#This Row],[Scoring Margin]], 1, 0)</f>
        <v>1</v>
      </c>
      <c r="AA173" s="5">
        <f>IF(Table3[[#This Row],[Efficiency Difference]]*0.2146 + 7 &gt; Table3[[#This Row],[Scoring Margin]], 1, 0)</f>
        <v>1</v>
      </c>
      <c r="AB173" s="5">
        <f>IF(Table3[[#This Row],[Efficiency Difference]]*0.2146 + 14 &gt; Table3[[#This Row],[Scoring Margin]], 1, 0)</f>
        <v>1</v>
      </c>
      <c r="AC173" s="5">
        <f>IF(Table3[[#This Row],[Efficiency Difference]]*0.2146 + 21 &gt; Table3[[#This Row],[Scoring Margin]], 1, 0)</f>
        <v>1</v>
      </c>
      <c r="AD173" s="5">
        <f>IF(Table3[[#This Row],[Efficiency Difference]]*0.2146 -7 &gt; Table3[[#This Row],[Scoring Margin]], 1, 0)</f>
        <v>1</v>
      </c>
      <c r="AE173" s="5">
        <f>IF(Table3[[#This Row],[Efficiency Difference]]*0.2146 -3 &gt; Table3[[#This Row],[Scoring Margin]], 1, 0)</f>
        <v>1</v>
      </c>
      <c r="AF173" s="5">
        <f>IF(Table3[[#This Row],[Efficiency Difference]]*0.2146 -5 &gt; Table3[[#This Row],[Scoring Margin]], 1, 0)</f>
        <v>1</v>
      </c>
      <c r="AG173" s="5">
        <f>IF(Table3[[#This Row],[Efficiency Difference]]*0.2146 -10 &gt; Table3[[#This Row],[Scoring Margin]], 1, 0)</f>
        <v>0</v>
      </c>
    </row>
    <row r="174" spans="2:33">
      <c r="B174" s="5">
        <v>72.600000000000023</v>
      </c>
      <c r="C174" s="5">
        <v>34</v>
      </c>
      <c r="X174" s="5">
        <v>72.600000000000023</v>
      </c>
      <c r="Y174" s="5">
        <v>34</v>
      </c>
      <c r="Z174" s="5">
        <f>IF(Table3[[#This Row],[Efficiency Difference]]*0.2146 &gt; Table3[[#This Row],[Scoring Margin]], 1, 0)</f>
        <v>0</v>
      </c>
      <c r="AA174" s="5">
        <f>IF(Table3[[#This Row],[Efficiency Difference]]*0.2146 + 7 &gt; Table3[[#This Row],[Scoring Margin]], 1, 0)</f>
        <v>0</v>
      </c>
      <c r="AB174" s="5">
        <f>IF(Table3[[#This Row],[Efficiency Difference]]*0.2146 + 14 &gt; Table3[[#This Row],[Scoring Margin]], 1, 0)</f>
        <v>0</v>
      </c>
      <c r="AC174" s="5">
        <f>IF(Table3[[#This Row],[Efficiency Difference]]*0.2146 + 21 &gt; Table3[[#This Row],[Scoring Margin]], 1, 0)</f>
        <v>1</v>
      </c>
      <c r="AD174" s="5">
        <f>IF(Table3[[#This Row],[Efficiency Difference]]*0.2146 -7 &gt; Table3[[#This Row],[Scoring Margin]], 1, 0)</f>
        <v>0</v>
      </c>
      <c r="AE174" s="5">
        <f>IF(Table3[[#This Row],[Efficiency Difference]]*0.2146 -3 &gt; Table3[[#This Row],[Scoring Margin]], 1, 0)</f>
        <v>0</v>
      </c>
      <c r="AF174" s="5">
        <f>IF(Table3[[#This Row],[Efficiency Difference]]*0.2146 -5 &gt; Table3[[#This Row],[Scoring Margin]], 1, 0)</f>
        <v>0</v>
      </c>
      <c r="AG174" s="5">
        <f>IF(Table3[[#This Row],[Efficiency Difference]]*0.2146 -10 &gt; Table3[[#This Row],[Scoring Margin]], 1, 0)</f>
        <v>0</v>
      </c>
    </row>
    <row r="175" spans="2:33">
      <c r="B175" s="5">
        <v>64.09</v>
      </c>
      <c r="C175" s="5">
        <v>10</v>
      </c>
      <c r="X175" s="5">
        <v>64.09</v>
      </c>
      <c r="Y175" s="5">
        <v>10</v>
      </c>
      <c r="Z175" s="5">
        <f>IF(Table3[[#This Row],[Efficiency Difference]]*0.2146 &gt; Table3[[#This Row],[Scoring Margin]], 1, 0)</f>
        <v>1</v>
      </c>
      <c r="AA175" s="5">
        <f>IF(Table3[[#This Row],[Efficiency Difference]]*0.2146 + 7 &gt; Table3[[#This Row],[Scoring Margin]], 1, 0)</f>
        <v>1</v>
      </c>
      <c r="AB175" s="5">
        <f>IF(Table3[[#This Row],[Efficiency Difference]]*0.2146 + 14 &gt; Table3[[#This Row],[Scoring Margin]], 1, 0)</f>
        <v>1</v>
      </c>
      <c r="AC175" s="5">
        <f>IF(Table3[[#This Row],[Efficiency Difference]]*0.2146 + 21 &gt; Table3[[#This Row],[Scoring Margin]], 1, 0)</f>
        <v>1</v>
      </c>
      <c r="AD175" s="5">
        <f>IF(Table3[[#This Row],[Efficiency Difference]]*0.2146 -7 &gt; Table3[[#This Row],[Scoring Margin]], 1, 0)</f>
        <v>0</v>
      </c>
      <c r="AE175" s="5">
        <f>IF(Table3[[#This Row],[Efficiency Difference]]*0.2146 -3 &gt; Table3[[#This Row],[Scoring Margin]], 1, 0)</f>
        <v>1</v>
      </c>
      <c r="AF175" s="5">
        <f>IF(Table3[[#This Row],[Efficiency Difference]]*0.2146 -5 &gt; Table3[[#This Row],[Scoring Margin]], 1, 0)</f>
        <v>0</v>
      </c>
      <c r="AG175" s="5">
        <f>IF(Table3[[#This Row],[Efficiency Difference]]*0.2146 -10 &gt; Table3[[#This Row],[Scoring Margin]], 1, 0)</f>
        <v>0</v>
      </c>
    </row>
    <row r="176" spans="2:33">
      <c r="B176" s="5">
        <v>15.079999999999984</v>
      </c>
      <c r="C176" s="5">
        <v>5</v>
      </c>
      <c r="X176" s="5">
        <v>15.079999999999984</v>
      </c>
      <c r="Y176" s="5">
        <v>5</v>
      </c>
      <c r="Z176" s="5">
        <f>IF(Table3[[#This Row],[Efficiency Difference]]*0.2146 &gt; Table3[[#This Row],[Scoring Margin]], 1, 0)</f>
        <v>0</v>
      </c>
      <c r="AA176" s="5">
        <f>IF(Table3[[#This Row],[Efficiency Difference]]*0.2146 + 7 &gt; Table3[[#This Row],[Scoring Margin]], 1, 0)</f>
        <v>1</v>
      </c>
      <c r="AB176" s="5">
        <f>IF(Table3[[#This Row],[Efficiency Difference]]*0.2146 + 14 &gt; Table3[[#This Row],[Scoring Margin]], 1, 0)</f>
        <v>1</v>
      </c>
      <c r="AC176" s="5">
        <f>IF(Table3[[#This Row],[Efficiency Difference]]*0.2146 + 21 &gt; Table3[[#This Row],[Scoring Margin]], 1, 0)</f>
        <v>1</v>
      </c>
      <c r="AD176" s="5">
        <f>IF(Table3[[#This Row],[Efficiency Difference]]*0.2146 -7 &gt; Table3[[#This Row],[Scoring Margin]], 1, 0)</f>
        <v>0</v>
      </c>
      <c r="AE176" s="5">
        <f>IF(Table3[[#This Row],[Efficiency Difference]]*0.2146 -3 &gt; Table3[[#This Row],[Scoring Margin]], 1, 0)</f>
        <v>0</v>
      </c>
      <c r="AF176" s="5">
        <f>IF(Table3[[#This Row],[Efficiency Difference]]*0.2146 -5 &gt; Table3[[#This Row],[Scoring Margin]], 1, 0)</f>
        <v>0</v>
      </c>
      <c r="AG176" s="5">
        <f>IF(Table3[[#This Row],[Efficiency Difference]]*0.2146 -10 &gt; Table3[[#This Row],[Scoring Margin]], 1, 0)</f>
        <v>0</v>
      </c>
    </row>
    <row r="177" spans="2:33">
      <c r="B177" s="5">
        <v>29.120000000000005</v>
      </c>
      <c r="C177" s="5">
        <v>5</v>
      </c>
      <c r="X177" s="5">
        <v>29.120000000000005</v>
      </c>
      <c r="Y177" s="5">
        <v>5</v>
      </c>
      <c r="Z177" s="5">
        <f>IF(Table3[[#This Row],[Efficiency Difference]]*0.2146 &gt; Table3[[#This Row],[Scoring Margin]], 1, 0)</f>
        <v>1</v>
      </c>
      <c r="AA177" s="5">
        <f>IF(Table3[[#This Row],[Efficiency Difference]]*0.2146 + 7 &gt; Table3[[#This Row],[Scoring Margin]], 1, 0)</f>
        <v>1</v>
      </c>
      <c r="AB177" s="5">
        <f>IF(Table3[[#This Row],[Efficiency Difference]]*0.2146 + 14 &gt; Table3[[#This Row],[Scoring Margin]], 1, 0)</f>
        <v>1</v>
      </c>
      <c r="AC177" s="5">
        <f>IF(Table3[[#This Row],[Efficiency Difference]]*0.2146 + 21 &gt; Table3[[#This Row],[Scoring Margin]], 1, 0)</f>
        <v>1</v>
      </c>
      <c r="AD177" s="5">
        <f>IF(Table3[[#This Row],[Efficiency Difference]]*0.2146 -7 &gt; Table3[[#This Row],[Scoring Margin]], 1, 0)</f>
        <v>0</v>
      </c>
      <c r="AE177" s="5">
        <f>IF(Table3[[#This Row],[Efficiency Difference]]*0.2146 -3 &gt; Table3[[#This Row],[Scoring Margin]], 1, 0)</f>
        <v>0</v>
      </c>
      <c r="AF177" s="5">
        <f>IF(Table3[[#This Row],[Efficiency Difference]]*0.2146 -5 &gt; Table3[[#This Row],[Scoring Margin]], 1, 0)</f>
        <v>0</v>
      </c>
      <c r="AG177" s="5">
        <f>IF(Table3[[#This Row],[Efficiency Difference]]*0.2146 -10 &gt; Table3[[#This Row],[Scoring Margin]], 1, 0)</f>
        <v>0</v>
      </c>
    </row>
    <row r="178" spans="2:33">
      <c r="B178" s="5">
        <v>110.74000000000001</v>
      </c>
      <c r="C178" s="5">
        <v>25</v>
      </c>
      <c r="X178" s="5">
        <v>110.74000000000001</v>
      </c>
      <c r="Y178" s="5">
        <v>25</v>
      </c>
      <c r="Z178" s="5">
        <f>IF(Table3[[#This Row],[Efficiency Difference]]*0.2146 &gt; Table3[[#This Row],[Scoring Margin]], 1, 0)</f>
        <v>0</v>
      </c>
      <c r="AA178" s="5">
        <f>IF(Table3[[#This Row],[Efficiency Difference]]*0.2146 + 7 &gt; Table3[[#This Row],[Scoring Margin]], 1, 0)</f>
        <v>1</v>
      </c>
      <c r="AB178" s="5">
        <f>IF(Table3[[#This Row],[Efficiency Difference]]*0.2146 + 14 &gt; Table3[[#This Row],[Scoring Margin]], 1, 0)</f>
        <v>1</v>
      </c>
      <c r="AC178" s="5">
        <f>IF(Table3[[#This Row],[Efficiency Difference]]*0.2146 + 21 &gt; Table3[[#This Row],[Scoring Margin]], 1, 0)</f>
        <v>1</v>
      </c>
      <c r="AD178" s="5">
        <f>IF(Table3[[#This Row],[Efficiency Difference]]*0.2146 -7 &gt; Table3[[#This Row],[Scoring Margin]], 1, 0)</f>
        <v>0</v>
      </c>
      <c r="AE178" s="5">
        <f>IF(Table3[[#This Row],[Efficiency Difference]]*0.2146 -3 &gt; Table3[[#This Row],[Scoring Margin]], 1, 0)</f>
        <v>0</v>
      </c>
      <c r="AF178" s="5">
        <f>IF(Table3[[#This Row],[Efficiency Difference]]*0.2146 -5 &gt; Table3[[#This Row],[Scoring Margin]], 1, 0)</f>
        <v>0</v>
      </c>
      <c r="AG178" s="5">
        <f>IF(Table3[[#This Row],[Efficiency Difference]]*0.2146 -10 &gt; Table3[[#This Row],[Scoring Margin]], 1, 0)</f>
        <v>0</v>
      </c>
    </row>
    <row r="179" spans="2:33">
      <c r="B179" s="5">
        <v>46.259999999999991</v>
      </c>
      <c r="C179" s="5">
        <v>15</v>
      </c>
      <c r="X179" s="5">
        <v>46.259999999999991</v>
      </c>
      <c r="Y179" s="5">
        <v>15</v>
      </c>
      <c r="Z179" s="5">
        <f>IF(Table3[[#This Row],[Efficiency Difference]]*0.2146 &gt; Table3[[#This Row],[Scoring Margin]], 1, 0)</f>
        <v>0</v>
      </c>
      <c r="AA179" s="5">
        <f>IF(Table3[[#This Row],[Efficiency Difference]]*0.2146 + 7 &gt; Table3[[#This Row],[Scoring Margin]], 1, 0)</f>
        <v>1</v>
      </c>
      <c r="AB179" s="5">
        <f>IF(Table3[[#This Row],[Efficiency Difference]]*0.2146 + 14 &gt; Table3[[#This Row],[Scoring Margin]], 1, 0)</f>
        <v>1</v>
      </c>
      <c r="AC179" s="5">
        <f>IF(Table3[[#This Row],[Efficiency Difference]]*0.2146 + 21 &gt; Table3[[#This Row],[Scoring Margin]], 1, 0)</f>
        <v>1</v>
      </c>
      <c r="AD179" s="5">
        <f>IF(Table3[[#This Row],[Efficiency Difference]]*0.2146 -7 &gt; Table3[[#This Row],[Scoring Margin]], 1, 0)</f>
        <v>0</v>
      </c>
      <c r="AE179" s="5">
        <f>IF(Table3[[#This Row],[Efficiency Difference]]*0.2146 -3 &gt; Table3[[#This Row],[Scoring Margin]], 1, 0)</f>
        <v>0</v>
      </c>
      <c r="AF179" s="5">
        <f>IF(Table3[[#This Row],[Efficiency Difference]]*0.2146 -5 &gt; Table3[[#This Row],[Scoring Margin]], 1, 0)</f>
        <v>0</v>
      </c>
      <c r="AG179" s="5">
        <f>IF(Table3[[#This Row],[Efficiency Difference]]*0.2146 -10 &gt; Table3[[#This Row],[Scoring Margin]], 1, 0)</f>
        <v>0</v>
      </c>
    </row>
    <row r="180" spans="2:33">
      <c r="B180" s="5">
        <v>52.69</v>
      </c>
      <c r="C180" s="5">
        <v>13</v>
      </c>
      <c r="X180" s="5">
        <v>52.69</v>
      </c>
      <c r="Y180" s="5">
        <v>13</v>
      </c>
      <c r="Z180" s="5">
        <f>IF(Table3[[#This Row],[Efficiency Difference]]*0.2146 &gt; Table3[[#This Row],[Scoring Margin]], 1, 0)</f>
        <v>0</v>
      </c>
      <c r="AA180" s="5">
        <f>IF(Table3[[#This Row],[Efficiency Difference]]*0.2146 + 7 &gt; Table3[[#This Row],[Scoring Margin]], 1, 0)</f>
        <v>1</v>
      </c>
      <c r="AB180" s="5">
        <f>IF(Table3[[#This Row],[Efficiency Difference]]*0.2146 + 14 &gt; Table3[[#This Row],[Scoring Margin]], 1, 0)</f>
        <v>1</v>
      </c>
      <c r="AC180" s="5">
        <f>IF(Table3[[#This Row],[Efficiency Difference]]*0.2146 + 21 &gt; Table3[[#This Row],[Scoring Margin]], 1, 0)</f>
        <v>1</v>
      </c>
      <c r="AD180" s="5">
        <f>IF(Table3[[#This Row],[Efficiency Difference]]*0.2146 -7 &gt; Table3[[#This Row],[Scoring Margin]], 1, 0)</f>
        <v>0</v>
      </c>
      <c r="AE180" s="5">
        <f>IF(Table3[[#This Row],[Efficiency Difference]]*0.2146 -3 &gt; Table3[[#This Row],[Scoring Margin]], 1, 0)</f>
        <v>0</v>
      </c>
      <c r="AF180" s="5">
        <f>IF(Table3[[#This Row],[Efficiency Difference]]*0.2146 -5 &gt; Table3[[#This Row],[Scoring Margin]], 1, 0)</f>
        <v>0</v>
      </c>
      <c r="AG180" s="5">
        <f>IF(Table3[[#This Row],[Efficiency Difference]]*0.2146 -10 &gt; Table3[[#This Row],[Scoring Margin]], 1, 0)</f>
        <v>0</v>
      </c>
    </row>
    <row r="181" spans="2:33">
      <c r="B181" s="5">
        <v>93.419999999999959</v>
      </c>
      <c r="C181" s="5">
        <v>24</v>
      </c>
      <c r="X181" s="5">
        <v>93.419999999999959</v>
      </c>
      <c r="Y181" s="5">
        <v>24</v>
      </c>
      <c r="Z181" s="5">
        <f>IF(Table3[[#This Row],[Efficiency Difference]]*0.2146 &gt; Table3[[#This Row],[Scoring Margin]], 1, 0)</f>
        <v>0</v>
      </c>
      <c r="AA181" s="5">
        <f>IF(Table3[[#This Row],[Efficiency Difference]]*0.2146 + 7 &gt; Table3[[#This Row],[Scoring Margin]], 1, 0)</f>
        <v>1</v>
      </c>
      <c r="AB181" s="5">
        <f>IF(Table3[[#This Row],[Efficiency Difference]]*0.2146 + 14 &gt; Table3[[#This Row],[Scoring Margin]], 1, 0)</f>
        <v>1</v>
      </c>
      <c r="AC181" s="5">
        <f>IF(Table3[[#This Row],[Efficiency Difference]]*0.2146 + 21 &gt; Table3[[#This Row],[Scoring Margin]], 1, 0)</f>
        <v>1</v>
      </c>
      <c r="AD181" s="5">
        <f>IF(Table3[[#This Row],[Efficiency Difference]]*0.2146 -7 &gt; Table3[[#This Row],[Scoring Margin]], 1, 0)</f>
        <v>0</v>
      </c>
      <c r="AE181" s="5">
        <f>IF(Table3[[#This Row],[Efficiency Difference]]*0.2146 -3 &gt; Table3[[#This Row],[Scoring Margin]], 1, 0)</f>
        <v>0</v>
      </c>
      <c r="AF181" s="5">
        <f>IF(Table3[[#This Row],[Efficiency Difference]]*0.2146 -5 &gt; Table3[[#This Row],[Scoring Margin]], 1, 0)</f>
        <v>0</v>
      </c>
      <c r="AG181" s="5">
        <f>IF(Table3[[#This Row],[Efficiency Difference]]*0.2146 -10 &gt; Table3[[#This Row],[Scoring Margin]], 1, 0)</f>
        <v>0</v>
      </c>
    </row>
    <row r="182" spans="2:33">
      <c r="B182" s="5">
        <v>33.75</v>
      </c>
      <c r="C182" s="5">
        <v>10</v>
      </c>
      <c r="X182" s="5">
        <v>33.75</v>
      </c>
      <c r="Y182" s="5">
        <v>10</v>
      </c>
      <c r="Z182" s="5">
        <f>IF(Table3[[#This Row],[Efficiency Difference]]*0.2146 &gt; Table3[[#This Row],[Scoring Margin]], 1, 0)</f>
        <v>0</v>
      </c>
      <c r="AA182" s="5">
        <f>IF(Table3[[#This Row],[Efficiency Difference]]*0.2146 + 7 &gt; Table3[[#This Row],[Scoring Margin]], 1, 0)</f>
        <v>1</v>
      </c>
      <c r="AB182" s="5">
        <f>IF(Table3[[#This Row],[Efficiency Difference]]*0.2146 + 14 &gt; Table3[[#This Row],[Scoring Margin]], 1, 0)</f>
        <v>1</v>
      </c>
      <c r="AC182" s="5">
        <f>IF(Table3[[#This Row],[Efficiency Difference]]*0.2146 + 21 &gt; Table3[[#This Row],[Scoring Margin]], 1, 0)</f>
        <v>1</v>
      </c>
      <c r="AD182" s="5">
        <f>IF(Table3[[#This Row],[Efficiency Difference]]*0.2146 -7 &gt; Table3[[#This Row],[Scoring Margin]], 1, 0)</f>
        <v>0</v>
      </c>
      <c r="AE182" s="5">
        <f>IF(Table3[[#This Row],[Efficiency Difference]]*0.2146 -3 &gt; Table3[[#This Row],[Scoring Margin]], 1, 0)</f>
        <v>0</v>
      </c>
      <c r="AF182" s="5">
        <f>IF(Table3[[#This Row],[Efficiency Difference]]*0.2146 -5 &gt; Table3[[#This Row],[Scoring Margin]], 1, 0)</f>
        <v>0</v>
      </c>
      <c r="AG182" s="5">
        <f>IF(Table3[[#This Row],[Efficiency Difference]]*0.2146 -10 &gt; Table3[[#This Row],[Scoring Margin]], 1, 0)</f>
        <v>0</v>
      </c>
    </row>
    <row r="183" spans="2:33">
      <c r="B183" s="5">
        <v>92.22</v>
      </c>
      <c r="C183" s="5">
        <v>50</v>
      </c>
      <c r="X183" s="5">
        <v>92.22</v>
      </c>
      <c r="Y183" s="5">
        <v>50</v>
      </c>
      <c r="Z183" s="5">
        <f>IF(Table3[[#This Row],[Efficiency Difference]]*0.2146 &gt; Table3[[#This Row],[Scoring Margin]], 1, 0)</f>
        <v>0</v>
      </c>
      <c r="AA183" s="5">
        <f>IF(Table3[[#This Row],[Efficiency Difference]]*0.2146 + 7 &gt; Table3[[#This Row],[Scoring Margin]], 1, 0)</f>
        <v>0</v>
      </c>
      <c r="AB183" s="5">
        <f>IF(Table3[[#This Row],[Efficiency Difference]]*0.2146 + 14 &gt; Table3[[#This Row],[Scoring Margin]], 1, 0)</f>
        <v>0</v>
      </c>
      <c r="AC183" s="5">
        <f>IF(Table3[[#This Row],[Efficiency Difference]]*0.2146 + 21 &gt; Table3[[#This Row],[Scoring Margin]], 1, 0)</f>
        <v>0</v>
      </c>
      <c r="AD183" s="5">
        <f>IF(Table3[[#This Row],[Efficiency Difference]]*0.2146 -7 &gt; Table3[[#This Row],[Scoring Margin]], 1, 0)</f>
        <v>0</v>
      </c>
      <c r="AE183" s="5">
        <f>IF(Table3[[#This Row],[Efficiency Difference]]*0.2146 -3 &gt; Table3[[#This Row],[Scoring Margin]], 1, 0)</f>
        <v>0</v>
      </c>
      <c r="AF183" s="5">
        <f>IF(Table3[[#This Row],[Efficiency Difference]]*0.2146 -5 &gt; Table3[[#This Row],[Scoring Margin]], 1, 0)</f>
        <v>0</v>
      </c>
      <c r="AG183" s="5">
        <f>IF(Table3[[#This Row],[Efficiency Difference]]*0.2146 -10 &gt; Table3[[#This Row],[Scoring Margin]], 1, 0)</f>
        <v>0</v>
      </c>
    </row>
    <row r="184" spans="2:33">
      <c r="B184" s="5">
        <v>38.010000000000019</v>
      </c>
      <c r="C184" s="5">
        <v>10</v>
      </c>
      <c r="X184" s="5">
        <v>38.010000000000019</v>
      </c>
      <c r="Y184" s="5">
        <v>10</v>
      </c>
      <c r="Z184" s="5">
        <f>IF(Table3[[#This Row],[Efficiency Difference]]*0.2146 &gt; Table3[[#This Row],[Scoring Margin]], 1, 0)</f>
        <v>0</v>
      </c>
      <c r="AA184" s="5">
        <f>IF(Table3[[#This Row],[Efficiency Difference]]*0.2146 + 7 &gt; Table3[[#This Row],[Scoring Margin]], 1, 0)</f>
        <v>1</v>
      </c>
      <c r="AB184" s="5">
        <f>IF(Table3[[#This Row],[Efficiency Difference]]*0.2146 + 14 &gt; Table3[[#This Row],[Scoring Margin]], 1, 0)</f>
        <v>1</v>
      </c>
      <c r="AC184" s="5">
        <f>IF(Table3[[#This Row],[Efficiency Difference]]*0.2146 + 21 &gt; Table3[[#This Row],[Scoring Margin]], 1, 0)</f>
        <v>1</v>
      </c>
      <c r="AD184" s="5">
        <f>IF(Table3[[#This Row],[Efficiency Difference]]*0.2146 -7 &gt; Table3[[#This Row],[Scoring Margin]], 1, 0)</f>
        <v>0</v>
      </c>
      <c r="AE184" s="5">
        <f>IF(Table3[[#This Row],[Efficiency Difference]]*0.2146 -3 &gt; Table3[[#This Row],[Scoring Margin]], 1, 0)</f>
        <v>0</v>
      </c>
      <c r="AF184" s="5">
        <f>IF(Table3[[#This Row],[Efficiency Difference]]*0.2146 -5 &gt; Table3[[#This Row],[Scoring Margin]], 1, 0)</f>
        <v>0</v>
      </c>
      <c r="AG184" s="5">
        <f>IF(Table3[[#This Row],[Efficiency Difference]]*0.2146 -10 &gt; Table3[[#This Row],[Scoring Margin]], 1, 0)</f>
        <v>0</v>
      </c>
    </row>
    <row r="185" spans="2:33">
      <c r="B185" s="5">
        <v>25.839999999999975</v>
      </c>
      <c r="C185" s="5">
        <v>7</v>
      </c>
      <c r="X185" s="5">
        <v>25.839999999999975</v>
      </c>
      <c r="Y185" s="5">
        <v>7</v>
      </c>
      <c r="Z185" s="5">
        <f>IF(Table3[[#This Row],[Efficiency Difference]]*0.2146 &gt; Table3[[#This Row],[Scoring Margin]], 1, 0)</f>
        <v>0</v>
      </c>
      <c r="AA185" s="5">
        <f>IF(Table3[[#This Row],[Efficiency Difference]]*0.2146 + 7 &gt; Table3[[#This Row],[Scoring Margin]], 1, 0)</f>
        <v>1</v>
      </c>
      <c r="AB185" s="5">
        <f>IF(Table3[[#This Row],[Efficiency Difference]]*0.2146 + 14 &gt; Table3[[#This Row],[Scoring Margin]], 1, 0)</f>
        <v>1</v>
      </c>
      <c r="AC185" s="5">
        <f>IF(Table3[[#This Row],[Efficiency Difference]]*0.2146 + 21 &gt; Table3[[#This Row],[Scoring Margin]], 1, 0)</f>
        <v>1</v>
      </c>
      <c r="AD185" s="5">
        <f>IF(Table3[[#This Row],[Efficiency Difference]]*0.2146 -7 &gt; Table3[[#This Row],[Scoring Margin]], 1, 0)</f>
        <v>0</v>
      </c>
      <c r="AE185" s="5">
        <f>IF(Table3[[#This Row],[Efficiency Difference]]*0.2146 -3 &gt; Table3[[#This Row],[Scoring Margin]], 1, 0)</f>
        <v>0</v>
      </c>
      <c r="AF185" s="5">
        <f>IF(Table3[[#This Row],[Efficiency Difference]]*0.2146 -5 &gt; Table3[[#This Row],[Scoring Margin]], 1, 0)</f>
        <v>0</v>
      </c>
      <c r="AG185" s="5">
        <f>IF(Table3[[#This Row],[Efficiency Difference]]*0.2146 -10 &gt; Table3[[#This Row],[Scoring Margin]], 1, 0)</f>
        <v>0</v>
      </c>
    </row>
    <row r="186" spans="2:33">
      <c r="B186" s="5">
        <v>10.699999999999989</v>
      </c>
      <c r="C186" s="5">
        <v>14</v>
      </c>
      <c r="X186" s="5">
        <v>10.699999999999989</v>
      </c>
      <c r="Y186" s="5">
        <v>14</v>
      </c>
      <c r="Z186" s="5">
        <f>IF(Table3[[#This Row],[Efficiency Difference]]*0.2146 &gt; Table3[[#This Row],[Scoring Margin]], 1, 0)</f>
        <v>0</v>
      </c>
      <c r="AA186" s="5">
        <f>IF(Table3[[#This Row],[Efficiency Difference]]*0.2146 + 7 &gt; Table3[[#This Row],[Scoring Margin]], 1, 0)</f>
        <v>0</v>
      </c>
      <c r="AB186" s="5">
        <f>IF(Table3[[#This Row],[Efficiency Difference]]*0.2146 + 14 &gt; Table3[[#This Row],[Scoring Margin]], 1, 0)</f>
        <v>1</v>
      </c>
      <c r="AC186" s="5">
        <f>IF(Table3[[#This Row],[Efficiency Difference]]*0.2146 + 21 &gt; Table3[[#This Row],[Scoring Margin]], 1, 0)</f>
        <v>1</v>
      </c>
      <c r="AD186" s="5">
        <f>IF(Table3[[#This Row],[Efficiency Difference]]*0.2146 -7 &gt; Table3[[#This Row],[Scoring Margin]], 1, 0)</f>
        <v>0</v>
      </c>
      <c r="AE186" s="5">
        <f>IF(Table3[[#This Row],[Efficiency Difference]]*0.2146 -3 &gt; Table3[[#This Row],[Scoring Margin]], 1, 0)</f>
        <v>0</v>
      </c>
      <c r="AF186" s="5">
        <f>IF(Table3[[#This Row],[Efficiency Difference]]*0.2146 -5 &gt; Table3[[#This Row],[Scoring Margin]], 1, 0)</f>
        <v>0</v>
      </c>
      <c r="AG186" s="5">
        <f>IF(Table3[[#This Row],[Efficiency Difference]]*0.2146 -10 &gt; Table3[[#This Row],[Scoring Margin]], 1, 0)</f>
        <v>0</v>
      </c>
    </row>
    <row r="187" spans="2:33">
      <c r="B187" s="5">
        <v>16.5</v>
      </c>
      <c r="C187" s="5">
        <v>3</v>
      </c>
      <c r="X187" s="5">
        <v>16.5</v>
      </c>
      <c r="Y187" s="5">
        <v>3</v>
      </c>
      <c r="Z187" s="5">
        <f>IF(Table3[[#This Row],[Efficiency Difference]]*0.2146 &gt; Table3[[#This Row],[Scoring Margin]], 1, 0)</f>
        <v>1</v>
      </c>
      <c r="AA187" s="5">
        <f>IF(Table3[[#This Row],[Efficiency Difference]]*0.2146 + 7 &gt; Table3[[#This Row],[Scoring Margin]], 1, 0)</f>
        <v>1</v>
      </c>
      <c r="AB187" s="5">
        <f>IF(Table3[[#This Row],[Efficiency Difference]]*0.2146 + 14 &gt; Table3[[#This Row],[Scoring Margin]], 1, 0)</f>
        <v>1</v>
      </c>
      <c r="AC187" s="5">
        <f>IF(Table3[[#This Row],[Efficiency Difference]]*0.2146 + 21 &gt; Table3[[#This Row],[Scoring Margin]], 1, 0)</f>
        <v>1</v>
      </c>
      <c r="AD187" s="5">
        <f>IF(Table3[[#This Row],[Efficiency Difference]]*0.2146 -7 &gt; Table3[[#This Row],[Scoring Margin]], 1, 0)</f>
        <v>0</v>
      </c>
      <c r="AE187" s="5">
        <f>IF(Table3[[#This Row],[Efficiency Difference]]*0.2146 -3 &gt; Table3[[#This Row],[Scoring Margin]], 1, 0)</f>
        <v>0</v>
      </c>
      <c r="AF187" s="5">
        <f>IF(Table3[[#This Row],[Efficiency Difference]]*0.2146 -5 &gt; Table3[[#This Row],[Scoring Margin]], 1, 0)</f>
        <v>0</v>
      </c>
      <c r="AG187" s="5">
        <f>IF(Table3[[#This Row],[Efficiency Difference]]*0.2146 -10 &gt; Table3[[#This Row],[Scoring Margin]], 1, 0)</f>
        <v>0</v>
      </c>
    </row>
    <row r="188" spans="2:33">
      <c r="B188" s="5">
        <v>127.59000000000003</v>
      </c>
      <c r="C188" s="5">
        <v>14</v>
      </c>
      <c r="X188" s="5">
        <v>127.59000000000003</v>
      </c>
      <c r="Y188" s="5">
        <v>14</v>
      </c>
      <c r="Z188" s="5">
        <f>IF(Table3[[#This Row],[Efficiency Difference]]*0.2146 &gt; Table3[[#This Row],[Scoring Margin]], 1, 0)</f>
        <v>1</v>
      </c>
      <c r="AA188" s="5">
        <f>IF(Table3[[#This Row],[Efficiency Difference]]*0.2146 + 7 &gt; Table3[[#This Row],[Scoring Margin]], 1, 0)</f>
        <v>1</v>
      </c>
      <c r="AB188" s="5">
        <f>IF(Table3[[#This Row],[Efficiency Difference]]*0.2146 + 14 &gt; Table3[[#This Row],[Scoring Margin]], 1, 0)</f>
        <v>1</v>
      </c>
      <c r="AC188" s="5">
        <f>IF(Table3[[#This Row],[Efficiency Difference]]*0.2146 + 21 &gt; Table3[[#This Row],[Scoring Margin]], 1, 0)</f>
        <v>1</v>
      </c>
      <c r="AD188" s="5">
        <f>IF(Table3[[#This Row],[Efficiency Difference]]*0.2146 -7 &gt; Table3[[#This Row],[Scoring Margin]], 1, 0)</f>
        <v>1</v>
      </c>
      <c r="AE188" s="5">
        <f>IF(Table3[[#This Row],[Efficiency Difference]]*0.2146 -3 &gt; Table3[[#This Row],[Scoring Margin]], 1, 0)</f>
        <v>1</v>
      </c>
      <c r="AF188" s="5">
        <f>IF(Table3[[#This Row],[Efficiency Difference]]*0.2146 -5 &gt; Table3[[#This Row],[Scoring Margin]], 1, 0)</f>
        <v>1</v>
      </c>
      <c r="AG188" s="5">
        <f>IF(Table3[[#This Row],[Efficiency Difference]]*0.2146 -10 &gt; Table3[[#This Row],[Scoring Margin]], 1, 0)</f>
        <v>1</v>
      </c>
    </row>
    <row r="189" spans="2:33">
      <c r="B189" s="5">
        <v>44.620000000000033</v>
      </c>
      <c r="C189" s="5">
        <v>14</v>
      </c>
      <c r="X189" s="5">
        <v>44.620000000000033</v>
      </c>
      <c r="Y189" s="5">
        <v>14</v>
      </c>
      <c r="Z189" s="5">
        <f>IF(Table3[[#This Row],[Efficiency Difference]]*0.2146 &gt; Table3[[#This Row],[Scoring Margin]], 1, 0)</f>
        <v>0</v>
      </c>
      <c r="AA189" s="5">
        <f>IF(Table3[[#This Row],[Efficiency Difference]]*0.2146 + 7 &gt; Table3[[#This Row],[Scoring Margin]], 1, 0)</f>
        <v>1</v>
      </c>
      <c r="AB189" s="5">
        <f>IF(Table3[[#This Row],[Efficiency Difference]]*0.2146 + 14 &gt; Table3[[#This Row],[Scoring Margin]], 1, 0)</f>
        <v>1</v>
      </c>
      <c r="AC189" s="5">
        <f>IF(Table3[[#This Row],[Efficiency Difference]]*0.2146 + 21 &gt; Table3[[#This Row],[Scoring Margin]], 1, 0)</f>
        <v>1</v>
      </c>
      <c r="AD189" s="5">
        <f>IF(Table3[[#This Row],[Efficiency Difference]]*0.2146 -7 &gt; Table3[[#This Row],[Scoring Margin]], 1, 0)</f>
        <v>0</v>
      </c>
      <c r="AE189" s="5">
        <f>IF(Table3[[#This Row],[Efficiency Difference]]*0.2146 -3 &gt; Table3[[#This Row],[Scoring Margin]], 1, 0)</f>
        <v>0</v>
      </c>
      <c r="AF189" s="5">
        <f>IF(Table3[[#This Row],[Efficiency Difference]]*0.2146 -5 &gt; Table3[[#This Row],[Scoring Margin]], 1, 0)</f>
        <v>0</v>
      </c>
      <c r="AG189" s="5">
        <f>IF(Table3[[#This Row],[Efficiency Difference]]*0.2146 -10 &gt; Table3[[#This Row],[Scoring Margin]], 1, 0)</f>
        <v>0</v>
      </c>
    </row>
    <row r="190" spans="2:33">
      <c r="B190" s="5">
        <v>122.39999999999998</v>
      </c>
      <c r="C190" s="5">
        <v>8</v>
      </c>
      <c r="X190" s="5">
        <v>122.39999999999998</v>
      </c>
      <c r="Y190" s="5">
        <v>8</v>
      </c>
      <c r="Z190" s="5">
        <f>IF(Table3[[#This Row],[Efficiency Difference]]*0.2146 &gt; Table3[[#This Row],[Scoring Margin]], 1, 0)</f>
        <v>1</v>
      </c>
      <c r="AA190" s="5">
        <f>IF(Table3[[#This Row],[Efficiency Difference]]*0.2146 + 7 &gt; Table3[[#This Row],[Scoring Margin]], 1, 0)</f>
        <v>1</v>
      </c>
      <c r="AB190" s="5">
        <f>IF(Table3[[#This Row],[Efficiency Difference]]*0.2146 + 14 &gt; Table3[[#This Row],[Scoring Margin]], 1, 0)</f>
        <v>1</v>
      </c>
      <c r="AC190" s="5">
        <f>IF(Table3[[#This Row],[Efficiency Difference]]*0.2146 + 21 &gt; Table3[[#This Row],[Scoring Margin]], 1, 0)</f>
        <v>1</v>
      </c>
      <c r="AD190" s="5">
        <f>IF(Table3[[#This Row],[Efficiency Difference]]*0.2146 -7 &gt; Table3[[#This Row],[Scoring Margin]], 1, 0)</f>
        <v>1</v>
      </c>
      <c r="AE190" s="5">
        <f>IF(Table3[[#This Row],[Efficiency Difference]]*0.2146 -3 &gt; Table3[[#This Row],[Scoring Margin]], 1, 0)</f>
        <v>1</v>
      </c>
      <c r="AF190" s="5">
        <f>IF(Table3[[#This Row],[Efficiency Difference]]*0.2146 -5 &gt; Table3[[#This Row],[Scoring Margin]], 1, 0)</f>
        <v>1</v>
      </c>
      <c r="AG190" s="5">
        <f>IF(Table3[[#This Row],[Efficiency Difference]]*0.2146 -10 &gt; Table3[[#This Row],[Scoring Margin]], 1, 0)</f>
        <v>1</v>
      </c>
    </row>
    <row r="191" spans="2:33">
      <c r="B191" s="5">
        <v>22.70999999999998</v>
      </c>
      <c r="C191" s="5">
        <v>5</v>
      </c>
      <c r="X191" s="5">
        <v>22.70999999999998</v>
      </c>
      <c r="Y191" s="5">
        <v>5</v>
      </c>
      <c r="Z191" s="5">
        <f>IF(Table3[[#This Row],[Efficiency Difference]]*0.2146 &gt; Table3[[#This Row],[Scoring Margin]], 1, 0)</f>
        <v>0</v>
      </c>
      <c r="AA191" s="5">
        <f>IF(Table3[[#This Row],[Efficiency Difference]]*0.2146 + 7 &gt; Table3[[#This Row],[Scoring Margin]], 1, 0)</f>
        <v>1</v>
      </c>
      <c r="AB191" s="5">
        <f>IF(Table3[[#This Row],[Efficiency Difference]]*0.2146 + 14 &gt; Table3[[#This Row],[Scoring Margin]], 1, 0)</f>
        <v>1</v>
      </c>
      <c r="AC191" s="5">
        <f>IF(Table3[[#This Row],[Efficiency Difference]]*0.2146 + 21 &gt; Table3[[#This Row],[Scoring Margin]], 1, 0)</f>
        <v>1</v>
      </c>
      <c r="AD191" s="5">
        <f>IF(Table3[[#This Row],[Efficiency Difference]]*0.2146 -7 &gt; Table3[[#This Row],[Scoring Margin]], 1, 0)</f>
        <v>0</v>
      </c>
      <c r="AE191" s="5">
        <f>IF(Table3[[#This Row],[Efficiency Difference]]*0.2146 -3 &gt; Table3[[#This Row],[Scoring Margin]], 1, 0)</f>
        <v>0</v>
      </c>
      <c r="AF191" s="5">
        <f>IF(Table3[[#This Row],[Efficiency Difference]]*0.2146 -5 &gt; Table3[[#This Row],[Scoring Margin]], 1, 0)</f>
        <v>0</v>
      </c>
      <c r="AG191" s="5">
        <f>IF(Table3[[#This Row],[Efficiency Difference]]*0.2146 -10 &gt; Table3[[#This Row],[Scoring Margin]], 1, 0)</f>
        <v>0</v>
      </c>
    </row>
    <row r="192" spans="2:33">
      <c r="B192" s="5">
        <v>9.7400000000000091</v>
      </c>
      <c r="C192" s="5">
        <v>5</v>
      </c>
      <c r="X192" s="5">
        <v>9.7400000000000091</v>
      </c>
      <c r="Y192" s="5">
        <v>5</v>
      </c>
      <c r="Z192" s="5">
        <f>IF(Table3[[#This Row],[Efficiency Difference]]*0.2146 &gt; Table3[[#This Row],[Scoring Margin]], 1, 0)</f>
        <v>0</v>
      </c>
      <c r="AA192" s="5">
        <f>IF(Table3[[#This Row],[Efficiency Difference]]*0.2146 + 7 &gt; Table3[[#This Row],[Scoring Margin]], 1, 0)</f>
        <v>1</v>
      </c>
      <c r="AB192" s="5">
        <f>IF(Table3[[#This Row],[Efficiency Difference]]*0.2146 + 14 &gt; Table3[[#This Row],[Scoring Margin]], 1, 0)</f>
        <v>1</v>
      </c>
      <c r="AC192" s="5">
        <f>IF(Table3[[#This Row],[Efficiency Difference]]*0.2146 + 21 &gt; Table3[[#This Row],[Scoring Margin]], 1, 0)</f>
        <v>1</v>
      </c>
      <c r="AD192" s="5">
        <f>IF(Table3[[#This Row],[Efficiency Difference]]*0.2146 -7 &gt; Table3[[#This Row],[Scoring Margin]], 1, 0)</f>
        <v>0</v>
      </c>
      <c r="AE192" s="5">
        <f>IF(Table3[[#This Row],[Efficiency Difference]]*0.2146 -3 &gt; Table3[[#This Row],[Scoring Margin]], 1, 0)</f>
        <v>0</v>
      </c>
      <c r="AF192" s="5">
        <f>IF(Table3[[#This Row],[Efficiency Difference]]*0.2146 -5 &gt; Table3[[#This Row],[Scoring Margin]], 1, 0)</f>
        <v>0</v>
      </c>
      <c r="AG192" s="5">
        <f>IF(Table3[[#This Row],[Efficiency Difference]]*0.2146 -10 &gt; Table3[[#This Row],[Scoring Margin]], 1, 0)</f>
        <v>0</v>
      </c>
    </row>
    <row r="193" spans="2:33">
      <c r="B193" s="5">
        <v>110.92000000000002</v>
      </c>
      <c r="C193" s="5">
        <v>17</v>
      </c>
      <c r="X193" s="5">
        <v>110.92000000000002</v>
      </c>
      <c r="Y193" s="5">
        <v>17</v>
      </c>
      <c r="Z193" s="5">
        <f>IF(Table3[[#This Row],[Efficiency Difference]]*0.2146 &gt; Table3[[#This Row],[Scoring Margin]], 1, 0)</f>
        <v>1</v>
      </c>
      <c r="AA193" s="5">
        <f>IF(Table3[[#This Row],[Efficiency Difference]]*0.2146 + 7 &gt; Table3[[#This Row],[Scoring Margin]], 1, 0)</f>
        <v>1</v>
      </c>
      <c r="AB193" s="5">
        <f>IF(Table3[[#This Row],[Efficiency Difference]]*0.2146 + 14 &gt; Table3[[#This Row],[Scoring Margin]], 1, 0)</f>
        <v>1</v>
      </c>
      <c r="AC193" s="5">
        <f>IF(Table3[[#This Row],[Efficiency Difference]]*0.2146 + 21 &gt; Table3[[#This Row],[Scoring Margin]], 1, 0)</f>
        <v>1</v>
      </c>
      <c r="AD193" s="5">
        <f>IF(Table3[[#This Row],[Efficiency Difference]]*0.2146 -7 &gt; Table3[[#This Row],[Scoring Margin]], 1, 0)</f>
        <v>0</v>
      </c>
      <c r="AE193" s="5">
        <f>IF(Table3[[#This Row],[Efficiency Difference]]*0.2146 -3 &gt; Table3[[#This Row],[Scoring Margin]], 1, 0)</f>
        <v>1</v>
      </c>
      <c r="AF193" s="5">
        <f>IF(Table3[[#This Row],[Efficiency Difference]]*0.2146 -5 &gt; Table3[[#This Row],[Scoring Margin]], 1, 0)</f>
        <v>1</v>
      </c>
      <c r="AG193" s="5">
        <f>IF(Table3[[#This Row],[Efficiency Difference]]*0.2146 -10 &gt; Table3[[#This Row],[Scoring Margin]], 1, 0)</f>
        <v>0</v>
      </c>
    </row>
    <row r="194" spans="2:33">
      <c r="B194" s="5">
        <v>83.54000000000002</v>
      </c>
      <c r="C194" s="5">
        <v>8</v>
      </c>
      <c r="X194" s="5">
        <v>83.54000000000002</v>
      </c>
      <c r="Y194" s="5">
        <v>8</v>
      </c>
      <c r="Z194" s="5">
        <f>IF(Table3[[#This Row],[Efficiency Difference]]*0.2146 &gt; Table3[[#This Row],[Scoring Margin]], 1, 0)</f>
        <v>1</v>
      </c>
      <c r="AA194" s="5">
        <f>IF(Table3[[#This Row],[Efficiency Difference]]*0.2146 + 7 &gt; Table3[[#This Row],[Scoring Margin]], 1, 0)</f>
        <v>1</v>
      </c>
      <c r="AB194" s="5">
        <f>IF(Table3[[#This Row],[Efficiency Difference]]*0.2146 + 14 &gt; Table3[[#This Row],[Scoring Margin]], 1, 0)</f>
        <v>1</v>
      </c>
      <c r="AC194" s="5">
        <f>IF(Table3[[#This Row],[Efficiency Difference]]*0.2146 + 21 &gt; Table3[[#This Row],[Scoring Margin]], 1, 0)</f>
        <v>1</v>
      </c>
      <c r="AD194" s="5">
        <f>IF(Table3[[#This Row],[Efficiency Difference]]*0.2146 -7 &gt; Table3[[#This Row],[Scoring Margin]], 1, 0)</f>
        <v>1</v>
      </c>
      <c r="AE194" s="5">
        <f>IF(Table3[[#This Row],[Efficiency Difference]]*0.2146 -3 &gt; Table3[[#This Row],[Scoring Margin]], 1, 0)</f>
        <v>1</v>
      </c>
      <c r="AF194" s="5">
        <f>IF(Table3[[#This Row],[Efficiency Difference]]*0.2146 -5 &gt; Table3[[#This Row],[Scoring Margin]], 1, 0)</f>
        <v>1</v>
      </c>
      <c r="AG194" s="5">
        <f>IF(Table3[[#This Row],[Efficiency Difference]]*0.2146 -10 &gt; Table3[[#This Row],[Scoring Margin]], 1, 0)</f>
        <v>0</v>
      </c>
    </row>
    <row r="195" spans="2:33">
      <c r="B195" s="5">
        <v>156.86999999999998</v>
      </c>
      <c r="C195" s="5">
        <v>20</v>
      </c>
      <c r="X195" s="5">
        <v>156.86999999999998</v>
      </c>
      <c r="Y195" s="5">
        <v>20</v>
      </c>
      <c r="Z195" s="5">
        <f>IF(Table3[[#This Row],[Efficiency Difference]]*0.2146 &gt; Table3[[#This Row],[Scoring Margin]], 1, 0)</f>
        <v>1</v>
      </c>
      <c r="AA195" s="5">
        <f>IF(Table3[[#This Row],[Efficiency Difference]]*0.2146 + 7 &gt; Table3[[#This Row],[Scoring Margin]], 1, 0)</f>
        <v>1</v>
      </c>
      <c r="AB195" s="5">
        <f>IF(Table3[[#This Row],[Efficiency Difference]]*0.2146 + 14 &gt; Table3[[#This Row],[Scoring Margin]], 1, 0)</f>
        <v>1</v>
      </c>
      <c r="AC195" s="5">
        <f>IF(Table3[[#This Row],[Efficiency Difference]]*0.2146 + 21 &gt; Table3[[#This Row],[Scoring Margin]], 1, 0)</f>
        <v>1</v>
      </c>
      <c r="AD195" s="5">
        <f>IF(Table3[[#This Row],[Efficiency Difference]]*0.2146 -7 &gt; Table3[[#This Row],[Scoring Margin]], 1, 0)</f>
        <v>1</v>
      </c>
      <c r="AE195" s="5">
        <f>IF(Table3[[#This Row],[Efficiency Difference]]*0.2146 -3 &gt; Table3[[#This Row],[Scoring Margin]], 1, 0)</f>
        <v>1</v>
      </c>
      <c r="AF195" s="5">
        <f>IF(Table3[[#This Row],[Efficiency Difference]]*0.2146 -5 &gt; Table3[[#This Row],[Scoring Margin]], 1, 0)</f>
        <v>1</v>
      </c>
      <c r="AG195" s="5">
        <f>IF(Table3[[#This Row],[Efficiency Difference]]*0.2146 -10 &gt; Table3[[#This Row],[Scoring Margin]], 1, 0)</f>
        <v>1</v>
      </c>
    </row>
    <row r="196" spans="2:33">
      <c r="B196" s="5">
        <v>153.07</v>
      </c>
      <c r="C196" s="5">
        <v>42</v>
      </c>
      <c r="X196" s="5">
        <v>153.07</v>
      </c>
      <c r="Y196" s="5">
        <v>42</v>
      </c>
      <c r="Z196" s="5">
        <f>IF(Table3[[#This Row],[Efficiency Difference]]*0.2146 &gt; Table3[[#This Row],[Scoring Margin]], 1, 0)</f>
        <v>0</v>
      </c>
      <c r="AA196" s="5">
        <f>IF(Table3[[#This Row],[Efficiency Difference]]*0.2146 + 7 &gt; Table3[[#This Row],[Scoring Margin]], 1, 0)</f>
        <v>0</v>
      </c>
      <c r="AB196" s="5">
        <f>IF(Table3[[#This Row],[Efficiency Difference]]*0.2146 + 14 &gt; Table3[[#This Row],[Scoring Margin]], 1, 0)</f>
        <v>1</v>
      </c>
      <c r="AC196" s="5">
        <f>IF(Table3[[#This Row],[Efficiency Difference]]*0.2146 + 21 &gt; Table3[[#This Row],[Scoring Margin]], 1, 0)</f>
        <v>1</v>
      </c>
      <c r="AD196" s="5">
        <f>IF(Table3[[#This Row],[Efficiency Difference]]*0.2146 -7 &gt; Table3[[#This Row],[Scoring Margin]], 1, 0)</f>
        <v>0</v>
      </c>
      <c r="AE196" s="5">
        <f>IF(Table3[[#This Row],[Efficiency Difference]]*0.2146 -3 &gt; Table3[[#This Row],[Scoring Margin]], 1, 0)</f>
        <v>0</v>
      </c>
      <c r="AF196" s="5">
        <f>IF(Table3[[#This Row],[Efficiency Difference]]*0.2146 -5 &gt; Table3[[#This Row],[Scoring Margin]], 1, 0)</f>
        <v>0</v>
      </c>
      <c r="AG196" s="5">
        <f>IF(Table3[[#This Row],[Efficiency Difference]]*0.2146 -10 &gt; Table3[[#This Row],[Scoring Margin]], 1, 0)</f>
        <v>0</v>
      </c>
    </row>
    <row r="197" spans="2:33">
      <c r="B197" s="5">
        <v>54.340000000000032</v>
      </c>
      <c r="C197" s="5">
        <v>18</v>
      </c>
      <c r="X197" s="5">
        <v>54.340000000000032</v>
      </c>
      <c r="Y197" s="5">
        <v>18</v>
      </c>
      <c r="Z197" s="5">
        <f>IF(Table3[[#This Row],[Efficiency Difference]]*0.2146 &gt; Table3[[#This Row],[Scoring Margin]], 1, 0)</f>
        <v>0</v>
      </c>
      <c r="AA197" s="5">
        <f>IF(Table3[[#This Row],[Efficiency Difference]]*0.2146 + 7 &gt; Table3[[#This Row],[Scoring Margin]], 1, 0)</f>
        <v>1</v>
      </c>
      <c r="AB197" s="5">
        <f>IF(Table3[[#This Row],[Efficiency Difference]]*0.2146 + 14 &gt; Table3[[#This Row],[Scoring Margin]], 1, 0)</f>
        <v>1</v>
      </c>
      <c r="AC197" s="5">
        <f>IF(Table3[[#This Row],[Efficiency Difference]]*0.2146 + 21 &gt; Table3[[#This Row],[Scoring Margin]], 1, 0)</f>
        <v>1</v>
      </c>
      <c r="AD197" s="5">
        <f>IF(Table3[[#This Row],[Efficiency Difference]]*0.2146 -7 &gt; Table3[[#This Row],[Scoring Margin]], 1, 0)</f>
        <v>0</v>
      </c>
      <c r="AE197" s="5">
        <f>IF(Table3[[#This Row],[Efficiency Difference]]*0.2146 -3 &gt; Table3[[#This Row],[Scoring Margin]], 1, 0)</f>
        <v>0</v>
      </c>
      <c r="AF197" s="5">
        <f>IF(Table3[[#This Row],[Efficiency Difference]]*0.2146 -5 &gt; Table3[[#This Row],[Scoring Margin]], 1, 0)</f>
        <v>0</v>
      </c>
      <c r="AG197" s="5">
        <f>IF(Table3[[#This Row],[Efficiency Difference]]*0.2146 -10 &gt; Table3[[#This Row],[Scoring Margin]], 1, 0)</f>
        <v>0</v>
      </c>
    </row>
    <row r="198" spans="2:33">
      <c r="B198" s="5">
        <v>102.84000000000003</v>
      </c>
      <c r="C198" s="5">
        <v>1</v>
      </c>
      <c r="X198" s="5">
        <v>102.84000000000003</v>
      </c>
      <c r="Y198" s="5">
        <v>1</v>
      </c>
      <c r="Z198" s="5">
        <f>IF(Table3[[#This Row],[Efficiency Difference]]*0.2146 &gt; Table3[[#This Row],[Scoring Margin]], 1, 0)</f>
        <v>1</v>
      </c>
      <c r="AA198" s="5">
        <f>IF(Table3[[#This Row],[Efficiency Difference]]*0.2146 + 7 &gt; Table3[[#This Row],[Scoring Margin]], 1, 0)</f>
        <v>1</v>
      </c>
      <c r="AB198" s="5">
        <f>IF(Table3[[#This Row],[Efficiency Difference]]*0.2146 + 14 &gt; Table3[[#This Row],[Scoring Margin]], 1, 0)</f>
        <v>1</v>
      </c>
      <c r="AC198" s="5">
        <f>IF(Table3[[#This Row],[Efficiency Difference]]*0.2146 + 21 &gt; Table3[[#This Row],[Scoring Margin]], 1, 0)</f>
        <v>1</v>
      </c>
      <c r="AD198" s="5">
        <f>IF(Table3[[#This Row],[Efficiency Difference]]*0.2146 -7 &gt; Table3[[#This Row],[Scoring Margin]], 1, 0)</f>
        <v>1</v>
      </c>
      <c r="AE198" s="5">
        <f>IF(Table3[[#This Row],[Efficiency Difference]]*0.2146 -3 &gt; Table3[[#This Row],[Scoring Margin]], 1, 0)</f>
        <v>1</v>
      </c>
      <c r="AF198" s="5">
        <f>IF(Table3[[#This Row],[Efficiency Difference]]*0.2146 -5 &gt; Table3[[#This Row],[Scoring Margin]], 1, 0)</f>
        <v>1</v>
      </c>
      <c r="AG198" s="5">
        <f>IF(Table3[[#This Row],[Efficiency Difference]]*0.2146 -10 &gt; Table3[[#This Row],[Scoring Margin]], 1, 0)</f>
        <v>1</v>
      </c>
    </row>
    <row r="199" spans="2:33">
      <c r="B199" s="5">
        <v>42.510000000000019</v>
      </c>
      <c r="C199" s="5">
        <v>11</v>
      </c>
      <c r="X199" s="5">
        <v>42.510000000000019</v>
      </c>
      <c r="Y199" s="5">
        <v>11</v>
      </c>
      <c r="Z199" s="5">
        <f>IF(Table3[[#This Row],[Efficiency Difference]]*0.2146 &gt; Table3[[#This Row],[Scoring Margin]], 1, 0)</f>
        <v>0</v>
      </c>
      <c r="AA199" s="5">
        <f>IF(Table3[[#This Row],[Efficiency Difference]]*0.2146 + 7 &gt; Table3[[#This Row],[Scoring Margin]], 1, 0)</f>
        <v>1</v>
      </c>
      <c r="AB199" s="5">
        <f>IF(Table3[[#This Row],[Efficiency Difference]]*0.2146 + 14 &gt; Table3[[#This Row],[Scoring Margin]], 1, 0)</f>
        <v>1</v>
      </c>
      <c r="AC199" s="5">
        <f>IF(Table3[[#This Row],[Efficiency Difference]]*0.2146 + 21 &gt; Table3[[#This Row],[Scoring Margin]], 1, 0)</f>
        <v>1</v>
      </c>
      <c r="AD199" s="5">
        <f>IF(Table3[[#This Row],[Efficiency Difference]]*0.2146 -7 &gt; Table3[[#This Row],[Scoring Margin]], 1, 0)</f>
        <v>0</v>
      </c>
      <c r="AE199" s="5">
        <f>IF(Table3[[#This Row],[Efficiency Difference]]*0.2146 -3 &gt; Table3[[#This Row],[Scoring Margin]], 1, 0)</f>
        <v>0</v>
      </c>
      <c r="AF199" s="5">
        <f>IF(Table3[[#This Row],[Efficiency Difference]]*0.2146 -5 &gt; Table3[[#This Row],[Scoring Margin]], 1, 0)</f>
        <v>0</v>
      </c>
      <c r="AG199" s="5">
        <f>IF(Table3[[#This Row],[Efficiency Difference]]*0.2146 -10 &gt; Table3[[#This Row],[Scoring Margin]], 1, 0)</f>
        <v>0</v>
      </c>
    </row>
    <row r="200" spans="2:33">
      <c r="B200" s="5">
        <v>22.96999999999997</v>
      </c>
      <c r="C200" s="5">
        <v>4</v>
      </c>
      <c r="X200" s="5">
        <v>22.96999999999997</v>
      </c>
      <c r="Y200" s="5">
        <v>4</v>
      </c>
      <c r="Z200" s="5">
        <f>IF(Table3[[#This Row],[Efficiency Difference]]*0.2146 &gt; Table3[[#This Row],[Scoring Margin]], 1, 0)</f>
        <v>1</v>
      </c>
      <c r="AA200" s="5">
        <f>IF(Table3[[#This Row],[Efficiency Difference]]*0.2146 + 7 &gt; Table3[[#This Row],[Scoring Margin]], 1, 0)</f>
        <v>1</v>
      </c>
      <c r="AB200" s="5">
        <f>IF(Table3[[#This Row],[Efficiency Difference]]*0.2146 + 14 &gt; Table3[[#This Row],[Scoring Margin]], 1, 0)</f>
        <v>1</v>
      </c>
      <c r="AC200" s="5">
        <f>IF(Table3[[#This Row],[Efficiency Difference]]*0.2146 + 21 &gt; Table3[[#This Row],[Scoring Margin]], 1, 0)</f>
        <v>1</v>
      </c>
      <c r="AD200" s="5">
        <f>IF(Table3[[#This Row],[Efficiency Difference]]*0.2146 -7 &gt; Table3[[#This Row],[Scoring Margin]], 1, 0)</f>
        <v>0</v>
      </c>
      <c r="AE200" s="5">
        <f>IF(Table3[[#This Row],[Efficiency Difference]]*0.2146 -3 &gt; Table3[[#This Row],[Scoring Margin]], 1, 0)</f>
        <v>0</v>
      </c>
      <c r="AF200" s="5">
        <f>IF(Table3[[#This Row],[Efficiency Difference]]*0.2146 -5 &gt; Table3[[#This Row],[Scoring Margin]], 1, 0)</f>
        <v>0</v>
      </c>
      <c r="AG200" s="5">
        <f>IF(Table3[[#This Row],[Efficiency Difference]]*0.2146 -10 &gt; Table3[[#This Row],[Scoring Margin]], 1, 0)</f>
        <v>0</v>
      </c>
    </row>
    <row r="201" spans="2:33">
      <c r="B201" s="5">
        <v>59.329999999999984</v>
      </c>
      <c r="C201" s="5">
        <v>25</v>
      </c>
      <c r="X201" s="5">
        <v>59.329999999999984</v>
      </c>
      <c r="Y201" s="5">
        <v>25</v>
      </c>
      <c r="Z201" s="5">
        <f>IF(Table3[[#This Row],[Efficiency Difference]]*0.2146 &gt; Table3[[#This Row],[Scoring Margin]], 1, 0)</f>
        <v>0</v>
      </c>
      <c r="AA201" s="5">
        <f>IF(Table3[[#This Row],[Efficiency Difference]]*0.2146 + 7 &gt; Table3[[#This Row],[Scoring Margin]], 1, 0)</f>
        <v>0</v>
      </c>
      <c r="AB201" s="5">
        <f>IF(Table3[[#This Row],[Efficiency Difference]]*0.2146 + 14 &gt; Table3[[#This Row],[Scoring Margin]], 1, 0)</f>
        <v>1</v>
      </c>
      <c r="AC201" s="5">
        <f>IF(Table3[[#This Row],[Efficiency Difference]]*0.2146 + 21 &gt; Table3[[#This Row],[Scoring Margin]], 1, 0)</f>
        <v>1</v>
      </c>
      <c r="AD201" s="5">
        <f>IF(Table3[[#This Row],[Efficiency Difference]]*0.2146 -7 &gt; Table3[[#This Row],[Scoring Margin]], 1, 0)</f>
        <v>0</v>
      </c>
      <c r="AE201" s="5">
        <f>IF(Table3[[#This Row],[Efficiency Difference]]*0.2146 -3 &gt; Table3[[#This Row],[Scoring Margin]], 1, 0)</f>
        <v>0</v>
      </c>
      <c r="AF201" s="5">
        <f>IF(Table3[[#This Row],[Efficiency Difference]]*0.2146 -5 &gt; Table3[[#This Row],[Scoring Margin]], 1, 0)</f>
        <v>0</v>
      </c>
      <c r="AG201" s="5">
        <f>IF(Table3[[#This Row],[Efficiency Difference]]*0.2146 -10 &gt; Table3[[#This Row],[Scoring Margin]], 1, 0)</f>
        <v>0</v>
      </c>
    </row>
    <row r="202" spans="2:33">
      <c r="B202" s="5">
        <v>0.15000000000003411</v>
      </c>
      <c r="C202" s="5">
        <v>1</v>
      </c>
      <c r="X202" s="5">
        <v>0.15000000000003411</v>
      </c>
      <c r="Y202" s="5">
        <v>1</v>
      </c>
      <c r="Z202" s="5">
        <f>IF(Table3[[#This Row],[Efficiency Difference]]*0.2146 &gt; Table3[[#This Row],[Scoring Margin]], 1, 0)</f>
        <v>0</v>
      </c>
      <c r="AA202" s="5">
        <f>IF(Table3[[#This Row],[Efficiency Difference]]*0.2146 + 7 &gt; Table3[[#This Row],[Scoring Margin]], 1, 0)</f>
        <v>1</v>
      </c>
      <c r="AB202" s="5">
        <f>IF(Table3[[#This Row],[Efficiency Difference]]*0.2146 + 14 &gt; Table3[[#This Row],[Scoring Margin]], 1, 0)</f>
        <v>1</v>
      </c>
      <c r="AC202" s="5">
        <f>IF(Table3[[#This Row],[Efficiency Difference]]*0.2146 + 21 &gt; Table3[[#This Row],[Scoring Margin]], 1, 0)</f>
        <v>1</v>
      </c>
      <c r="AD202" s="5">
        <f>IF(Table3[[#This Row],[Efficiency Difference]]*0.2146 -7 &gt; Table3[[#This Row],[Scoring Margin]], 1, 0)</f>
        <v>0</v>
      </c>
      <c r="AE202" s="5">
        <f>IF(Table3[[#This Row],[Efficiency Difference]]*0.2146 -3 &gt; Table3[[#This Row],[Scoring Margin]], 1, 0)</f>
        <v>0</v>
      </c>
      <c r="AF202" s="5">
        <f>IF(Table3[[#This Row],[Efficiency Difference]]*0.2146 -5 &gt; Table3[[#This Row],[Scoring Margin]], 1, 0)</f>
        <v>0</v>
      </c>
      <c r="AG202" s="5">
        <f>IF(Table3[[#This Row],[Efficiency Difference]]*0.2146 -10 &gt; Table3[[#This Row],[Scoring Margin]], 1, 0)</f>
        <v>0</v>
      </c>
    </row>
    <row r="203" spans="2:33">
      <c r="B203" s="5">
        <v>43.050000000000011</v>
      </c>
      <c r="C203" s="5">
        <v>7</v>
      </c>
      <c r="X203" s="5">
        <v>43.050000000000011</v>
      </c>
      <c r="Y203" s="5">
        <v>7</v>
      </c>
      <c r="Z203" s="5">
        <f>IF(Table3[[#This Row],[Efficiency Difference]]*0.2146 &gt; Table3[[#This Row],[Scoring Margin]], 1, 0)</f>
        <v>1</v>
      </c>
      <c r="AA203" s="5">
        <f>IF(Table3[[#This Row],[Efficiency Difference]]*0.2146 + 7 &gt; Table3[[#This Row],[Scoring Margin]], 1, 0)</f>
        <v>1</v>
      </c>
      <c r="AB203" s="5">
        <f>IF(Table3[[#This Row],[Efficiency Difference]]*0.2146 + 14 &gt; Table3[[#This Row],[Scoring Margin]], 1, 0)</f>
        <v>1</v>
      </c>
      <c r="AC203" s="5">
        <f>IF(Table3[[#This Row],[Efficiency Difference]]*0.2146 + 21 &gt; Table3[[#This Row],[Scoring Margin]], 1, 0)</f>
        <v>1</v>
      </c>
      <c r="AD203" s="5">
        <f>IF(Table3[[#This Row],[Efficiency Difference]]*0.2146 -7 &gt; Table3[[#This Row],[Scoring Margin]], 1, 0)</f>
        <v>0</v>
      </c>
      <c r="AE203" s="5">
        <f>IF(Table3[[#This Row],[Efficiency Difference]]*0.2146 -3 &gt; Table3[[#This Row],[Scoring Margin]], 1, 0)</f>
        <v>0</v>
      </c>
      <c r="AF203" s="5">
        <f>IF(Table3[[#This Row],[Efficiency Difference]]*0.2146 -5 &gt; Table3[[#This Row],[Scoring Margin]], 1, 0)</f>
        <v>0</v>
      </c>
      <c r="AG203" s="5">
        <f>IF(Table3[[#This Row],[Efficiency Difference]]*0.2146 -10 &gt; Table3[[#This Row],[Scoring Margin]], 1, 0)</f>
        <v>0</v>
      </c>
    </row>
    <row r="204" spans="2:33">
      <c r="B204" s="5">
        <v>199.36</v>
      </c>
      <c r="C204" s="5">
        <v>53</v>
      </c>
      <c r="X204" s="5">
        <v>199.36</v>
      </c>
      <c r="Y204" s="5">
        <v>53</v>
      </c>
      <c r="Z204" s="5">
        <f>IF(Table3[[#This Row],[Efficiency Difference]]*0.2146 &gt; Table3[[#This Row],[Scoring Margin]], 1, 0)</f>
        <v>0</v>
      </c>
      <c r="AA204" s="5">
        <f>IF(Table3[[#This Row],[Efficiency Difference]]*0.2146 + 7 &gt; Table3[[#This Row],[Scoring Margin]], 1, 0)</f>
        <v>0</v>
      </c>
      <c r="AB204" s="5">
        <f>IF(Table3[[#This Row],[Efficiency Difference]]*0.2146 + 14 &gt; Table3[[#This Row],[Scoring Margin]], 1, 0)</f>
        <v>1</v>
      </c>
      <c r="AC204" s="5">
        <f>IF(Table3[[#This Row],[Efficiency Difference]]*0.2146 + 21 &gt; Table3[[#This Row],[Scoring Margin]], 1, 0)</f>
        <v>1</v>
      </c>
      <c r="AD204" s="5">
        <f>IF(Table3[[#This Row],[Efficiency Difference]]*0.2146 -7 &gt; Table3[[#This Row],[Scoring Margin]], 1, 0)</f>
        <v>0</v>
      </c>
      <c r="AE204" s="5">
        <f>IF(Table3[[#This Row],[Efficiency Difference]]*0.2146 -3 &gt; Table3[[#This Row],[Scoring Margin]], 1, 0)</f>
        <v>0</v>
      </c>
      <c r="AF204" s="5">
        <f>IF(Table3[[#This Row],[Efficiency Difference]]*0.2146 -5 &gt; Table3[[#This Row],[Scoring Margin]], 1, 0)</f>
        <v>0</v>
      </c>
      <c r="AG204" s="5">
        <f>IF(Table3[[#This Row],[Efficiency Difference]]*0.2146 -10 &gt; Table3[[#This Row],[Scoring Margin]], 1, 0)</f>
        <v>0</v>
      </c>
    </row>
    <row r="205" spans="2:33">
      <c r="B205" s="5">
        <v>135.40999999999997</v>
      </c>
      <c r="C205" s="5">
        <v>35</v>
      </c>
      <c r="X205" s="5">
        <v>135.40999999999997</v>
      </c>
      <c r="Y205" s="5">
        <v>35</v>
      </c>
      <c r="Z205" s="5">
        <f>IF(Table3[[#This Row],[Efficiency Difference]]*0.2146 &gt; Table3[[#This Row],[Scoring Margin]], 1, 0)</f>
        <v>0</v>
      </c>
      <c r="AA205" s="5">
        <f>IF(Table3[[#This Row],[Efficiency Difference]]*0.2146 + 7 &gt; Table3[[#This Row],[Scoring Margin]], 1, 0)</f>
        <v>1</v>
      </c>
      <c r="AB205" s="5">
        <f>IF(Table3[[#This Row],[Efficiency Difference]]*0.2146 + 14 &gt; Table3[[#This Row],[Scoring Margin]], 1, 0)</f>
        <v>1</v>
      </c>
      <c r="AC205" s="5">
        <f>IF(Table3[[#This Row],[Efficiency Difference]]*0.2146 + 21 &gt; Table3[[#This Row],[Scoring Margin]], 1, 0)</f>
        <v>1</v>
      </c>
      <c r="AD205" s="5">
        <f>IF(Table3[[#This Row],[Efficiency Difference]]*0.2146 -7 &gt; Table3[[#This Row],[Scoring Margin]], 1, 0)</f>
        <v>0</v>
      </c>
      <c r="AE205" s="5">
        <f>IF(Table3[[#This Row],[Efficiency Difference]]*0.2146 -3 &gt; Table3[[#This Row],[Scoring Margin]], 1, 0)</f>
        <v>0</v>
      </c>
      <c r="AF205" s="5">
        <f>IF(Table3[[#This Row],[Efficiency Difference]]*0.2146 -5 &gt; Table3[[#This Row],[Scoring Margin]], 1, 0)</f>
        <v>0</v>
      </c>
      <c r="AG205" s="5">
        <f>IF(Table3[[#This Row],[Efficiency Difference]]*0.2146 -10 &gt; Table3[[#This Row],[Scoring Margin]], 1, 0)</f>
        <v>0</v>
      </c>
    </row>
    <row r="206" spans="2:33">
      <c r="B206" s="5">
        <v>116.17999999999999</v>
      </c>
      <c r="C206" s="5">
        <v>17</v>
      </c>
      <c r="X206" s="5">
        <v>116.17999999999999</v>
      </c>
      <c r="Y206" s="5">
        <v>17</v>
      </c>
      <c r="Z206" s="5">
        <f>IF(Table3[[#This Row],[Efficiency Difference]]*0.2146 &gt; Table3[[#This Row],[Scoring Margin]], 1, 0)</f>
        <v>1</v>
      </c>
      <c r="AA206" s="5">
        <f>IF(Table3[[#This Row],[Efficiency Difference]]*0.2146 + 7 &gt; Table3[[#This Row],[Scoring Margin]], 1, 0)</f>
        <v>1</v>
      </c>
      <c r="AB206" s="5">
        <f>IF(Table3[[#This Row],[Efficiency Difference]]*0.2146 + 14 &gt; Table3[[#This Row],[Scoring Margin]], 1, 0)</f>
        <v>1</v>
      </c>
      <c r="AC206" s="5">
        <f>IF(Table3[[#This Row],[Efficiency Difference]]*0.2146 + 21 &gt; Table3[[#This Row],[Scoring Margin]], 1, 0)</f>
        <v>1</v>
      </c>
      <c r="AD206" s="5">
        <f>IF(Table3[[#This Row],[Efficiency Difference]]*0.2146 -7 &gt; Table3[[#This Row],[Scoring Margin]], 1, 0)</f>
        <v>1</v>
      </c>
      <c r="AE206" s="5">
        <f>IF(Table3[[#This Row],[Efficiency Difference]]*0.2146 -3 &gt; Table3[[#This Row],[Scoring Margin]], 1, 0)</f>
        <v>1</v>
      </c>
      <c r="AF206" s="5">
        <f>IF(Table3[[#This Row],[Efficiency Difference]]*0.2146 -5 &gt; Table3[[#This Row],[Scoring Margin]], 1, 0)</f>
        <v>1</v>
      </c>
      <c r="AG206" s="5">
        <f>IF(Table3[[#This Row],[Efficiency Difference]]*0.2146 -10 &gt; Table3[[#This Row],[Scoring Margin]], 1, 0)</f>
        <v>0</v>
      </c>
    </row>
    <row r="207" spans="2:33">
      <c r="B207" s="5">
        <v>69.81</v>
      </c>
      <c r="C207" s="5">
        <v>30</v>
      </c>
      <c r="X207" s="5">
        <v>69.81</v>
      </c>
      <c r="Y207" s="5">
        <v>30</v>
      </c>
      <c r="Z207" s="5">
        <f>IF(Table3[[#This Row],[Efficiency Difference]]*0.2146 &gt; Table3[[#This Row],[Scoring Margin]], 1, 0)</f>
        <v>0</v>
      </c>
      <c r="AA207" s="5">
        <f>IF(Table3[[#This Row],[Efficiency Difference]]*0.2146 + 7 &gt; Table3[[#This Row],[Scoring Margin]], 1, 0)</f>
        <v>0</v>
      </c>
      <c r="AB207" s="5">
        <f>IF(Table3[[#This Row],[Efficiency Difference]]*0.2146 + 14 &gt; Table3[[#This Row],[Scoring Margin]], 1, 0)</f>
        <v>0</v>
      </c>
      <c r="AC207" s="5">
        <f>IF(Table3[[#This Row],[Efficiency Difference]]*0.2146 + 21 &gt; Table3[[#This Row],[Scoring Margin]], 1, 0)</f>
        <v>1</v>
      </c>
      <c r="AD207" s="5">
        <f>IF(Table3[[#This Row],[Efficiency Difference]]*0.2146 -7 &gt; Table3[[#This Row],[Scoring Margin]], 1, 0)</f>
        <v>0</v>
      </c>
      <c r="AE207" s="5">
        <f>IF(Table3[[#This Row],[Efficiency Difference]]*0.2146 -3 &gt; Table3[[#This Row],[Scoring Margin]], 1, 0)</f>
        <v>0</v>
      </c>
      <c r="AF207" s="5">
        <f>IF(Table3[[#This Row],[Efficiency Difference]]*0.2146 -5 &gt; Table3[[#This Row],[Scoring Margin]], 1, 0)</f>
        <v>0</v>
      </c>
      <c r="AG207" s="5">
        <f>IF(Table3[[#This Row],[Efficiency Difference]]*0.2146 -10 &gt; Table3[[#This Row],[Scoring Margin]], 1, 0)</f>
        <v>0</v>
      </c>
    </row>
    <row r="208" spans="2:33">
      <c r="B208" s="5">
        <v>93.419999999999973</v>
      </c>
      <c r="C208" s="5">
        <v>24</v>
      </c>
      <c r="X208" s="5">
        <v>93.419999999999973</v>
      </c>
      <c r="Y208" s="5">
        <v>24</v>
      </c>
      <c r="Z208" s="5">
        <f>IF(Table3[[#This Row],[Efficiency Difference]]*0.2146 &gt; Table3[[#This Row],[Scoring Margin]], 1, 0)</f>
        <v>0</v>
      </c>
      <c r="AA208" s="5">
        <f>IF(Table3[[#This Row],[Efficiency Difference]]*0.2146 + 7 &gt; Table3[[#This Row],[Scoring Margin]], 1, 0)</f>
        <v>1</v>
      </c>
      <c r="AB208" s="5">
        <f>IF(Table3[[#This Row],[Efficiency Difference]]*0.2146 + 14 &gt; Table3[[#This Row],[Scoring Margin]], 1, 0)</f>
        <v>1</v>
      </c>
      <c r="AC208" s="5">
        <f>IF(Table3[[#This Row],[Efficiency Difference]]*0.2146 + 21 &gt; Table3[[#This Row],[Scoring Margin]], 1, 0)</f>
        <v>1</v>
      </c>
      <c r="AD208" s="5">
        <f>IF(Table3[[#This Row],[Efficiency Difference]]*0.2146 -7 &gt; Table3[[#This Row],[Scoring Margin]], 1, 0)</f>
        <v>0</v>
      </c>
      <c r="AE208" s="5">
        <f>IF(Table3[[#This Row],[Efficiency Difference]]*0.2146 -3 &gt; Table3[[#This Row],[Scoring Margin]], 1, 0)</f>
        <v>0</v>
      </c>
      <c r="AF208" s="5">
        <f>IF(Table3[[#This Row],[Efficiency Difference]]*0.2146 -5 &gt; Table3[[#This Row],[Scoring Margin]], 1, 0)</f>
        <v>0</v>
      </c>
      <c r="AG208" s="5">
        <f>IF(Table3[[#This Row],[Efficiency Difference]]*0.2146 -10 &gt; Table3[[#This Row],[Scoring Margin]], 1, 0)</f>
        <v>0</v>
      </c>
    </row>
    <row r="209" spans="2:33">
      <c r="B209" s="5">
        <v>43.429999999999978</v>
      </c>
      <c r="C209" s="5">
        <v>1</v>
      </c>
      <c r="X209" s="5">
        <v>43.429999999999978</v>
      </c>
      <c r="Y209" s="5">
        <v>1</v>
      </c>
      <c r="Z209" s="5">
        <f>IF(Table3[[#This Row],[Efficiency Difference]]*0.2146 &gt; Table3[[#This Row],[Scoring Margin]], 1, 0)</f>
        <v>1</v>
      </c>
      <c r="AA209" s="5">
        <f>IF(Table3[[#This Row],[Efficiency Difference]]*0.2146 + 7 &gt; Table3[[#This Row],[Scoring Margin]], 1, 0)</f>
        <v>1</v>
      </c>
      <c r="AB209" s="5">
        <f>IF(Table3[[#This Row],[Efficiency Difference]]*0.2146 + 14 &gt; Table3[[#This Row],[Scoring Margin]], 1, 0)</f>
        <v>1</v>
      </c>
      <c r="AC209" s="5">
        <f>IF(Table3[[#This Row],[Efficiency Difference]]*0.2146 + 21 &gt; Table3[[#This Row],[Scoring Margin]], 1, 0)</f>
        <v>1</v>
      </c>
      <c r="AD209" s="5">
        <f>IF(Table3[[#This Row],[Efficiency Difference]]*0.2146 -7 &gt; Table3[[#This Row],[Scoring Margin]], 1, 0)</f>
        <v>1</v>
      </c>
      <c r="AE209" s="5">
        <f>IF(Table3[[#This Row],[Efficiency Difference]]*0.2146 -3 &gt; Table3[[#This Row],[Scoring Margin]], 1, 0)</f>
        <v>1</v>
      </c>
      <c r="AF209" s="5">
        <f>IF(Table3[[#This Row],[Efficiency Difference]]*0.2146 -5 &gt; Table3[[#This Row],[Scoring Margin]], 1, 0)</f>
        <v>1</v>
      </c>
      <c r="AG209" s="5">
        <f>IF(Table3[[#This Row],[Efficiency Difference]]*0.2146 -10 &gt; Table3[[#This Row],[Scoring Margin]], 1, 0)</f>
        <v>0</v>
      </c>
    </row>
    <row r="210" spans="2:33">
      <c r="B210" s="5">
        <v>100.19</v>
      </c>
      <c r="C210" s="5">
        <v>13</v>
      </c>
      <c r="X210" s="5">
        <v>100.19</v>
      </c>
      <c r="Y210" s="5">
        <v>13</v>
      </c>
      <c r="Z210" s="5">
        <f>IF(Table3[[#This Row],[Efficiency Difference]]*0.2146 &gt; Table3[[#This Row],[Scoring Margin]], 1, 0)</f>
        <v>1</v>
      </c>
      <c r="AA210" s="5">
        <f>IF(Table3[[#This Row],[Efficiency Difference]]*0.2146 + 7 &gt; Table3[[#This Row],[Scoring Margin]], 1, 0)</f>
        <v>1</v>
      </c>
      <c r="AB210" s="5">
        <f>IF(Table3[[#This Row],[Efficiency Difference]]*0.2146 + 14 &gt; Table3[[#This Row],[Scoring Margin]], 1, 0)</f>
        <v>1</v>
      </c>
      <c r="AC210" s="5">
        <f>IF(Table3[[#This Row],[Efficiency Difference]]*0.2146 + 21 &gt; Table3[[#This Row],[Scoring Margin]], 1, 0)</f>
        <v>1</v>
      </c>
      <c r="AD210" s="5">
        <f>IF(Table3[[#This Row],[Efficiency Difference]]*0.2146 -7 &gt; Table3[[#This Row],[Scoring Margin]], 1, 0)</f>
        <v>1</v>
      </c>
      <c r="AE210" s="5">
        <f>IF(Table3[[#This Row],[Efficiency Difference]]*0.2146 -3 &gt; Table3[[#This Row],[Scoring Margin]], 1, 0)</f>
        <v>1</v>
      </c>
      <c r="AF210" s="5">
        <f>IF(Table3[[#This Row],[Efficiency Difference]]*0.2146 -5 &gt; Table3[[#This Row],[Scoring Margin]], 1, 0)</f>
        <v>1</v>
      </c>
      <c r="AG210" s="5">
        <f>IF(Table3[[#This Row],[Efficiency Difference]]*0.2146 -10 &gt; Table3[[#This Row],[Scoring Margin]], 1, 0)</f>
        <v>0</v>
      </c>
    </row>
    <row r="211" spans="2:33">
      <c r="B211" s="5">
        <v>85.490000000000009</v>
      </c>
      <c r="C211" s="5">
        <v>7</v>
      </c>
      <c r="X211" s="5">
        <v>85.490000000000009</v>
      </c>
      <c r="Y211" s="5">
        <v>7</v>
      </c>
      <c r="Z211" s="5">
        <f>IF(Table3[[#This Row],[Efficiency Difference]]*0.2146 &gt; Table3[[#This Row],[Scoring Margin]], 1, 0)</f>
        <v>1</v>
      </c>
      <c r="AA211" s="5">
        <f>IF(Table3[[#This Row],[Efficiency Difference]]*0.2146 + 7 &gt; Table3[[#This Row],[Scoring Margin]], 1, 0)</f>
        <v>1</v>
      </c>
      <c r="AB211" s="5">
        <f>IF(Table3[[#This Row],[Efficiency Difference]]*0.2146 + 14 &gt; Table3[[#This Row],[Scoring Margin]], 1, 0)</f>
        <v>1</v>
      </c>
      <c r="AC211" s="5">
        <f>IF(Table3[[#This Row],[Efficiency Difference]]*0.2146 + 21 &gt; Table3[[#This Row],[Scoring Margin]], 1, 0)</f>
        <v>1</v>
      </c>
      <c r="AD211" s="5">
        <f>IF(Table3[[#This Row],[Efficiency Difference]]*0.2146 -7 &gt; Table3[[#This Row],[Scoring Margin]], 1, 0)</f>
        <v>1</v>
      </c>
      <c r="AE211" s="5">
        <f>IF(Table3[[#This Row],[Efficiency Difference]]*0.2146 -3 &gt; Table3[[#This Row],[Scoring Margin]], 1, 0)</f>
        <v>1</v>
      </c>
      <c r="AF211" s="5">
        <f>IF(Table3[[#This Row],[Efficiency Difference]]*0.2146 -5 &gt; Table3[[#This Row],[Scoring Margin]], 1, 0)</f>
        <v>1</v>
      </c>
      <c r="AG211" s="5">
        <f>IF(Table3[[#This Row],[Efficiency Difference]]*0.2146 -10 &gt; Table3[[#This Row],[Scoring Margin]], 1, 0)</f>
        <v>1</v>
      </c>
    </row>
    <row r="212" spans="2:33">
      <c r="B212" s="5">
        <v>100.85000000000002</v>
      </c>
      <c r="C212" s="5">
        <v>18</v>
      </c>
      <c r="X212" s="5">
        <v>100.85000000000002</v>
      </c>
      <c r="Y212" s="5">
        <v>18</v>
      </c>
      <c r="Z212" s="5">
        <f>IF(Table3[[#This Row],[Efficiency Difference]]*0.2146 &gt; Table3[[#This Row],[Scoring Margin]], 1, 0)</f>
        <v>1</v>
      </c>
      <c r="AA212" s="5">
        <f>IF(Table3[[#This Row],[Efficiency Difference]]*0.2146 + 7 &gt; Table3[[#This Row],[Scoring Margin]], 1, 0)</f>
        <v>1</v>
      </c>
      <c r="AB212" s="5">
        <f>IF(Table3[[#This Row],[Efficiency Difference]]*0.2146 + 14 &gt; Table3[[#This Row],[Scoring Margin]], 1, 0)</f>
        <v>1</v>
      </c>
      <c r="AC212" s="5">
        <f>IF(Table3[[#This Row],[Efficiency Difference]]*0.2146 + 21 &gt; Table3[[#This Row],[Scoring Margin]], 1, 0)</f>
        <v>1</v>
      </c>
      <c r="AD212" s="5">
        <f>IF(Table3[[#This Row],[Efficiency Difference]]*0.2146 -7 &gt; Table3[[#This Row],[Scoring Margin]], 1, 0)</f>
        <v>0</v>
      </c>
      <c r="AE212" s="5">
        <f>IF(Table3[[#This Row],[Efficiency Difference]]*0.2146 -3 &gt; Table3[[#This Row],[Scoring Margin]], 1, 0)</f>
        <v>1</v>
      </c>
      <c r="AF212" s="5">
        <f>IF(Table3[[#This Row],[Efficiency Difference]]*0.2146 -5 &gt; Table3[[#This Row],[Scoring Margin]], 1, 0)</f>
        <v>0</v>
      </c>
      <c r="AG212" s="5">
        <f>IF(Table3[[#This Row],[Efficiency Difference]]*0.2146 -10 &gt; Table3[[#This Row],[Scoring Margin]], 1, 0)</f>
        <v>0</v>
      </c>
    </row>
    <row r="213" spans="2:33">
      <c r="B213" s="5">
        <v>12.029999999999973</v>
      </c>
      <c r="C213" s="5">
        <v>3</v>
      </c>
      <c r="X213" s="5">
        <v>12.029999999999973</v>
      </c>
      <c r="Y213" s="5">
        <v>3</v>
      </c>
      <c r="Z213" s="5">
        <f>IF(Table3[[#This Row],[Efficiency Difference]]*0.2146 &gt; Table3[[#This Row],[Scoring Margin]], 1, 0)</f>
        <v>0</v>
      </c>
      <c r="AA213" s="5">
        <f>IF(Table3[[#This Row],[Efficiency Difference]]*0.2146 + 7 &gt; Table3[[#This Row],[Scoring Margin]], 1, 0)</f>
        <v>1</v>
      </c>
      <c r="AB213" s="5">
        <f>IF(Table3[[#This Row],[Efficiency Difference]]*0.2146 + 14 &gt; Table3[[#This Row],[Scoring Margin]], 1, 0)</f>
        <v>1</v>
      </c>
      <c r="AC213" s="5">
        <f>IF(Table3[[#This Row],[Efficiency Difference]]*0.2146 + 21 &gt; Table3[[#This Row],[Scoring Margin]], 1, 0)</f>
        <v>1</v>
      </c>
      <c r="AD213" s="5">
        <f>IF(Table3[[#This Row],[Efficiency Difference]]*0.2146 -7 &gt; Table3[[#This Row],[Scoring Margin]], 1, 0)</f>
        <v>0</v>
      </c>
      <c r="AE213" s="5">
        <f>IF(Table3[[#This Row],[Efficiency Difference]]*0.2146 -3 &gt; Table3[[#This Row],[Scoring Margin]], 1, 0)</f>
        <v>0</v>
      </c>
      <c r="AF213" s="5">
        <f>IF(Table3[[#This Row],[Efficiency Difference]]*0.2146 -5 &gt; Table3[[#This Row],[Scoring Margin]], 1, 0)</f>
        <v>0</v>
      </c>
      <c r="AG213" s="5">
        <f>IF(Table3[[#This Row],[Efficiency Difference]]*0.2146 -10 &gt; Table3[[#This Row],[Scoring Margin]], 1, 0)</f>
        <v>0</v>
      </c>
    </row>
    <row r="214" spans="2:33">
      <c r="B214" s="5">
        <v>87.889999999999986</v>
      </c>
      <c r="C214" s="5">
        <v>3</v>
      </c>
      <c r="X214" s="5">
        <v>87.889999999999986</v>
      </c>
      <c r="Y214" s="5">
        <v>3</v>
      </c>
      <c r="Z214" s="5">
        <f>IF(Table3[[#This Row],[Efficiency Difference]]*0.2146 &gt; Table3[[#This Row],[Scoring Margin]], 1, 0)</f>
        <v>1</v>
      </c>
      <c r="AA214" s="5">
        <f>IF(Table3[[#This Row],[Efficiency Difference]]*0.2146 + 7 &gt; Table3[[#This Row],[Scoring Margin]], 1, 0)</f>
        <v>1</v>
      </c>
      <c r="AB214" s="5">
        <f>IF(Table3[[#This Row],[Efficiency Difference]]*0.2146 + 14 &gt; Table3[[#This Row],[Scoring Margin]], 1, 0)</f>
        <v>1</v>
      </c>
      <c r="AC214" s="5">
        <f>IF(Table3[[#This Row],[Efficiency Difference]]*0.2146 + 21 &gt; Table3[[#This Row],[Scoring Margin]], 1, 0)</f>
        <v>1</v>
      </c>
      <c r="AD214" s="5">
        <f>IF(Table3[[#This Row],[Efficiency Difference]]*0.2146 -7 &gt; Table3[[#This Row],[Scoring Margin]], 1, 0)</f>
        <v>1</v>
      </c>
      <c r="AE214" s="5">
        <f>IF(Table3[[#This Row],[Efficiency Difference]]*0.2146 -3 &gt; Table3[[#This Row],[Scoring Margin]], 1, 0)</f>
        <v>1</v>
      </c>
      <c r="AF214" s="5">
        <f>IF(Table3[[#This Row],[Efficiency Difference]]*0.2146 -5 &gt; Table3[[#This Row],[Scoring Margin]], 1, 0)</f>
        <v>1</v>
      </c>
      <c r="AG214" s="5">
        <f>IF(Table3[[#This Row],[Efficiency Difference]]*0.2146 -10 &gt; Table3[[#This Row],[Scoring Margin]], 1, 0)</f>
        <v>1</v>
      </c>
    </row>
    <row r="215" spans="2:33">
      <c r="B215" s="5">
        <v>61.870000000000005</v>
      </c>
      <c r="C215" s="5">
        <v>3</v>
      </c>
      <c r="X215" s="5">
        <v>61.870000000000005</v>
      </c>
      <c r="Y215" s="5">
        <v>3</v>
      </c>
      <c r="Z215" s="5">
        <f>IF(Table3[[#This Row],[Efficiency Difference]]*0.2146 &gt; Table3[[#This Row],[Scoring Margin]], 1, 0)</f>
        <v>1</v>
      </c>
      <c r="AA215" s="5">
        <f>IF(Table3[[#This Row],[Efficiency Difference]]*0.2146 + 7 &gt; Table3[[#This Row],[Scoring Margin]], 1, 0)</f>
        <v>1</v>
      </c>
      <c r="AB215" s="5">
        <f>IF(Table3[[#This Row],[Efficiency Difference]]*0.2146 + 14 &gt; Table3[[#This Row],[Scoring Margin]], 1, 0)</f>
        <v>1</v>
      </c>
      <c r="AC215" s="5">
        <f>IF(Table3[[#This Row],[Efficiency Difference]]*0.2146 + 21 &gt; Table3[[#This Row],[Scoring Margin]], 1, 0)</f>
        <v>1</v>
      </c>
      <c r="AD215" s="5">
        <f>IF(Table3[[#This Row],[Efficiency Difference]]*0.2146 -7 &gt; Table3[[#This Row],[Scoring Margin]], 1, 0)</f>
        <v>1</v>
      </c>
      <c r="AE215" s="5">
        <f>IF(Table3[[#This Row],[Efficiency Difference]]*0.2146 -3 &gt; Table3[[#This Row],[Scoring Margin]], 1, 0)</f>
        <v>1</v>
      </c>
      <c r="AF215" s="5">
        <f>IF(Table3[[#This Row],[Efficiency Difference]]*0.2146 -5 &gt; Table3[[#This Row],[Scoring Margin]], 1, 0)</f>
        <v>1</v>
      </c>
      <c r="AG215" s="5">
        <f>IF(Table3[[#This Row],[Efficiency Difference]]*0.2146 -10 &gt; Table3[[#This Row],[Scoring Margin]], 1, 0)</f>
        <v>1</v>
      </c>
    </row>
    <row r="216" spans="2:33">
      <c r="B216" s="5">
        <v>137.17000000000002</v>
      </c>
      <c r="C216" s="5">
        <v>21</v>
      </c>
      <c r="X216" s="5">
        <v>137.17000000000002</v>
      </c>
      <c r="Y216" s="5">
        <v>21</v>
      </c>
      <c r="Z216" s="5">
        <f>IF(Table3[[#This Row],[Efficiency Difference]]*0.2146 &gt; Table3[[#This Row],[Scoring Margin]], 1, 0)</f>
        <v>1</v>
      </c>
      <c r="AA216" s="5">
        <f>IF(Table3[[#This Row],[Efficiency Difference]]*0.2146 + 7 &gt; Table3[[#This Row],[Scoring Margin]], 1, 0)</f>
        <v>1</v>
      </c>
      <c r="AB216" s="5">
        <f>IF(Table3[[#This Row],[Efficiency Difference]]*0.2146 + 14 &gt; Table3[[#This Row],[Scoring Margin]], 1, 0)</f>
        <v>1</v>
      </c>
      <c r="AC216" s="5">
        <f>IF(Table3[[#This Row],[Efficiency Difference]]*0.2146 + 21 &gt; Table3[[#This Row],[Scoring Margin]], 1, 0)</f>
        <v>1</v>
      </c>
      <c r="AD216" s="5">
        <f>IF(Table3[[#This Row],[Efficiency Difference]]*0.2146 -7 &gt; Table3[[#This Row],[Scoring Margin]], 1, 0)</f>
        <v>1</v>
      </c>
      <c r="AE216" s="5">
        <f>IF(Table3[[#This Row],[Efficiency Difference]]*0.2146 -3 &gt; Table3[[#This Row],[Scoring Margin]], 1, 0)</f>
        <v>1</v>
      </c>
      <c r="AF216" s="5">
        <f>IF(Table3[[#This Row],[Efficiency Difference]]*0.2146 -5 &gt; Table3[[#This Row],[Scoring Margin]], 1, 0)</f>
        <v>1</v>
      </c>
      <c r="AG216" s="5">
        <f>IF(Table3[[#This Row],[Efficiency Difference]]*0.2146 -10 &gt; Table3[[#This Row],[Scoring Margin]], 1, 0)</f>
        <v>0</v>
      </c>
    </row>
    <row r="217" spans="2:33">
      <c r="B217" s="5">
        <v>1.9900000000000091</v>
      </c>
      <c r="C217" s="5">
        <v>7</v>
      </c>
      <c r="X217" s="5">
        <v>1.9900000000000091</v>
      </c>
      <c r="Y217" s="5">
        <v>7</v>
      </c>
      <c r="Z217" s="5">
        <f>IF(Table3[[#This Row],[Efficiency Difference]]*0.2146 &gt; Table3[[#This Row],[Scoring Margin]], 1, 0)</f>
        <v>0</v>
      </c>
      <c r="AA217" s="5">
        <f>IF(Table3[[#This Row],[Efficiency Difference]]*0.2146 + 7 &gt; Table3[[#This Row],[Scoring Margin]], 1, 0)</f>
        <v>1</v>
      </c>
      <c r="AB217" s="5">
        <f>IF(Table3[[#This Row],[Efficiency Difference]]*0.2146 + 14 &gt; Table3[[#This Row],[Scoring Margin]], 1, 0)</f>
        <v>1</v>
      </c>
      <c r="AC217" s="5">
        <f>IF(Table3[[#This Row],[Efficiency Difference]]*0.2146 + 21 &gt; Table3[[#This Row],[Scoring Margin]], 1, 0)</f>
        <v>1</v>
      </c>
      <c r="AD217" s="5">
        <f>IF(Table3[[#This Row],[Efficiency Difference]]*0.2146 -7 &gt; Table3[[#This Row],[Scoring Margin]], 1, 0)</f>
        <v>0</v>
      </c>
      <c r="AE217" s="5">
        <f>IF(Table3[[#This Row],[Efficiency Difference]]*0.2146 -3 &gt; Table3[[#This Row],[Scoring Margin]], 1, 0)</f>
        <v>0</v>
      </c>
      <c r="AF217" s="5">
        <f>IF(Table3[[#This Row],[Efficiency Difference]]*0.2146 -5 &gt; Table3[[#This Row],[Scoring Margin]], 1, 0)</f>
        <v>0</v>
      </c>
      <c r="AG217" s="5">
        <f>IF(Table3[[#This Row],[Efficiency Difference]]*0.2146 -10 &gt; Table3[[#This Row],[Scoring Margin]], 1, 0)</f>
        <v>0</v>
      </c>
    </row>
    <row r="218" spans="2:33">
      <c r="B218" s="5">
        <v>38.47</v>
      </c>
      <c r="C218" s="5">
        <v>7</v>
      </c>
      <c r="X218" s="5">
        <v>38.47</v>
      </c>
      <c r="Y218" s="5">
        <v>7</v>
      </c>
      <c r="Z218" s="5">
        <f>IF(Table3[[#This Row],[Efficiency Difference]]*0.2146 &gt; Table3[[#This Row],[Scoring Margin]], 1, 0)</f>
        <v>1</v>
      </c>
      <c r="AA218" s="5">
        <f>IF(Table3[[#This Row],[Efficiency Difference]]*0.2146 + 7 &gt; Table3[[#This Row],[Scoring Margin]], 1, 0)</f>
        <v>1</v>
      </c>
      <c r="AB218" s="5">
        <f>IF(Table3[[#This Row],[Efficiency Difference]]*0.2146 + 14 &gt; Table3[[#This Row],[Scoring Margin]], 1, 0)</f>
        <v>1</v>
      </c>
      <c r="AC218" s="5">
        <f>IF(Table3[[#This Row],[Efficiency Difference]]*0.2146 + 21 &gt; Table3[[#This Row],[Scoring Margin]], 1, 0)</f>
        <v>1</v>
      </c>
      <c r="AD218" s="5">
        <f>IF(Table3[[#This Row],[Efficiency Difference]]*0.2146 -7 &gt; Table3[[#This Row],[Scoring Margin]], 1, 0)</f>
        <v>0</v>
      </c>
      <c r="AE218" s="5">
        <f>IF(Table3[[#This Row],[Efficiency Difference]]*0.2146 -3 &gt; Table3[[#This Row],[Scoring Margin]], 1, 0)</f>
        <v>0</v>
      </c>
      <c r="AF218" s="5">
        <f>IF(Table3[[#This Row],[Efficiency Difference]]*0.2146 -5 &gt; Table3[[#This Row],[Scoring Margin]], 1, 0)</f>
        <v>0</v>
      </c>
      <c r="AG218" s="5">
        <f>IF(Table3[[#This Row],[Efficiency Difference]]*0.2146 -10 &gt; Table3[[#This Row],[Scoring Margin]], 1, 0)</f>
        <v>0</v>
      </c>
    </row>
    <row r="219" spans="2:33">
      <c r="B219" s="5">
        <v>6.2399999999999807</v>
      </c>
      <c r="C219" s="5">
        <v>3</v>
      </c>
      <c r="X219" s="5">
        <v>6.2399999999999807</v>
      </c>
      <c r="Y219" s="5">
        <v>3</v>
      </c>
      <c r="Z219" s="5">
        <f>IF(Table3[[#This Row],[Efficiency Difference]]*0.2146 &gt; Table3[[#This Row],[Scoring Margin]], 1, 0)</f>
        <v>0</v>
      </c>
      <c r="AA219" s="5">
        <f>IF(Table3[[#This Row],[Efficiency Difference]]*0.2146 + 7 &gt; Table3[[#This Row],[Scoring Margin]], 1, 0)</f>
        <v>1</v>
      </c>
      <c r="AB219" s="5">
        <f>IF(Table3[[#This Row],[Efficiency Difference]]*0.2146 + 14 &gt; Table3[[#This Row],[Scoring Margin]], 1, 0)</f>
        <v>1</v>
      </c>
      <c r="AC219" s="5">
        <f>IF(Table3[[#This Row],[Efficiency Difference]]*0.2146 + 21 &gt; Table3[[#This Row],[Scoring Margin]], 1, 0)</f>
        <v>1</v>
      </c>
      <c r="AD219" s="5">
        <f>IF(Table3[[#This Row],[Efficiency Difference]]*0.2146 -7 &gt; Table3[[#This Row],[Scoring Margin]], 1, 0)</f>
        <v>0</v>
      </c>
      <c r="AE219" s="5">
        <f>IF(Table3[[#This Row],[Efficiency Difference]]*0.2146 -3 &gt; Table3[[#This Row],[Scoring Margin]], 1, 0)</f>
        <v>0</v>
      </c>
      <c r="AF219" s="5">
        <f>IF(Table3[[#This Row],[Efficiency Difference]]*0.2146 -5 &gt; Table3[[#This Row],[Scoring Margin]], 1, 0)</f>
        <v>0</v>
      </c>
      <c r="AG219" s="5">
        <f>IF(Table3[[#This Row],[Efficiency Difference]]*0.2146 -10 &gt; Table3[[#This Row],[Scoring Margin]], 1, 0)</f>
        <v>0</v>
      </c>
    </row>
    <row r="220" spans="2:33">
      <c r="B220" s="5">
        <v>82.359999999999985</v>
      </c>
      <c r="C220" s="5">
        <v>3</v>
      </c>
      <c r="X220" s="5">
        <v>82.359999999999985</v>
      </c>
      <c r="Y220" s="5">
        <v>3</v>
      </c>
      <c r="Z220" s="5">
        <f>IF(Table3[[#This Row],[Efficiency Difference]]*0.2146 &gt; Table3[[#This Row],[Scoring Margin]], 1, 0)</f>
        <v>1</v>
      </c>
      <c r="AA220" s="5">
        <f>IF(Table3[[#This Row],[Efficiency Difference]]*0.2146 + 7 &gt; Table3[[#This Row],[Scoring Margin]], 1, 0)</f>
        <v>1</v>
      </c>
      <c r="AB220" s="5">
        <f>IF(Table3[[#This Row],[Efficiency Difference]]*0.2146 + 14 &gt; Table3[[#This Row],[Scoring Margin]], 1, 0)</f>
        <v>1</v>
      </c>
      <c r="AC220" s="5">
        <f>IF(Table3[[#This Row],[Efficiency Difference]]*0.2146 + 21 &gt; Table3[[#This Row],[Scoring Margin]], 1, 0)</f>
        <v>1</v>
      </c>
      <c r="AD220" s="5">
        <f>IF(Table3[[#This Row],[Efficiency Difference]]*0.2146 -7 &gt; Table3[[#This Row],[Scoring Margin]], 1, 0)</f>
        <v>1</v>
      </c>
      <c r="AE220" s="5">
        <f>IF(Table3[[#This Row],[Efficiency Difference]]*0.2146 -3 &gt; Table3[[#This Row],[Scoring Margin]], 1, 0)</f>
        <v>1</v>
      </c>
      <c r="AF220" s="5">
        <f>IF(Table3[[#This Row],[Efficiency Difference]]*0.2146 -5 &gt; Table3[[#This Row],[Scoring Margin]], 1, 0)</f>
        <v>1</v>
      </c>
      <c r="AG220" s="5">
        <f>IF(Table3[[#This Row],[Efficiency Difference]]*0.2146 -10 &gt; Table3[[#This Row],[Scoring Margin]], 1, 0)</f>
        <v>1</v>
      </c>
    </row>
    <row r="221" spans="2:33">
      <c r="B221" s="5">
        <v>46.799999999999983</v>
      </c>
      <c r="C221" s="5">
        <v>6</v>
      </c>
      <c r="X221" s="5">
        <v>46.799999999999983</v>
      </c>
      <c r="Y221" s="5">
        <v>6</v>
      </c>
      <c r="Z221" s="5">
        <f>IF(Table3[[#This Row],[Efficiency Difference]]*0.2146 &gt; Table3[[#This Row],[Scoring Margin]], 1, 0)</f>
        <v>1</v>
      </c>
      <c r="AA221" s="5">
        <f>IF(Table3[[#This Row],[Efficiency Difference]]*0.2146 + 7 &gt; Table3[[#This Row],[Scoring Margin]], 1, 0)</f>
        <v>1</v>
      </c>
      <c r="AB221" s="5">
        <f>IF(Table3[[#This Row],[Efficiency Difference]]*0.2146 + 14 &gt; Table3[[#This Row],[Scoring Margin]], 1, 0)</f>
        <v>1</v>
      </c>
      <c r="AC221" s="5">
        <f>IF(Table3[[#This Row],[Efficiency Difference]]*0.2146 + 21 &gt; Table3[[#This Row],[Scoring Margin]], 1, 0)</f>
        <v>1</v>
      </c>
      <c r="AD221" s="5">
        <f>IF(Table3[[#This Row],[Efficiency Difference]]*0.2146 -7 &gt; Table3[[#This Row],[Scoring Margin]], 1, 0)</f>
        <v>0</v>
      </c>
      <c r="AE221" s="5">
        <f>IF(Table3[[#This Row],[Efficiency Difference]]*0.2146 -3 &gt; Table3[[#This Row],[Scoring Margin]], 1, 0)</f>
        <v>1</v>
      </c>
      <c r="AF221" s="5">
        <f>IF(Table3[[#This Row],[Efficiency Difference]]*0.2146 -5 &gt; Table3[[#This Row],[Scoring Margin]], 1, 0)</f>
        <v>0</v>
      </c>
      <c r="AG221" s="5">
        <f>IF(Table3[[#This Row],[Efficiency Difference]]*0.2146 -10 &gt; Table3[[#This Row],[Scoring Margin]], 1, 0)</f>
        <v>0</v>
      </c>
    </row>
    <row r="222" spans="2:33">
      <c r="B222" s="5">
        <v>137.17000000000002</v>
      </c>
      <c r="C222" s="5">
        <v>21</v>
      </c>
      <c r="X222" s="5">
        <v>137.17000000000002</v>
      </c>
      <c r="Y222" s="5">
        <v>21</v>
      </c>
      <c r="Z222" s="5">
        <f>IF(Table3[[#This Row],[Efficiency Difference]]*0.2146 &gt; Table3[[#This Row],[Scoring Margin]], 1, 0)</f>
        <v>1</v>
      </c>
      <c r="AA222" s="5">
        <f>IF(Table3[[#This Row],[Efficiency Difference]]*0.2146 + 7 &gt; Table3[[#This Row],[Scoring Margin]], 1, 0)</f>
        <v>1</v>
      </c>
      <c r="AB222" s="5">
        <f>IF(Table3[[#This Row],[Efficiency Difference]]*0.2146 + 14 &gt; Table3[[#This Row],[Scoring Margin]], 1, 0)</f>
        <v>1</v>
      </c>
      <c r="AC222" s="5">
        <f>IF(Table3[[#This Row],[Efficiency Difference]]*0.2146 + 21 &gt; Table3[[#This Row],[Scoring Margin]], 1, 0)</f>
        <v>1</v>
      </c>
      <c r="AD222" s="5">
        <f>IF(Table3[[#This Row],[Efficiency Difference]]*0.2146 -7 &gt; Table3[[#This Row],[Scoring Margin]], 1, 0)</f>
        <v>1</v>
      </c>
      <c r="AE222" s="5">
        <f>IF(Table3[[#This Row],[Efficiency Difference]]*0.2146 -3 &gt; Table3[[#This Row],[Scoring Margin]], 1, 0)</f>
        <v>1</v>
      </c>
      <c r="AF222" s="5">
        <f>IF(Table3[[#This Row],[Efficiency Difference]]*0.2146 -5 &gt; Table3[[#This Row],[Scoring Margin]], 1, 0)</f>
        <v>1</v>
      </c>
      <c r="AG222" s="5">
        <f>IF(Table3[[#This Row],[Efficiency Difference]]*0.2146 -10 &gt; Table3[[#This Row],[Scoring Margin]], 1, 0)</f>
        <v>0</v>
      </c>
    </row>
    <row r="223" spans="2:33">
      <c r="B223" s="5">
        <v>178.01000000000002</v>
      </c>
      <c r="C223" s="5">
        <v>52</v>
      </c>
      <c r="X223" s="5">
        <v>178.01000000000002</v>
      </c>
      <c r="Y223" s="5">
        <v>52</v>
      </c>
      <c r="Z223" s="5">
        <f>IF(Table3[[#This Row],[Efficiency Difference]]*0.2146 &gt; Table3[[#This Row],[Scoring Margin]], 1, 0)</f>
        <v>0</v>
      </c>
      <c r="AA223" s="5">
        <f>IF(Table3[[#This Row],[Efficiency Difference]]*0.2146 + 7 &gt; Table3[[#This Row],[Scoring Margin]], 1, 0)</f>
        <v>0</v>
      </c>
      <c r="AB223" s="5">
        <f>IF(Table3[[#This Row],[Efficiency Difference]]*0.2146 + 14 &gt; Table3[[#This Row],[Scoring Margin]], 1, 0)</f>
        <v>1</v>
      </c>
      <c r="AC223" s="5">
        <f>IF(Table3[[#This Row],[Efficiency Difference]]*0.2146 + 21 &gt; Table3[[#This Row],[Scoring Margin]], 1, 0)</f>
        <v>1</v>
      </c>
      <c r="AD223" s="5">
        <f>IF(Table3[[#This Row],[Efficiency Difference]]*0.2146 -7 &gt; Table3[[#This Row],[Scoring Margin]], 1, 0)</f>
        <v>0</v>
      </c>
      <c r="AE223" s="5">
        <f>IF(Table3[[#This Row],[Efficiency Difference]]*0.2146 -3 &gt; Table3[[#This Row],[Scoring Margin]], 1, 0)</f>
        <v>0</v>
      </c>
      <c r="AF223" s="5">
        <f>IF(Table3[[#This Row],[Efficiency Difference]]*0.2146 -5 &gt; Table3[[#This Row],[Scoring Margin]], 1, 0)</f>
        <v>0</v>
      </c>
      <c r="AG223" s="5">
        <f>IF(Table3[[#This Row],[Efficiency Difference]]*0.2146 -10 &gt; Table3[[#This Row],[Scoring Margin]], 1, 0)</f>
        <v>0</v>
      </c>
    </row>
    <row r="224" spans="2:33">
      <c r="B224" s="5">
        <v>86.810000000000031</v>
      </c>
      <c r="C224" s="5">
        <v>21</v>
      </c>
      <c r="X224" s="5">
        <v>86.810000000000031</v>
      </c>
      <c r="Y224" s="5">
        <v>21</v>
      </c>
      <c r="Z224" s="5">
        <f>IF(Table3[[#This Row],[Efficiency Difference]]*0.2146 &gt; Table3[[#This Row],[Scoring Margin]], 1, 0)</f>
        <v>0</v>
      </c>
      <c r="AA224" s="5">
        <f>IF(Table3[[#This Row],[Efficiency Difference]]*0.2146 + 7 &gt; Table3[[#This Row],[Scoring Margin]], 1, 0)</f>
        <v>1</v>
      </c>
      <c r="AB224" s="5">
        <f>IF(Table3[[#This Row],[Efficiency Difference]]*0.2146 + 14 &gt; Table3[[#This Row],[Scoring Margin]], 1, 0)</f>
        <v>1</v>
      </c>
      <c r="AC224" s="5">
        <f>IF(Table3[[#This Row],[Efficiency Difference]]*0.2146 + 21 &gt; Table3[[#This Row],[Scoring Margin]], 1, 0)</f>
        <v>1</v>
      </c>
      <c r="AD224" s="5">
        <f>IF(Table3[[#This Row],[Efficiency Difference]]*0.2146 -7 &gt; Table3[[#This Row],[Scoring Margin]], 1, 0)</f>
        <v>0</v>
      </c>
      <c r="AE224" s="5">
        <f>IF(Table3[[#This Row],[Efficiency Difference]]*0.2146 -3 &gt; Table3[[#This Row],[Scoring Margin]], 1, 0)</f>
        <v>0</v>
      </c>
      <c r="AF224" s="5">
        <f>IF(Table3[[#This Row],[Efficiency Difference]]*0.2146 -5 &gt; Table3[[#This Row],[Scoring Margin]], 1, 0)</f>
        <v>0</v>
      </c>
      <c r="AG224" s="5">
        <f>IF(Table3[[#This Row],[Efficiency Difference]]*0.2146 -10 &gt; Table3[[#This Row],[Scoring Margin]], 1, 0)</f>
        <v>0</v>
      </c>
    </row>
    <row r="225" spans="2:33">
      <c r="B225" s="5">
        <v>6.9399999999999977</v>
      </c>
      <c r="C225" s="5">
        <v>3</v>
      </c>
      <c r="X225" s="5">
        <v>6.9399999999999977</v>
      </c>
      <c r="Y225" s="5">
        <v>3</v>
      </c>
      <c r="Z225" s="5">
        <f>IF(Table3[[#This Row],[Efficiency Difference]]*0.2146 &gt; Table3[[#This Row],[Scoring Margin]], 1, 0)</f>
        <v>0</v>
      </c>
      <c r="AA225" s="5">
        <f>IF(Table3[[#This Row],[Efficiency Difference]]*0.2146 + 7 &gt; Table3[[#This Row],[Scoring Margin]], 1, 0)</f>
        <v>1</v>
      </c>
      <c r="AB225" s="5">
        <f>IF(Table3[[#This Row],[Efficiency Difference]]*0.2146 + 14 &gt; Table3[[#This Row],[Scoring Margin]], 1, 0)</f>
        <v>1</v>
      </c>
      <c r="AC225" s="5">
        <f>IF(Table3[[#This Row],[Efficiency Difference]]*0.2146 + 21 &gt; Table3[[#This Row],[Scoring Margin]], 1, 0)</f>
        <v>1</v>
      </c>
      <c r="AD225" s="5">
        <f>IF(Table3[[#This Row],[Efficiency Difference]]*0.2146 -7 &gt; Table3[[#This Row],[Scoring Margin]], 1, 0)</f>
        <v>0</v>
      </c>
      <c r="AE225" s="5">
        <f>IF(Table3[[#This Row],[Efficiency Difference]]*0.2146 -3 &gt; Table3[[#This Row],[Scoring Margin]], 1, 0)</f>
        <v>0</v>
      </c>
      <c r="AF225" s="5">
        <f>IF(Table3[[#This Row],[Efficiency Difference]]*0.2146 -5 &gt; Table3[[#This Row],[Scoring Margin]], 1, 0)</f>
        <v>0</v>
      </c>
      <c r="AG225" s="5">
        <f>IF(Table3[[#This Row],[Efficiency Difference]]*0.2146 -10 &gt; Table3[[#This Row],[Scoring Margin]], 1, 0)</f>
        <v>0</v>
      </c>
    </row>
    <row r="226" spans="2:33">
      <c r="B226" s="5">
        <v>18.659999999999997</v>
      </c>
      <c r="C226" s="5">
        <v>4</v>
      </c>
      <c r="X226" s="5">
        <v>18.659999999999997</v>
      </c>
      <c r="Y226" s="5">
        <v>4</v>
      </c>
      <c r="Z226" s="5">
        <f>IF(Table3[[#This Row],[Efficiency Difference]]*0.2146 &gt; Table3[[#This Row],[Scoring Margin]], 1, 0)</f>
        <v>1</v>
      </c>
      <c r="AA226" s="5">
        <f>IF(Table3[[#This Row],[Efficiency Difference]]*0.2146 + 7 &gt; Table3[[#This Row],[Scoring Margin]], 1, 0)</f>
        <v>1</v>
      </c>
      <c r="AB226" s="5">
        <f>IF(Table3[[#This Row],[Efficiency Difference]]*0.2146 + 14 &gt; Table3[[#This Row],[Scoring Margin]], 1, 0)</f>
        <v>1</v>
      </c>
      <c r="AC226" s="5">
        <f>IF(Table3[[#This Row],[Efficiency Difference]]*0.2146 + 21 &gt; Table3[[#This Row],[Scoring Margin]], 1, 0)</f>
        <v>1</v>
      </c>
      <c r="AD226" s="5">
        <f>IF(Table3[[#This Row],[Efficiency Difference]]*0.2146 -7 &gt; Table3[[#This Row],[Scoring Margin]], 1, 0)</f>
        <v>0</v>
      </c>
      <c r="AE226" s="5">
        <f>IF(Table3[[#This Row],[Efficiency Difference]]*0.2146 -3 &gt; Table3[[#This Row],[Scoring Margin]], 1, 0)</f>
        <v>0</v>
      </c>
      <c r="AF226" s="5">
        <f>IF(Table3[[#This Row],[Efficiency Difference]]*0.2146 -5 &gt; Table3[[#This Row],[Scoring Margin]], 1, 0)</f>
        <v>0</v>
      </c>
      <c r="AG226" s="5">
        <f>IF(Table3[[#This Row],[Efficiency Difference]]*0.2146 -10 &gt; Table3[[#This Row],[Scoring Margin]], 1, 0)</f>
        <v>0</v>
      </c>
    </row>
    <row r="227" spans="2:33">
      <c r="B227" s="5">
        <v>94.800000000000011</v>
      </c>
      <c r="C227" s="5">
        <v>28</v>
      </c>
      <c r="X227" s="5">
        <v>94.800000000000011</v>
      </c>
      <c r="Y227" s="5">
        <v>28</v>
      </c>
      <c r="Z227" s="5">
        <f>IF(Table3[[#This Row],[Efficiency Difference]]*0.2146 &gt; Table3[[#This Row],[Scoring Margin]], 1, 0)</f>
        <v>0</v>
      </c>
      <c r="AA227" s="5">
        <f>IF(Table3[[#This Row],[Efficiency Difference]]*0.2146 + 7 &gt; Table3[[#This Row],[Scoring Margin]], 1, 0)</f>
        <v>0</v>
      </c>
      <c r="AB227" s="5">
        <f>IF(Table3[[#This Row],[Efficiency Difference]]*0.2146 + 14 &gt; Table3[[#This Row],[Scoring Margin]], 1, 0)</f>
        <v>1</v>
      </c>
      <c r="AC227" s="5">
        <f>IF(Table3[[#This Row],[Efficiency Difference]]*0.2146 + 21 &gt; Table3[[#This Row],[Scoring Margin]], 1, 0)</f>
        <v>1</v>
      </c>
      <c r="AD227" s="5">
        <f>IF(Table3[[#This Row],[Efficiency Difference]]*0.2146 -7 &gt; Table3[[#This Row],[Scoring Margin]], 1, 0)</f>
        <v>0</v>
      </c>
      <c r="AE227" s="5">
        <f>IF(Table3[[#This Row],[Efficiency Difference]]*0.2146 -3 &gt; Table3[[#This Row],[Scoring Margin]], 1, 0)</f>
        <v>0</v>
      </c>
      <c r="AF227" s="5">
        <f>IF(Table3[[#This Row],[Efficiency Difference]]*0.2146 -5 &gt; Table3[[#This Row],[Scoring Margin]], 1, 0)</f>
        <v>0</v>
      </c>
      <c r="AG227" s="5">
        <f>IF(Table3[[#This Row],[Efficiency Difference]]*0.2146 -10 &gt; Table3[[#This Row],[Scoring Margin]], 1, 0)</f>
        <v>0</v>
      </c>
    </row>
    <row r="228" spans="2:33">
      <c r="B228" s="5">
        <v>88.4</v>
      </c>
      <c r="C228" s="5">
        <v>10</v>
      </c>
      <c r="X228" s="5">
        <v>88.4</v>
      </c>
      <c r="Y228" s="5">
        <v>10</v>
      </c>
      <c r="Z228" s="5">
        <f>IF(Table3[[#This Row],[Efficiency Difference]]*0.2146 &gt; Table3[[#This Row],[Scoring Margin]], 1, 0)</f>
        <v>1</v>
      </c>
      <c r="AA228" s="5">
        <f>IF(Table3[[#This Row],[Efficiency Difference]]*0.2146 + 7 &gt; Table3[[#This Row],[Scoring Margin]], 1, 0)</f>
        <v>1</v>
      </c>
      <c r="AB228" s="5">
        <f>IF(Table3[[#This Row],[Efficiency Difference]]*0.2146 + 14 &gt; Table3[[#This Row],[Scoring Margin]], 1, 0)</f>
        <v>1</v>
      </c>
      <c r="AC228" s="5">
        <f>IF(Table3[[#This Row],[Efficiency Difference]]*0.2146 + 21 &gt; Table3[[#This Row],[Scoring Margin]], 1, 0)</f>
        <v>1</v>
      </c>
      <c r="AD228" s="5">
        <f>IF(Table3[[#This Row],[Efficiency Difference]]*0.2146 -7 &gt; Table3[[#This Row],[Scoring Margin]], 1, 0)</f>
        <v>1</v>
      </c>
      <c r="AE228" s="5">
        <f>IF(Table3[[#This Row],[Efficiency Difference]]*0.2146 -3 &gt; Table3[[#This Row],[Scoring Margin]], 1, 0)</f>
        <v>1</v>
      </c>
      <c r="AF228" s="5">
        <f>IF(Table3[[#This Row],[Efficiency Difference]]*0.2146 -5 &gt; Table3[[#This Row],[Scoring Margin]], 1, 0)</f>
        <v>1</v>
      </c>
      <c r="AG228" s="5">
        <f>IF(Table3[[#This Row],[Efficiency Difference]]*0.2146 -10 &gt; Table3[[#This Row],[Scoring Margin]], 1, 0)</f>
        <v>0</v>
      </c>
    </row>
    <row r="229" spans="2:33">
      <c r="B229" s="5">
        <v>63.309999999999974</v>
      </c>
      <c r="C229" s="5">
        <v>10</v>
      </c>
      <c r="X229" s="5">
        <v>63.309999999999974</v>
      </c>
      <c r="Y229" s="5">
        <v>10</v>
      </c>
      <c r="Z229" s="5">
        <f>IF(Table3[[#This Row],[Efficiency Difference]]*0.2146 &gt; Table3[[#This Row],[Scoring Margin]], 1, 0)</f>
        <v>1</v>
      </c>
      <c r="AA229" s="5">
        <f>IF(Table3[[#This Row],[Efficiency Difference]]*0.2146 + 7 &gt; Table3[[#This Row],[Scoring Margin]], 1, 0)</f>
        <v>1</v>
      </c>
      <c r="AB229" s="5">
        <f>IF(Table3[[#This Row],[Efficiency Difference]]*0.2146 + 14 &gt; Table3[[#This Row],[Scoring Margin]], 1, 0)</f>
        <v>1</v>
      </c>
      <c r="AC229" s="5">
        <f>IF(Table3[[#This Row],[Efficiency Difference]]*0.2146 + 21 &gt; Table3[[#This Row],[Scoring Margin]], 1, 0)</f>
        <v>1</v>
      </c>
      <c r="AD229" s="5">
        <f>IF(Table3[[#This Row],[Efficiency Difference]]*0.2146 -7 &gt; Table3[[#This Row],[Scoring Margin]], 1, 0)</f>
        <v>0</v>
      </c>
      <c r="AE229" s="5">
        <f>IF(Table3[[#This Row],[Efficiency Difference]]*0.2146 -3 &gt; Table3[[#This Row],[Scoring Margin]], 1, 0)</f>
        <v>1</v>
      </c>
      <c r="AF229" s="5">
        <f>IF(Table3[[#This Row],[Efficiency Difference]]*0.2146 -5 &gt; Table3[[#This Row],[Scoring Margin]], 1, 0)</f>
        <v>0</v>
      </c>
      <c r="AG229" s="5">
        <f>IF(Table3[[#This Row],[Efficiency Difference]]*0.2146 -10 &gt; Table3[[#This Row],[Scoring Margin]], 1, 0)</f>
        <v>0</v>
      </c>
    </row>
    <row r="230" spans="2:33">
      <c r="B230" s="5">
        <v>86.810000000000031</v>
      </c>
      <c r="C230" s="5">
        <v>21</v>
      </c>
      <c r="X230" s="5">
        <v>86.810000000000031</v>
      </c>
      <c r="Y230" s="5">
        <v>21</v>
      </c>
      <c r="Z230" s="5">
        <f>IF(Table3[[#This Row],[Efficiency Difference]]*0.2146 &gt; Table3[[#This Row],[Scoring Margin]], 1, 0)</f>
        <v>0</v>
      </c>
      <c r="AA230" s="5">
        <f>IF(Table3[[#This Row],[Efficiency Difference]]*0.2146 + 7 &gt; Table3[[#This Row],[Scoring Margin]], 1, 0)</f>
        <v>1</v>
      </c>
      <c r="AB230" s="5">
        <f>IF(Table3[[#This Row],[Efficiency Difference]]*0.2146 + 14 &gt; Table3[[#This Row],[Scoring Margin]], 1, 0)</f>
        <v>1</v>
      </c>
      <c r="AC230" s="5">
        <f>IF(Table3[[#This Row],[Efficiency Difference]]*0.2146 + 21 &gt; Table3[[#This Row],[Scoring Margin]], 1, 0)</f>
        <v>1</v>
      </c>
      <c r="AD230" s="5">
        <f>IF(Table3[[#This Row],[Efficiency Difference]]*0.2146 -7 &gt; Table3[[#This Row],[Scoring Margin]], 1, 0)</f>
        <v>0</v>
      </c>
      <c r="AE230" s="5">
        <f>IF(Table3[[#This Row],[Efficiency Difference]]*0.2146 -3 &gt; Table3[[#This Row],[Scoring Margin]], 1, 0)</f>
        <v>0</v>
      </c>
      <c r="AF230" s="5">
        <f>IF(Table3[[#This Row],[Efficiency Difference]]*0.2146 -5 &gt; Table3[[#This Row],[Scoring Margin]], 1, 0)</f>
        <v>0</v>
      </c>
      <c r="AG230" s="5">
        <f>IF(Table3[[#This Row],[Efficiency Difference]]*0.2146 -10 &gt; Table3[[#This Row],[Scoring Margin]], 1, 0)</f>
        <v>0</v>
      </c>
    </row>
    <row r="231" spans="2:33">
      <c r="B231" s="5">
        <v>6.9399999999999977</v>
      </c>
      <c r="C231" s="5">
        <v>3</v>
      </c>
      <c r="X231" s="5">
        <v>6.9399999999999977</v>
      </c>
      <c r="Y231" s="5">
        <v>3</v>
      </c>
      <c r="Z231" s="5">
        <f>IF(Table3[[#This Row],[Efficiency Difference]]*0.2146 &gt; Table3[[#This Row],[Scoring Margin]], 1, 0)</f>
        <v>0</v>
      </c>
      <c r="AA231" s="5">
        <f>IF(Table3[[#This Row],[Efficiency Difference]]*0.2146 + 7 &gt; Table3[[#This Row],[Scoring Margin]], 1, 0)</f>
        <v>1</v>
      </c>
      <c r="AB231" s="5">
        <f>IF(Table3[[#This Row],[Efficiency Difference]]*0.2146 + 14 &gt; Table3[[#This Row],[Scoring Margin]], 1, 0)</f>
        <v>1</v>
      </c>
      <c r="AC231" s="5">
        <f>IF(Table3[[#This Row],[Efficiency Difference]]*0.2146 + 21 &gt; Table3[[#This Row],[Scoring Margin]], 1, 0)</f>
        <v>1</v>
      </c>
      <c r="AD231" s="5">
        <f>IF(Table3[[#This Row],[Efficiency Difference]]*0.2146 -7 &gt; Table3[[#This Row],[Scoring Margin]], 1, 0)</f>
        <v>0</v>
      </c>
      <c r="AE231" s="5">
        <f>IF(Table3[[#This Row],[Efficiency Difference]]*0.2146 -3 &gt; Table3[[#This Row],[Scoring Margin]], 1, 0)</f>
        <v>0</v>
      </c>
      <c r="AF231" s="5">
        <f>IF(Table3[[#This Row],[Efficiency Difference]]*0.2146 -5 &gt; Table3[[#This Row],[Scoring Margin]], 1, 0)</f>
        <v>0</v>
      </c>
      <c r="AG231" s="5">
        <f>IF(Table3[[#This Row],[Efficiency Difference]]*0.2146 -10 &gt; Table3[[#This Row],[Scoring Margin]], 1, 0)</f>
        <v>0</v>
      </c>
    </row>
    <row r="232" spans="2:33">
      <c r="B232" s="5">
        <v>36.639999999999986</v>
      </c>
      <c r="C232" s="5">
        <v>4</v>
      </c>
      <c r="X232" s="5">
        <v>36.639999999999986</v>
      </c>
      <c r="Y232" s="5">
        <v>4</v>
      </c>
      <c r="Z232" s="5">
        <f>IF(Table3[[#This Row],[Efficiency Difference]]*0.2146 &gt; Table3[[#This Row],[Scoring Margin]], 1, 0)</f>
        <v>1</v>
      </c>
      <c r="AA232" s="5">
        <f>IF(Table3[[#This Row],[Efficiency Difference]]*0.2146 + 7 &gt; Table3[[#This Row],[Scoring Margin]], 1, 0)</f>
        <v>1</v>
      </c>
      <c r="AB232" s="5">
        <f>IF(Table3[[#This Row],[Efficiency Difference]]*0.2146 + 14 &gt; Table3[[#This Row],[Scoring Margin]], 1, 0)</f>
        <v>1</v>
      </c>
      <c r="AC232" s="5">
        <f>IF(Table3[[#This Row],[Efficiency Difference]]*0.2146 + 21 &gt; Table3[[#This Row],[Scoring Margin]], 1, 0)</f>
        <v>1</v>
      </c>
      <c r="AD232" s="5">
        <f>IF(Table3[[#This Row],[Efficiency Difference]]*0.2146 -7 &gt; Table3[[#This Row],[Scoring Margin]], 1, 0)</f>
        <v>0</v>
      </c>
      <c r="AE232" s="5">
        <f>IF(Table3[[#This Row],[Efficiency Difference]]*0.2146 -3 &gt; Table3[[#This Row],[Scoring Margin]], 1, 0)</f>
        <v>1</v>
      </c>
      <c r="AF232" s="5">
        <f>IF(Table3[[#This Row],[Efficiency Difference]]*0.2146 -5 &gt; Table3[[#This Row],[Scoring Margin]], 1, 0)</f>
        <v>0</v>
      </c>
      <c r="AG232" s="5">
        <f>IF(Table3[[#This Row],[Efficiency Difference]]*0.2146 -10 &gt; Table3[[#This Row],[Scoring Margin]], 1, 0)</f>
        <v>0</v>
      </c>
    </row>
    <row r="233" spans="2:33">
      <c r="B233" s="5">
        <v>70.890000000000015</v>
      </c>
      <c r="C233" s="5">
        <v>23</v>
      </c>
      <c r="X233" s="5">
        <v>70.890000000000015</v>
      </c>
      <c r="Y233" s="5">
        <v>23</v>
      </c>
      <c r="Z233" s="5">
        <f>IF(Table3[[#This Row],[Efficiency Difference]]*0.2146 &gt; Table3[[#This Row],[Scoring Margin]], 1, 0)</f>
        <v>0</v>
      </c>
      <c r="AA233" s="5">
        <f>IF(Table3[[#This Row],[Efficiency Difference]]*0.2146 + 7 &gt; Table3[[#This Row],[Scoring Margin]], 1, 0)</f>
        <v>0</v>
      </c>
      <c r="AB233" s="5">
        <f>IF(Table3[[#This Row],[Efficiency Difference]]*0.2146 + 14 &gt; Table3[[#This Row],[Scoring Margin]], 1, 0)</f>
        <v>1</v>
      </c>
      <c r="AC233" s="5">
        <f>IF(Table3[[#This Row],[Efficiency Difference]]*0.2146 + 21 &gt; Table3[[#This Row],[Scoring Margin]], 1, 0)</f>
        <v>1</v>
      </c>
      <c r="AD233" s="5">
        <f>IF(Table3[[#This Row],[Efficiency Difference]]*0.2146 -7 &gt; Table3[[#This Row],[Scoring Margin]], 1, 0)</f>
        <v>0</v>
      </c>
      <c r="AE233" s="5">
        <f>IF(Table3[[#This Row],[Efficiency Difference]]*0.2146 -3 &gt; Table3[[#This Row],[Scoring Margin]], 1, 0)</f>
        <v>0</v>
      </c>
      <c r="AF233" s="5">
        <f>IF(Table3[[#This Row],[Efficiency Difference]]*0.2146 -5 &gt; Table3[[#This Row],[Scoring Margin]], 1, 0)</f>
        <v>0</v>
      </c>
      <c r="AG233" s="5">
        <f>IF(Table3[[#This Row],[Efficiency Difference]]*0.2146 -10 &gt; Table3[[#This Row],[Scoring Margin]], 1, 0)</f>
        <v>0</v>
      </c>
    </row>
    <row r="234" spans="2:33">
      <c r="B234" s="5">
        <v>42.309999999999974</v>
      </c>
      <c r="C234" s="5">
        <v>23</v>
      </c>
      <c r="X234" s="5">
        <v>42.309999999999974</v>
      </c>
      <c r="Y234" s="5">
        <v>23</v>
      </c>
      <c r="Z234" s="5">
        <f>IF(Table3[[#This Row],[Efficiency Difference]]*0.2146 &gt; Table3[[#This Row],[Scoring Margin]], 1, 0)</f>
        <v>0</v>
      </c>
      <c r="AA234" s="5">
        <f>IF(Table3[[#This Row],[Efficiency Difference]]*0.2146 + 7 &gt; Table3[[#This Row],[Scoring Margin]], 1, 0)</f>
        <v>0</v>
      </c>
      <c r="AB234" s="5">
        <f>IF(Table3[[#This Row],[Efficiency Difference]]*0.2146 + 14 &gt; Table3[[#This Row],[Scoring Margin]], 1, 0)</f>
        <v>1</v>
      </c>
      <c r="AC234" s="5">
        <f>IF(Table3[[#This Row],[Efficiency Difference]]*0.2146 + 21 &gt; Table3[[#This Row],[Scoring Margin]], 1, 0)</f>
        <v>1</v>
      </c>
      <c r="AD234" s="5">
        <f>IF(Table3[[#This Row],[Efficiency Difference]]*0.2146 -7 &gt; Table3[[#This Row],[Scoring Margin]], 1, 0)</f>
        <v>0</v>
      </c>
      <c r="AE234" s="5">
        <f>IF(Table3[[#This Row],[Efficiency Difference]]*0.2146 -3 &gt; Table3[[#This Row],[Scoring Margin]], 1, 0)</f>
        <v>0</v>
      </c>
      <c r="AF234" s="5">
        <f>IF(Table3[[#This Row],[Efficiency Difference]]*0.2146 -5 &gt; Table3[[#This Row],[Scoring Margin]], 1, 0)</f>
        <v>0</v>
      </c>
      <c r="AG234" s="5">
        <f>IF(Table3[[#This Row],[Efficiency Difference]]*0.2146 -10 &gt; Table3[[#This Row],[Scoring Margin]], 1, 0)</f>
        <v>0</v>
      </c>
    </row>
    <row r="235" spans="2:33">
      <c r="B235" s="5">
        <v>84.359999999999985</v>
      </c>
      <c r="C235" s="5">
        <v>35</v>
      </c>
      <c r="X235" s="5">
        <v>84.359999999999985</v>
      </c>
      <c r="Y235" s="5">
        <v>35</v>
      </c>
      <c r="Z235" s="5">
        <f>IF(Table3[[#This Row],[Efficiency Difference]]*0.2146 &gt; Table3[[#This Row],[Scoring Margin]], 1, 0)</f>
        <v>0</v>
      </c>
      <c r="AA235" s="5">
        <f>IF(Table3[[#This Row],[Efficiency Difference]]*0.2146 + 7 &gt; Table3[[#This Row],[Scoring Margin]], 1, 0)</f>
        <v>0</v>
      </c>
      <c r="AB235" s="5">
        <f>IF(Table3[[#This Row],[Efficiency Difference]]*0.2146 + 14 &gt; Table3[[#This Row],[Scoring Margin]], 1, 0)</f>
        <v>0</v>
      </c>
      <c r="AC235" s="5">
        <f>IF(Table3[[#This Row],[Efficiency Difference]]*0.2146 + 21 &gt; Table3[[#This Row],[Scoring Margin]], 1, 0)</f>
        <v>1</v>
      </c>
      <c r="AD235" s="5">
        <f>IF(Table3[[#This Row],[Efficiency Difference]]*0.2146 -7 &gt; Table3[[#This Row],[Scoring Margin]], 1, 0)</f>
        <v>0</v>
      </c>
      <c r="AE235" s="5">
        <f>IF(Table3[[#This Row],[Efficiency Difference]]*0.2146 -3 &gt; Table3[[#This Row],[Scoring Margin]], 1, 0)</f>
        <v>0</v>
      </c>
      <c r="AF235" s="5">
        <f>IF(Table3[[#This Row],[Efficiency Difference]]*0.2146 -5 &gt; Table3[[#This Row],[Scoring Margin]], 1, 0)</f>
        <v>0</v>
      </c>
      <c r="AG235" s="5">
        <f>IF(Table3[[#This Row],[Efficiency Difference]]*0.2146 -10 &gt; Table3[[#This Row],[Scoring Margin]], 1, 0)</f>
        <v>0</v>
      </c>
    </row>
    <row r="236" spans="2:33">
      <c r="B236" s="5">
        <v>60.850000000000023</v>
      </c>
      <c r="C236" s="5">
        <v>16</v>
      </c>
      <c r="X236" s="5">
        <v>60.850000000000023</v>
      </c>
      <c r="Y236" s="5">
        <v>16</v>
      </c>
      <c r="Z236" s="5">
        <f>IF(Table3[[#This Row],[Efficiency Difference]]*0.2146 &gt; Table3[[#This Row],[Scoring Margin]], 1, 0)</f>
        <v>0</v>
      </c>
      <c r="AA236" s="5">
        <f>IF(Table3[[#This Row],[Efficiency Difference]]*0.2146 + 7 &gt; Table3[[#This Row],[Scoring Margin]], 1, 0)</f>
        <v>1</v>
      </c>
      <c r="AB236" s="5">
        <f>IF(Table3[[#This Row],[Efficiency Difference]]*0.2146 + 14 &gt; Table3[[#This Row],[Scoring Margin]], 1, 0)</f>
        <v>1</v>
      </c>
      <c r="AC236" s="5">
        <f>IF(Table3[[#This Row],[Efficiency Difference]]*0.2146 + 21 &gt; Table3[[#This Row],[Scoring Margin]], 1, 0)</f>
        <v>1</v>
      </c>
      <c r="AD236" s="5">
        <f>IF(Table3[[#This Row],[Efficiency Difference]]*0.2146 -7 &gt; Table3[[#This Row],[Scoring Margin]], 1, 0)</f>
        <v>0</v>
      </c>
      <c r="AE236" s="5">
        <f>IF(Table3[[#This Row],[Efficiency Difference]]*0.2146 -3 &gt; Table3[[#This Row],[Scoring Margin]], 1, 0)</f>
        <v>0</v>
      </c>
      <c r="AF236" s="5">
        <f>IF(Table3[[#This Row],[Efficiency Difference]]*0.2146 -5 &gt; Table3[[#This Row],[Scoring Margin]], 1, 0)</f>
        <v>0</v>
      </c>
      <c r="AG236" s="5">
        <f>IF(Table3[[#This Row],[Efficiency Difference]]*0.2146 -10 &gt; Table3[[#This Row],[Scoring Margin]], 1, 0)</f>
        <v>0</v>
      </c>
    </row>
    <row r="237" spans="2:33">
      <c r="B237" s="5">
        <v>44.840000000000032</v>
      </c>
      <c r="C237" s="5">
        <v>3</v>
      </c>
      <c r="X237" s="5">
        <v>44.840000000000032</v>
      </c>
      <c r="Y237" s="5">
        <v>3</v>
      </c>
      <c r="Z237" s="5">
        <f>IF(Table3[[#This Row],[Efficiency Difference]]*0.2146 &gt; Table3[[#This Row],[Scoring Margin]], 1, 0)</f>
        <v>1</v>
      </c>
      <c r="AA237" s="5">
        <f>IF(Table3[[#This Row],[Efficiency Difference]]*0.2146 + 7 &gt; Table3[[#This Row],[Scoring Margin]], 1, 0)</f>
        <v>1</v>
      </c>
      <c r="AB237" s="5">
        <f>IF(Table3[[#This Row],[Efficiency Difference]]*0.2146 + 14 &gt; Table3[[#This Row],[Scoring Margin]], 1, 0)</f>
        <v>1</v>
      </c>
      <c r="AC237" s="5">
        <f>IF(Table3[[#This Row],[Efficiency Difference]]*0.2146 + 21 &gt; Table3[[#This Row],[Scoring Margin]], 1, 0)</f>
        <v>1</v>
      </c>
      <c r="AD237" s="5">
        <f>IF(Table3[[#This Row],[Efficiency Difference]]*0.2146 -7 &gt; Table3[[#This Row],[Scoring Margin]], 1, 0)</f>
        <v>0</v>
      </c>
      <c r="AE237" s="5">
        <f>IF(Table3[[#This Row],[Efficiency Difference]]*0.2146 -3 &gt; Table3[[#This Row],[Scoring Margin]], 1, 0)</f>
        <v>1</v>
      </c>
      <c r="AF237" s="5">
        <f>IF(Table3[[#This Row],[Efficiency Difference]]*0.2146 -5 &gt; Table3[[#This Row],[Scoring Margin]], 1, 0)</f>
        <v>1</v>
      </c>
      <c r="AG237" s="5">
        <f>IF(Table3[[#This Row],[Efficiency Difference]]*0.2146 -10 &gt; Table3[[#This Row],[Scoring Margin]], 1, 0)</f>
        <v>0</v>
      </c>
    </row>
    <row r="238" spans="2:33">
      <c r="B238" s="5">
        <v>4.1599999999999682</v>
      </c>
      <c r="C238" s="5">
        <v>11</v>
      </c>
      <c r="X238" s="5">
        <v>4.1599999999999682</v>
      </c>
      <c r="Y238" s="5">
        <v>11</v>
      </c>
      <c r="Z238" s="5">
        <f>IF(Table3[[#This Row],[Efficiency Difference]]*0.2146 &gt; Table3[[#This Row],[Scoring Margin]], 1, 0)</f>
        <v>0</v>
      </c>
      <c r="AA238" s="5">
        <f>IF(Table3[[#This Row],[Efficiency Difference]]*0.2146 + 7 &gt; Table3[[#This Row],[Scoring Margin]], 1, 0)</f>
        <v>0</v>
      </c>
      <c r="AB238" s="5">
        <f>IF(Table3[[#This Row],[Efficiency Difference]]*0.2146 + 14 &gt; Table3[[#This Row],[Scoring Margin]], 1, 0)</f>
        <v>1</v>
      </c>
      <c r="AC238" s="5">
        <f>IF(Table3[[#This Row],[Efficiency Difference]]*0.2146 + 21 &gt; Table3[[#This Row],[Scoring Margin]], 1, 0)</f>
        <v>1</v>
      </c>
      <c r="AD238" s="5">
        <f>IF(Table3[[#This Row],[Efficiency Difference]]*0.2146 -7 &gt; Table3[[#This Row],[Scoring Margin]], 1, 0)</f>
        <v>0</v>
      </c>
      <c r="AE238" s="5">
        <f>IF(Table3[[#This Row],[Efficiency Difference]]*0.2146 -3 &gt; Table3[[#This Row],[Scoring Margin]], 1, 0)</f>
        <v>0</v>
      </c>
      <c r="AF238" s="5">
        <f>IF(Table3[[#This Row],[Efficiency Difference]]*0.2146 -5 &gt; Table3[[#This Row],[Scoring Margin]], 1, 0)</f>
        <v>0</v>
      </c>
      <c r="AG238" s="5">
        <f>IF(Table3[[#This Row],[Efficiency Difference]]*0.2146 -10 &gt; Table3[[#This Row],[Scoring Margin]], 1, 0)</f>
        <v>0</v>
      </c>
    </row>
    <row r="239" spans="2:33">
      <c r="B239" s="5">
        <v>77.789999999999964</v>
      </c>
      <c r="C239" s="5">
        <v>42</v>
      </c>
      <c r="X239" s="5">
        <v>77.789999999999964</v>
      </c>
      <c r="Y239" s="5">
        <v>42</v>
      </c>
      <c r="Z239" s="5">
        <f>IF(Table3[[#This Row],[Efficiency Difference]]*0.2146 &gt; Table3[[#This Row],[Scoring Margin]], 1, 0)</f>
        <v>0</v>
      </c>
      <c r="AA239" s="5">
        <f>IF(Table3[[#This Row],[Efficiency Difference]]*0.2146 + 7 &gt; Table3[[#This Row],[Scoring Margin]], 1, 0)</f>
        <v>0</v>
      </c>
      <c r="AB239" s="5">
        <f>IF(Table3[[#This Row],[Efficiency Difference]]*0.2146 + 14 &gt; Table3[[#This Row],[Scoring Margin]], 1, 0)</f>
        <v>0</v>
      </c>
      <c r="AC239" s="5">
        <f>IF(Table3[[#This Row],[Efficiency Difference]]*0.2146 + 21 &gt; Table3[[#This Row],[Scoring Margin]], 1, 0)</f>
        <v>0</v>
      </c>
      <c r="AD239" s="5">
        <f>IF(Table3[[#This Row],[Efficiency Difference]]*0.2146 -7 &gt; Table3[[#This Row],[Scoring Margin]], 1, 0)</f>
        <v>0</v>
      </c>
      <c r="AE239" s="5">
        <f>IF(Table3[[#This Row],[Efficiency Difference]]*0.2146 -3 &gt; Table3[[#This Row],[Scoring Margin]], 1, 0)</f>
        <v>0</v>
      </c>
      <c r="AF239" s="5">
        <f>IF(Table3[[#This Row],[Efficiency Difference]]*0.2146 -5 &gt; Table3[[#This Row],[Scoring Margin]], 1, 0)</f>
        <v>0</v>
      </c>
      <c r="AG239" s="5">
        <f>IF(Table3[[#This Row],[Efficiency Difference]]*0.2146 -10 &gt; Table3[[#This Row],[Scoring Margin]], 1, 0)</f>
        <v>0</v>
      </c>
    </row>
    <row r="240" spans="2:33">
      <c r="B240" s="5">
        <v>69.169999999999959</v>
      </c>
      <c r="C240" s="5">
        <v>30</v>
      </c>
      <c r="X240" s="5">
        <v>69.169999999999959</v>
      </c>
      <c r="Y240" s="5">
        <v>30</v>
      </c>
      <c r="Z240" s="5">
        <f>IF(Table3[[#This Row],[Efficiency Difference]]*0.2146 &gt; Table3[[#This Row],[Scoring Margin]], 1, 0)</f>
        <v>0</v>
      </c>
      <c r="AA240" s="5">
        <f>IF(Table3[[#This Row],[Efficiency Difference]]*0.2146 + 7 &gt; Table3[[#This Row],[Scoring Margin]], 1, 0)</f>
        <v>0</v>
      </c>
      <c r="AB240" s="5">
        <f>IF(Table3[[#This Row],[Efficiency Difference]]*0.2146 + 14 &gt; Table3[[#This Row],[Scoring Margin]], 1, 0)</f>
        <v>0</v>
      </c>
      <c r="AC240" s="5">
        <f>IF(Table3[[#This Row],[Efficiency Difference]]*0.2146 + 21 &gt; Table3[[#This Row],[Scoring Margin]], 1, 0)</f>
        <v>1</v>
      </c>
      <c r="AD240" s="5">
        <f>IF(Table3[[#This Row],[Efficiency Difference]]*0.2146 -7 &gt; Table3[[#This Row],[Scoring Margin]], 1, 0)</f>
        <v>0</v>
      </c>
      <c r="AE240" s="5">
        <f>IF(Table3[[#This Row],[Efficiency Difference]]*0.2146 -3 &gt; Table3[[#This Row],[Scoring Margin]], 1, 0)</f>
        <v>0</v>
      </c>
      <c r="AF240" s="5">
        <f>IF(Table3[[#This Row],[Efficiency Difference]]*0.2146 -5 &gt; Table3[[#This Row],[Scoring Margin]], 1, 0)</f>
        <v>0</v>
      </c>
      <c r="AG240" s="5">
        <f>IF(Table3[[#This Row],[Efficiency Difference]]*0.2146 -10 &gt; Table3[[#This Row],[Scoring Margin]], 1, 0)</f>
        <v>0</v>
      </c>
    </row>
    <row r="241" spans="2:33">
      <c r="B241" s="5">
        <v>147.55000000000001</v>
      </c>
      <c r="C241" s="5">
        <v>38</v>
      </c>
      <c r="X241" s="5">
        <v>147.55000000000001</v>
      </c>
      <c r="Y241" s="5">
        <v>38</v>
      </c>
      <c r="Z241" s="5">
        <f>IF(Table3[[#This Row],[Efficiency Difference]]*0.2146 &gt; Table3[[#This Row],[Scoring Margin]], 1, 0)</f>
        <v>0</v>
      </c>
      <c r="AA241" s="5">
        <f>IF(Table3[[#This Row],[Efficiency Difference]]*0.2146 + 7 &gt; Table3[[#This Row],[Scoring Margin]], 1, 0)</f>
        <v>1</v>
      </c>
      <c r="AB241" s="5">
        <f>IF(Table3[[#This Row],[Efficiency Difference]]*0.2146 + 14 &gt; Table3[[#This Row],[Scoring Margin]], 1, 0)</f>
        <v>1</v>
      </c>
      <c r="AC241" s="5">
        <f>IF(Table3[[#This Row],[Efficiency Difference]]*0.2146 + 21 &gt; Table3[[#This Row],[Scoring Margin]], 1, 0)</f>
        <v>1</v>
      </c>
      <c r="AD241" s="5">
        <f>IF(Table3[[#This Row],[Efficiency Difference]]*0.2146 -7 &gt; Table3[[#This Row],[Scoring Margin]], 1, 0)</f>
        <v>0</v>
      </c>
      <c r="AE241" s="5">
        <f>IF(Table3[[#This Row],[Efficiency Difference]]*0.2146 -3 &gt; Table3[[#This Row],[Scoring Margin]], 1, 0)</f>
        <v>0</v>
      </c>
      <c r="AF241" s="5">
        <f>IF(Table3[[#This Row],[Efficiency Difference]]*0.2146 -5 &gt; Table3[[#This Row],[Scoring Margin]], 1, 0)</f>
        <v>0</v>
      </c>
      <c r="AG241" s="5">
        <f>IF(Table3[[#This Row],[Efficiency Difference]]*0.2146 -10 &gt; Table3[[#This Row],[Scoring Margin]], 1, 0)</f>
        <v>0</v>
      </c>
    </row>
    <row r="242" spans="2:33">
      <c r="B242" s="5">
        <v>97.899999999999977</v>
      </c>
      <c r="C242" s="5">
        <v>37</v>
      </c>
      <c r="X242" s="5">
        <v>97.899999999999977</v>
      </c>
      <c r="Y242" s="5">
        <v>37</v>
      </c>
      <c r="Z242" s="5">
        <f>IF(Table3[[#This Row],[Efficiency Difference]]*0.2146 &gt; Table3[[#This Row],[Scoring Margin]], 1, 0)</f>
        <v>0</v>
      </c>
      <c r="AA242" s="5">
        <f>IF(Table3[[#This Row],[Efficiency Difference]]*0.2146 + 7 &gt; Table3[[#This Row],[Scoring Margin]], 1, 0)</f>
        <v>0</v>
      </c>
      <c r="AB242" s="5">
        <f>IF(Table3[[#This Row],[Efficiency Difference]]*0.2146 + 14 &gt; Table3[[#This Row],[Scoring Margin]], 1, 0)</f>
        <v>0</v>
      </c>
      <c r="AC242" s="5">
        <f>IF(Table3[[#This Row],[Efficiency Difference]]*0.2146 + 21 &gt; Table3[[#This Row],[Scoring Margin]], 1, 0)</f>
        <v>1</v>
      </c>
      <c r="AD242" s="5">
        <f>IF(Table3[[#This Row],[Efficiency Difference]]*0.2146 -7 &gt; Table3[[#This Row],[Scoring Margin]], 1, 0)</f>
        <v>0</v>
      </c>
      <c r="AE242" s="5">
        <f>IF(Table3[[#This Row],[Efficiency Difference]]*0.2146 -3 &gt; Table3[[#This Row],[Scoring Margin]], 1, 0)</f>
        <v>0</v>
      </c>
      <c r="AF242" s="5">
        <f>IF(Table3[[#This Row],[Efficiency Difference]]*0.2146 -5 &gt; Table3[[#This Row],[Scoring Margin]], 1, 0)</f>
        <v>0</v>
      </c>
      <c r="AG242" s="5">
        <f>IF(Table3[[#This Row],[Efficiency Difference]]*0.2146 -10 &gt; Table3[[#This Row],[Scoring Margin]], 1, 0)</f>
        <v>0</v>
      </c>
    </row>
    <row r="243" spans="2:33">
      <c r="B243" s="5">
        <v>29.599999999999966</v>
      </c>
      <c r="C243" s="5">
        <v>4</v>
      </c>
      <c r="X243" s="5">
        <v>29.599999999999966</v>
      </c>
      <c r="Y243" s="5">
        <v>4</v>
      </c>
      <c r="Z243" s="5">
        <f>IF(Table3[[#This Row],[Efficiency Difference]]*0.2146 &gt; Table3[[#This Row],[Scoring Margin]], 1, 0)</f>
        <v>1</v>
      </c>
      <c r="AA243" s="5">
        <f>IF(Table3[[#This Row],[Efficiency Difference]]*0.2146 + 7 &gt; Table3[[#This Row],[Scoring Margin]], 1, 0)</f>
        <v>1</v>
      </c>
      <c r="AB243" s="5">
        <f>IF(Table3[[#This Row],[Efficiency Difference]]*0.2146 + 14 &gt; Table3[[#This Row],[Scoring Margin]], 1, 0)</f>
        <v>1</v>
      </c>
      <c r="AC243" s="5">
        <f>IF(Table3[[#This Row],[Efficiency Difference]]*0.2146 + 21 &gt; Table3[[#This Row],[Scoring Margin]], 1, 0)</f>
        <v>1</v>
      </c>
      <c r="AD243" s="5">
        <f>IF(Table3[[#This Row],[Efficiency Difference]]*0.2146 -7 &gt; Table3[[#This Row],[Scoring Margin]], 1, 0)</f>
        <v>0</v>
      </c>
      <c r="AE243" s="5">
        <f>IF(Table3[[#This Row],[Efficiency Difference]]*0.2146 -3 &gt; Table3[[#This Row],[Scoring Margin]], 1, 0)</f>
        <v>0</v>
      </c>
      <c r="AF243" s="5">
        <f>IF(Table3[[#This Row],[Efficiency Difference]]*0.2146 -5 &gt; Table3[[#This Row],[Scoring Margin]], 1, 0)</f>
        <v>0</v>
      </c>
      <c r="AG243" s="5">
        <f>IF(Table3[[#This Row],[Efficiency Difference]]*0.2146 -10 &gt; Table3[[#This Row],[Scoring Margin]], 1, 0)</f>
        <v>0</v>
      </c>
    </row>
    <row r="244" spans="2:33">
      <c r="B244" s="5">
        <v>12.800000000000011</v>
      </c>
      <c r="C244" s="5">
        <v>1</v>
      </c>
      <c r="X244" s="5">
        <v>12.800000000000011</v>
      </c>
      <c r="Y244" s="5">
        <v>1</v>
      </c>
      <c r="Z244" s="5">
        <f>IF(Table3[[#This Row],[Efficiency Difference]]*0.2146 &gt; Table3[[#This Row],[Scoring Margin]], 1, 0)</f>
        <v>1</v>
      </c>
      <c r="AA244" s="5">
        <f>IF(Table3[[#This Row],[Efficiency Difference]]*0.2146 + 7 &gt; Table3[[#This Row],[Scoring Margin]], 1, 0)</f>
        <v>1</v>
      </c>
      <c r="AB244" s="5">
        <f>IF(Table3[[#This Row],[Efficiency Difference]]*0.2146 + 14 &gt; Table3[[#This Row],[Scoring Margin]], 1, 0)</f>
        <v>1</v>
      </c>
      <c r="AC244" s="5">
        <f>IF(Table3[[#This Row],[Efficiency Difference]]*0.2146 + 21 &gt; Table3[[#This Row],[Scoring Margin]], 1, 0)</f>
        <v>1</v>
      </c>
      <c r="AD244" s="5">
        <f>IF(Table3[[#This Row],[Efficiency Difference]]*0.2146 -7 &gt; Table3[[#This Row],[Scoring Margin]], 1, 0)</f>
        <v>0</v>
      </c>
      <c r="AE244" s="5">
        <f>IF(Table3[[#This Row],[Efficiency Difference]]*0.2146 -3 &gt; Table3[[#This Row],[Scoring Margin]], 1, 0)</f>
        <v>0</v>
      </c>
      <c r="AF244" s="5">
        <f>IF(Table3[[#This Row],[Efficiency Difference]]*0.2146 -5 &gt; Table3[[#This Row],[Scoring Margin]], 1, 0)</f>
        <v>0</v>
      </c>
      <c r="AG244" s="5">
        <f>IF(Table3[[#This Row],[Efficiency Difference]]*0.2146 -10 &gt; Table3[[#This Row],[Scoring Margin]], 1, 0)</f>
        <v>0</v>
      </c>
    </row>
    <row r="245" spans="2:33">
      <c r="B245" s="5">
        <v>1.3000000000000114</v>
      </c>
      <c r="C245" s="5">
        <v>7</v>
      </c>
      <c r="X245" s="5">
        <v>1.3000000000000114</v>
      </c>
      <c r="Y245" s="5">
        <v>7</v>
      </c>
      <c r="Z245" s="5">
        <f>IF(Table3[[#This Row],[Efficiency Difference]]*0.2146 &gt; Table3[[#This Row],[Scoring Margin]], 1, 0)</f>
        <v>0</v>
      </c>
      <c r="AA245" s="5">
        <f>IF(Table3[[#This Row],[Efficiency Difference]]*0.2146 + 7 &gt; Table3[[#This Row],[Scoring Margin]], 1, 0)</f>
        <v>1</v>
      </c>
      <c r="AB245" s="5">
        <f>IF(Table3[[#This Row],[Efficiency Difference]]*0.2146 + 14 &gt; Table3[[#This Row],[Scoring Margin]], 1, 0)</f>
        <v>1</v>
      </c>
      <c r="AC245" s="5">
        <f>IF(Table3[[#This Row],[Efficiency Difference]]*0.2146 + 21 &gt; Table3[[#This Row],[Scoring Margin]], 1, 0)</f>
        <v>1</v>
      </c>
      <c r="AD245" s="5">
        <f>IF(Table3[[#This Row],[Efficiency Difference]]*0.2146 -7 &gt; Table3[[#This Row],[Scoring Margin]], 1, 0)</f>
        <v>0</v>
      </c>
      <c r="AE245" s="5">
        <f>IF(Table3[[#This Row],[Efficiency Difference]]*0.2146 -3 &gt; Table3[[#This Row],[Scoring Margin]], 1, 0)</f>
        <v>0</v>
      </c>
      <c r="AF245" s="5">
        <f>IF(Table3[[#This Row],[Efficiency Difference]]*0.2146 -5 &gt; Table3[[#This Row],[Scoring Margin]], 1, 0)</f>
        <v>0</v>
      </c>
      <c r="AG245" s="5">
        <f>IF(Table3[[#This Row],[Efficiency Difference]]*0.2146 -10 &gt; Table3[[#This Row],[Scoring Margin]], 1, 0)</f>
        <v>0</v>
      </c>
    </row>
    <row r="246" spans="2:33">
      <c r="B246" s="5">
        <v>39.610000000000014</v>
      </c>
      <c r="C246" s="5">
        <v>7</v>
      </c>
      <c r="X246" s="5">
        <v>39.610000000000014</v>
      </c>
      <c r="Y246" s="5">
        <v>7</v>
      </c>
      <c r="Z246" s="5">
        <f>IF(Table3[[#This Row],[Efficiency Difference]]*0.2146 &gt; Table3[[#This Row],[Scoring Margin]], 1, 0)</f>
        <v>1</v>
      </c>
      <c r="AA246" s="5">
        <f>IF(Table3[[#This Row],[Efficiency Difference]]*0.2146 + 7 &gt; Table3[[#This Row],[Scoring Margin]], 1, 0)</f>
        <v>1</v>
      </c>
      <c r="AB246" s="5">
        <f>IF(Table3[[#This Row],[Efficiency Difference]]*0.2146 + 14 &gt; Table3[[#This Row],[Scoring Margin]], 1, 0)</f>
        <v>1</v>
      </c>
      <c r="AC246" s="5">
        <f>IF(Table3[[#This Row],[Efficiency Difference]]*0.2146 + 21 &gt; Table3[[#This Row],[Scoring Margin]], 1, 0)</f>
        <v>1</v>
      </c>
      <c r="AD246" s="5">
        <f>IF(Table3[[#This Row],[Efficiency Difference]]*0.2146 -7 &gt; Table3[[#This Row],[Scoring Margin]], 1, 0)</f>
        <v>0</v>
      </c>
      <c r="AE246" s="5">
        <f>IF(Table3[[#This Row],[Efficiency Difference]]*0.2146 -3 &gt; Table3[[#This Row],[Scoring Margin]], 1, 0)</f>
        <v>0</v>
      </c>
      <c r="AF246" s="5">
        <f>IF(Table3[[#This Row],[Efficiency Difference]]*0.2146 -5 &gt; Table3[[#This Row],[Scoring Margin]], 1, 0)</f>
        <v>0</v>
      </c>
      <c r="AG246" s="5">
        <f>IF(Table3[[#This Row],[Efficiency Difference]]*0.2146 -10 &gt; Table3[[#This Row],[Scoring Margin]], 1, 0)</f>
        <v>0</v>
      </c>
    </row>
    <row r="247" spans="2:33">
      <c r="B247" s="5">
        <v>147.55000000000001</v>
      </c>
      <c r="C247" s="5">
        <v>38</v>
      </c>
      <c r="X247" s="5">
        <v>147.55000000000001</v>
      </c>
      <c r="Y247" s="5">
        <v>38</v>
      </c>
      <c r="Z247" s="5">
        <f>IF(Table3[[#This Row],[Efficiency Difference]]*0.2146 &gt; Table3[[#This Row],[Scoring Margin]], 1, 0)</f>
        <v>0</v>
      </c>
      <c r="AA247" s="5">
        <f>IF(Table3[[#This Row],[Efficiency Difference]]*0.2146 + 7 &gt; Table3[[#This Row],[Scoring Margin]], 1, 0)</f>
        <v>1</v>
      </c>
      <c r="AB247" s="5">
        <f>IF(Table3[[#This Row],[Efficiency Difference]]*0.2146 + 14 &gt; Table3[[#This Row],[Scoring Margin]], 1, 0)</f>
        <v>1</v>
      </c>
      <c r="AC247" s="5">
        <f>IF(Table3[[#This Row],[Efficiency Difference]]*0.2146 + 21 &gt; Table3[[#This Row],[Scoring Margin]], 1, 0)</f>
        <v>1</v>
      </c>
      <c r="AD247" s="5">
        <f>IF(Table3[[#This Row],[Efficiency Difference]]*0.2146 -7 &gt; Table3[[#This Row],[Scoring Margin]], 1, 0)</f>
        <v>0</v>
      </c>
      <c r="AE247" s="5">
        <f>IF(Table3[[#This Row],[Efficiency Difference]]*0.2146 -3 &gt; Table3[[#This Row],[Scoring Margin]], 1, 0)</f>
        <v>0</v>
      </c>
      <c r="AF247" s="5">
        <f>IF(Table3[[#This Row],[Efficiency Difference]]*0.2146 -5 &gt; Table3[[#This Row],[Scoring Margin]], 1, 0)</f>
        <v>0</v>
      </c>
      <c r="AG247" s="5">
        <f>IF(Table3[[#This Row],[Efficiency Difference]]*0.2146 -10 &gt; Table3[[#This Row],[Scoring Margin]], 1, 0)</f>
        <v>0</v>
      </c>
    </row>
    <row r="248" spans="2:33">
      <c r="B248" s="5">
        <v>164.82</v>
      </c>
      <c r="C248" s="5">
        <v>41</v>
      </c>
      <c r="X248" s="5">
        <v>164.82</v>
      </c>
      <c r="Y248" s="5">
        <v>41</v>
      </c>
      <c r="Z248" s="5">
        <f>IF(Table3[[#This Row],[Efficiency Difference]]*0.2146 &gt; Table3[[#This Row],[Scoring Margin]], 1, 0)</f>
        <v>0</v>
      </c>
      <c r="AA248" s="5">
        <f>IF(Table3[[#This Row],[Efficiency Difference]]*0.2146 + 7 &gt; Table3[[#This Row],[Scoring Margin]], 1, 0)</f>
        <v>1</v>
      </c>
      <c r="AB248" s="5">
        <f>IF(Table3[[#This Row],[Efficiency Difference]]*0.2146 + 14 &gt; Table3[[#This Row],[Scoring Margin]], 1, 0)</f>
        <v>1</v>
      </c>
      <c r="AC248" s="5">
        <f>IF(Table3[[#This Row],[Efficiency Difference]]*0.2146 + 21 &gt; Table3[[#This Row],[Scoring Margin]], 1, 0)</f>
        <v>1</v>
      </c>
      <c r="AD248" s="5">
        <f>IF(Table3[[#This Row],[Efficiency Difference]]*0.2146 -7 &gt; Table3[[#This Row],[Scoring Margin]], 1, 0)</f>
        <v>0</v>
      </c>
      <c r="AE248" s="5">
        <f>IF(Table3[[#This Row],[Efficiency Difference]]*0.2146 -3 &gt; Table3[[#This Row],[Scoring Margin]], 1, 0)</f>
        <v>0</v>
      </c>
      <c r="AF248" s="5">
        <f>IF(Table3[[#This Row],[Efficiency Difference]]*0.2146 -5 &gt; Table3[[#This Row],[Scoring Margin]], 1, 0)</f>
        <v>0</v>
      </c>
      <c r="AG248" s="5">
        <f>IF(Table3[[#This Row],[Efficiency Difference]]*0.2146 -10 &gt; Table3[[#This Row],[Scoring Margin]], 1, 0)</f>
        <v>0</v>
      </c>
    </row>
    <row r="249" spans="2:33">
      <c r="B249" s="5">
        <v>3.5599999999999739</v>
      </c>
      <c r="C249" s="5">
        <v>8</v>
      </c>
      <c r="X249" s="5">
        <v>3.5599999999999739</v>
      </c>
      <c r="Y249" s="5">
        <v>8</v>
      </c>
      <c r="Z249" s="5">
        <f>IF(Table3[[#This Row],[Efficiency Difference]]*0.2146 &gt; Table3[[#This Row],[Scoring Margin]], 1, 0)</f>
        <v>0</v>
      </c>
      <c r="AA249" s="5">
        <f>IF(Table3[[#This Row],[Efficiency Difference]]*0.2146 + 7 &gt; Table3[[#This Row],[Scoring Margin]], 1, 0)</f>
        <v>0</v>
      </c>
      <c r="AB249" s="5">
        <f>IF(Table3[[#This Row],[Efficiency Difference]]*0.2146 + 14 &gt; Table3[[#This Row],[Scoring Margin]], 1, 0)</f>
        <v>1</v>
      </c>
      <c r="AC249" s="5">
        <f>IF(Table3[[#This Row],[Efficiency Difference]]*0.2146 + 21 &gt; Table3[[#This Row],[Scoring Margin]], 1, 0)</f>
        <v>1</v>
      </c>
      <c r="AD249" s="5">
        <f>IF(Table3[[#This Row],[Efficiency Difference]]*0.2146 -7 &gt; Table3[[#This Row],[Scoring Margin]], 1, 0)</f>
        <v>0</v>
      </c>
      <c r="AE249" s="5">
        <f>IF(Table3[[#This Row],[Efficiency Difference]]*0.2146 -3 &gt; Table3[[#This Row],[Scoring Margin]], 1, 0)</f>
        <v>0</v>
      </c>
      <c r="AF249" s="5">
        <f>IF(Table3[[#This Row],[Efficiency Difference]]*0.2146 -5 &gt; Table3[[#This Row],[Scoring Margin]], 1, 0)</f>
        <v>0</v>
      </c>
      <c r="AG249" s="5">
        <f>IF(Table3[[#This Row],[Efficiency Difference]]*0.2146 -10 &gt; Table3[[#This Row],[Scoring Margin]], 1, 0)</f>
        <v>0</v>
      </c>
    </row>
    <row r="250" spans="2:33">
      <c r="B250" s="5">
        <v>97.9</v>
      </c>
      <c r="C250" s="5">
        <v>37</v>
      </c>
      <c r="X250" s="5">
        <v>97.9</v>
      </c>
      <c r="Y250" s="5">
        <v>37</v>
      </c>
      <c r="Z250" s="5">
        <f>IF(Table3[[#This Row],[Efficiency Difference]]*0.2146 &gt; Table3[[#This Row],[Scoring Margin]], 1, 0)</f>
        <v>0</v>
      </c>
      <c r="AA250" s="5">
        <f>IF(Table3[[#This Row],[Efficiency Difference]]*0.2146 + 7 &gt; Table3[[#This Row],[Scoring Margin]], 1, 0)</f>
        <v>0</v>
      </c>
      <c r="AB250" s="5">
        <f>IF(Table3[[#This Row],[Efficiency Difference]]*0.2146 + 14 &gt; Table3[[#This Row],[Scoring Margin]], 1, 0)</f>
        <v>0</v>
      </c>
      <c r="AC250" s="5">
        <f>IF(Table3[[#This Row],[Efficiency Difference]]*0.2146 + 21 &gt; Table3[[#This Row],[Scoring Margin]], 1, 0)</f>
        <v>1</v>
      </c>
      <c r="AD250" s="5">
        <f>IF(Table3[[#This Row],[Efficiency Difference]]*0.2146 -7 &gt; Table3[[#This Row],[Scoring Margin]], 1, 0)</f>
        <v>0</v>
      </c>
      <c r="AE250" s="5">
        <f>IF(Table3[[#This Row],[Efficiency Difference]]*0.2146 -3 &gt; Table3[[#This Row],[Scoring Margin]], 1, 0)</f>
        <v>0</v>
      </c>
      <c r="AF250" s="5">
        <f>IF(Table3[[#This Row],[Efficiency Difference]]*0.2146 -5 &gt; Table3[[#This Row],[Scoring Margin]], 1, 0)</f>
        <v>0</v>
      </c>
      <c r="AG250" s="5">
        <f>IF(Table3[[#This Row],[Efficiency Difference]]*0.2146 -10 &gt; Table3[[#This Row],[Scoring Margin]], 1, 0)</f>
        <v>0</v>
      </c>
    </row>
    <row r="251" spans="2:33">
      <c r="B251" s="5">
        <v>80.47</v>
      </c>
      <c r="C251" s="5">
        <v>7</v>
      </c>
      <c r="X251" s="5">
        <v>80.47</v>
      </c>
      <c r="Y251" s="5">
        <v>7</v>
      </c>
      <c r="Z251" s="5">
        <f>IF(Table3[[#This Row],[Efficiency Difference]]*0.2146 &gt; Table3[[#This Row],[Scoring Margin]], 1, 0)</f>
        <v>1</v>
      </c>
      <c r="AA251" s="5">
        <f>IF(Table3[[#This Row],[Efficiency Difference]]*0.2146 + 7 &gt; Table3[[#This Row],[Scoring Margin]], 1, 0)</f>
        <v>1</v>
      </c>
      <c r="AB251" s="5">
        <f>IF(Table3[[#This Row],[Efficiency Difference]]*0.2146 + 14 &gt; Table3[[#This Row],[Scoring Margin]], 1, 0)</f>
        <v>1</v>
      </c>
      <c r="AC251" s="5">
        <f>IF(Table3[[#This Row],[Efficiency Difference]]*0.2146 + 21 &gt; Table3[[#This Row],[Scoring Margin]], 1, 0)</f>
        <v>1</v>
      </c>
      <c r="AD251" s="5">
        <f>IF(Table3[[#This Row],[Efficiency Difference]]*0.2146 -7 &gt; Table3[[#This Row],[Scoring Margin]], 1, 0)</f>
        <v>1</v>
      </c>
      <c r="AE251" s="5">
        <f>IF(Table3[[#This Row],[Efficiency Difference]]*0.2146 -3 &gt; Table3[[#This Row],[Scoring Margin]], 1, 0)</f>
        <v>1</v>
      </c>
      <c r="AF251" s="5">
        <f>IF(Table3[[#This Row],[Efficiency Difference]]*0.2146 -5 &gt; Table3[[#This Row],[Scoring Margin]], 1, 0)</f>
        <v>1</v>
      </c>
      <c r="AG251" s="5">
        <f>IF(Table3[[#This Row],[Efficiency Difference]]*0.2146 -10 &gt; Table3[[#This Row],[Scoring Margin]], 1, 0)</f>
        <v>1</v>
      </c>
    </row>
    <row r="252" spans="2:33">
      <c r="B252" s="5">
        <v>212.75</v>
      </c>
      <c r="C252" s="5">
        <v>30</v>
      </c>
      <c r="X252" s="5">
        <v>212.75</v>
      </c>
      <c r="Y252" s="5">
        <v>30</v>
      </c>
      <c r="Z252" s="5">
        <f>IF(Table3[[#This Row],[Efficiency Difference]]*0.2146 &gt; Table3[[#This Row],[Scoring Margin]], 1, 0)</f>
        <v>1</v>
      </c>
      <c r="AA252" s="5">
        <f>IF(Table3[[#This Row],[Efficiency Difference]]*0.2146 + 7 &gt; Table3[[#This Row],[Scoring Margin]], 1, 0)</f>
        <v>1</v>
      </c>
      <c r="AB252" s="5">
        <f>IF(Table3[[#This Row],[Efficiency Difference]]*0.2146 + 14 &gt; Table3[[#This Row],[Scoring Margin]], 1, 0)</f>
        <v>1</v>
      </c>
      <c r="AC252" s="5">
        <f>IF(Table3[[#This Row],[Efficiency Difference]]*0.2146 + 21 &gt; Table3[[#This Row],[Scoring Margin]], 1, 0)</f>
        <v>1</v>
      </c>
      <c r="AD252" s="5">
        <f>IF(Table3[[#This Row],[Efficiency Difference]]*0.2146 -7 &gt; Table3[[#This Row],[Scoring Margin]], 1, 0)</f>
        <v>1</v>
      </c>
      <c r="AE252" s="5">
        <f>IF(Table3[[#This Row],[Efficiency Difference]]*0.2146 -3 &gt; Table3[[#This Row],[Scoring Margin]], 1, 0)</f>
        <v>1</v>
      </c>
      <c r="AF252" s="5">
        <f>IF(Table3[[#This Row],[Efficiency Difference]]*0.2146 -5 &gt; Table3[[#This Row],[Scoring Margin]], 1, 0)</f>
        <v>1</v>
      </c>
      <c r="AG252" s="5">
        <f>IF(Table3[[#This Row],[Efficiency Difference]]*0.2146 -10 &gt; Table3[[#This Row],[Scoring Margin]], 1, 0)</f>
        <v>1</v>
      </c>
    </row>
    <row r="253" spans="2:33">
      <c r="B253" s="5">
        <v>30.710000000000022</v>
      </c>
      <c r="C253" s="5">
        <v>6</v>
      </c>
      <c r="X253" s="5">
        <v>30.710000000000022</v>
      </c>
      <c r="Y253" s="5">
        <v>6</v>
      </c>
      <c r="Z253" s="5">
        <f>IF(Table3[[#This Row],[Efficiency Difference]]*0.2146 &gt; Table3[[#This Row],[Scoring Margin]], 1, 0)</f>
        <v>1</v>
      </c>
      <c r="AA253" s="5">
        <f>IF(Table3[[#This Row],[Efficiency Difference]]*0.2146 + 7 &gt; Table3[[#This Row],[Scoring Margin]], 1, 0)</f>
        <v>1</v>
      </c>
      <c r="AB253" s="5">
        <f>IF(Table3[[#This Row],[Efficiency Difference]]*0.2146 + 14 &gt; Table3[[#This Row],[Scoring Margin]], 1, 0)</f>
        <v>1</v>
      </c>
      <c r="AC253" s="5">
        <f>IF(Table3[[#This Row],[Efficiency Difference]]*0.2146 + 21 &gt; Table3[[#This Row],[Scoring Margin]], 1, 0)</f>
        <v>1</v>
      </c>
      <c r="AD253" s="5">
        <f>IF(Table3[[#This Row],[Efficiency Difference]]*0.2146 -7 &gt; Table3[[#This Row],[Scoring Margin]], 1, 0)</f>
        <v>0</v>
      </c>
      <c r="AE253" s="5">
        <f>IF(Table3[[#This Row],[Efficiency Difference]]*0.2146 -3 &gt; Table3[[#This Row],[Scoring Margin]], 1, 0)</f>
        <v>0</v>
      </c>
      <c r="AF253" s="5">
        <f>IF(Table3[[#This Row],[Efficiency Difference]]*0.2146 -5 &gt; Table3[[#This Row],[Scoring Margin]], 1, 0)</f>
        <v>0</v>
      </c>
      <c r="AG253" s="5">
        <f>IF(Table3[[#This Row],[Efficiency Difference]]*0.2146 -10 &gt; Table3[[#This Row],[Scoring Margin]], 1, 0)</f>
        <v>0</v>
      </c>
    </row>
    <row r="254" spans="2:33">
      <c r="B254" s="5">
        <v>10.969999999999999</v>
      </c>
      <c r="C254" s="5">
        <v>11</v>
      </c>
      <c r="X254" s="5">
        <v>10.969999999999999</v>
      </c>
      <c r="Y254" s="5">
        <v>11</v>
      </c>
      <c r="Z254" s="5">
        <f>IF(Table3[[#This Row],[Efficiency Difference]]*0.2146 &gt; Table3[[#This Row],[Scoring Margin]], 1, 0)</f>
        <v>0</v>
      </c>
      <c r="AA254" s="5">
        <f>IF(Table3[[#This Row],[Efficiency Difference]]*0.2146 + 7 &gt; Table3[[#This Row],[Scoring Margin]], 1, 0)</f>
        <v>0</v>
      </c>
      <c r="AB254" s="5">
        <f>IF(Table3[[#This Row],[Efficiency Difference]]*0.2146 + 14 &gt; Table3[[#This Row],[Scoring Margin]], 1, 0)</f>
        <v>1</v>
      </c>
      <c r="AC254" s="5">
        <f>IF(Table3[[#This Row],[Efficiency Difference]]*0.2146 + 21 &gt; Table3[[#This Row],[Scoring Margin]], 1, 0)</f>
        <v>1</v>
      </c>
      <c r="AD254" s="5">
        <f>IF(Table3[[#This Row],[Efficiency Difference]]*0.2146 -7 &gt; Table3[[#This Row],[Scoring Margin]], 1, 0)</f>
        <v>0</v>
      </c>
      <c r="AE254" s="5">
        <f>IF(Table3[[#This Row],[Efficiency Difference]]*0.2146 -3 &gt; Table3[[#This Row],[Scoring Margin]], 1, 0)</f>
        <v>0</v>
      </c>
      <c r="AF254" s="5">
        <f>IF(Table3[[#This Row],[Efficiency Difference]]*0.2146 -5 &gt; Table3[[#This Row],[Scoring Margin]], 1, 0)</f>
        <v>0</v>
      </c>
      <c r="AG254" s="5">
        <f>IF(Table3[[#This Row],[Efficiency Difference]]*0.2146 -10 &gt; Table3[[#This Row],[Scoring Margin]], 1, 0)</f>
        <v>0</v>
      </c>
    </row>
    <row r="255" spans="2:33">
      <c r="B255" s="5">
        <v>77.539999999999992</v>
      </c>
      <c r="C255" s="5">
        <v>14</v>
      </c>
      <c r="X255" s="5">
        <v>77.539999999999992</v>
      </c>
      <c r="Y255" s="5">
        <v>14</v>
      </c>
      <c r="Z255" s="5">
        <f>IF(Table3[[#This Row],[Efficiency Difference]]*0.2146 &gt; Table3[[#This Row],[Scoring Margin]], 1, 0)</f>
        <v>1</v>
      </c>
      <c r="AA255" s="5">
        <f>IF(Table3[[#This Row],[Efficiency Difference]]*0.2146 + 7 &gt; Table3[[#This Row],[Scoring Margin]], 1, 0)</f>
        <v>1</v>
      </c>
      <c r="AB255" s="5">
        <f>IF(Table3[[#This Row],[Efficiency Difference]]*0.2146 + 14 &gt; Table3[[#This Row],[Scoring Margin]], 1, 0)</f>
        <v>1</v>
      </c>
      <c r="AC255" s="5">
        <f>IF(Table3[[#This Row],[Efficiency Difference]]*0.2146 + 21 &gt; Table3[[#This Row],[Scoring Margin]], 1, 0)</f>
        <v>1</v>
      </c>
      <c r="AD255" s="5">
        <f>IF(Table3[[#This Row],[Efficiency Difference]]*0.2146 -7 &gt; Table3[[#This Row],[Scoring Margin]], 1, 0)</f>
        <v>0</v>
      </c>
      <c r="AE255" s="5">
        <f>IF(Table3[[#This Row],[Efficiency Difference]]*0.2146 -3 &gt; Table3[[#This Row],[Scoring Margin]], 1, 0)</f>
        <v>0</v>
      </c>
      <c r="AF255" s="5">
        <f>IF(Table3[[#This Row],[Efficiency Difference]]*0.2146 -5 &gt; Table3[[#This Row],[Scoring Margin]], 1, 0)</f>
        <v>0</v>
      </c>
      <c r="AG255" s="5">
        <f>IF(Table3[[#This Row],[Efficiency Difference]]*0.2146 -10 &gt; Table3[[#This Row],[Scoring Margin]], 1, 0)</f>
        <v>0</v>
      </c>
    </row>
    <row r="256" spans="2:33">
      <c r="B256" s="5">
        <v>95.63000000000001</v>
      </c>
      <c r="C256" s="5">
        <v>7</v>
      </c>
      <c r="X256" s="5">
        <v>95.63000000000001</v>
      </c>
      <c r="Y256" s="5">
        <v>7</v>
      </c>
      <c r="Z256" s="5">
        <f>IF(Table3[[#This Row],[Efficiency Difference]]*0.2146 &gt; Table3[[#This Row],[Scoring Margin]], 1, 0)</f>
        <v>1</v>
      </c>
      <c r="AA256" s="5">
        <f>IF(Table3[[#This Row],[Efficiency Difference]]*0.2146 + 7 &gt; Table3[[#This Row],[Scoring Margin]], 1, 0)</f>
        <v>1</v>
      </c>
      <c r="AB256" s="5">
        <f>IF(Table3[[#This Row],[Efficiency Difference]]*0.2146 + 14 &gt; Table3[[#This Row],[Scoring Margin]], 1, 0)</f>
        <v>1</v>
      </c>
      <c r="AC256" s="5">
        <f>IF(Table3[[#This Row],[Efficiency Difference]]*0.2146 + 21 &gt; Table3[[#This Row],[Scoring Margin]], 1, 0)</f>
        <v>1</v>
      </c>
      <c r="AD256" s="5">
        <f>IF(Table3[[#This Row],[Efficiency Difference]]*0.2146 -7 &gt; Table3[[#This Row],[Scoring Margin]], 1, 0)</f>
        <v>1</v>
      </c>
      <c r="AE256" s="5">
        <f>IF(Table3[[#This Row],[Efficiency Difference]]*0.2146 -3 &gt; Table3[[#This Row],[Scoring Margin]], 1, 0)</f>
        <v>1</v>
      </c>
      <c r="AF256" s="5">
        <f>IF(Table3[[#This Row],[Efficiency Difference]]*0.2146 -5 &gt; Table3[[#This Row],[Scoring Margin]], 1, 0)</f>
        <v>1</v>
      </c>
      <c r="AG256" s="5">
        <f>IF(Table3[[#This Row],[Efficiency Difference]]*0.2146 -10 &gt; Table3[[#This Row],[Scoring Margin]], 1, 0)</f>
        <v>1</v>
      </c>
    </row>
    <row r="257" spans="2:33">
      <c r="B257" s="5">
        <v>145.29</v>
      </c>
      <c r="C257" s="5">
        <v>38</v>
      </c>
      <c r="X257" s="5">
        <v>145.29</v>
      </c>
      <c r="Y257" s="5">
        <v>38</v>
      </c>
      <c r="Z257" s="5">
        <f>IF(Table3[[#This Row],[Efficiency Difference]]*0.2146 &gt; Table3[[#This Row],[Scoring Margin]], 1, 0)</f>
        <v>0</v>
      </c>
      <c r="AA257" s="5">
        <f>IF(Table3[[#This Row],[Efficiency Difference]]*0.2146 + 7 &gt; Table3[[#This Row],[Scoring Margin]], 1, 0)</f>
        <v>1</v>
      </c>
      <c r="AB257" s="5">
        <f>IF(Table3[[#This Row],[Efficiency Difference]]*0.2146 + 14 &gt; Table3[[#This Row],[Scoring Margin]], 1, 0)</f>
        <v>1</v>
      </c>
      <c r="AC257" s="5">
        <f>IF(Table3[[#This Row],[Efficiency Difference]]*0.2146 + 21 &gt; Table3[[#This Row],[Scoring Margin]], 1, 0)</f>
        <v>1</v>
      </c>
      <c r="AD257" s="5">
        <f>IF(Table3[[#This Row],[Efficiency Difference]]*0.2146 -7 &gt; Table3[[#This Row],[Scoring Margin]], 1, 0)</f>
        <v>0</v>
      </c>
      <c r="AE257" s="5">
        <f>IF(Table3[[#This Row],[Efficiency Difference]]*0.2146 -3 &gt; Table3[[#This Row],[Scoring Margin]], 1, 0)</f>
        <v>0</v>
      </c>
      <c r="AF257" s="5">
        <f>IF(Table3[[#This Row],[Efficiency Difference]]*0.2146 -5 &gt; Table3[[#This Row],[Scoring Margin]], 1, 0)</f>
        <v>0</v>
      </c>
      <c r="AG257" s="5">
        <f>IF(Table3[[#This Row],[Efficiency Difference]]*0.2146 -10 &gt; Table3[[#This Row],[Scoring Margin]], 1, 0)</f>
        <v>0</v>
      </c>
    </row>
    <row r="258" spans="2:33">
      <c r="B258" s="5">
        <v>95.52</v>
      </c>
      <c r="C258" s="5">
        <v>28</v>
      </c>
      <c r="X258" s="5">
        <v>95.52</v>
      </c>
      <c r="Y258" s="5">
        <v>28</v>
      </c>
      <c r="Z258" s="5">
        <f>IF(Table3[[#This Row],[Efficiency Difference]]*0.2146 &gt; Table3[[#This Row],[Scoring Margin]], 1, 0)</f>
        <v>0</v>
      </c>
      <c r="AA258" s="5">
        <f>IF(Table3[[#This Row],[Efficiency Difference]]*0.2146 + 7 &gt; Table3[[#This Row],[Scoring Margin]], 1, 0)</f>
        <v>0</v>
      </c>
      <c r="AB258" s="5">
        <f>IF(Table3[[#This Row],[Efficiency Difference]]*0.2146 + 14 &gt; Table3[[#This Row],[Scoring Margin]], 1, 0)</f>
        <v>1</v>
      </c>
      <c r="AC258" s="5">
        <f>IF(Table3[[#This Row],[Efficiency Difference]]*0.2146 + 21 &gt; Table3[[#This Row],[Scoring Margin]], 1, 0)</f>
        <v>1</v>
      </c>
      <c r="AD258" s="5">
        <f>IF(Table3[[#This Row],[Efficiency Difference]]*0.2146 -7 &gt; Table3[[#This Row],[Scoring Margin]], 1, 0)</f>
        <v>0</v>
      </c>
      <c r="AE258" s="5">
        <f>IF(Table3[[#This Row],[Efficiency Difference]]*0.2146 -3 &gt; Table3[[#This Row],[Scoring Margin]], 1, 0)</f>
        <v>0</v>
      </c>
      <c r="AF258" s="5">
        <f>IF(Table3[[#This Row],[Efficiency Difference]]*0.2146 -5 &gt; Table3[[#This Row],[Scoring Margin]], 1, 0)</f>
        <v>0</v>
      </c>
      <c r="AG258" s="5">
        <f>IF(Table3[[#This Row],[Efficiency Difference]]*0.2146 -10 &gt; Table3[[#This Row],[Scoring Margin]], 1, 0)</f>
        <v>0</v>
      </c>
    </row>
    <row r="259" spans="2:33">
      <c r="B259" s="5">
        <v>252.45</v>
      </c>
      <c r="C259" s="5">
        <v>51</v>
      </c>
      <c r="X259" s="5">
        <v>252.45</v>
      </c>
      <c r="Y259" s="5">
        <v>51</v>
      </c>
      <c r="Z259" s="5">
        <f>IF(Table3[[#This Row],[Efficiency Difference]]*0.2146 &gt; Table3[[#This Row],[Scoring Margin]], 1, 0)</f>
        <v>1</v>
      </c>
      <c r="AA259" s="5">
        <f>IF(Table3[[#This Row],[Efficiency Difference]]*0.2146 + 7 &gt; Table3[[#This Row],[Scoring Margin]], 1, 0)</f>
        <v>1</v>
      </c>
      <c r="AB259" s="5">
        <f>IF(Table3[[#This Row],[Efficiency Difference]]*0.2146 + 14 &gt; Table3[[#This Row],[Scoring Margin]], 1, 0)</f>
        <v>1</v>
      </c>
      <c r="AC259" s="5">
        <f>IF(Table3[[#This Row],[Efficiency Difference]]*0.2146 + 21 &gt; Table3[[#This Row],[Scoring Margin]], 1, 0)</f>
        <v>1</v>
      </c>
      <c r="AD259" s="5">
        <f>IF(Table3[[#This Row],[Efficiency Difference]]*0.2146 -7 &gt; Table3[[#This Row],[Scoring Margin]], 1, 0)</f>
        <v>0</v>
      </c>
      <c r="AE259" s="5">
        <f>IF(Table3[[#This Row],[Efficiency Difference]]*0.2146 -3 &gt; Table3[[#This Row],[Scoring Margin]], 1, 0)</f>
        <v>1</v>
      </c>
      <c r="AF259" s="5">
        <f>IF(Table3[[#This Row],[Efficiency Difference]]*0.2146 -5 &gt; Table3[[#This Row],[Scoring Margin]], 1, 0)</f>
        <v>0</v>
      </c>
      <c r="AG259" s="5">
        <f>IF(Table3[[#This Row],[Efficiency Difference]]*0.2146 -10 &gt; Table3[[#This Row],[Scoring Margin]], 1, 0)</f>
        <v>0</v>
      </c>
    </row>
    <row r="260" spans="2:33">
      <c r="B260" s="5">
        <v>91.200000000000017</v>
      </c>
      <c r="C260" s="5">
        <v>27</v>
      </c>
      <c r="X260" s="5">
        <v>91.200000000000017</v>
      </c>
      <c r="Y260" s="5">
        <v>27</v>
      </c>
      <c r="Z260" s="5">
        <f>IF(Table3[[#This Row],[Efficiency Difference]]*0.2146 &gt; Table3[[#This Row],[Scoring Margin]], 1, 0)</f>
        <v>0</v>
      </c>
      <c r="AA260" s="5">
        <f>IF(Table3[[#This Row],[Efficiency Difference]]*0.2146 + 7 &gt; Table3[[#This Row],[Scoring Margin]], 1, 0)</f>
        <v>0</v>
      </c>
      <c r="AB260" s="5">
        <f>IF(Table3[[#This Row],[Efficiency Difference]]*0.2146 + 14 &gt; Table3[[#This Row],[Scoring Margin]], 1, 0)</f>
        <v>1</v>
      </c>
      <c r="AC260" s="5">
        <f>IF(Table3[[#This Row],[Efficiency Difference]]*0.2146 + 21 &gt; Table3[[#This Row],[Scoring Margin]], 1, 0)</f>
        <v>1</v>
      </c>
      <c r="AD260" s="5">
        <f>IF(Table3[[#This Row],[Efficiency Difference]]*0.2146 -7 &gt; Table3[[#This Row],[Scoring Margin]], 1, 0)</f>
        <v>0</v>
      </c>
      <c r="AE260" s="5">
        <f>IF(Table3[[#This Row],[Efficiency Difference]]*0.2146 -3 &gt; Table3[[#This Row],[Scoring Margin]], 1, 0)</f>
        <v>0</v>
      </c>
      <c r="AF260" s="5">
        <f>IF(Table3[[#This Row],[Efficiency Difference]]*0.2146 -5 &gt; Table3[[#This Row],[Scoring Margin]], 1, 0)</f>
        <v>0</v>
      </c>
      <c r="AG260" s="5">
        <f>IF(Table3[[#This Row],[Efficiency Difference]]*0.2146 -10 &gt; Table3[[#This Row],[Scoring Margin]], 1, 0)</f>
        <v>0</v>
      </c>
    </row>
    <row r="261" spans="2:33">
      <c r="B261" s="5">
        <v>3.5600000000000307</v>
      </c>
      <c r="C261" s="5">
        <v>8</v>
      </c>
      <c r="X261" s="5">
        <v>3.5600000000000307</v>
      </c>
      <c r="Y261" s="5">
        <v>8</v>
      </c>
      <c r="Z261" s="5">
        <f>IF(Table3[[#This Row],[Efficiency Difference]]*0.2146 &gt; Table3[[#This Row],[Scoring Margin]], 1, 0)</f>
        <v>0</v>
      </c>
      <c r="AA261" s="5">
        <f>IF(Table3[[#This Row],[Efficiency Difference]]*0.2146 + 7 &gt; Table3[[#This Row],[Scoring Margin]], 1, 0)</f>
        <v>0</v>
      </c>
      <c r="AB261" s="5">
        <f>IF(Table3[[#This Row],[Efficiency Difference]]*0.2146 + 14 &gt; Table3[[#This Row],[Scoring Margin]], 1, 0)</f>
        <v>1</v>
      </c>
      <c r="AC261" s="5">
        <f>IF(Table3[[#This Row],[Efficiency Difference]]*0.2146 + 21 &gt; Table3[[#This Row],[Scoring Margin]], 1, 0)</f>
        <v>1</v>
      </c>
      <c r="AD261" s="5">
        <f>IF(Table3[[#This Row],[Efficiency Difference]]*0.2146 -7 &gt; Table3[[#This Row],[Scoring Margin]], 1, 0)</f>
        <v>0</v>
      </c>
      <c r="AE261" s="5">
        <f>IF(Table3[[#This Row],[Efficiency Difference]]*0.2146 -3 &gt; Table3[[#This Row],[Scoring Margin]], 1, 0)</f>
        <v>0</v>
      </c>
      <c r="AF261" s="5">
        <f>IF(Table3[[#This Row],[Efficiency Difference]]*0.2146 -5 &gt; Table3[[#This Row],[Scoring Margin]], 1, 0)</f>
        <v>0</v>
      </c>
      <c r="AG261" s="5">
        <f>IF(Table3[[#This Row],[Efficiency Difference]]*0.2146 -10 &gt; Table3[[#This Row],[Scoring Margin]], 1, 0)</f>
        <v>0</v>
      </c>
    </row>
    <row r="262" spans="2:33">
      <c r="B262" s="5">
        <v>38.650000000000006</v>
      </c>
      <c r="C262" s="5">
        <v>5</v>
      </c>
      <c r="X262" s="5">
        <v>38.650000000000006</v>
      </c>
      <c r="Y262" s="5">
        <v>5</v>
      </c>
      <c r="Z262" s="5">
        <f>IF(Table3[[#This Row],[Efficiency Difference]]*0.2146 &gt; Table3[[#This Row],[Scoring Margin]], 1, 0)</f>
        <v>1</v>
      </c>
      <c r="AA262" s="5">
        <f>IF(Table3[[#This Row],[Efficiency Difference]]*0.2146 + 7 &gt; Table3[[#This Row],[Scoring Margin]], 1, 0)</f>
        <v>1</v>
      </c>
      <c r="AB262" s="5">
        <f>IF(Table3[[#This Row],[Efficiency Difference]]*0.2146 + 14 &gt; Table3[[#This Row],[Scoring Margin]], 1, 0)</f>
        <v>1</v>
      </c>
      <c r="AC262" s="5">
        <f>IF(Table3[[#This Row],[Efficiency Difference]]*0.2146 + 21 &gt; Table3[[#This Row],[Scoring Margin]], 1, 0)</f>
        <v>1</v>
      </c>
      <c r="AD262" s="5">
        <f>IF(Table3[[#This Row],[Efficiency Difference]]*0.2146 -7 &gt; Table3[[#This Row],[Scoring Margin]], 1, 0)</f>
        <v>0</v>
      </c>
      <c r="AE262" s="5">
        <f>IF(Table3[[#This Row],[Efficiency Difference]]*0.2146 -3 &gt; Table3[[#This Row],[Scoring Margin]], 1, 0)</f>
        <v>1</v>
      </c>
      <c r="AF262" s="5">
        <f>IF(Table3[[#This Row],[Efficiency Difference]]*0.2146 -5 &gt; Table3[[#This Row],[Scoring Margin]], 1, 0)</f>
        <v>0</v>
      </c>
      <c r="AG262" s="5">
        <f>IF(Table3[[#This Row],[Efficiency Difference]]*0.2146 -10 &gt; Table3[[#This Row],[Scoring Margin]], 1, 0)</f>
        <v>0</v>
      </c>
    </row>
    <row r="263" spans="2:33">
      <c r="B263" s="5">
        <v>17.420000000000016</v>
      </c>
      <c r="C263" s="5">
        <v>3</v>
      </c>
      <c r="X263" s="5">
        <v>17.420000000000016</v>
      </c>
      <c r="Y263" s="5">
        <v>3</v>
      </c>
      <c r="Z263" s="5">
        <f>IF(Table3[[#This Row],[Efficiency Difference]]*0.2146 &gt; Table3[[#This Row],[Scoring Margin]], 1, 0)</f>
        <v>1</v>
      </c>
      <c r="AA263" s="5">
        <f>IF(Table3[[#This Row],[Efficiency Difference]]*0.2146 + 7 &gt; Table3[[#This Row],[Scoring Margin]], 1, 0)</f>
        <v>1</v>
      </c>
      <c r="AB263" s="5">
        <f>IF(Table3[[#This Row],[Efficiency Difference]]*0.2146 + 14 &gt; Table3[[#This Row],[Scoring Margin]], 1, 0)</f>
        <v>1</v>
      </c>
      <c r="AC263" s="5">
        <f>IF(Table3[[#This Row],[Efficiency Difference]]*0.2146 + 21 &gt; Table3[[#This Row],[Scoring Margin]], 1, 0)</f>
        <v>1</v>
      </c>
      <c r="AD263" s="5">
        <f>IF(Table3[[#This Row],[Efficiency Difference]]*0.2146 -7 &gt; Table3[[#This Row],[Scoring Margin]], 1, 0)</f>
        <v>0</v>
      </c>
      <c r="AE263" s="5">
        <f>IF(Table3[[#This Row],[Efficiency Difference]]*0.2146 -3 &gt; Table3[[#This Row],[Scoring Margin]], 1, 0)</f>
        <v>0</v>
      </c>
      <c r="AF263" s="5">
        <f>IF(Table3[[#This Row],[Efficiency Difference]]*0.2146 -5 &gt; Table3[[#This Row],[Scoring Margin]], 1, 0)</f>
        <v>0</v>
      </c>
      <c r="AG263" s="5">
        <f>IF(Table3[[#This Row],[Efficiency Difference]]*0.2146 -10 &gt; Table3[[#This Row],[Scoring Margin]], 1, 0)</f>
        <v>0</v>
      </c>
    </row>
    <row r="264" spans="2:33">
      <c r="B264" s="5">
        <v>32.329999999999984</v>
      </c>
      <c r="C264" s="5">
        <v>14</v>
      </c>
      <c r="X264" s="5">
        <v>32.329999999999984</v>
      </c>
      <c r="Y264" s="5">
        <v>14</v>
      </c>
      <c r="Z264" s="5">
        <f>IF(Table3[[#This Row],[Efficiency Difference]]*0.2146 &gt; Table3[[#This Row],[Scoring Margin]], 1, 0)</f>
        <v>0</v>
      </c>
      <c r="AA264" s="5">
        <f>IF(Table3[[#This Row],[Efficiency Difference]]*0.2146 + 7 &gt; Table3[[#This Row],[Scoring Margin]], 1, 0)</f>
        <v>0</v>
      </c>
      <c r="AB264" s="5">
        <f>IF(Table3[[#This Row],[Efficiency Difference]]*0.2146 + 14 &gt; Table3[[#This Row],[Scoring Margin]], 1, 0)</f>
        <v>1</v>
      </c>
      <c r="AC264" s="5">
        <f>IF(Table3[[#This Row],[Efficiency Difference]]*0.2146 + 21 &gt; Table3[[#This Row],[Scoring Margin]], 1, 0)</f>
        <v>1</v>
      </c>
      <c r="AD264" s="5">
        <f>IF(Table3[[#This Row],[Efficiency Difference]]*0.2146 -7 &gt; Table3[[#This Row],[Scoring Margin]], 1, 0)</f>
        <v>0</v>
      </c>
      <c r="AE264" s="5">
        <f>IF(Table3[[#This Row],[Efficiency Difference]]*0.2146 -3 &gt; Table3[[#This Row],[Scoring Margin]], 1, 0)</f>
        <v>0</v>
      </c>
      <c r="AF264" s="5">
        <f>IF(Table3[[#This Row],[Efficiency Difference]]*0.2146 -5 &gt; Table3[[#This Row],[Scoring Margin]], 1, 0)</f>
        <v>0</v>
      </c>
      <c r="AG264" s="5">
        <f>IF(Table3[[#This Row],[Efficiency Difference]]*0.2146 -10 &gt; Table3[[#This Row],[Scoring Margin]], 1, 0)</f>
        <v>0</v>
      </c>
    </row>
    <row r="265" spans="2:33">
      <c r="B265" s="5">
        <v>79.680000000000007</v>
      </c>
      <c r="C265" s="5">
        <v>20</v>
      </c>
      <c r="X265" s="5">
        <v>79.680000000000007</v>
      </c>
      <c r="Y265" s="5">
        <v>20</v>
      </c>
      <c r="Z265" s="5">
        <f>IF(Table3[[#This Row],[Efficiency Difference]]*0.2146 &gt; Table3[[#This Row],[Scoring Margin]], 1, 0)</f>
        <v>0</v>
      </c>
      <c r="AA265" s="5">
        <f>IF(Table3[[#This Row],[Efficiency Difference]]*0.2146 + 7 &gt; Table3[[#This Row],[Scoring Margin]], 1, 0)</f>
        <v>1</v>
      </c>
      <c r="AB265" s="5">
        <f>IF(Table3[[#This Row],[Efficiency Difference]]*0.2146 + 14 &gt; Table3[[#This Row],[Scoring Margin]], 1, 0)</f>
        <v>1</v>
      </c>
      <c r="AC265" s="5">
        <f>IF(Table3[[#This Row],[Efficiency Difference]]*0.2146 + 21 &gt; Table3[[#This Row],[Scoring Margin]], 1, 0)</f>
        <v>1</v>
      </c>
      <c r="AD265" s="5">
        <f>IF(Table3[[#This Row],[Efficiency Difference]]*0.2146 -7 &gt; Table3[[#This Row],[Scoring Margin]], 1, 0)</f>
        <v>0</v>
      </c>
      <c r="AE265" s="5">
        <f>IF(Table3[[#This Row],[Efficiency Difference]]*0.2146 -3 &gt; Table3[[#This Row],[Scoring Margin]], 1, 0)</f>
        <v>0</v>
      </c>
      <c r="AF265" s="5">
        <f>IF(Table3[[#This Row],[Efficiency Difference]]*0.2146 -5 &gt; Table3[[#This Row],[Scoring Margin]], 1, 0)</f>
        <v>0</v>
      </c>
      <c r="AG265" s="5">
        <f>IF(Table3[[#This Row],[Efficiency Difference]]*0.2146 -10 &gt; Table3[[#This Row],[Scoring Margin]], 1, 0)</f>
        <v>0</v>
      </c>
    </row>
    <row r="266" spans="2:33">
      <c r="B266" s="5">
        <v>63.069999999999993</v>
      </c>
      <c r="C266" s="5">
        <v>19</v>
      </c>
      <c r="X266" s="5">
        <v>63.069999999999993</v>
      </c>
      <c r="Y266" s="5">
        <v>19</v>
      </c>
      <c r="Z266" s="5">
        <f>IF(Table3[[#This Row],[Efficiency Difference]]*0.2146 &gt; Table3[[#This Row],[Scoring Margin]], 1, 0)</f>
        <v>0</v>
      </c>
      <c r="AA266" s="5">
        <f>IF(Table3[[#This Row],[Efficiency Difference]]*0.2146 + 7 &gt; Table3[[#This Row],[Scoring Margin]], 1, 0)</f>
        <v>1</v>
      </c>
      <c r="AB266" s="5">
        <f>IF(Table3[[#This Row],[Efficiency Difference]]*0.2146 + 14 &gt; Table3[[#This Row],[Scoring Margin]], 1, 0)</f>
        <v>1</v>
      </c>
      <c r="AC266" s="5">
        <f>IF(Table3[[#This Row],[Efficiency Difference]]*0.2146 + 21 &gt; Table3[[#This Row],[Scoring Margin]], 1, 0)</f>
        <v>1</v>
      </c>
      <c r="AD266" s="5">
        <f>IF(Table3[[#This Row],[Efficiency Difference]]*0.2146 -7 &gt; Table3[[#This Row],[Scoring Margin]], 1, 0)</f>
        <v>0</v>
      </c>
      <c r="AE266" s="5">
        <f>IF(Table3[[#This Row],[Efficiency Difference]]*0.2146 -3 &gt; Table3[[#This Row],[Scoring Margin]], 1, 0)</f>
        <v>0</v>
      </c>
      <c r="AF266" s="5">
        <f>IF(Table3[[#This Row],[Efficiency Difference]]*0.2146 -5 &gt; Table3[[#This Row],[Scoring Margin]], 1, 0)</f>
        <v>0</v>
      </c>
      <c r="AG266" s="5">
        <f>IF(Table3[[#This Row],[Efficiency Difference]]*0.2146 -10 &gt; Table3[[#This Row],[Scoring Margin]], 1, 0)</f>
        <v>0</v>
      </c>
    </row>
    <row r="267" spans="2:33">
      <c r="B267" s="5">
        <v>72.599999999999994</v>
      </c>
      <c r="C267" s="5">
        <v>34</v>
      </c>
      <c r="X267" s="5">
        <v>72.599999999999994</v>
      </c>
      <c r="Y267" s="5">
        <v>34</v>
      </c>
      <c r="Z267" s="5">
        <f>IF(Table3[[#This Row],[Efficiency Difference]]*0.2146 &gt; Table3[[#This Row],[Scoring Margin]], 1, 0)</f>
        <v>0</v>
      </c>
      <c r="AA267" s="5">
        <f>IF(Table3[[#This Row],[Efficiency Difference]]*0.2146 + 7 &gt; Table3[[#This Row],[Scoring Margin]], 1, 0)</f>
        <v>0</v>
      </c>
      <c r="AB267" s="5">
        <f>IF(Table3[[#This Row],[Efficiency Difference]]*0.2146 + 14 &gt; Table3[[#This Row],[Scoring Margin]], 1, 0)</f>
        <v>0</v>
      </c>
      <c r="AC267" s="5">
        <f>IF(Table3[[#This Row],[Efficiency Difference]]*0.2146 + 21 &gt; Table3[[#This Row],[Scoring Margin]], 1, 0)</f>
        <v>1</v>
      </c>
      <c r="AD267" s="5">
        <f>IF(Table3[[#This Row],[Efficiency Difference]]*0.2146 -7 &gt; Table3[[#This Row],[Scoring Margin]], 1, 0)</f>
        <v>0</v>
      </c>
      <c r="AE267" s="5">
        <f>IF(Table3[[#This Row],[Efficiency Difference]]*0.2146 -3 &gt; Table3[[#This Row],[Scoring Margin]], 1, 0)</f>
        <v>0</v>
      </c>
      <c r="AF267" s="5">
        <f>IF(Table3[[#This Row],[Efficiency Difference]]*0.2146 -5 &gt; Table3[[#This Row],[Scoring Margin]], 1, 0)</f>
        <v>0</v>
      </c>
      <c r="AG267" s="5">
        <f>IF(Table3[[#This Row],[Efficiency Difference]]*0.2146 -10 &gt; Table3[[#This Row],[Scoring Margin]], 1, 0)</f>
        <v>0</v>
      </c>
    </row>
    <row r="268" spans="2:33">
      <c r="B268" s="5">
        <v>55.539999999999992</v>
      </c>
      <c r="C268" s="5">
        <v>21</v>
      </c>
      <c r="X268" s="5">
        <v>55.539999999999992</v>
      </c>
      <c r="Y268" s="5">
        <v>21</v>
      </c>
      <c r="Z268" s="5">
        <f>IF(Table3[[#This Row],[Efficiency Difference]]*0.2146 &gt; Table3[[#This Row],[Scoring Margin]], 1, 0)</f>
        <v>0</v>
      </c>
      <c r="AA268" s="5">
        <f>IF(Table3[[#This Row],[Efficiency Difference]]*0.2146 + 7 &gt; Table3[[#This Row],[Scoring Margin]], 1, 0)</f>
        <v>0</v>
      </c>
      <c r="AB268" s="5">
        <f>IF(Table3[[#This Row],[Efficiency Difference]]*0.2146 + 14 &gt; Table3[[#This Row],[Scoring Margin]], 1, 0)</f>
        <v>1</v>
      </c>
      <c r="AC268" s="5">
        <f>IF(Table3[[#This Row],[Efficiency Difference]]*0.2146 + 21 &gt; Table3[[#This Row],[Scoring Margin]], 1, 0)</f>
        <v>1</v>
      </c>
      <c r="AD268" s="5">
        <f>IF(Table3[[#This Row],[Efficiency Difference]]*0.2146 -7 &gt; Table3[[#This Row],[Scoring Margin]], 1, 0)</f>
        <v>0</v>
      </c>
      <c r="AE268" s="5">
        <f>IF(Table3[[#This Row],[Efficiency Difference]]*0.2146 -3 &gt; Table3[[#This Row],[Scoring Margin]], 1, 0)</f>
        <v>0</v>
      </c>
      <c r="AF268" s="5">
        <f>IF(Table3[[#This Row],[Efficiency Difference]]*0.2146 -5 &gt; Table3[[#This Row],[Scoring Margin]], 1, 0)</f>
        <v>0</v>
      </c>
      <c r="AG268" s="5">
        <f>IF(Table3[[#This Row],[Efficiency Difference]]*0.2146 -10 &gt; Table3[[#This Row],[Scoring Margin]], 1, 0)</f>
        <v>0</v>
      </c>
    </row>
    <row r="269" spans="2:33">
      <c r="B269" s="5">
        <v>94.799999999999983</v>
      </c>
      <c r="C269" s="5">
        <v>28</v>
      </c>
      <c r="X269" s="5">
        <v>94.799999999999983</v>
      </c>
      <c r="Y269" s="5">
        <v>28</v>
      </c>
      <c r="Z269" s="5">
        <f>IF(Table3[[#This Row],[Efficiency Difference]]*0.2146 &gt; Table3[[#This Row],[Scoring Margin]], 1, 0)</f>
        <v>0</v>
      </c>
      <c r="AA269" s="5">
        <f>IF(Table3[[#This Row],[Efficiency Difference]]*0.2146 + 7 &gt; Table3[[#This Row],[Scoring Margin]], 1, 0)</f>
        <v>0</v>
      </c>
      <c r="AB269" s="5">
        <f>IF(Table3[[#This Row],[Efficiency Difference]]*0.2146 + 14 &gt; Table3[[#This Row],[Scoring Margin]], 1, 0)</f>
        <v>1</v>
      </c>
      <c r="AC269" s="5">
        <f>IF(Table3[[#This Row],[Efficiency Difference]]*0.2146 + 21 &gt; Table3[[#This Row],[Scoring Margin]], 1, 0)</f>
        <v>1</v>
      </c>
      <c r="AD269" s="5">
        <f>IF(Table3[[#This Row],[Efficiency Difference]]*0.2146 -7 &gt; Table3[[#This Row],[Scoring Margin]], 1, 0)</f>
        <v>0</v>
      </c>
      <c r="AE269" s="5">
        <f>IF(Table3[[#This Row],[Efficiency Difference]]*0.2146 -3 &gt; Table3[[#This Row],[Scoring Margin]], 1, 0)</f>
        <v>0</v>
      </c>
      <c r="AF269" s="5">
        <f>IF(Table3[[#This Row],[Efficiency Difference]]*0.2146 -5 &gt; Table3[[#This Row],[Scoring Margin]], 1, 0)</f>
        <v>0</v>
      </c>
      <c r="AG269" s="5">
        <f>IF(Table3[[#This Row],[Efficiency Difference]]*0.2146 -10 &gt; Table3[[#This Row],[Scoring Margin]], 1, 0)</f>
        <v>0</v>
      </c>
    </row>
    <row r="270" spans="2:33">
      <c r="B270" s="5">
        <v>49.33</v>
      </c>
      <c r="C270" s="5">
        <v>5</v>
      </c>
      <c r="X270" s="5">
        <v>49.33</v>
      </c>
      <c r="Y270" s="5">
        <v>5</v>
      </c>
      <c r="Z270" s="5">
        <f>IF(Table3[[#This Row],[Efficiency Difference]]*0.2146 &gt; Table3[[#This Row],[Scoring Margin]], 1, 0)</f>
        <v>1</v>
      </c>
      <c r="AA270" s="5">
        <f>IF(Table3[[#This Row],[Efficiency Difference]]*0.2146 + 7 &gt; Table3[[#This Row],[Scoring Margin]], 1, 0)</f>
        <v>1</v>
      </c>
      <c r="AB270" s="5">
        <f>IF(Table3[[#This Row],[Efficiency Difference]]*0.2146 + 14 &gt; Table3[[#This Row],[Scoring Margin]], 1, 0)</f>
        <v>1</v>
      </c>
      <c r="AC270" s="5">
        <f>IF(Table3[[#This Row],[Efficiency Difference]]*0.2146 + 21 &gt; Table3[[#This Row],[Scoring Margin]], 1, 0)</f>
        <v>1</v>
      </c>
      <c r="AD270" s="5">
        <f>IF(Table3[[#This Row],[Efficiency Difference]]*0.2146 -7 &gt; Table3[[#This Row],[Scoring Margin]], 1, 0)</f>
        <v>0</v>
      </c>
      <c r="AE270" s="5">
        <f>IF(Table3[[#This Row],[Efficiency Difference]]*0.2146 -3 &gt; Table3[[#This Row],[Scoring Margin]], 1, 0)</f>
        <v>1</v>
      </c>
      <c r="AF270" s="5">
        <f>IF(Table3[[#This Row],[Efficiency Difference]]*0.2146 -5 &gt; Table3[[#This Row],[Scoring Margin]], 1, 0)</f>
        <v>1</v>
      </c>
      <c r="AG270" s="5">
        <f>IF(Table3[[#This Row],[Efficiency Difference]]*0.2146 -10 &gt; Table3[[#This Row],[Scoring Margin]], 1, 0)</f>
        <v>0</v>
      </c>
    </row>
    <row r="271" spans="2:33">
      <c r="B271" s="5">
        <v>215.23000000000002</v>
      </c>
      <c r="C271" s="5">
        <v>28</v>
      </c>
      <c r="X271" s="5">
        <v>215.23000000000002</v>
      </c>
      <c r="Y271" s="5">
        <v>28</v>
      </c>
      <c r="Z271" s="5">
        <f>IF(Table3[[#This Row],[Efficiency Difference]]*0.2146 &gt; Table3[[#This Row],[Scoring Margin]], 1, 0)</f>
        <v>1</v>
      </c>
      <c r="AA271" s="5">
        <f>IF(Table3[[#This Row],[Efficiency Difference]]*0.2146 + 7 &gt; Table3[[#This Row],[Scoring Margin]], 1, 0)</f>
        <v>1</v>
      </c>
      <c r="AB271" s="5">
        <f>IF(Table3[[#This Row],[Efficiency Difference]]*0.2146 + 14 &gt; Table3[[#This Row],[Scoring Margin]], 1, 0)</f>
        <v>1</v>
      </c>
      <c r="AC271" s="5">
        <f>IF(Table3[[#This Row],[Efficiency Difference]]*0.2146 + 21 &gt; Table3[[#This Row],[Scoring Margin]], 1, 0)</f>
        <v>1</v>
      </c>
      <c r="AD271" s="5">
        <f>IF(Table3[[#This Row],[Efficiency Difference]]*0.2146 -7 &gt; Table3[[#This Row],[Scoring Margin]], 1, 0)</f>
        <v>1</v>
      </c>
      <c r="AE271" s="5">
        <f>IF(Table3[[#This Row],[Efficiency Difference]]*0.2146 -3 &gt; Table3[[#This Row],[Scoring Margin]], 1, 0)</f>
        <v>1</v>
      </c>
      <c r="AF271" s="5">
        <f>IF(Table3[[#This Row],[Efficiency Difference]]*0.2146 -5 &gt; Table3[[#This Row],[Scoring Margin]], 1, 0)</f>
        <v>1</v>
      </c>
      <c r="AG271" s="5">
        <f>IF(Table3[[#This Row],[Efficiency Difference]]*0.2146 -10 &gt; Table3[[#This Row],[Scoring Margin]], 1, 0)</f>
        <v>1</v>
      </c>
    </row>
    <row r="272" spans="2:33">
      <c r="B272" s="5">
        <v>48.170000000000016</v>
      </c>
      <c r="C272" s="5">
        <v>17</v>
      </c>
      <c r="X272" s="5">
        <v>48.170000000000016</v>
      </c>
      <c r="Y272" s="5">
        <v>17</v>
      </c>
      <c r="Z272" s="5">
        <f>IF(Table3[[#This Row],[Efficiency Difference]]*0.2146 &gt; Table3[[#This Row],[Scoring Margin]], 1, 0)</f>
        <v>0</v>
      </c>
      <c r="AA272" s="5">
        <f>IF(Table3[[#This Row],[Efficiency Difference]]*0.2146 + 7 &gt; Table3[[#This Row],[Scoring Margin]], 1, 0)</f>
        <v>1</v>
      </c>
      <c r="AB272" s="5">
        <f>IF(Table3[[#This Row],[Efficiency Difference]]*0.2146 + 14 &gt; Table3[[#This Row],[Scoring Margin]], 1, 0)</f>
        <v>1</v>
      </c>
      <c r="AC272" s="5">
        <f>IF(Table3[[#This Row],[Efficiency Difference]]*0.2146 + 21 &gt; Table3[[#This Row],[Scoring Margin]], 1, 0)</f>
        <v>1</v>
      </c>
      <c r="AD272" s="5">
        <f>IF(Table3[[#This Row],[Efficiency Difference]]*0.2146 -7 &gt; Table3[[#This Row],[Scoring Margin]], 1, 0)</f>
        <v>0</v>
      </c>
      <c r="AE272" s="5">
        <f>IF(Table3[[#This Row],[Efficiency Difference]]*0.2146 -3 &gt; Table3[[#This Row],[Scoring Margin]], 1, 0)</f>
        <v>0</v>
      </c>
      <c r="AF272" s="5">
        <f>IF(Table3[[#This Row],[Efficiency Difference]]*0.2146 -5 &gt; Table3[[#This Row],[Scoring Margin]], 1, 0)</f>
        <v>0</v>
      </c>
      <c r="AG272" s="5">
        <f>IF(Table3[[#This Row],[Efficiency Difference]]*0.2146 -10 &gt; Table3[[#This Row],[Scoring Margin]], 1, 0)</f>
        <v>0</v>
      </c>
    </row>
    <row r="273" spans="2:33">
      <c r="B273" s="5">
        <v>34.69</v>
      </c>
      <c r="C273" s="5">
        <v>2</v>
      </c>
      <c r="X273" s="5">
        <v>34.69</v>
      </c>
      <c r="Y273" s="5">
        <v>2</v>
      </c>
      <c r="Z273" s="5">
        <f>IF(Table3[[#This Row],[Efficiency Difference]]*0.2146 &gt; Table3[[#This Row],[Scoring Margin]], 1, 0)</f>
        <v>1</v>
      </c>
      <c r="AA273" s="5">
        <f>IF(Table3[[#This Row],[Efficiency Difference]]*0.2146 + 7 &gt; Table3[[#This Row],[Scoring Margin]], 1, 0)</f>
        <v>1</v>
      </c>
      <c r="AB273" s="5">
        <f>IF(Table3[[#This Row],[Efficiency Difference]]*0.2146 + 14 &gt; Table3[[#This Row],[Scoring Margin]], 1, 0)</f>
        <v>1</v>
      </c>
      <c r="AC273" s="5">
        <f>IF(Table3[[#This Row],[Efficiency Difference]]*0.2146 + 21 &gt; Table3[[#This Row],[Scoring Margin]], 1, 0)</f>
        <v>1</v>
      </c>
      <c r="AD273" s="5">
        <f>IF(Table3[[#This Row],[Efficiency Difference]]*0.2146 -7 &gt; Table3[[#This Row],[Scoring Margin]], 1, 0)</f>
        <v>0</v>
      </c>
      <c r="AE273" s="5">
        <f>IF(Table3[[#This Row],[Efficiency Difference]]*0.2146 -3 &gt; Table3[[#This Row],[Scoring Margin]], 1, 0)</f>
        <v>1</v>
      </c>
      <c r="AF273" s="5">
        <f>IF(Table3[[#This Row],[Efficiency Difference]]*0.2146 -5 &gt; Table3[[#This Row],[Scoring Margin]], 1, 0)</f>
        <v>1</v>
      </c>
      <c r="AG273" s="5">
        <f>IF(Table3[[#This Row],[Efficiency Difference]]*0.2146 -10 &gt; Table3[[#This Row],[Scoring Margin]], 1, 0)</f>
        <v>0</v>
      </c>
    </row>
    <row r="274" spans="2:33">
      <c r="B274" s="5">
        <v>0.15000000000003411</v>
      </c>
      <c r="C274" s="5">
        <v>1</v>
      </c>
      <c r="X274" s="5">
        <v>0.15000000000003411</v>
      </c>
      <c r="Y274" s="5">
        <v>1</v>
      </c>
      <c r="Z274" s="5">
        <f>IF(Table3[[#This Row],[Efficiency Difference]]*0.2146 &gt; Table3[[#This Row],[Scoring Margin]], 1, 0)</f>
        <v>0</v>
      </c>
      <c r="AA274" s="5">
        <f>IF(Table3[[#This Row],[Efficiency Difference]]*0.2146 + 7 &gt; Table3[[#This Row],[Scoring Margin]], 1, 0)</f>
        <v>1</v>
      </c>
      <c r="AB274" s="5">
        <f>IF(Table3[[#This Row],[Efficiency Difference]]*0.2146 + 14 &gt; Table3[[#This Row],[Scoring Margin]], 1, 0)</f>
        <v>1</v>
      </c>
      <c r="AC274" s="5">
        <f>IF(Table3[[#This Row],[Efficiency Difference]]*0.2146 + 21 &gt; Table3[[#This Row],[Scoring Margin]], 1, 0)</f>
        <v>1</v>
      </c>
      <c r="AD274" s="5">
        <f>IF(Table3[[#This Row],[Efficiency Difference]]*0.2146 -7 &gt; Table3[[#This Row],[Scoring Margin]], 1, 0)</f>
        <v>0</v>
      </c>
      <c r="AE274" s="5">
        <f>IF(Table3[[#This Row],[Efficiency Difference]]*0.2146 -3 &gt; Table3[[#This Row],[Scoring Margin]], 1, 0)</f>
        <v>0</v>
      </c>
      <c r="AF274" s="5">
        <f>IF(Table3[[#This Row],[Efficiency Difference]]*0.2146 -5 &gt; Table3[[#This Row],[Scoring Margin]], 1, 0)</f>
        <v>0</v>
      </c>
      <c r="AG274" s="5">
        <f>IF(Table3[[#This Row],[Efficiency Difference]]*0.2146 -10 &gt; Table3[[#This Row],[Scoring Margin]], 1, 0)</f>
        <v>0</v>
      </c>
    </row>
    <row r="275" spans="2:33">
      <c r="B275" s="5">
        <v>11.400000000000006</v>
      </c>
      <c r="C275" s="5">
        <v>6</v>
      </c>
      <c r="X275" s="5">
        <v>11.400000000000006</v>
      </c>
      <c r="Y275" s="5">
        <v>6</v>
      </c>
      <c r="Z275" s="5">
        <f>IF(Table3[[#This Row],[Efficiency Difference]]*0.2146 &gt; Table3[[#This Row],[Scoring Margin]], 1, 0)</f>
        <v>0</v>
      </c>
      <c r="AA275" s="5">
        <f>IF(Table3[[#This Row],[Efficiency Difference]]*0.2146 + 7 &gt; Table3[[#This Row],[Scoring Margin]], 1, 0)</f>
        <v>1</v>
      </c>
      <c r="AB275" s="5">
        <f>IF(Table3[[#This Row],[Efficiency Difference]]*0.2146 + 14 &gt; Table3[[#This Row],[Scoring Margin]], 1, 0)</f>
        <v>1</v>
      </c>
      <c r="AC275" s="5">
        <f>IF(Table3[[#This Row],[Efficiency Difference]]*0.2146 + 21 &gt; Table3[[#This Row],[Scoring Margin]], 1, 0)</f>
        <v>1</v>
      </c>
      <c r="AD275" s="5">
        <f>IF(Table3[[#This Row],[Efficiency Difference]]*0.2146 -7 &gt; Table3[[#This Row],[Scoring Margin]], 1, 0)</f>
        <v>0</v>
      </c>
      <c r="AE275" s="5">
        <f>IF(Table3[[#This Row],[Efficiency Difference]]*0.2146 -3 &gt; Table3[[#This Row],[Scoring Margin]], 1, 0)</f>
        <v>0</v>
      </c>
      <c r="AF275" s="5">
        <f>IF(Table3[[#This Row],[Efficiency Difference]]*0.2146 -5 &gt; Table3[[#This Row],[Scoring Margin]], 1, 0)</f>
        <v>0</v>
      </c>
      <c r="AG275" s="5">
        <f>IF(Table3[[#This Row],[Efficiency Difference]]*0.2146 -10 &gt; Table3[[#This Row],[Scoring Margin]], 1, 0)</f>
        <v>0</v>
      </c>
    </row>
    <row r="276" spans="2:33">
      <c r="B276" s="5">
        <v>54.34</v>
      </c>
      <c r="C276" s="5">
        <v>18</v>
      </c>
      <c r="X276" s="5">
        <v>54.34</v>
      </c>
      <c r="Y276" s="5">
        <v>18</v>
      </c>
      <c r="Z276" s="5">
        <f>IF(Table3[[#This Row],[Efficiency Difference]]*0.2146 &gt; Table3[[#This Row],[Scoring Margin]], 1, 0)</f>
        <v>0</v>
      </c>
      <c r="AA276" s="5">
        <f>IF(Table3[[#This Row],[Efficiency Difference]]*0.2146 + 7 &gt; Table3[[#This Row],[Scoring Margin]], 1, 0)</f>
        <v>1</v>
      </c>
      <c r="AB276" s="5">
        <f>IF(Table3[[#This Row],[Efficiency Difference]]*0.2146 + 14 &gt; Table3[[#This Row],[Scoring Margin]], 1, 0)</f>
        <v>1</v>
      </c>
      <c r="AC276" s="5">
        <f>IF(Table3[[#This Row],[Efficiency Difference]]*0.2146 + 21 &gt; Table3[[#This Row],[Scoring Margin]], 1, 0)</f>
        <v>1</v>
      </c>
      <c r="AD276" s="5">
        <f>IF(Table3[[#This Row],[Efficiency Difference]]*0.2146 -7 &gt; Table3[[#This Row],[Scoring Margin]], 1, 0)</f>
        <v>0</v>
      </c>
      <c r="AE276" s="5">
        <f>IF(Table3[[#This Row],[Efficiency Difference]]*0.2146 -3 &gt; Table3[[#This Row],[Scoring Margin]], 1, 0)</f>
        <v>0</v>
      </c>
      <c r="AF276" s="5">
        <f>IF(Table3[[#This Row],[Efficiency Difference]]*0.2146 -5 &gt; Table3[[#This Row],[Scoring Margin]], 1, 0)</f>
        <v>0</v>
      </c>
      <c r="AG276" s="5">
        <f>IF(Table3[[#This Row],[Efficiency Difference]]*0.2146 -10 &gt; Table3[[#This Row],[Scoring Margin]], 1, 0)</f>
        <v>0</v>
      </c>
    </row>
    <row r="277" spans="2:33">
      <c r="B277" s="5">
        <v>100.19</v>
      </c>
      <c r="C277" s="5">
        <v>13</v>
      </c>
      <c r="X277" s="5">
        <v>100.19</v>
      </c>
      <c r="Y277" s="5">
        <v>13</v>
      </c>
      <c r="Z277" s="5">
        <f>IF(Table3[[#This Row],[Efficiency Difference]]*0.2146 &gt; Table3[[#This Row],[Scoring Margin]], 1, 0)</f>
        <v>1</v>
      </c>
      <c r="AA277" s="5">
        <f>IF(Table3[[#This Row],[Efficiency Difference]]*0.2146 + 7 &gt; Table3[[#This Row],[Scoring Margin]], 1, 0)</f>
        <v>1</v>
      </c>
      <c r="AB277" s="5">
        <f>IF(Table3[[#This Row],[Efficiency Difference]]*0.2146 + 14 &gt; Table3[[#This Row],[Scoring Margin]], 1, 0)</f>
        <v>1</v>
      </c>
      <c r="AC277" s="5">
        <f>IF(Table3[[#This Row],[Efficiency Difference]]*0.2146 + 21 &gt; Table3[[#This Row],[Scoring Margin]], 1, 0)</f>
        <v>1</v>
      </c>
      <c r="AD277" s="5">
        <f>IF(Table3[[#This Row],[Efficiency Difference]]*0.2146 -7 &gt; Table3[[#This Row],[Scoring Margin]], 1, 0)</f>
        <v>1</v>
      </c>
      <c r="AE277" s="5">
        <f>IF(Table3[[#This Row],[Efficiency Difference]]*0.2146 -3 &gt; Table3[[#This Row],[Scoring Margin]], 1, 0)</f>
        <v>1</v>
      </c>
      <c r="AF277" s="5">
        <f>IF(Table3[[#This Row],[Efficiency Difference]]*0.2146 -5 &gt; Table3[[#This Row],[Scoring Margin]], 1, 0)</f>
        <v>1</v>
      </c>
      <c r="AG277" s="5">
        <f>IF(Table3[[#This Row],[Efficiency Difference]]*0.2146 -10 &gt; Table3[[#This Row],[Scoring Margin]], 1, 0)</f>
        <v>0</v>
      </c>
    </row>
    <row r="278" spans="2:33">
      <c r="B278" s="5">
        <v>36.930000000000007</v>
      </c>
      <c r="C278" s="5">
        <v>7</v>
      </c>
      <c r="X278" s="5">
        <v>36.930000000000007</v>
      </c>
      <c r="Y278" s="5">
        <v>7</v>
      </c>
      <c r="Z278" s="5">
        <f>IF(Table3[[#This Row],[Efficiency Difference]]*0.2146 &gt; Table3[[#This Row],[Scoring Margin]], 1, 0)</f>
        <v>1</v>
      </c>
      <c r="AA278" s="5">
        <f>IF(Table3[[#This Row],[Efficiency Difference]]*0.2146 + 7 &gt; Table3[[#This Row],[Scoring Margin]], 1, 0)</f>
        <v>1</v>
      </c>
      <c r="AB278" s="5">
        <f>IF(Table3[[#This Row],[Efficiency Difference]]*0.2146 + 14 &gt; Table3[[#This Row],[Scoring Margin]], 1, 0)</f>
        <v>1</v>
      </c>
      <c r="AC278" s="5">
        <f>IF(Table3[[#This Row],[Efficiency Difference]]*0.2146 + 21 &gt; Table3[[#This Row],[Scoring Margin]], 1, 0)</f>
        <v>1</v>
      </c>
      <c r="AD278" s="5">
        <f>IF(Table3[[#This Row],[Efficiency Difference]]*0.2146 -7 &gt; Table3[[#This Row],[Scoring Margin]], 1, 0)</f>
        <v>0</v>
      </c>
      <c r="AE278" s="5">
        <f>IF(Table3[[#This Row],[Efficiency Difference]]*0.2146 -3 &gt; Table3[[#This Row],[Scoring Margin]], 1, 0)</f>
        <v>0</v>
      </c>
      <c r="AF278" s="5">
        <f>IF(Table3[[#This Row],[Efficiency Difference]]*0.2146 -5 &gt; Table3[[#This Row],[Scoring Margin]], 1, 0)</f>
        <v>0</v>
      </c>
      <c r="AG278" s="5">
        <f>IF(Table3[[#This Row],[Efficiency Difference]]*0.2146 -10 &gt; Table3[[#This Row],[Scoring Margin]], 1, 0)</f>
        <v>0</v>
      </c>
    </row>
    <row r="279" spans="2:33">
      <c r="B279" s="5">
        <v>30.740000000000009</v>
      </c>
      <c r="C279" s="5">
        <v>7</v>
      </c>
      <c r="X279" s="5">
        <v>30.740000000000009</v>
      </c>
      <c r="Y279" s="5">
        <v>7</v>
      </c>
      <c r="Z279" s="5">
        <f>IF(Table3[[#This Row],[Efficiency Difference]]*0.2146 &gt; Table3[[#This Row],[Scoring Margin]], 1, 0)</f>
        <v>0</v>
      </c>
      <c r="AA279" s="5">
        <f>IF(Table3[[#This Row],[Efficiency Difference]]*0.2146 + 7 &gt; Table3[[#This Row],[Scoring Margin]], 1, 0)</f>
        <v>1</v>
      </c>
      <c r="AB279" s="5">
        <f>IF(Table3[[#This Row],[Efficiency Difference]]*0.2146 + 14 &gt; Table3[[#This Row],[Scoring Margin]], 1, 0)</f>
        <v>1</v>
      </c>
      <c r="AC279" s="5">
        <f>IF(Table3[[#This Row],[Efficiency Difference]]*0.2146 + 21 &gt; Table3[[#This Row],[Scoring Margin]], 1, 0)</f>
        <v>1</v>
      </c>
      <c r="AD279" s="5">
        <f>IF(Table3[[#This Row],[Efficiency Difference]]*0.2146 -7 &gt; Table3[[#This Row],[Scoring Margin]], 1, 0)</f>
        <v>0</v>
      </c>
      <c r="AE279" s="5">
        <f>IF(Table3[[#This Row],[Efficiency Difference]]*0.2146 -3 &gt; Table3[[#This Row],[Scoring Margin]], 1, 0)</f>
        <v>0</v>
      </c>
      <c r="AF279" s="5">
        <f>IF(Table3[[#This Row],[Efficiency Difference]]*0.2146 -5 &gt; Table3[[#This Row],[Scoring Margin]], 1, 0)</f>
        <v>0</v>
      </c>
      <c r="AG279" s="5">
        <f>IF(Table3[[#This Row],[Efficiency Difference]]*0.2146 -10 &gt; Table3[[#This Row],[Scoring Margin]], 1, 0)</f>
        <v>0</v>
      </c>
    </row>
    <row r="280" spans="2:33">
      <c r="B280" s="5">
        <v>95.630000000000024</v>
      </c>
      <c r="C280" s="5">
        <v>7</v>
      </c>
      <c r="X280" s="5">
        <v>95.630000000000024</v>
      </c>
      <c r="Y280" s="5">
        <v>7</v>
      </c>
      <c r="Z280" s="5">
        <f>IF(Table3[[#This Row],[Efficiency Difference]]*0.2146 &gt; Table3[[#This Row],[Scoring Margin]], 1, 0)</f>
        <v>1</v>
      </c>
      <c r="AA280" s="5">
        <f>IF(Table3[[#This Row],[Efficiency Difference]]*0.2146 + 7 &gt; Table3[[#This Row],[Scoring Margin]], 1, 0)</f>
        <v>1</v>
      </c>
      <c r="AB280" s="5">
        <f>IF(Table3[[#This Row],[Efficiency Difference]]*0.2146 + 14 &gt; Table3[[#This Row],[Scoring Margin]], 1, 0)</f>
        <v>1</v>
      </c>
      <c r="AC280" s="5">
        <f>IF(Table3[[#This Row],[Efficiency Difference]]*0.2146 + 21 &gt; Table3[[#This Row],[Scoring Margin]], 1, 0)</f>
        <v>1</v>
      </c>
      <c r="AD280" s="5">
        <f>IF(Table3[[#This Row],[Efficiency Difference]]*0.2146 -7 &gt; Table3[[#This Row],[Scoring Margin]], 1, 0)</f>
        <v>1</v>
      </c>
      <c r="AE280" s="5">
        <f>IF(Table3[[#This Row],[Efficiency Difference]]*0.2146 -3 &gt; Table3[[#This Row],[Scoring Margin]], 1, 0)</f>
        <v>1</v>
      </c>
      <c r="AF280" s="5">
        <f>IF(Table3[[#This Row],[Efficiency Difference]]*0.2146 -5 &gt; Table3[[#This Row],[Scoring Margin]], 1, 0)</f>
        <v>1</v>
      </c>
      <c r="AG280" s="5">
        <f>IF(Table3[[#This Row],[Efficiency Difference]]*0.2146 -10 &gt; Table3[[#This Row],[Scoring Margin]], 1, 0)</f>
        <v>1</v>
      </c>
    </row>
    <row r="281" spans="2:33">
      <c r="B281" s="5">
        <v>25.039999999999992</v>
      </c>
      <c r="C281" s="5">
        <v>4</v>
      </c>
      <c r="X281" s="5">
        <v>25.039999999999992</v>
      </c>
      <c r="Y281" s="5">
        <v>4</v>
      </c>
      <c r="Z281" s="5">
        <f>IF(Table3[[#This Row],[Efficiency Difference]]*0.2146 &gt; Table3[[#This Row],[Scoring Margin]], 1, 0)</f>
        <v>1</v>
      </c>
      <c r="AA281" s="5">
        <f>IF(Table3[[#This Row],[Efficiency Difference]]*0.2146 + 7 &gt; Table3[[#This Row],[Scoring Margin]], 1, 0)</f>
        <v>1</v>
      </c>
      <c r="AB281" s="5">
        <f>IF(Table3[[#This Row],[Efficiency Difference]]*0.2146 + 14 &gt; Table3[[#This Row],[Scoring Margin]], 1, 0)</f>
        <v>1</v>
      </c>
      <c r="AC281" s="5">
        <f>IF(Table3[[#This Row],[Efficiency Difference]]*0.2146 + 21 &gt; Table3[[#This Row],[Scoring Margin]], 1, 0)</f>
        <v>1</v>
      </c>
      <c r="AD281" s="5">
        <f>IF(Table3[[#This Row],[Efficiency Difference]]*0.2146 -7 &gt; Table3[[#This Row],[Scoring Margin]], 1, 0)</f>
        <v>0</v>
      </c>
      <c r="AE281" s="5">
        <f>IF(Table3[[#This Row],[Efficiency Difference]]*0.2146 -3 &gt; Table3[[#This Row],[Scoring Margin]], 1, 0)</f>
        <v>0</v>
      </c>
      <c r="AF281" s="5">
        <f>IF(Table3[[#This Row],[Efficiency Difference]]*0.2146 -5 &gt; Table3[[#This Row],[Scoring Margin]], 1, 0)</f>
        <v>0</v>
      </c>
      <c r="AG281" s="5">
        <f>IF(Table3[[#This Row],[Efficiency Difference]]*0.2146 -10 &gt; Table3[[#This Row],[Scoring Margin]], 1, 0)</f>
        <v>0</v>
      </c>
    </row>
    <row r="282" spans="2:33">
      <c r="B282" s="5">
        <v>31.849999999999966</v>
      </c>
      <c r="C282" s="5">
        <v>7</v>
      </c>
      <c r="X282" s="5">
        <v>31.849999999999966</v>
      </c>
      <c r="Y282" s="5">
        <v>7</v>
      </c>
      <c r="Z282" s="5">
        <f>IF(Table3[[#This Row],[Efficiency Difference]]*0.2146 &gt; Table3[[#This Row],[Scoring Margin]], 1, 0)</f>
        <v>0</v>
      </c>
      <c r="AA282" s="5">
        <f>IF(Table3[[#This Row],[Efficiency Difference]]*0.2146 + 7 &gt; Table3[[#This Row],[Scoring Margin]], 1, 0)</f>
        <v>1</v>
      </c>
      <c r="AB282" s="5">
        <f>IF(Table3[[#This Row],[Efficiency Difference]]*0.2146 + 14 &gt; Table3[[#This Row],[Scoring Margin]], 1, 0)</f>
        <v>1</v>
      </c>
      <c r="AC282" s="5">
        <f>IF(Table3[[#This Row],[Efficiency Difference]]*0.2146 + 21 &gt; Table3[[#This Row],[Scoring Margin]], 1, 0)</f>
        <v>1</v>
      </c>
      <c r="AD282" s="5">
        <f>IF(Table3[[#This Row],[Efficiency Difference]]*0.2146 -7 &gt; Table3[[#This Row],[Scoring Margin]], 1, 0)</f>
        <v>0</v>
      </c>
      <c r="AE282" s="5">
        <f>IF(Table3[[#This Row],[Efficiency Difference]]*0.2146 -3 &gt; Table3[[#This Row],[Scoring Margin]], 1, 0)</f>
        <v>0</v>
      </c>
      <c r="AF282" s="5">
        <f>IF(Table3[[#This Row],[Efficiency Difference]]*0.2146 -5 &gt; Table3[[#This Row],[Scoring Margin]], 1, 0)</f>
        <v>0</v>
      </c>
      <c r="AG282" s="5">
        <f>IF(Table3[[#This Row],[Efficiency Difference]]*0.2146 -10 &gt; Table3[[#This Row],[Scoring Margin]], 1, 0)</f>
        <v>0</v>
      </c>
    </row>
    <row r="283" spans="2:33">
      <c r="B283" s="5">
        <v>84.920000000000016</v>
      </c>
      <c r="C283" s="5">
        <v>9</v>
      </c>
      <c r="X283" s="5">
        <v>84.920000000000016</v>
      </c>
      <c r="Y283" s="5">
        <v>9</v>
      </c>
      <c r="Z283" s="5">
        <f>IF(Table3[[#This Row],[Efficiency Difference]]*0.2146 &gt; Table3[[#This Row],[Scoring Margin]], 1, 0)</f>
        <v>1</v>
      </c>
      <c r="AA283" s="5">
        <f>IF(Table3[[#This Row],[Efficiency Difference]]*0.2146 + 7 &gt; Table3[[#This Row],[Scoring Margin]], 1, 0)</f>
        <v>1</v>
      </c>
      <c r="AB283" s="5">
        <f>IF(Table3[[#This Row],[Efficiency Difference]]*0.2146 + 14 &gt; Table3[[#This Row],[Scoring Margin]], 1, 0)</f>
        <v>1</v>
      </c>
      <c r="AC283" s="5">
        <f>IF(Table3[[#This Row],[Efficiency Difference]]*0.2146 + 21 &gt; Table3[[#This Row],[Scoring Margin]], 1, 0)</f>
        <v>1</v>
      </c>
      <c r="AD283" s="5">
        <f>IF(Table3[[#This Row],[Efficiency Difference]]*0.2146 -7 &gt; Table3[[#This Row],[Scoring Margin]], 1, 0)</f>
        <v>1</v>
      </c>
      <c r="AE283" s="5">
        <f>IF(Table3[[#This Row],[Efficiency Difference]]*0.2146 -3 &gt; Table3[[#This Row],[Scoring Margin]], 1, 0)</f>
        <v>1</v>
      </c>
      <c r="AF283" s="5">
        <f>IF(Table3[[#This Row],[Efficiency Difference]]*0.2146 -5 &gt; Table3[[#This Row],[Scoring Margin]], 1, 0)</f>
        <v>1</v>
      </c>
      <c r="AG283" s="5">
        <f>IF(Table3[[#This Row],[Efficiency Difference]]*0.2146 -10 &gt; Table3[[#This Row],[Scoring Margin]], 1, 0)</f>
        <v>0</v>
      </c>
    </row>
    <row r="284" spans="2:33">
      <c r="B284" s="5">
        <v>74.799999999999983</v>
      </c>
      <c r="C284" s="5">
        <v>2</v>
      </c>
      <c r="X284" s="5">
        <v>74.799999999999983</v>
      </c>
      <c r="Y284" s="5">
        <v>2</v>
      </c>
      <c r="Z284" s="5">
        <f>IF(Table3[[#This Row],[Efficiency Difference]]*0.2146 &gt; Table3[[#This Row],[Scoring Margin]], 1, 0)</f>
        <v>1</v>
      </c>
      <c r="AA284" s="5">
        <f>IF(Table3[[#This Row],[Efficiency Difference]]*0.2146 + 7 &gt; Table3[[#This Row],[Scoring Margin]], 1, 0)</f>
        <v>1</v>
      </c>
      <c r="AB284" s="5">
        <f>IF(Table3[[#This Row],[Efficiency Difference]]*0.2146 + 14 &gt; Table3[[#This Row],[Scoring Margin]], 1, 0)</f>
        <v>1</v>
      </c>
      <c r="AC284" s="5">
        <f>IF(Table3[[#This Row],[Efficiency Difference]]*0.2146 + 21 &gt; Table3[[#This Row],[Scoring Margin]], 1, 0)</f>
        <v>1</v>
      </c>
      <c r="AD284" s="5">
        <f>IF(Table3[[#This Row],[Efficiency Difference]]*0.2146 -7 &gt; Table3[[#This Row],[Scoring Margin]], 1, 0)</f>
        <v>1</v>
      </c>
      <c r="AE284" s="5">
        <f>IF(Table3[[#This Row],[Efficiency Difference]]*0.2146 -3 &gt; Table3[[#This Row],[Scoring Margin]], 1, 0)</f>
        <v>1</v>
      </c>
      <c r="AF284" s="5">
        <f>IF(Table3[[#This Row],[Efficiency Difference]]*0.2146 -5 &gt; Table3[[#This Row],[Scoring Margin]], 1, 0)</f>
        <v>1</v>
      </c>
      <c r="AG284" s="5">
        <f>IF(Table3[[#This Row],[Efficiency Difference]]*0.2146 -10 &gt; Table3[[#This Row],[Scoring Margin]], 1, 0)</f>
        <v>1</v>
      </c>
    </row>
    <row r="285" spans="2:33">
      <c r="B285" s="5">
        <v>28.120000000000005</v>
      </c>
      <c r="C285" s="5">
        <v>13</v>
      </c>
      <c r="X285" s="5">
        <v>28.120000000000005</v>
      </c>
      <c r="Y285" s="5">
        <v>13</v>
      </c>
      <c r="Z285" s="5">
        <f>IF(Table3[[#This Row],[Efficiency Difference]]*0.2146 &gt; Table3[[#This Row],[Scoring Margin]], 1, 0)</f>
        <v>0</v>
      </c>
      <c r="AA285" s="5">
        <f>IF(Table3[[#This Row],[Efficiency Difference]]*0.2146 + 7 &gt; Table3[[#This Row],[Scoring Margin]], 1, 0)</f>
        <v>1</v>
      </c>
      <c r="AB285" s="5">
        <f>IF(Table3[[#This Row],[Efficiency Difference]]*0.2146 + 14 &gt; Table3[[#This Row],[Scoring Margin]], 1, 0)</f>
        <v>1</v>
      </c>
      <c r="AC285" s="5">
        <f>IF(Table3[[#This Row],[Efficiency Difference]]*0.2146 + 21 &gt; Table3[[#This Row],[Scoring Margin]], 1, 0)</f>
        <v>1</v>
      </c>
      <c r="AD285" s="5">
        <f>IF(Table3[[#This Row],[Efficiency Difference]]*0.2146 -7 &gt; Table3[[#This Row],[Scoring Margin]], 1, 0)</f>
        <v>0</v>
      </c>
      <c r="AE285" s="5">
        <f>IF(Table3[[#This Row],[Efficiency Difference]]*0.2146 -3 &gt; Table3[[#This Row],[Scoring Margin]], 1, 0)</f>
        <v>0</v>
      </c>
      <c r="AF285" s="5">
        <f>IF(Table3[[#This Row],[Efficiency Difference]]*0.2146 -5 &gt; Table3[[#This Row],[Scoring Margin]], 1, 0)</f>
        <v>0</v>
      </c>
      <c r="AG285" s="5">
        <f>IF(Table3[[#This Row],[Efficiency Difference]]*0.2146 -10 &gt; Table3[[#This Row],[Scoring Margin]], 1, 0)</f>
        <v>0</v>
      </c>
    </row>
    <row r="286" spans="2:33">
      <c r="B286" s="5">
        <v>103.35999999999996</v>
      </c>
      <c r="C286" s="5">
        <v>13</v>
      </c>
      <c r="X286" s="5">
        <v>103.35999999999996</v>
      </c>
      <c r="Y286" s="5">
        <v>13</v>
      </c>
      <c r="Z286" s="5">
        <f>IF(Table3[[#This Row],[Efficiency Difference]]*0.2146 &gt; Table3[[#This Row],[Scoring Margin]], 1, 0)</f>
        <v>1</v>
      </c>
      <c r="AA286" s="5">
        <f>IF(Table3[[#This Row],[Efficiency Difference]]*0.2146 + 7 &gt; Table3[[#This Row],[Scoring Margin]], 1, 0)</f>
        <v>1</v>
      </c>
      <c r="AB286" s="5">
        <f>IF(Table3[[#This Row],[Efficiency Difference]]*0.2146 + 14 &gt; Table3[[#This Row],[Scoring Margin]], 1, 0)</f>
        <v>1</v>
      </c>
      <c r="AC286" s="5">
        <f>IF(Table3[[#This Row],[Efficiency Difference]]*0.2146 + 21 &gt; Table3[[#This Row],[Scoring Margin]], 1, 0)</f>
        <v>1</v>
      </c>
      <c r="AD286" s="5">
        <f>IF(Table3[[#This Row],[Efficiency Difference]]*0.2146 -7 &gt; Table3[[#This Row],[Scoring Margin]], 1, 0)</f>
        <v>1</v>
      </c>
      <c r="AE286" s="5">
        <f>IF(Table3[[#This Row],[Efficiency Difference]]*0.2146 -3 &gt; Table3[[#This Row],[Scoring Margin]], 1, 0)</f>
        <v>1</v>
      </c>
      <c r="AF286" s="5">
        <f>IF(Table3[[#This Row],[Efficiency Difference]]*0.2146 -5 &gt; Table3[[#This Row],[Scoring Margin]], 1, 0)</f>
        <v>1</v>
      </c>
      <c r="AG286" s="5">
        <f>IF(Table3[[#This Row],[Efficiency Difference]]*0.2146 -10 &gt; Table3[[#This Row],[Scoring Margin]], 1, 0)</f>
        <v>0</v>
      </c>
    </row>
    <row r="287" spans="2:33">
      <c r="B287" s="5">
        <v>78.439999999999969</v>
      </c>
      <c r="C287" s="5">
        <v>26</v>
      </c>
      <c r="X287" s="5">
        <v>78.439999999999969</v>
      </c>
      <c r="Y287" s="5">
        <v>26</v>
      </c>
      <c r="Z287" s="5">
        <f>IF(Table3[[#This Row],[Efficiency Difference]]*0.2146 &gt; Table3[[#This Row],[Scoring Margin]], 1, 0)</f>
        <v>0</v>
      </c>
      <c r="AA287" s="5">
        <f>IF(Table3[[#This Row],[Efficiency Difference]]*0.2146 + 7 &gt; Table3[[#This Row],[Scoring Margin]], 1, 0)</f>
        <v>0</v>
      </c>
      <c r="AB287" s="5">
        <f>IF(Table3[[#This Row],[Efficiency Difference]]*0.2146 + 14 &gt; Table3[[#This Row],[Scoring Margin]], 1, 0)</f>
        <v>1</v>
      </c>
      <c r="AC287" s="5">
        <f>IF(Table3[[#This Row],[Efficiency Difference]]*0.2146 + 21 &gt; Table3[[#This Row],[Scoring Margin]], 1, 0)</f>
        <v>1</v>
      </c>
      <c r="AD287" s="5">
        <f>IF(Table3[[#This Row],[Efficiency Difference]]*0.2146 -7 &gt; Table3[[#This Row],[Scoring Margin]], 1, 0)</f>
        <v>0</v>
      </c>
      <c r="AE287" s="5">
        <f>IF(Table3[[#This Row],[Efficiency Difference]]*0.2146 -3 &gt; Table3[[#This Row],[Scoring Margin]], 1, 0)</f>
        <v>0</v>
      </c>
      <c r="AF287" s="5">
        <f>IF(Table3[[#This Row],[Efficiency Difference]]*0.2146 -5 &gt; Table3[[#This Row],[Scoring Margin]], 1, 0)</f>
        <v>0</v>
      </c>
      <c r="AG287" s="5">
        <f>IF(Table3[[#This Row],[Efficiency Difference]]*0.2146 -10 &gt; Table3[[#This Row],[Scoring Margin]], 1, 0)</f>
        <v>0</v>
      </c>
    </row>
    <row r="288" spans="2:33">
      <c r="B288" s="5">
        <v>95.52000000000001</v>
      </c>
      <c r="C288" s="5">
        <v>28</v>
      </c>
      <c r="X288" s="5">
        <v>95.52000000000001</v>
      </c>
      <c r="Y288" s="5">
        <v>28</v>
      </c>
      <c r="Z288" s="5">
        <f>IF(Table3[[#This Row],[Efficiency Difference]]*0.2146 &gt; Table3[[#This Row],[Scoring Margin]], 1, 0)</f>
        <v>0</v>
      </c>
      <c r="AA288" s="5">
        <f>IF(Table3[[#This Row],[Efficiency Difference]]*0.2146 + 7 &gt; Table3[[#This Row],[Scoring Margin]], 1, 0)</f>
        <v>0</v>
      </c>
      <c r="AB288" s="5">
        <f>IF(Table3[[#This Row],[Efficiency Difference]]*0.2146 + 14 &gt; Table3[[#This Row],[Scoring Margin]], 1, 0)</f>
        <v>1</v>
      </c>
      <c r="AC288" s="5">
        <f>IF(Table3[[#This Row],[Efficiency Difference]]*0.2146 + 21 &gt; Table3[[#This Row],[Scoring Margin]], 1, 0)</f>
        <v>1</v>
      </c>
      <c r="AD288" s="5">
        <f>IF(Table3[[#This Row],[Efficiency Difference]]*0.2146 -7 &gt; Table3[[#This Row],[Scoring Margin]], 1, 0)</f>
        <v>0</v>
      </c>
      <c r="AE288" s="5">
        <f>IF(Table3[[#This Row],[Efficiency Difference]]*0.2146 -3 &gt; Table3[[#This Row],[Scoring Margin]], 1, 0)</f>
        <v>0</v>
      </c>
      <c r="AF288" s="5">
        <f>IF(Table3[[#This Row],[Efficiency Difference]]*0.2146 -5 &gt; Table3[[#This Row],[Scoring Margin]], 1, 0)</f>
        <v>0</v>
      </c>
      <c r="AG288" s="5">
        <f>IF(Table3[[#This Row],[Efficiency Difference]]*0.2146 -10 &gt; Table3[[#This Row],[Scoring Margin]], 1, 0)</f>
        <v>0</v>
      </c>
    </row>
    <row r="289" spans="2:33">
      <c r="B289" s="5">
        <v>121.76999999999998</v>
      </c>
      <c r="C289" s="5">
        <v>31</v>
      </c>
      <c r="X289" s="5">
        <v>121.76999999999998</v>
      </c>
      <c r="Y289" s="5">
        <v>31</v>
      </c>
      <c r="Z289" s="5">
        <f>IF(Table3[[#This Row],[Efficiency Difference]]*0.2146 &gt; Table3[[#This Row],[Scoring Margin]], 1, 0)</f>
        <v>0</v>
      </c>
      <c r="AA289" s="5">
        <f>IF(Table3[[#This Row],[Efficiency Difference]]*0.2146 + 7 &gt; Table3[[#This Row],[Scoring Margin]], 1, 0)</f>
        <v>1</v>
      </c>
      <c r="AB289" s="5">
        <f>IF(Table3[[#This Row],[Efficiency Difference]]*0.2146 + 14 &gt; Table3[[#This Row],[Scoring Margin]], 1, 0)</f>
        <v>1</v>
      </c>
      <c r="AC289" s="5">
        <f>IF(Table3[[#This Row],[Efficiency Difference]]*0.2146 + 21 &gt; Table3[[#This Row],[Scoring Margin]], 1, 0)</f>
        <v>1</v>
      </c>
      <c r="AD289" s="5">
        <f>IF(Table3[[#This Row],[Efficiency Difference]]*0.2146 -7 &gt; Table3[[#This Row],[Scoring Margin]], 1, 0)</f>
        <v>0</v>
      </c>
      <c r="AE289" s="5">
        <f>IF(Table3[[#This Row],[Efficiency Difference]]*0.2146 -3 &gt; Table3[[#This Row],[Scoring Margin]], 1, 0)</f>
        <v>0</v>
      </c>
      <c r="AF289" s="5">
        <f>IF(Table3[[#This Row],[Efficiency Difference]]*0.2146 -5 &gt; Table3[[#This Row],[Scoring Margin]], 1, 0)</f>
        <v>0</v>
      </c>
      <c r="AG289" s="5">
        <f>IF(Table3[[#This Row],[Efficiency Difference]]*0.2146 -10 &gt; Table3[[#This Row],[Scoring Margin]], 1, 0)</f>
        <v>0</v>
      </c>
    </row>
    <row r="290" spans="2:33">
      <c r="B290" s="5">
        <v>124.15000000000003</v>
      </c>
      <c r="C290" s="5">
        <v>35</v>
      </c>
      <c r="X290" s="5">
        <v>124.15000000000003</v>
      </c>
      <c r="Y290" s="5">
        <v>35</v>
      </c>
      <c r="Z290" s="5">
        <f>IF(Table3[[#This Row],[Efficiency Difference]]*0.2146 &gt; Table3[[#This Row],[Scoring Margin]], 1, 0)</f>
        <v>0</v>
      </c>
      <c r="AA290" s="5">
        <f>IF(Table3[[#This Row],[Efficiency Difference]]*0.2146 + 7 &gt; Table3[[#This Row],[Scoring Margin]], 1, 0)</f>
        <v>0</v>
      </c>
      <c r="AB290" s="5">
        <f>IF(Table3[[#This Row],[Efficiency Difference]]*0.2146 + 14 &gt; Table3[[#This Row],[Scoring Margin]], 1, 0)</f>
        <v>1</v>
      </c>
      <c r="AC290" s="5">
        <f>IF(Table3[[#This Row],[Efficiency Difference]]*0.2146 + 21 &gt; Table3[[#This Row],[Scoring Margin]], 1, 0)</f>
        <v>1</v>
      </c>
      <c r="AD290" s="5">
        <f>IF(Table3[[#This Row],[Efficiency Difference]]*0.2146 -7 &gt; Table3[[#This Row],[Scoring Margin]], 1, 0)</f>
        <v>0</v>
      </c>
      <c r="AE290" s="5">
        <f>IF(Table3[[#This Row],[Efficiency Difference]]*0.2146 -3 &gt; Table3[[#This Row],[Scoring Margin]], 1, 0)</f>
        <v>0</v>
      </c>
      <c r="AF290" s="5">
        <f>IF(Table3[[#This Row],[Efficiency Difference]]*0.2146 -5 &gt; Table3[[#This Row],[Scoring Margin]], 1, 0)</f>
        <v>0</v>
      </c>
      <c r="AG290" s="5">
        <f>IF(Table3[[#This Row],[Efficiency Difference]]*0.2146 -10 &gt; Table3[[#This Row],[Scoring Margin]], 1, 0)</f>
        <v>0</v>
      </c>
    </row>
    <row r="291" spans="2:33">
      <c r="B291" s="5">
        <v>9.0199999999999818</v>
      </c>
      <c r="C291" s="5">
        <v>21</v>
      </c>
      <c r="X291" s="5">
        <v>9.0199999999999818</v>
      </c>
      <c r="Y291" s="5">
        <v>21</v>
      </c>
      <c r="Z291" s="5">
        <f>IF(Table3[[#This Row],[Efficiency Difference]]*0.2146 &gt; Table3[[#This Row],[Scoring Margin]], 1, 0)</f>
        <v>0</v>
      </c>
      <c r="AA291" s="5">
        <f>IF(Table3[[#This Row],[Efficiency Difference]]*0.2146 + 7 &gt; Table3[[#This Row],[Scoring Margin]], 1, 0)</f>
        <v>0</v>
      </c>
      <c r="AB291" s="5">
        <f>IF(Table3[[#This Row],[Efficiency Difference]]*0.2146 + 14 &gt; Table3[[#This Row],[Scoring Margin]], 1, 0)</f>
        <v>0</v>
      </c>
      <c r="AC291" s="5">
        <f>IF(Table3[[#This Row],[Efficiency Difference]]*0.2146 + 21 &gt; Table3[[#This Row],[Scoring Margin]], 1, 0)</f>
        <v>1</v>
      </c>
      <c r="AD291" s="5">
        <f>IF(Table3[[#This Row],[Efficiency Difference]]*0.2146 -7 &gt; Table3[[#This Row],[Scoring Margin]], 1, 0)</f>
        <v>0</v>
      </c>
      <c r="AE291" s="5">
        <f>IF(Table3[[#This Row],[Efficiency Difference]]*0.2146 -3 &gt; Table3[[#This Row],[Scoring Margin]], 1, 0)</f>
        <v>0</v>
      </c>
      <c r="AF291" s="5">
        <f>IF(Table3[[#This Row],[Efficiency Difference]]*0.2146 -5 &gt; Table3[[#This Row],[Scoring Margin]], 1, 0)</f>
        <v>0</v>
      </c>
      <c r="AG291" s="5">
        <f>IF(Table3[[#This Row],[Efficiency Difference]]*0.2146 -10 &gt; Table3[[#This Row],[Scoring Margin]], 1, 0)</f>
        <v>0</v>
      </c>
    </row>
    <row r="292" spans="2:33">
      <c r="B292" s="5">
        <v>57.840000000000032</v>
      </c>
      <c r="C292" s="5">
        <v>6</v>
      </c>
      <c r="X292" s="5">
        <v>57.840000000000032</v>
      </c>
      <c r="Y292" s="5">
        <v>6</v>
      </c>
      <c r="Z292" s="5">
        <f>IF(Table3[[#This Row],[Efficiency Difference]]*0.2146 &gt; Table3[[#This Row],[Scoring Margin]], 1, 0)</f>
        <v>1</v>
      </c>
      <c r="AA292" s="5">
        <f>IF(Table3[[#This Row],[Efficiency Difference]]*0.2146 + 7 &gt; Table3[[#This Row],[Scoring Margin]], 1, 0)</f>
        <v>1</v>
      </c>
      <c r="AB292" s="5">
        <f>IF(Table3[[#This Row],[Efficiency Difference]]*0.2146 + 14 &gt; Table3[[#This Row],[Scoring Margin]], 1, 0)</f>
        <v>1</v>
      </c>
      <c r="AC292" s="5">
        <f>IF(Table3[[#This Row],[Efficiency Difference]]*0.2146 + 21 &gt; Table3[[#This Row],[Scoring Margin]], 1, 0)</f>
        <v>1</v>
      </c>
      <c r="AD292" s="5">
        <f>IF(Table3[[#This Row],[Efficiency Difference]]*0.2146 -7 &gt; Table3[[#This Row],[Scoring Margin]], 1, 0)</f>
        <v>0</v>
      </c>
      <c r="AE292" s="5">
        <f>IF(Table3[[#This Row],[Efficiency Difference]]*0.2146 -3 &gt; Table3[[#This Row],[Scoring Margin]], 1, 0)</f>
        <v>1</v>
      </c>
      <c r="AF292" s="5">
        <f>IF(Table3[[#This Row],[Efficiency Difference]]*0.2146 -5 &gt; Table3[[#This Row],[Scoring Margin]], 1, 0)</f>
        <v>1</v>
      </c>
      <c r="AG292" s="5">
        <f>IF(Table3[[#This Row],[Efficiency Difference]]*0.2146 -10 &gt; Table3[[#This Row],[Scoring Margin]], 1, 0)</f>
        <v>0</v>
      </c>
    </row>
    <row r="293" spans="2:33">
      <c r="B293" s="5">
        <v>114.85000000000002</v>
      </c>
      <c r="C293" s="5">
        <v>37</v>
      </c>
      <c r="X293" s="5">
        <v>114.85000000000002</v>
      </c>
      <c r="Y293" s="5">
        <v>37</v>
      </c>
      <c r="Z293" s="5">
        <f>IF(Table3[[#This Row],[Efficiency Difference]]*0.2146 &gt; Table3[[#This Row],[Scoring Margin]], 1, 0)</f>
        <v>0</v>
      </c>
      <c r="AA293" s="5">
        <f>IF(Table3[[#This Row],[Efficiency Difference]]*0.2146 + 7 &gt; Table3[[#This Row],[Scoring Margin]], 1, 0)</f>
        <v>0</v>
      </c>
      <c r="AB293" s="5">
        <f>IF(Table3[[#This Row],[Efficiency Difference]]*0.2146 + 14 &gt; Table3[[#This Row],[Scoring Margin]], 1, 0)</f>
        <v>1</v>
      </c>
      <c r="AC293" s="5">
        <f>IF(Table3[[#This Row],[Efficiency Difference]]*0.2146 + 21 &gt; Table3[[#This Row],[Scoring Margin]], 1, 0)</f>
        <v>1</v>
      </c>
      <c r="AD293" s="5">
        <f>IF(Table3[[#This Row],[Efficiency Difference]]*0.2146 -7 &gt; Table3[[#This Row],[Scoring Margin]], 1, 0)</f>
        <v>0</v>
      </c>
      <c r="AE293" s="5">
        <f>IF(Table3[[#This Row],[Efficiency Difference]]*0.2146 -3 &gt; Table3[[#This Row],[Scoring Margin]], 1, 0)</f>
        <v>0</v>
      </c>
      <c r="AF293" s="5">
        <f>IF(Table3[[#This Row],[Efficiency Difference]]*0.2146 -5 &gt; Table3[[#This Row],[Scoring Margin]], 1, 0)</f>
        <v>0</v>
      </c>
      <c r="AG293" s="5">
        <f>IF(Table3[[#This Row],[Efficiency Difference]]*0.2146 -10 &gt; Table3[[#This Row],[Scoring Margin]], 1, 0)</f>
        <v>0</v>
      </c>
    </row>
    <row r="294" spans="2:33">
      <c r="B294" s="5">
        <v>143.64999999999998</v>
      </c>
      <c r="C294" s="5">
        <v>20</v>
      </c>
      <c r="X294" s="5">
        <v>143.64999999999998</v>
      </c>
      <c r="Y294" s="5">
        <v>20</v>
      </c>
      <c r="Z294" s="5">
        <f>IF(Table3[[#This Row],[Efficiency Difference]]*0.2146 &gt; Table3[[#This Row],[Scoring Margin]], 1, 0)</f>
        <v>1</v>
      </c>
      <c r="AA294" s="5">
        <f>IF(Table3[[#This Row],[Efficiency Difference]]*0.2146 + 7 &gt; Table3[[#This Row],[Scoring Margin]], 1, 0)</f>
        <v>1</v>
      </c>
      <c r="AB294" s="5">
        <f>IF(Table3[[#This Row],[Efficiency Difference]]*0.2146 + 14 &gt; Table3[[#This Row],[Scoring Margin]], 1, 0)</f>
        <v>1</v>
      </c>
      <c r="AC294" s="5">
        <f>IF(Table3[[#This Row],[Efficiency Difference]]*0.2146 + 21 &gt; Table3[[#This Row],[Scoring Margin]], 1, 0)</f>
        <v>1</v>
      </c>
      <c r="AD294" s="5">
        <f>IF(Table3[[#This Row],[Efficiency Difference]]*0.2146 -7 &gt; Table3[[#This Row],[Scoring Margin]], 1, 0)</f>
        <v>1</v>
      </c>
      <c r="AE294" s="5">
        <f>IF(Table3[[#This Row],[Efficiency Difference]]*0.2146 -3 &gt; Table3[[#This Row],[Scoring Margin]], 1, 0)</f>
        <v>1</v>
      </c>
      <c r="AF294" s="5">
        <f>IF(Table3[[#This Row],[Efficiency Difference]]*0.2146 -5 &gt; Table3[[#This Row],[Scoring Margin]], 1, 0)</f>
        <v>1</v>
      </c>
      <c r="AG294" s="5">
        <f>IF(Table3[[#This Row],[Efficiency Difference]]*0.2146 -10 &gt; Table3[[#This Row],[Scoring Margin]], 1, 0)</f>
        <v>1</v>
      </c>
    </row>
    <row r="295" spans="2:33">
      <c r="B295" s="5">
        <v>25.039999999999964</v>
      </c>
      <c r="C295" s="5">
        <v>4</v>
      </c>
      <c r="X295" s="5">
        <v>25.039999999999964</v>
      </c>
      <c r="Y295" s="5">
        <v>4</v>
      </c>
      <c r="Z295" s="5">
        <f>IF(Table3[[#This Row],[Efficiency Difference]]*0.2146 &gt; Table3[[#This Row],[Scoring Margin]], 1, 0)</f>
        <v>1</v>
      </c>
      <c r="AA295" s="5">
        <f>IF(Table3[[#This Row],[Efficiency Difference]]*0.2146 + 7 &gt; Table3[[#This Row],[Scoring Margin]], 1, 0)</f>
        <v>1</v>
      </c>
      <c r="AB295" s="5">
        <f>IF(Table3[[#This Row],[Efficiency Difference]]*0.2146 + 14 &gt; Table3[[#This Row],[Scoring Margin]], 1, 0)</f>
        <v>1</v>
      </c>
      <c r="AC295" s="5">
        <f>IF(Table3[[#This Row],[Efficiency Difference]]*0.2146 + 21 &gt; Table3[[#This Row],[Scoring Margin]], 1, 0)</f>
        <v>1</v>
      </c>
      <c r="AD295" s="5">
        <f>IF(Table3[[#This Row],[Efficiency Difference]]*0.2146 -7 &gt; Table3[[#This Row],[Scoring Margin]], 1, 0)</f>
        <v>0</v>
      </c>
      <c r="AE295" s="5">
        <f>IF(Table3[[#This Row],[Efficiency Difference]]*0.2146 -3 &gt; Table3[[#This Row],[Scoring Margin]], 1, 0)</f>
        <v>0</v>
      </c>
      <c r="AF295" s="5">
        <f>IF(Table3[[#This Row],[Efficiency Difference]]*0.2146 -5 &gt; Table3[[#This Row],[Scoring Margin]], 1, 0)</f>
        <v>0</v>
      </c>
      <c r="AG295" s="5">
        <f>IF(Table3[[#This Row],[Efficiency Difference]]*0.2146 -10 &gt; Table3[[#This Row],[Scoring Margin]], 1, 0)</f>
        <v>0</v>
      </c>
    </row>
    <row r="296" spans="2:33">
      <c r="B296" s="5">
        <v>101.53999999999999</v>
      </c>
      <c r="C296" s="5">
        <v>10</v>
      </c>
      <c r="X296" s="5">
        <v>101.53999999999999</v>
      </c>
      <c r="Y296" s="5">
        <v>10</v>
      </c>
      <c r="Z296" s="5">
        <f>IF(Table3[[#This Row],[Efficiency Difference]]*0.2146 &gt; Table3[[#This Row],[Scoring Margin]], 1, 0)</f>
        <v>1</v>
      </c>
      <c r="AA296" s="5">
        <f>IF(Table3[[#This Row],[Efficiency Difference]]*0.2146 + 7 &gt; Table3[[#This Row],[Scoring Margin]], 1, 0)</f>
        <v>1</v>
      </c>
      <c r="AB296" s="5">
        <f>IF(Table3[[#This Row],[Efficiency Difference]]*0.2146 + 14 &gt; Table3[[#This Row],[Scoring Margin]], 1, 0)</f>
        <v>1</v>
      </c>
      <c r="AC296" s="5">
        <f>IF(Table3[[#This Row],[Efficiency Difference]]*0.2146 + 21 &gt; Table3[[#This Row],[Scoring Margin]], 1, 0)</f>
        <v>1</v>
      </c>
      <c r="AD296" s="5">
        <f>IF(Table3[[#This Row],[Efficiency Difference]]*0.2146 -7 &gt; Table3[[#This Row],[Scoring Margin]], 1, 0)</f>
        <v>1</v>
      </c>
      <c r="AE296" s="5">
        <f>IF(Table3[[#This Row],[Efficiency Difference]]*0.2146 -3 &gt; Table3[[#This Row],[Scoring Margin]], 1, 0)</f>
        <v>1</v>
      </c>
      <c r="AF296" s="5">
        <f>IF(Table3[[#This Row],[Efficiency Difference]]*0.2146 -5 &gt; Table3[[#This Row],[Scoring Margin]], 1, 0)</f>
        <v>1</v>
      </c>
      <c r="AG296" s="5">
        <f>IF(Table3[[#This Row],[Efficiency Difference]]*0.2146 -10 &gt; Table3[[#This Row],[Scoring Margin]], 1, 0)</f>
        <v>1</v>
      </c>
    </row>
    <row r="297" spans="2:33">
      <c r="B297" s="5">
        <v>15.740000000000009</v>
      </c>
      <c r="C297" s="5">
        <v>4</v>
      </c>
      <c r="X297" s="5">
        <v>15.740000000000009</v>
      </c>
      <c r="Y297" s="5">
        <v>4</v>
      </c>
      <c r="Z297" s="5">
        <f>IF(Table3[[#This Row],[Efficiency Difference]]*0.2146 &gt; Table3[[#This Row],[Scoring Margin]], 1, 0)</f>
        <v>0</v>
      </c>
      <c r="AA297" s="5">
        <f>IF(Table3[[#This Row],[Efficiency Difference]]*0.2146 + 7 &gt; Table3[[#This Row],[Scoring Margin]], 1, 0)</f>
        <v>1</v>
      </c>
      <c r="AB297" s="5">
        <f>IF(Table3[[#This Row],[Efficiency Difference]]*0.2146 + 14 &gt; Table3[[#This Row],[Scoring Margin]], 1, 0)</f>
        <v>1</v>
      </c>
      <c r="AC297" s="5">
        <f>IF(Table3[[#This Row],[Efficiency Difference]]*0.2146 + 21 &gt; Table3[[#This Row],[Scoring Margin]], 1, 0)</f>
        <v>1</v>
      </c>
      <c r="AD297" s="5">
        <f>IF(Table3[[#This Row],[Efficiency Difference]]*0.2146 -7 &gt; Table3[[#This Row],[Scoring Margin]], 1, 0)</f>
        <v>0</v>
      </c>
      <c r="AE297" s="5">
        <f>IF(Table3[[#This Row],[Efficiency Difference]]*0.2146 -3 &gt; Table3[[#This Row],[Scoring Margin]], 1, 0)</f>
        <v>0</v>
      </c>
      <c r="AF297" s="5">
        <f>IF(Table3[[#This Row],[Efficiency Difference]]*0.2146 -5 &gt; Table3[[#This Row],[Scoring Margin]], 1, 0)</f>
        <v>0</v>
      </c>
      <c r="AG297" s="5">
        <f>IF(Table3[[#This Row],[Efficiency Difference]]*0.2146 -10 &gt; Table3[[#This Row],[Scoring Margin]], 1, 0)</f>
        <v>0</v>
      </c>
    </row>
    <row r="298" spans="2:33">
      <c r="B298" s="5">
        <v>135.40999999999997</v>
      </c>
      <c r="C298" s="5">
        <v>35</v>
      </c>
      <c r="X298" s="5">
        <v>135.40999999999997</v>
      </c>
      <c r="Y298" s="5">
        <v>35</v>
      </c>
      <c r="Z298" s="5">
        <f>IF(Table3[[#This Row],[Efficiency Difference]]*0.2146 &gt; Table3[[#This Row],[Scoring Margin]], 1, 0)</f>
        <v>0</v>
      </c>
      <c r="AA298" s="5">
        <f>IF(Table3[[#This Row],[Efficiency Difference]]*0.2146 + 7 &gt; Table3[[#This Row],[Scoring Margin]], 1, 0)</f>
        <v>1</v>
      </c>
      <c r="AB298" s="5">
        <f>IF(Table3[[#This Row],[Efficiency Difference]]*0.2146 + 14 &gt; Table3[[#This Row],[Scoring Margin]], 1, 0)</f>
        <v>1</v>
      </c>
      <c r="AC298" s="5">
        <f>IF(Table3[[#This Row],[Efficiency Difference]]*0.2146 + 21 &gt; Table3[[#This Row],[Scoring Margin]], 1, 0)</f>
        <v>1</v>
      </c>
      <c r="AD298" s="5">
        <f>IF(Table3[[#This Row],[Efficiency Difference]]*0.2146 -7 &gt; Table3[[#This Row],[Scoring Margin]], 1, 0)</f>
        <v>0</v>
      </c>
      <c r="AE298" s="5">
        <f>IF(Table3[[#This Row],[Efficiency Difference]]*0.2146 -3 &gt; Table3[[#This Row],[Scoring Margin]], 1, 0)</f>
        <v>0</v>
      </c>
      <c r="AF298" s="5">
        <f>IF(Table3[[#This Row],[Efficiency Difference]]*0.2146 -5 &gt; Table3[[#This Row],[Scoring Margin]], 1, 0)</f>
        <v>0</v>
      </c>
      <c r="AG298" s="5">
        <f>IF(Table3[[#This Row],[Efficiency Difference]]*0.2146 -10 &gt; Table3[[#This Row],[Scoring Margin]], 1, 0)</f>
        <v>0</v>
      </c>
    </row>
    <row r="299" spans="2:33">
      <c r="B299" s="5">
        <v>32.800000000000011</v>
      </c>
      <c r="C299" s="5">
        <v>8</v>
      </c>
      <c r="X299" s="5">
        <v>32.800000000000011</v>
      </c>
      <c r="Y299" s="5">
        <v>8</v>
      </c>
      <c r="Z299" s="5">
        <f>IF(Table3[[#This Row],[Efficiency Difference]]*0.2146 &gt; Table3[[#This Row],[Scoring Margin]], 1, 0)</f>
        <v>0</v>
      </c>
      <c r="AA299" s="5">
        <f>IF(Table3[[#This Row],[Efficiency Difference]]*0.2146 + 7 &gt; Table3[[#This Row],[Scoring Margin]], 1, 0)</f>
        <v>1</v>
      </c>
      <c r="AB299" s="5">
        <f>IF(Table3[[#This Row],[Efficiency Difference]]*0.2146 + 14 &gt; Table3[[#This Row],[Scoring Margin]], 1, 0)</f>
        <v>1</v>
      </c>
      <c r="AC299" s="5">
        <f>IF(Table3[[#This Row],[Efficiency Difference]]*0.2146 + 21 &gt; Table3[[#This Row],[Scoring Margin]], 1, 0)</f>
        <v>1</v>
      </c>
      <c r="AD299" s="5">
        <f>IF(Table3[[#This Row],[Efficiency Difference]]*0.2146 -7 &gt; Table3[[#This Row],[Scoring Margin]], 1, 0)</f>
        <v>0</v>
      </c>
      <c r="AE299" s="5">
        <f>IF(Table3[[#This Row],[Efficiency Difference]]*0.2146 -3 &gt; Table3[[#This Row],[Scoring Margin]], 1, 0)</f>
        <v>0</v>
      </c>
      <c r="AF299" s="5">
        <f>IF(Table3[[#This Row],[Efficiency Difference]]*0.2146 -5 &gt; Table3[[#This Row],[Scoring Margin]], 1, 0)</f>
        <v>0</v>
      </c>
      <c r="AG299" s="5">
        <f>IF(Table3[[#This Row],[Efficiency Difference]]*0.2146 -10 &gt; Table3[[#This Row],[Scoring Margin]], 1, 0)</f>
        <v>0</v>
      </c>
    </row>
    <row r="300" spans="2:33">
      <c r="B300" s="5">
        <v>45.989999999999981</v>
      </c>
      <c r="C300" s="5">
        <v>6</v>
      </c>
      <c r="X300" s="5">
        <v>45.989999999999981</v>
      </c>
      <c r="Y300" s="5">
        <v>6</v>
      </c>
      <c r="Z300" s="5">
        <f>IF(Table3[[#This Row],[Efficiency Difference]]*0.2146 &gt; Table3[[#This Row],[Scoring Margin]], 1, 0)</f>
        <v>1</v>
      </c>
      <c r="AA300" s="5">
        <f>IF(Table3[[#This Row],[Efficiency Difference]]*0.2146 + 7 &gt; Table3[[#This Row],[Scoring Margin]], 1, 0)</f>
        <v>1</v>
      </c>
      <c r="AB300" s="5">
        <f>IF(Table3[[#This Row],[Efficiency Difference]]*0.2146 + 14 &gt; Table3[[#This Row],[Scoring Margin]], 1, 0)</f>
        <v>1</v>
      </c>
      <c r="AC300" s="5">
        <f>IF(Table3[[#This Row],[Efficiency Difference]]*0.2146 + 21 &gt; Table3[[#This Row],[Scoring Margin]], 1, 0)</f>
        <v>1</v>
      </c>
      <c r="AD300" s="5">
        <f>IF(Table3[[#This Row],[Efficiency Difference]]*0.2146 -7 &gt; Table3[[#This Row],[Scoring Margin]], 1, 0)</f>
        <v>0</v>
      </c>
      <c r="AE300" s="5">
        <f>IF(Table3[[#This Row],[Efficiency Difference]]*0.2146 -3 &gt; Table3[[#This Row],[Scoring Margin]], 1, 0)</f>
        <v>1</v>
      </c>
      <c r="AF300" s="5">
        <f>IF(Table3[[#This Row],[Efficiency Difference]]*0.2146 -5 &gt; Table3[[#This Row],[Scoring Margin]], 1, 0)</f>
        <v>0</v>
      </c>
      <c r="AG300" s="5">
        <f>IF(Table3[[#This Row],[Efficiency Difference]]*0.2146 -10 &gt; Table3[[#This Row],[Scoring Margin]], 1, 0)</f>
        <v>0</v>
      </c>
    </row>
    <row r="301" spans="2:33">
      <c r="B301" s="5">
        <v>9.7399999999999807</v>
      </c>
      <c r="C301" s="5">
        <v>5</v>
      </c>
      <c r="X301" s="5">
        <v>9.7399999999999807</v>
      </c>
      <c r="Y301" s="5">
        <v>5</v>
      </c>
      <c r="Z301" s="5">
        <f>IF(Table3[[#This Row],[Efficiency Difference]]*0.2146 &gt; Table3[[#This Row],[Scoring Margin]], 1, 0)</f>
        <v>0</v>
      </c>
      <c r="AA301" s="5">
        <f>IF(Table3[[#This Row],[Efficiency Difference]]*0.2146 + 7 &gt; Table3[[#This Row],[Scoring Margin]], 1, 0)</f>
        <v>1</v>
      </c>
      <c r="AB301" s="5">
        <f>IF(Table3[[#This Row],[Efficiency Difference]]*0.2146 + 14 &gt; Table3[[#This Row],[Scoring Margin]], 1, 0)</f>
        <v>1</v>
      </c>
      <c r="AC301" s="5">
        <f>IF(Table3[[#This Row],[Efficiency Difference]]*0.2146 + 21 &gt; Table3[[#This Row],[Scoring Margin]], 1, 0)</f>
        <v>1</v>
      </c>
      <c r="AD301" s="5">
        <f>IF(Table3[[#This Row],[Efficiency Difference]]*0.2146 -7 &gt; Table3[[#This Row],[Scoring Margin]], 1, 0)</f>
        <v>0</v>
      </c>
      <c r="AE301" s="5">
        <f>IF(Table3[[#This Row],[Efficiency Difference]]*0.2146 -3 &gt; Table3[[#This Row],[Scoring Margin]], 1, 0)</f>
        <v>0</v>
      </c>
      <c r="AF301" s="5">
        <f>IF(Table3[[#This Row],[Efficiency Difference]]*0.2146 -5 &gt; Table3[[#This Row],[Scoring Margin]], 1, 0)</f>
        <v>0</v>
      </c>
      <c r="AG301" s="5">
        <f>IF(Table3[[#This Row],[Efficiency Difference]]*0.2146 -10 &gt; Table3[[#This Row],[Scoring Margin]], 1, 0)</f>
        <v>0</v>
      </c>
    </row>
    <row r="302" spans="2:33">
      <c r="B302" s="5">
        <v>56.75</v>
      </c>
      <c r="C302" s="5">
        <v>11</v>
      </c>
      <c r="X302" s="5">
        <v>56.75</v>
      </c>
      <c r="Y302" s="5">
        <v>11</v>
      </c>
      <c r="Z302" s="5">
        <f>IF(Table3[[#This Row],[Efficiency Difference]]*0.2146 &gt; Table3[[#This Row],[Scoring Margin]], 1, 0)</f>
        <v>1</v>
      </c>
      <c r="AA302" s="5">
        <f>IF(Table3[[#This Row],[Efficiency Difference]]*0.2146 + 7 &gt; Table3[[#This Row],[Scoring Margin]], 1, 0)</f>
        <v>1</v>
      </c>
      <c r="AB302" s="5">
        <f>IF(Table3[[#This Row],[Efficiency Difference]]*0.2146 + 14 &gt; Table3[[#This Row],[Scoring Margin]], 1, 0)</f>
        <v>1</v>
      </c>
      <c r="AC302" s="5">
        <f>IF(Table3[[#This Row],[Efficiency Difference]]*0.2146 + 21 &gt; Table3[[#This Row],[Scoring Margin]], 1, 0)</f>
        <v>1</v>
      </c>
      <c r="AD302" s="5">
        <f>IF(Table3[[#This Row],[Efficiency Difference]]*0.2146 -7 &gt; Table3[[#This Row],[Scoring Margin]], 1, 0)</f>
        <v>0</v>
      </c>
      <c r="AE302" s="5">
        <f>IF(Table3[[#This Row],[Efficiency Difference]]*0.2146 -3 &gt; Table3[[#This Row],[Scoring Margin]], 1, 0)</f>
        <v>0</v>
      </c>
      <c r="AF302" s="5">
        <f>IF(Table3[[#This Row],[Efficiency Difference]]*0.2146 -5 &gt; Table3[[#This Row],[Scoring Margin]], 1, 0)</f>
        <v>0</v>
      </c>
      <c r="AG302" s="5">
        <f>IF(Table3[[#This Row],[Efficiency Difference]]*0.2146 -10 &gt; Table3[[#This Row],[Scoring Margin]], 1, 0)</f>
        <v>0</v>
      </c>
    </row>
    <row r="303" spans="2:33">
      <c r="B303" s="5">
        <v>110.74000000000001</v>
      </c>
      <c r="C303" s="5">
        <v>25</v>
      </c>
      <c r="X303" s="5">
        <v>110.74000000000001</v>
      </c>
      <c r="Y303" s="5">
        <v>25</v>
      </c>
      <c r="Z303" s="5">
        <f>IF(Table3[[#This Row],[Efficiency Difference]]*0.2146 &gt; Table3[[#This Row],[Scoring Margin]], 1, 0)</f>
        <v>0</v>
      </c>
      <c r="AA303" s="5">
        <f>IF(Table3[[#This Row],[Efficiency Difference]]*0.2146 + 7 &gt; Table3[[#This Row],[Scoring Margin]], 1, 0)</f>
        <v>1</v>
      </c>
      <c r="AB303" s="5">
        <f>IF(Table3[[#This Row],[Efficiency Difference]]*0.2146 + 14 &gt; Table3[[#This Row],[Scoring Margin]], 1, 0)</f>
        <v>1</v>
      </c>
      <c r="AC303" s="5">
        <f>IF(Table3[[#This Row],[Efficiency Difference]]*0.2146 + 21 &gt; Table3[[#This Row],[Scoring Margin]], 1, 0)</f>
        <v>1</v>
      </c>
      <c r="AD303" s="5">
        <f>IF(Table3[[#This Row],[Efficiency Difference]]*0.2146 -7 &gt; Table3[[#This Row],[Scoring Margin]], 1, 0)</f>
        <v>0</v>
      </c>
      <c r="AE303" s="5">
        <f>IF(Table3[[#This Row],[Efficiency Difference]]*0.2146 -3 &gt; Table3[[#This Row],[Scoring Margin]], 1, 0)</f>
        <v>0</v>
      </c>
      <c r="AF303" s="5">
        <f>IF(Table3[[#This Row],[Efficiency Difference]]*0.2146 -5 &gt; Table3[[#This Row],[Scoring Margin]], 1, 0)</f>
        <v>0</v>
      </c>
      <c r="AG303" s="5">
        <f>IF(Table3[[#This Row],[Efficiency Difference]]*0.2146 -10 &gt; Table3[[#This Row],[Scoring Margin]], 1, 0)</f>
        <v>0</v>
      </c>
    </row>
    <row r="304" spans="2:33">
      <c r="B304" s="5">
        <v>179.03000000000003</v>
      </c>
      <c r="C304" s="5">
        <v>45</v>
      </c>
      <c r="X304" s="5">
        <v>179.03000000000003</v>
      </c>
      <c r="Y304" s="5">
        <v>45</v>
      </c>
      <c r="Z304" s="5">
        <f>IF(Table3[[#This Row],[Efficiency Difference]]*0.2146 &gt; Table3[[#This Row],[Scoring Margin]], 1, 0)</f>
        <v>0</v>
      </c>
      <c r="AA304" s="5">
        <f>IF(Table3[[#This Row],[Efficiency Difference]]*0.2146 + 7 &gt; Table3[[#This Row],[Scoring Margin]], 1, 0)</f>
        <v>1</v>
      </c>
      <c r="AB304" s="5">
        <f>IF(Table3[[#This Row],[Efficiency Difference]]*0.2146 + 14 &gt; Table3[[#This Row],[Scoring Margin]], 1, 0)</f>
        <v>1</v>
      </c>
      <c r="AC304" s="5">
        <f>IF(Table3[[#This Row],[Efficiency Difference]]*0.2146 + 21 &gt; Table3[[#This Row],[Scoring Margin]], 1, 0)</f>
        <v>1</v>
      </c>
      <c r="AD304" s="5">
        <f>IF(Table3[[#This Row],[Efficiency Difference]]*0.2146 -7 &gt; Table3[[#This Row],[Scoring Margin]], 1, 0)</f>
        <v>0</v>
      </c>
      <c r="AE304" s="5">
        <f>IF(Table3[[#This Row],[Efficiency Difference]]*0.2146 -3 &gt; Table3[[#This Row],[Scoring Margin]], 1, 0)</f>
        <v>0</v>
      </c>
      <c r="AF304" s="5">
        <f>IF(Table3[[#This Row],[Efficiency Difference]]*0.2146 -5 &gt; Table3[[#This Row],[Scoring Margin]], 1, 0)</f>
        <v>0</v>
      </c>
      <c r="AG304" s="5">
        <f>IF(Table3[[#This Row],[Efficiency Difference]]*0.2146 -10 &gt; Table3[[#This Row],[Scoring Margin]], 1, 0)</f>
        <v>0</v>
      </c>
    </row>
    <row r="305" spans="2:33">
      <c r="B305" s="5">
        <v>174.58</v>
      </c>
      <c r="C305" s="5">
        <v>44</v>
      </c>
      <c r="X305" s="5">
        <v>174.58</v>
      </c>
      <c r="Y305" s="5">
        <v>44</v>
      </c>
      <c r="Z305" s="5">
        <f>IF(Table3[[#This Row],[Efficiency Difference]]*0.2146 &gt; Table3[[#This Row],[Scoring Margin]], 1, 0)</f>
        <v>0</v>
      </c>
      <c r="AA305" s="5">
        <f>IF(Table3[[#This Row],[Efficiency Difference]]*0.2146 + 7 &gt; Table3[[#This Row],[Scoring Margin]], 1, 0)</f>
        <v>1</v>
      </c>
      <c r="AB305" s="5">
        <f>IF(Table3[[#This Row],[Efficiency Difference]]*0.2146 + 14 &gt; Table3[[#This Row],[Scoring Margin]], 1, 0)</f>
        <v>1</v>
      </c>
      <c r="AC305" s="5">
        <f>IF(Table3[[#This Row],[Efficiency Difference]]*0.2146 + 21 &gt; Table3[[#This Row],[Scoring Margin]], 1, 0)</f>
        <v>1</v>
      </c>
      <c r="AD305" s="5">
        <f>IF(Table3[[#This Row],[Efficiency Difference]]*0.2146 -7 &gt; Table3[[#This Row],[Scoring Margin]], 1, 0)</f>
        <v>0</v>
      </c>
      <c r="AE305" s="5">
        <f>IF(Table3[[#This Row],[Efficiency Difference]]*0.2146 -3 &gt; Table3[[#This Row],[Scoring Margin]], 1, 0)</f>
        <v>0</v>
      </c>
      <c r="AF305" s="5">
        <f>IF(Table3[[#This Row],[Efficiency Difference]]*0.2146 -5 &gt; Table3[[#This Row],[Scoring Margin]], 1, 0)</f>
        <v>0</v>
      </c>
      <c r="AG305" s="5">
        <f>IF(Table3[[#This Row],[Efficiency Difference]]*0.2146 -10 &gt; Table3[[#This Row],[Scoring Margin]], 1, 0)</f>
        <v>0</v>
      </c>
    </row>
    <row r="306" spans="2:33">
      <c r="B306" s="5">
        <v>168.39000000000001</v>
      </c>
      <c r="C306" s="5">
        <v>42</v>
      </c>
      <c r="X306" s="5">
        <v>168.39000000000001</v>
      </c>
      <c r="Y306" s="5">
        <v>42</v>
      </c>
      <c r="Z306" s="5">
        <f>IF(Table3[[#This Row],[Efficiency Difference]]*0.2146 &gt; Table3[[#This Row],[Scoring Margin]], 1, 0)</f>
        <v>0</v>
      </c>
      <c r="AA306" s="5">
        <f>IF(Table3[[#This Row],[Efficiency Difference]]*0.2146 + 7 &gt; Table3[[#This Row],[Scoring Margin]], 1, 0)</f>
        <v>1</v>
      </c>
      <c r="AB306" s="5">
        <f>IF(Table3[[#This Row],[Efficiency Difference]]*0.2146 + 14 &gt; Table3[[#This Row],[Scoring Margin]], 1, 0)</f>
        <v>1</v>
      </c>
      <c r="AC306" s="5">
        <f>IF(Table3[[#This Row],[Efficiency Difference]]*0.2146 + 21 &gt; Table3[[#This Row],[Scoring Margin]], 1, 0)</f>
        <v>1</v>
      </c>
      <c r="AD306" s="5">
        <f>IF(Table3[[#This Row],[Efficiency Difference]]*0.2146 -7 &gt; Table3[[#This Row],[Scoring Margin]], 1, 0)</f>
        <v>0</v>
      </c>
      <c r="AE306" s="5">
        <f>IF(Table3[[#This Row],[Efficiency Difference]]*0.2146 -3 &gt; Table3[[#This Row],[Scoring Margin]], 1, 0)</f>
        <v>0</v>
      </c>
      <c r="AF306" s="5">
        <f>IF(Table3[[#This Row],[Efficiency Difference]]*0.2146 -5 &gt; Table3[[#This Row],[Scoring Margin]], 1, 0)</f>
        <v>0</v>
      </c>
      <c r="AG306" s="5">
        <f>IF(Table3[[#This Row],[Efficiency Difference]]*0.2146 -10 &gt; Table3[[#This Row],[Scoring Margin]], 1, 0)</f>
        <v>0</v>
      </c>
    </row>
    <row r="307" spans="2:33">
      <c r="B307" s="5">
        <v>45.990000000000009</v>
      </c>
      <c r="C307" s="5">
        <v>7</v>
      </c>
      <c r="X307" s="5">
        <v>45.990000000000009</v>
      </c>
      <c r="Y307" s="5">
        <v>7</v>
      </c>
      <c r="Z307" s="5">
        <f>IF(Table3[[#This Row],[Efficiency Difference]]*0.2146 &gt; Table3[[#This Row],[Scoring Margin]], 1, 0)</f>
        <v>1</v>
      </c>
      <c r="AA307" s="5">
        <f>IF(Table3[[#This Row],[Efficiency Difference]]*0.2146 + 7 &gt; Table3[[#This Row],[Scoring Margin]], 1, 0)</f>
        <v>1</v>
      </c>
      <c r="AB307" s="5">
        <f>IF(Table3[[#This Row],[Efficiency Difference]]*0.2146 + 14 &gt; Table3[[#This Row],[Scoring Margin]], 1, 0)</f>
        <v>1</v>
      </c>
      <c r="AC307" s="5">
        <f>IF(Table3[[#This Row],[Efficiency Difference]]*0.2146 + 21 &gt; Table3[[#This Row],[Scoring Margin]], 1, 0)</f>
        <v>1</v>
      </c>
      <c r="AD307" s="5">
        <f>IF(Table3[[#This Row],[Efficiency Difference]]*0.2146 -7 &gt; Table3[[#This Row],[Scoring Margin]], 1, 0)</f>
        <v>0</v>
      </c>
      <c r="AE307" s="5">
        <f>IF(Table3[[#This Row],[Efficiency Difference]]*0.2146 -3 &gt; Table3[[#This Row],[Scoring Margin]], 1, 0)</f>
        <v>0</v>
      </c>
      <c r="AF307" s="5">
        <f>IF(Table3[[#This Row],[Efficiency Difference]]*0.2146 -5 &gt; Table3[[#This Row],[Scoring Margin]], 1, 0)</f>
        <v>0</v>
      </c>
      <c r="AG307" s="5">
        <f>IF(Table3[[#This Row],[Efficiency Difference]]*0.2146 -10 &gt; Table3[[#This Row],[Scoring Margin]], 1, 0)</f>
        <v>0</v>
      </c>
    </row>
    <row r="308" spans="2:33">
      <c r="B308" s="5">
        <v>65.079999999999984</v>
      </c>
      <c r="C308" s="5">
        <v>22</v>
      </c>
      <c r="X308" s="5">
        <v>65.079999999999984</v>
      </c>
      <c r="Y308" s="5">
        <v>22</v>
      </c>
      <c r="Z308" s="5">
        <f>IF(Table3[[#This Row],[Efficiency Difference]]*0.2146 &gt; Table3[[#This Row],[Scoring Margin]], 1, 0)</f>
        <v>0</v>
      </c>
      <c r="AA308" s="5">
        <f>IF(Table3[[#This Row],[Efficiency Difference]]*0.2146 + 7 &gt; Table3[[#This Row],[Scoring Margin]], 1, 0)</f>
        <v>0</v>
      </c>
      <c r="AB308" s="5">
        <f>IF(Table3[[#This Row],[Efficiency Difference]]*0.2146 + 14 &gt; Table3[[#This Row],[Scoring Margin]], 1, 0)</f>
        <v>1</v>
      </c>
      <c r="AC308" s="5">
        <f>IF(Table3[[#This Row],[Efficiency Difference]]*0.2146 + 21 &gt; Table3[[#This Row],[Scoring Margin]], 1, 0)</f>
        <v>1</v>
      </c>
      <c r="AD308" s="5">
        <f>IF(Table3[[#This Row],[Efficiency Difference]]*0.2146 -7 &gt; Table3[[#This Row],[Scoring Margin]], 1, 0)</f>
        <v>0</v>
      </c>
      <c r="AE308" s="5">
        <f>IF(Table3[[#This Row],[Efficiency Difference]]*0.2146 -3 &gt; Table3[[#This Row],[Scoring Margin]], 1, 0)</f>
        <v>0</v>
      </c>
      <c r="AF308" s="5">
        <f>IF(Table3[[#This Row],[Efficiency Difference]]*0.2146 -5 &gt; Table3[[#This Row],[Scoring Margin]], 1, 0)</f>
        <v>0</v>
      </c>
      <c r="AG308" s="5">
        <f>IF(Table3[[#This Row],[Efficiency Difference]]*0.2146 -10 &gt; Table3[[#This Row],[Scoring Margin]], 1, 0)</f>
        <v>0</v>
      </c>
    </row>
    <row r="309" spans="2:33">
      <c r="B309" s="5">
        <v>120.63000000000001</v>
      </c>
      <c r="C309" s="5">
        <v>18</v>
      </c>
      <c r="X309" s="5">
        <v>120.63000000000001</v>
      </c>
      <c r="Y309" s="5">
        <v>18</v>
      </c>
      <c r="Z309" s="5">
        <f>IF(Table3[[#This Row],[Efficiency Difference]]*0.2146 &gt; Table3[[#This Row],[Scoring Margin]], 1, 0)</f>
        <v>1</v>
      </c>
      <c r="AA309" s="5">
        <f>IF(Table3[[#This Row],[Efficiency Difference]]*0.2146 + 7 &gt; Table3[[#This Row],[Scoring Margin]], 1, 0)</f>
        <v>1</v>
      </c>
      <c r="AB309" s="5">
        <f>IF(Table3[[#This Row],[Efficiency Difference]]*0.2146 + 14 &gt; Table3[[#This Row],[Scoring Margin]], 1, 0)</f>
        <v>1</v>
      </c>
      <c r="AC309" s="5">
        <f>IF(Table3[[#This Row],[Efficiency Difference]]*0.2146 + 21 &gt; Table3[[#This Row],[Scoring Margin]], 1, 0)</f>
        <v>1</v>
      </c>
      <c r="AD309" s="5">
        <f>IF(Table3[[#This Row],[Efficiency Difference]]*0.2146 -7 &gt; Table3[[#This Row],[Scoring Margin]], 1, 0)</f>
        <v>1</v>
      </c>
      <c r="AE309" s="5">
        <f>IF(Table3[[#This Row],[Efficiency Difference]]*0.2146 -3 &gt; Table3[[#This Row],[Scoring Margin]], 1, 0)</f>
        <v>1</v>
      </c>
      <c r="AF309" s="5">
        <f>IF(Table3[[#This Row],[Efficiency Difference]]*0.2146 -5 &gt; Table3[[#This Row],[Scoring Margin]], 1, 0)</f>
        <v>1</v>
      </c>
      <c r="AG309" s="5">
        <f>IF(Table3[[#This Row],[Efficiency Difference]]*0.2146 -10 &gt; Table3[[#This Row],[Scoring Margin]], 1, 0)</f>
        <v>0</v>
      </c>
    </row>
    <row r="310" spans="2:33">
      <c r="B310" s="5">
        <v>10.389999999999986</v>
      </c>
      <c r="C310" s="5">
        <v>16</v>
      </c>
      <c r="X310" s="5">
        <v>10.389999999999986</v>
      </c>
      <c r="Y310" s="5">
        <v>16</v>
      </c>
      <c r="Z310" s="5">
        <f>IF(Table3[[#This Row],[Efficiency Difference]]*0.2146 &gt; Table3[[#This Row],[Scoring Margin]], 1, 0)</f>
        <v>0</v>
      </c>
      <c r="AA310" s="5">
        <f>IF(Table3[[#This Row],[Efficiency Difference]]*0.2146 + 7 &gt; Table3[[#This Row],[Scoring Margin]], 1, 0)</f>
        <v>0</v>
      </c>
      <c r="AB310" s="5">
        <f>IF(Table3[[#This Row],[Efficiency Difference]]*0.2146 + 14 &gt; Table3[[#This Row],[Scoring Margin]], 1, 0)</f>
        <v>1</v>
      </c>
      <c r="AC310" s="5">
        <f>IF(Table3[[#This Row],[Efficiency Difference]]*0.2146 + 21 &gt; Table3[[#This Row],[Scoring Margin]], 1, 0)</f>
        <v>1</v>
      </c>
      <c r="AD310" s="5">
        <f>IF(Table3[[#This Row],[Efficiency Difference]]*0.2146 -7 &gt; Table3[[#This Row],[Scoring Margin]], 1, 0)</f>
        <v>0</v>
      </c>
      <c r="AE310" s="5">
        <f>IF(Table3[[#This Row],[Efficiency Difference]]*0.2146 -3 &gt; Table3[[#This Row],[Scoring Margin]], 1, 0)</f>
        <v>0</v>
      </c>
      <c r="AF310" s="5">
        <f>IF(Table3[[#This Row],[Efficiency Difference]]*0.2146 -5 &gt; Table3[[#This Row],[Scoring Margin]], 1, 0)</f>
        <v>0</v>
      </c>
      <c r="AG310" s="5">
        <f>IF(Table3[[#This Row],[Efficiency Difference]]*0.2146 -10 &gt; Table3[[#This Row],[Scoring Margin]], 1, 0)</f>
        <v>0</v>
      </c>
    </row>
    <row r="311" spans="2:33">
      <c r="B311" s="5">
        <v>32.800000000000011</v>
      </c>
      <c r="C311" s="5">
        <v>8</v>
      </c>
      <c r="X311" s="5">
        <v>32.800000000000011</v>
      </c>
      <c r="Y311" s="5">
        <v>8</v>
      </c>
      <c r="Z311" s="5">
        <f>IF(Table3[[#This Row],[Efficiency Difference]]*0.2146 &gt; Table3[[#This Row],[Scoring Margin]], 1, 0)</f>
        <v>0</v>
      </c>
      <c r="AA311" s="5">
        <f>IF(Table3[[#This Row],[Efficiency Difference]]*0.2146 + 7 &gt; Table3[[#This Row],[Scoring Margin]], 1, 0)</f>
        <v>1</v>
      </c>
      <c r="AB311" s="5">
        <f>IF(Table3[[#This Row],[Efficiency Difference]]*0.2146 + 14 &gt; Table3[[#This Row],[Scoring Margin]], 1, 0)</f>
        <v>1</v>
      </c>
      <c r="AC311" s="5">
        <f>IF(Table3[[#This Row],[Efficiency Difference]]*0.2146 + 21 &gt; Table3[[#This Row],[Scoring Margin]], 1, 0)</f>
        <v>1</v>
      </c>
      <c r="AD311" s="5">
        <f>IF(Table3[[#This Row],[Efficiency Difference]]*0.2146 -7 &gt; Table3[[#This Row],[Scoring Margin]], 1, 0)</f>
        <v>0</v>
      </c>
      <c r="AE311" s="5">
        <f>IF(Table3[[#This Row],[Efficiency Difference]]*0.2146 -3 &gt; Table3[[#This Row],[Scoring Margin]], 1, 0)</f>
        <v>0</v>
      </c>
      <c r="AF311" s="5">
        <f>IF(Table3[[#This Row],[Efficiency Difference]]*0.2146 -5 &gt; Table3[[#This Row],[Scoring Margin]], 1, 0)</f>
        <v>0</v>
      </c>
      <c r="AG311" s="5">
        <f>IF(Table3[[#This Row],[Efficiency Difference]]*0.2146 -10 &gt; Table3[[#This Row],[Scoring Margin]], 1, 0)</f>
        <v>0</v>
      </c>
    </row>
    <row r="312" spans="2:33">
      <c r="B312" s="5">
        <v>104.67000000000002</v>
      </c>
      <c r="C312" s="5">
        <v>18</v>
      </c>
      <c r="X312" s="5">
        <v>104.67000000000002</v>
      </c>
      <c r="Y312" s="5">
        <v>18</v>
      </c>
      <c r="Z312" s="5">
        <f>IF(Table3[[#This Row],[Efficiency Difference]]*0.2146 &gt; Table3[[#This Row],[Scoring Margin]], 1, 0)</f>
        <v>1</v>
      </c>
      <c r="AA312" s="5">
        <f>IF(Table3[[#This Row],[Efficiency Difference]]*0.2146 + 7 &gt; Table3[[#This Row],[Scoring Margin]], 1, 0)</f>
        <v>1</v>
      </c>
      <c r="AB312" s="5">
        <f>IF(Table3[[#This Row],[Efficiency Difference]]*0.2146 + 14 &gt; Table3[[#This Row],[Scoring Margin]], 1, 0)</f>
        <v>1</v>
      </c>
      <c r="AC312" s="5">
        <f>IF(Table3[[#This Row],[Efficiency Difference]]*0.2146 + 21 &gt; Table3[[#This Row],[Scoring Margin]], 1, 0)</f>
        <v>1</v>
      </c>
      <c r="AD312" s="5">
        <f>IF(Table3[[#This Row],[Efficiency Difference]]*0.2146 -7 &gt; Table3[[#This Row],[Scoring Margin]], 1, 0)</f>
        <v>0</v>
      </c>
      <c r="AE312" s="5">
        <f>IF(Table3[[#This Row],[Efficiency Difference]]*0.2146 -3 &gt; Table3[[#This Row],[Scoring Margin]], 1, 0)</f>
        <v>1</v>
      </c>
      <c r="AF312" s="5">
        <f>IF(Table3[[#This Row],[Efficiency Difference]]*0.2146 -5 &gt; Table3[[#This Row],[Scoring Margin]], 1, 0)</f>
        <v>0</v>
      </c>
      <c r="AG312" s="5">
        <f>IF(Table3[[#This Row],[Efficiency Difference]]*0.2146 -10 &gt; Table3[[#This Row],[Scoring Margin]], 1, 0)</f>
        <v>0</v>
      </c>
    </row>
    <row r="313" spans="2:33">
      <c r="B313" s="5">
        <v>29.599999999999966</v>
      </c>
      <c r="C313" s="5">
        <v>4</v>
      </c>
      <c r="X313" s="5">
        <v>29.599999999999966</v>
      </c>
      <c r="Y313" s="5">
        <v>4</v>
      </c>
      <c r="Z313" s="5">
        <f>IF(Table3[[#This Row],[Efficiency Difference]]*0.2146 &gt; Table3[[#This Row],[Scoring Margin]], 1, 0)</f>
        <v>1</v>
      </c>
      <c r="AA313" s="5">
        <f>IF(Table3[[#This Row],[Efficiency Difference]]*0.2146 + 7 &gt; Table3[[#This Row],[Scoring Margin]], 1, 0)</f>
        <v>1</v>
      </c>
      <c r="AB313" s="5">
        <f>IF(Table3[[#This Row],[Efficiency Difference]]*0.2146 + 14 &gt; Table3[[#This Row],[Scoring Margin]], 1, 0)</f>
        <v>1</v>
      </c>
      <c r="AC313" s="5">
        <f>IF(Table3[[#This Row],[Efficiency Difference]]*0.2146 + 21 &gt; Table3[[#This Row],[Scoring Margin]], 1, 0)</f>
        <v>1</v>
      </c>
      <c r="AD313" s="5">
        <f>IF(Table3[[#This Row],[Efficiency Difference]]*0.2146 -7 &gt; Table3[[#This Row],[Scoring Margin]], 1, 0)</f>
        <v>0</v>
      </c>
      <c r="AE313" s="5">
        <f>IF(Table3[[#This Row],[Efficiency Difference]]*0.2146 -3 &gt; Table3[[#This Row],[Scoring Margin]], 1, 0)</f>
        <v>0</v>
      </c>
      <c r="AF313" s="5">
        <f>IF(Table3[[#This Row],[Efficiency Difference]]*0.2146 -5 &gt; Table3[[#This Row],[Scoring Margin]], 1, 0)</f>
        <v>0</v>
      </c>
      <c r="AG313" s="5">
        <f>IF(Table3[[#This Row],[Efficiency Difference]]*0.2146 -10 &gt; Table3[[#This Row],[Scoring Margin]], 1, 0)</f>
        <v>0</v>
      </c>
    </row>
    <row r="314" spans="2:33">
      <c r="B314" s="5">
        <v>26.45999999999998</v>
      </c>
      <c r="C314" s="5">
        <v>3</v>
      </c>
      <c r="X314" s="5">
        <v>26.45999999999998</v>
      </c>
      <c r="Y314" s="5">
        <v>3</v>
      </c>
      <c r="Z314" s="5">
        <f>IF(Table3[[#This Row],[Efficiency Difference]]*0.2146 &gt; Table3[[#This Row],[Scoring Margin]], 1, 0)</f>
        <v>1</v>
      </c>
      <c r="AA314" s="5">
        <f>IF(Table3[[#This Row],[Efficiency Difference]]*0.2146 + 7 &gt; Table3[[#This Row],[Scoring Margin]], 1, 0)</f>
        <v>1</v>
      </c>
      <c r="AB314" s="5">
        <f>IF(Table3[[#This Row],[Efficiency Difference]]*0.2146 + 14 &gt; Table3[[#This Row],[Scoring Margin]], 1, 0)</f>
        <v>1</v>
      </c>
      <c r="AC314" s="5">
        <f>IF(Table3[[#This Row],[Efficiency Difference]]*0.2146 + 21 &gt; Table3[[#This Row],[Scoring Margin]], 1, 0)</f>
        <v>1</v>
      </c>
      <c r="AD314" s="5">
        <f>IF(Table3[[#This Row],[Efficiency Difference]]*0.2146 -7 &gt; Table3[[#This Row],[Scoring Margin]], 1, 0)</f>
        <v>0</v>
      </c>
      <c r="AE314" s="5">
        <f>IF(Table3[[#This Row],[Efficiency Difference]]*0.2146 -3 &gt; Table3[[#This Row],[Scoring Margin]], 1, 0)</f>
        <v>0</v>
      </c>
      <c r="AF314" s="5">
        <f>IF(Table3[[#This Row],[Efficiency Difference]]*0.2146 -5 &gt; Table3[[#This Row],[Scoring Margin]], 1, 0)</f>
        <v>0</v>
      </c>
      <c r="AG314" s="5">
        <f>IF(Table3[[#This Row],[Efficiency Difference]]*0.2146 -10 &gt; Table3[[#This Row],[Scoring Margin]], 1, 0)</f>
        <v>0</v>
      </c>
    </row>
    <row r="315" spans="2:33">
      <c r="B315" s="5">
        <v>35.820000000000022</v>
      </c>
      <c r="C315" s="5">
        <v>6</v>
      </c>
      <c r="X315" s="5">
        <v>35.820000000000022</v>
      </c>
      <c r="Y315" s="5">
        <v>6</v>
      </c>
      <c r="Z315" s="5">
        <f>IF(Table3[[#This Row],[Efficiency Difference]]*0.2146 &gt; Table3[[#This Row],[Scoring Margin]], 1, 0)</f>
        <v>1</v>
      </c>
      <c r="AA315" s="5">
        <f>IF(Table3[[#This Row],[Efficiency Difference]]*0.2146 + 7 &gt; Table3[[#This Row],[Scoring Margin]], 1, 0)</f>
        <v>1</v>
      </c>
      <c r="AB315" s="5">
        <f>IF(Table3[[#This Row],[Efficiency Difference]]*0.2146 + 14 &gt; Table3[[#This Row],[Scoring Margin]], 1, 0)</f>
        <v>1</v>
      </c>
      <c r="AC315" s="5">
        <f>IF(Table3[[#This Row],[Efficiency Difference]]*0.2146 + 21 &gt; Table3[[#This Row],[Scoring Margin]], 1, 0)</f>
        <v>1</v>
      </c>
      <c r="AD315" s="5">
        <f>IF(Table3[[#This Row],[Efficiency Difference]]*0.2146 -7 &gt; Table3[[#This Row],[Scoring Margin]], 1, 0)</f>
        <v>0</v>
      </c>
      <c r="AE315" s="5">
        <f>IF(Table3[[#This Row],[Efficiency Difference]]*0.2146 -3 &gt; Table3[[#This Row],[Scoring Margin]], 1, 0)</f>
        <v>0</v>
      </c>
      <c r="AF315" s="5">
        <f>IF(Table3[[#This Row],[Efficiency Difference]]*0.2146 -5 &gt; Table3[[#This Row],[Scoring Margin]], 1, 0)</f>
        <v>0</v>
      </c>
      <c r="AG315" s="5">
        <f>IF(Table3[[#This Row],[Efficiency Difference]]*0.2146 -10 &gt; Table3[[#This Row],[Scoring Margin]], 1, 0)</f>
        <v>0</v>
      </c>
    </row>
    <row r="316" spans="2:33">
      <c r="B316" s="5">
        <v>61.400000000000006</v>
      </c>
      <c r="C316" s="5">
        <v>11</v>
      </c>
      <c r="X316" s="5">
        <v>61.400000000000006</v>
      </c>
      <c r="Y316" s="5">
        <v>11</v>
      </c>
      <c r="Z316" s="5">
        <f>IF(Table3[[#This Row],[Efficiency Difference]]*0.2146 &gt; Table3[[#This Row],[Scoring Margin]], 1, 0)</f>
        <v>1</v>
      </c>
      <c r="AA316" s="5">
        <f>IF(Table3[[#This Row],[Efficiency Difference]]*0.2146 + 7 &gt; Table3[[#This Row],[Scoring Margin]], 1, 0)</f>
        <v>1</v>
      </c>
      <c r="AB316" s="5">
        <f>IF(Table3[[#This Row],[Efficiency Difference]]*0.2146 + 14 &gt; Table3[[#This Row],[Scoring Margin]], 1, 0)</f>
        <v>1</v>
      </c>
      <c r="AC316" s="5">
        <f>IF(Table3[[#This Row],[Efficiency Difference]]*0.2146 + 21 &gt; Table3[[#This Row],[Scoring Margin]], 1, 0)</f>
        <v>1</v>
      </c>
      <c r="AD316" s="5">
        <f>IF(Table3[[#This Row],[Efficiency Difference]]*0.2146 -7 &gt; Table3[[#This Row],[Scoring Margin]], 1, 0)</f>
        <v>0</v>
      </c>
      <c r="AE316" s="5">
        <f>IF(Table3[[#This Row],[Efficiency Difference]]*0.2146 -3 &gt; Table3[[#This Row],[Scoring Margin]], 1, 0)</f>
        <v>0</v>
      </c>
      <c r="AF316" s="5">
        <f>IF(Table3[[#This Row],[Efficiency Difference]]*0.2146 -5 &gt; Table3[[#This Row],[Scoring Margin]], 1, 0)</f>
        <v>0</v>
      </c>
      <c r="AG316" s="5">
        <f>IF(Table3[[#This Row],[Efficiency Difference]]*0.2146 -10 &gt; Table3[[#This Row],[Scoring Margin]], 1, 0)</f>
        <v>0</v>
      </c>
    </row>
    <row r="317" spans="2:33">
      <c r="B317" s="5">
        <v>32.849999999999966</v>
      </c>
      <c r="C317" s="5">
        <v>6</v>
      </c>
      <c r="X317" s="5">
        <v>32.849999999999966</v>
      </c>
      <c r="Y317" s="5">
        <v>6</v>
      </c>
      <c r="Z317" s="5">
        <f>IF(Table3[[#This Row],[Efficiency Difference]]*0.2146 &gt; Table3[[#This Row],[Scoring Margin]], 1, 0)</f>
        <v>1</v>
      </c>
      <c r="AA317" s="5">
        <f>IF(Table3[[#This Row],[Efficiency Difference]]*0.2146 + 7 &gt; Table3[[#This Row],[Scoring Margin]], 1, 0)</f>
        <v>1</v>
      </c>
      <c r="AB317" s="5">
        <f>IF(Table3[[#This Row],[Efficiency Difference]]*0.2146 + 14 &gt; Table3[[#This Row],[Scoring Margin]], 1, 0)</f>
        <v>1</v>
      </c>
      <c r="AC317" s="5">
        <f>IF(Table3[[#This Row],[Efficiency Difference]]*0.2146 + 21 &gt; Table3[[#This Row],[Scoring Margin]], 1, 0)</f>
        <v>1</v>
      </c>
      <c r="AD317" s="5">
        <f>IF(Table3[[#This Row],[Efficiency Difference]]*0.2146 -7 &gt; Table3[[#This Row],[Scoring Margin]], 1, 0)</f>
        <v>0</v>
      </c>
      <c r="AE317" s="5">
        <f>IF(Table3[[#This Row],[Efficiency Difference]]*0.2146 -3 &gt; Table3[[#This Row],[Scoring Margin]], 1, 0)</f>
        <v>0</v>
      </c>
      <c r="AF317" s="5">
        <f>IF(Table3[[#This Row],[Efficiency Difference]]*0.2146 -5 &gt; Table3[[#This Row],[Scoring Margin]], 1, 0)</f>
        <v>0</v>
      </c>
      <c r="AG317" s="5">
        <f>IF(Table3[[#This Row],[Efficiency Difference]]*0.2146 -10 &gt; Table3[[#This Row],[Scoring Margin]], 1, 0)</f>
        <v>0</v>
      </c>
    </row>
    <row r="318" spans="2:33">
      <c r="B318" s="5">
        <v>88.72</v>
      </c>
      <c r="C318" s="5">
        <v>14</v>
      </c>
      <c r="X318" s="5">
        <v>88.72</v>
      </c>
      <c r="Y318" s="5">
        <v>14</v>
      </c>
      <c r="Z318" s="5">
        <f>IF(Table3[[#This Row],[Efficiency Difference]]*0.2146 &gt; Table3[[#This Row],[Scoring Margin]], 1, 0)</f>
        <v>1</v>
      </c>
      <c r="AA318" s="5">
        <f>IF(Table3[[#This Row],[Efficiency Difference]]*0.2146 + 7 &gt; Table3[[#This Row],[Scoring Margin]], 1, 0)</f>
        <v>1</v>
      </c>
      <c r="AB318" s="5">
        <f>IF(Table3[[#This Row],[Efficiency Difference]]*0.2146 + 14 &gt; Table3[[#This Row],[Scoring Margin]], 1, 0)</f>
        <v>1</v>
      </c>
      <c r="AC318" s="5">
        <f>IF(Table3[[#This Row],[Efficiency Difference]]*0.2146 + 21 &gt; Table3[[#This Row],[Scoring Margin]], 1, 0)</f>
        <v>1</v>
      </c>
      <c r="AD318" s="5">
        <f>IF(Table3[[#This Row],[Efficiency Difference]]*0.2146 -7 &gt; Table3[[#This Row],[Scoring Margin]], 1, 0)</f>
        <v>0</v>
      </c>
      <c r="AE318" s="5">
        <f>IF(Table3[[#This Row],[Efficiency Difference]]*0.2146 -3 &gt; Table3[[#This Row],[Scoring Margin]], 1, 0)</f>
        <v>1</v>
      </c>
      <c r="AF318" s="5">
        <f>IF(Table3[[#This Row],[Efficiency Difference]]*0.2146 -5 &gt; Table3[[#This Row],[Scoring Margin]], 1, 0)</f>
        <v>1</v>
      </c>
      <c r="AG318" s="5">
        <f>IF(Table3[[#This Row],[Efficiency Difference]]*0.2146 -10 &gt; Table3[[#This Row],[Scoring Margin]], 1, 0)</f>
        <v>0</v>
      </c>
    </row>
    <row r="319" spans="2:33">
      <c r="B319" s="5">
        <v>78.42</v>
      </c>
      <c r="C319" s="5">
        <v>27</v>
      </c>
      <c r="X319" s="5">
        <v>78.42</v>
      </c>
      <c r="Y319" s="5">
        <v>27</v>
      </c>
      <c r="Z319" s="5">
        <f>IF(Table3[[#This Row],[Efficiency Difference]]*0.2146 &gt; Table3[[#This Row],[Scoring Margin]], 1, 0)</f>
        <v>0</v>
      </c>
      <c r="AA319" s="5">
        <f>IF(Table3[[#This Row],[Efficiency Difference]]*0.2146 + 7 &gt; Table3[[#This Row],[Scoring Margin]], 1, 0)</f>
        <v>0</v>
      </c>
      <c r="AB319" s="5">
        <f>IF(Table3[[#This Row],[Efficiency Difference]]*0.2146 + 14 &gt; Table3[[#This Row],[Scoring Margin]], 1, 0)</f>
        <v>1</v>
      </c>
      <c r="AC319" s="5">
        <f>IF(Table3[[#This Row],[Efficiency Difference]]*0.2146 + 21 &gt; Table3[[#This Row],[Scoring Margin]], 1, 0)</f>
        <v>1</v>
      </c>
      <c r="AD319" s="5">
        <f>IF(Table3[[#This Row],[Efficiency Difference]]*0.2146 -7 &gt; Table3[[#This Row],[Scoring Margin]], 1, 0)</f>
        <v>0</v>
      </c>
      <c r="AE319" s="5">
        <f>IF(Table3[[#This Row],[Efficiency Difference]]*0.2146 -3 &gt; Table3[[#This Row],[Scoring Margin]], 1, 0)</f>
        <v>0</v>
      </c>
      <c r="AF319" s="5">
        <f>IF(Table3[[#This Row],[Efficiency Difference]]*0.2146 -5 &gt; Table3[[#This Row],[Scoring Margin]], 1, 0)</f>
        <v>0</v>
      </c>
      <c r="AG319" s="5">
        <f>IF(Table3[[#This Row],[Efficiency Difference]]*0.2146 -10 &gt; Table3[[#This Row],[Scoring Margin]], 1, 0)</f>
        <v>0</v>
      </c>
    </row>
    <row r="320" spans="2:33">
      <c r="B320" s="5">
        <v>30.710000000000022</v>
      </c>
      <c r="C320" s="5">
        <v>6</v>
      </c>
      <c r="X320" s="5">
        <v>30.710000000000022</v>
      </c>
      <c r="Y320" s="5">
        <v>6</v>
      </c>
      <c r="Z320" s="5">
        <f>IF(Table3[[#This Row],[Efficiency Difference]]*0.2146 &gt; Table3[[#This Row],[Scoring Margin]], 1, 0)</f>
        <v>1</v>
      </c>
      <c r="AA320" s="5">
        <f>IF(Table3[[#This Row],[Efficiency Difference]]*0.2146 + 7 &gt; Table3[[#This Row],[Scoring Margin]], 1, 0)</f>
        <v>1</v>
      </c>
      <c r="AB320" s="5">
        <f>IF(Table3[[#This Row],[Efficiency Difference]]*0.2146 + 14 &gt; Table3[[#This Row],[Scoring Margin]], 1, 0)</f>
        <v>1</v>
      </c>
      <c r="AC320" s="5">
        <f>IF(Table3[[#This Row],[Efficiency Difference]]*0.2146 + 21 &gt; Table3[[#This Row],[Scoring Margin]], 1, 0)</f>
        <v>1</v>
      </c>
      <c r="AD320" s="5">
        <f>IF(Table3[[#This Row],[Efficiency Difference]]*0.2146 -7 &gt; Table3[[#This Row],[Scoring Margin]], 1, 0)</f>
        <v>0</v>
      </c>
      <c r="AE320" s="5">
        <f>IF(Table3[[#This Row],[Efficiency Difference]]*0.2146 -3 &gt; Table3[[#This Row],[Scoring Margin]], 1, 0)</f>
        <v>0</v>
      </c>
      <c r="AF320" s="5">
        <f>IF(Table3[[#This Row],[Efficiency Difference]]*0.2146 -5 &gt; Table3[[#This Row],[Scoring Margin]], 1, 0)</f>
        <v>0</v>
      </c>
      <c r="AG320" s="5">
        <f>IF(Table3[[#This Row],[Efficiency Difference]]*0.2146 -10 &gt; Table3[[#This Row],[Scoring Margin]], 1, 0)</f>
        <v>0</v>
      </c>
    </row>
    <row r="321" spans="2:33">
      <c r="B321" s="5">
        <v>151.51</v>
      </c>
      <c r="C321" s="5">
        <v>21</v>
      </c>
      <c r="X321" s="5">
        <v>151.51</v>
      </c>
      <c r="Y321" s="5">
        <v>21</v>
      </c>
      <c r="Z321" s="5">
        <f>IF(Table3[[#This Row],[Efficiency Difference]]*0.2146 &gt; Table3[[#This Row],[Scoring Margin]], 1, 0)</f>
        <v>1</v>
      </c>
      <c r="AA321" s="5">
        <f>IF(Table3[[#This Row],[Efficiency Difference]]*0.2146 + 7 &gt; Table3[[#This Row],[Scoring Margin]], 1, 0)</f>
        <v>1</v>
      </c>
      <c r="AB321" s="5">
        <f>IF(Table3[[#This Row],[Efficiency Difference]]*0.2146 + 14 &gt; Table3[[#This Row],[Scoring Margin]], 1, 0)</f>
        <v>1</v>
      </c>
      <c r="AC321" s="5">
        <f>IF(Table3[[#This Row],[Efficiency Difference]]*0.2146 + 21 &gt; Table3[[#This Row],[Scoring Margin]], 1, 0)</f>
        <v>1</v>
      </c>
      <c r="AD321" s="5">
        <f>IF(Table3[[#This Row],[Efficiency Difference]]*0.2146 -7 &gt; Table3[[#This Row],[Scoring Margin]], 1, 0)</f>
        <v>1</v>
      </c>
      <c r="AE321" s="5">
        <f>IF(Table3[[#This Row],[Efficiency Difference]]*0.2146 -3 &gt; Table3[[#This Row],[Scoring Margin]], 1, 0)</f>
        <v>1</v>
      </c>
      <c r="AF321" s="5">
        <f>IF(Table3[[#This Row],[Efficiency Difference]]*0.2146 -5 &gt; Table3[[#This Row],[Scoring Margin]], 1, 0)</f>
        <v>1</v>
      </c>
      <c r="AG321" s="5">
        <f>IF(Table3[[#This Row],[Efficiency Difference]]*0.2146 -10 &gt; Table3[[#This Row],[Scoring Margin]], 1, 0)</f>
        <v>1</v>
      </c>
    </row>
    <row r="322" spans="2:33">
      <c r="B322" s="5">
        <v>8.2900000000000205</v>
      </c>
      <c r="C322" s="5">
        <v>4</v>
      </c>
      <c r="X322" s="5">
        <v>8.2900000000000205</v>
      </c>
      <c r="Y322" s="5">
        <v>4</v>
      </c>
      <c r="Z322" s="5">
        <f>IF(Table3[[#This Row],[Efficiency Difference]]*0.2146 &gt; Table3[[#This Row],[Scoring Margin]], 1, 0)</f>
        <v>0</v>
      </c>
      <c r="AA322" s="5">
        <f>IF(Table3[[#This Row],[Efficiency Difference]]*0.2146 + 7 &gt; Table3[[#This Row],[Scoring Margin]], 1, 0)</f>
        <v>1</v>
      </c>
      <c r="AB322" s="5">
        <f>IF(Table3[[#This Row],[Efficiency Difference]]*0.2146 + 14 &gt; Table3[[#This Row],[Scoring Margin]], 1, 0)</f>
        <v>1</v>
      </c>
      <c r="AC322" s="5">
        <f>IF(Table3[[#This Row],[Efficiency Difference]]*0.2146 + 21 &gt; Table3[[#This Row],[Scoring Margin]], 1, 0)</f>
        <v>1</v>
      </c>
      <c r="AD322" s="5">
        <f>IF(Table3[[#This Row],[Efficiency Difference]]*0.2146 -7 &gt; Table3[[#This Row],[Scoring Margin]], 1, 0)</f>
        <v>0</v>
      </c>
      <c r="AE322" s="5">
        <f>IF(Table3[[#This Row],[Efficiency Difference]]*0.2146 -3 &gt; Table3[[#This Row],[Scoring Margin]], 1, 0)</f>
        <v>0</v>
      </c>
      <c r="AF322" s="5">
        <f>IF(Table3[[#This Row],[Efficiency Difference]]*0.2146 -5 &gt; Table3[[#This Row],[Scoring Margin]], 1, 0)</f>
        <v>0</v>
      </c>
      <c r="AG322" s="5">
        <f>IF(Table3[[#This Row],[Efficiency Difference]]*0.2146 -10 &gt; Table3[[#This Row],[Scoring Margin]], 1, 0)</f>
        <v>0</v>
      </c>
    </row>
    <row r="323" spans="2:33">
      <c r="B323" s="5">
        <v>59.420000000000016</v>
      </c>
      <c r="C323" s="5">
        <v>21</v>
      </c>
      <c r="X323" s="5">
        <v>59.420000000000016</v>
      </c>
      <c r="Y323" s="5">
        <v>21</v>
      </c>
      <c r="Z323" s="5">
        <f>IF(Table3[[#This Row],[Efficiency Difference]]*0.2146 &gt; Table3[[#This Row],[Scoring Margin]], 1, 0)</f>
        <v>0</v>
      </c>
      <c r="AA323" s="5">
        <f>IF(Table3[[#This Row],[Efficiency Difference]]*0.2146 + 7 &gt; Table3[[#This Row],[Scoring Margin]], 1, 0)</f>
        <v>0</v>
      </c>
      <c r="AB323" s="5">
        <f>IF(Table3[[#This Row],[Efficiency Difference]]*0.2146 + 14 &gt; Table3[[#This Row],[Scoring Margin]], 1, 0)</f>
        <v>1</v>
      </c>
      <c r="AC323" s="5">
        <f>IF(Table3[[#This Row],[Efficiency Difference]]*0.2146 + 21 &gt; Table3[[#This Row],[Scoring Margin]], 1, 0)</f>
        <v>1</v>
      </c>
      <c r="AD323" s="5">
        <f>IF(Table3[[#This Row],[Efficiency Difference]]*0.2146 -7 &gt; Table3[[#This Row],[Scoring Margin]], 1, 0)</f>
        <v>0</v>
      </c>
      <c r="AE323" s="5">
        <f>IF(Table3[[#This Row],[Efficiency Difference]]*0.2146 -3 &gt; Table3[[#This Row],[Scoring Margin]], 1, 0)</f>
        <v>0</v>
      </c>
      <c r="AF323" s="5">
        <f>IF(Table3[[#This Row],[Efficiency Difference]]*0.2146 -5 &gt; Table3[[#This Row],[Scoring Margin]], 1, 0)</f>
        <v>0</v>
      </c>
      <c r="AG323" s="5">
        <f>IF(Table3[[#This Row],[Efficiency Difference]]*0.2146 -10 &gt; Table3[[#This Row],[Scoring Margin]], 1, 0)</f>
        <v>0</v>
      </c>
    </row>
    <row r="324" spans="2:33">
      <c r="B324" s="5">
        <v>202.64</v>
      </c>
      <c r="C324" s="5">
        <v>58</v>
      </c>
      <c r="X324" s="5">
        <v>202.64</v>
      </c>
      <c r="Y324" s="5">
        <v>58</v>
      </c>
      <c r="Z324" s="5">
        <f>IF(Table3[[#This Row],[Efficiency Difference]]*0.2146 &gt; Table3[[#This Row],[Scoring Margin]], 1, 0)</f>
        <v>0</v>
      </c>
      <c r="AA324" s="5">
        <f>IF(Table3[[#This Row],[Efficiency Difference]]*0.2146 + 7 &gt; Table3[[#This Row],[Scoring Margin]], 1, 0)</f>
        <v>0</v>
      </c>
      <c r="AB324" s="5">
        <f>IF(Table3[[#This Row],[Efficiency Difference]]*0.2146 + 14 &gt; Table3[[#This Row],[Scoring Margin]], 1, 0)</f>
        <v>0</v>
      </c>
      <c r="AC324" s="5">
        <f>IF(Table3[[#This Row],[Efficiency Difference]]*0.2146 + 21 &gt; Table3[[#This Row],[Scoring Margin]], 1, 0)</f>
        <v>1</v>
      </c>
      <c r="AD324" s="5">
        <f>IF(Table3[[#This Row],[Efficiency Difference]]*0.2146 -7 &gt; Table3[[#This Row],[Scoring Margin]], 1, 0)</f>
        <v>0</v>
      </c>
      <c r="AE324" s="5">
        <f>IF(Table3[[#This Row],[Efficiency Difference]]*0.2146 -3 &gt; Table3[[#This Row],[Scoring Margin]], 1, 0)</f>
        <v>0</v>
      </c>
      <c r="AF324" s="5">
        <f>IF(Table3[[#This Row],[Efficiency Difference]]*0.2146 -5 &gt; Table3[[#This Row],[Scoring Margin]], 1, 0)</f>
        <v>0</v>
      </c>
      <c r="AG324" s="5">
        <f>IF(Table3[[#This Row],[Efficiency Difference]]*0.2146 -10 &gt; Table3[[#This Row],[Scoring Margin]], 1, 0)</f>
        <v>0</v>
      </c>
    </row>
    <row r="325" spans="2:33">
      <c r="B325" s="5">
        <v>2.1200000000000045</v>
      </c>
      <c r="C325" s="5">
        <v>18</v>
      </c>
      <c r="X325" s="5">
        <v>2.1200000000000045</v>
      </c>
      <c r="Y325" s="5">
        <v>18</v>
      </c>
      <c r="Z325" s="5">
        <f>IF(Table3[[#This Row],[Efficiency Difference]]*0.2146 &gt; Table3[[#This Row],[Scoring Margin]], 1, 0)</f>
        <v>0</v>
      </c>
      <c r="AA325" s="5">
        <f>IF(Table3[[#This Row],[Efficiency Difference]]*0.2146 + 7 &gt; Table3[[#This Row],[Scoring Margin]], 1, 0)</f>
        <v>0</v>
      </c>
      <c r="AB325" s="5">
        <f>IF(Table3[[#This Row],[Efficiency Difference]]*0.2146 + 14 &gt; Table3[[#This Row],[Scoring Margin]], 1, 0)</f>
        <v>0</v>
      </c>
      <c r="AC325" s="5">
        <f>IF(Table3[[#This Row],[Efficiency Difference]]*0.2146 + 21 &gt; Table3[[#This Row],[Scoring Margin]], 1, 0)</f>
        <v>1</v>
      </c>
      <c r="AD325" s="5">
        <f>IF(Table3[[#This Row],[Efficiency Difference]]*0.2146 -7 &gt; Table3[[#This Row],[Scoring Margin]], 1, 0)</f>
        <v>0</v>
      </c>
      <c r="AE325" s="5">
        <f>IF(Table3[[#This Row],[Efficiency Difference]]*0.2146 -3 &gt; Table3[[#This Row],[Scoring Margin]], 1, 0)</f>
        <v>0</v>
      </c>
      <c r="AF325" s="5">
        <f>IF(Table3[[#This Row],[Efficiency Difference]]*0.2146 -5 &gt; Table3[[#This Row],[Scoring Margin]], 1, 0)</f>
        <v>0</v>
      </c>
      <c r="AG325" s="5">
        <f>IF(Table3[[#This Row],[Efficiency Difference]]*0.2146 -10 &gt; Table3[[#This Row],[Scoring Margin]], 1, 0)</f>
        <v>0</v>
      </c>
    </row>
    <row r="326" spans="2:33">
      <c r="B326" s="5">
        <v>88.670000000000016</v>
      </c>
      <c r="C326" s="5">
        <v>14</v>
      </c>
      <c r="X326" s="5">
        <v>88.670000000000016</v>
      </c>
      <c r="Y326" s="5">
        <v>14</v>
      </c>
      <c r="Z326" s="5">
        <f>IF(Table3[[#This Row],[Efficiency Difference]]*0.2146 &gt; Table3[[#This Row],[Scoring Margin]], 1, 0)</f>
        <v>1</v>
      </c>
      <c r="AA326" s="5">
        <f>IF(Table3[[#This Row],[Efficiency Difference]]*0.2146 + 7 &gt; Table3[[#This Row],[Scoring Margin]], 1, 0)</f>
        <v>1</v>
      </c>
      <c r="AB326" s="5">
        <f>IF(Table3[[#This Row],[Efficiency Difference]]*0.2146 + 14 &gt; Table3[[#This Row],[Scoring Margin]], 1, 0)</f>
        <v>1</v>
      </c>
      <c r="AC326" s="5">
        <f>IF(Table3[[#This Row],[Efficiency Difference]]*0.2146 + 21 &gt; Table3[[#This Row],[Scoring Margin]], 1, 0)</f>
        <v>1</v>
      </c>
      <c r="AD326" s="5">
        <f>IF(Table3[[#This Row],[Efficiency Difference]]*0.2146 -7 &gt; Table3[[#This Row],[Scoring Margin]], 1, 0)</f>
        <v>0</v>
      </c>
      <c r="AE326" s="5">
        <f>IF(Table3[[#This Row],[Efficiency Difference]]*0.2146 -3 &gt; Table3[[#This Row],[Scoring Margin]], 1, 0)</f>
        <v>1</v>
      </c>
      <c r="AF326" s="5">
        <f>IF(Table3[[#This Row],[Efficiency Difference]]*0.2146 -5 &gt; Table3[[#This Row],[Scoring Margin]], 1, 0)</f>
        <v>1</v>
      </c>
      <c r="AG326" s="5">
        <f>IF(Table3[[#This Row],[Efficiency Difference]]*0.2146 -10 &gt; Table3[[#This Row],[Scoring Margin]], 1, 0)</f>
        <v>0</v>
      </c>
    </row>
    <row r="327" spans="2:33">
      <c r="B327" s="5">
        <v>60.890000000000015</v>
      </c>
      <c r="C327" s="5">
        <v>18</v>
      </c>
      <c r="X327" s="5">
        <v>60.890000000000015</v>
      </c>
      <c r="Y327" s="5">
        <v>18</v>
      </c>
      <c r="Z327" s="5">
        <f>IF(Table3[[#This Row],[Efficiency Difference]]*0.2146 &gt; Table3[[#This Row],[Scoring Margin]], 1, 0)</f>
        <v>0</v>
      </c>
      <c r="AA327" s="5">
        <f>IF(Table3[[#This Row],[Efficiency Difference]]*0.2146 + 7 &gt; Table3[[#This Row],[Scoring Margin]], 1, 0)</f>
        <v>1</v>
      </c>
      <c r="AB327" s="5">
        <f>IF(Table3[[#This Row],[Efficiency Difference]]*0.2146 + 14 &gt; Table3[[#This Row],[Scoring Margin]], 1, 0)</f>
        <v>1</v>
      </c>
      <c r="AC327" s="5">
        <f>IF(Table3[[#This Row],[Efficiency Difference]]*0.2146 + 21 &gt; Table3[[#This Row],[Scoring Margin]], 1, 0)</f>
        <v>1</v>
      </c>
      <c r="AD327" s="5">
        <f>IF(Table3[[#This Row],[Efficiency Difference]]*0.2146 -7 &gt; Table3[[#This Row],[Scoring Margin]], 1, 0)</f>
        <v>0</v>
      </c>
      <c r="AE327" s="5">
        <f>IF(Table3[[#This Row],[Efficiency Difference]]*0.2146 -3 &gt; Table3[[#This Row],[Scoring Margin]], 1, 0)</f>
        <v>0</v>
      </c>
      <c r="AF327" s="5">
        <f>IF(Table3[[#This Row],[Efficiency Difference]]*0.2146 -5 &gt; Table3[[#This Row],[Scoring Margin]], 1, 0)</f>
        <v>0</v>
      </c>
      <c r="AG327" s="5">
        <f>IF(Table3[[#This Row],[Efficiency Difference]]*0.2146 -10 &gt; Table3[[#This Row],[Scoring Margin]], 1, 0)</f>
        <v>0</v>
      </c>
    </row>
    <row r="328" spans="2:33">
      <c r="B328" s="5">
        <v>178.44</v>
      </c>
      <c r="C328" s="5">
        <v>38</v>
      </c>
      <c r="X328" s="5">
        <v>178.44</v>
      </c>
      <c r="Y328" s="5">
        <v>38</v>
      </c>
      <c r="Z328" s="5">
        <f>IF(Table3[[#This Row],[Efficiency Difference]]*0.2146 &gt; Table3[[#This Row],[Scoring Margin]], 1, 0)</f>
        <v>1</v>
      </c>
      <c r="AA328" s="5">
        <f>IF(Table3[[#This Row],[Efficiency Difference]]*0.2146 + 7 &gt; Table3[[#This Row],[Scoring Margin]], 1, 0)</f>
        <v>1</v>
      </c>
      <c r="AB328" s="5">
        <f>IF(Table3[[#This Row],[Efficiency Difference]]*0.2146 + 14 &gt; Table3[[#This Row],[Scoring Margin]], 1, 0)</f>
        <v>1</v>
      </c>
      <c r="AC328" s="5">
        <f>IF(Table3[[#This Row],[Efficiency Difference]]*0.2146 + 21 &gt; Table3[[#This Row],[Scoring Margin]], 1, 0)</f>
        <v>1</v>
      </c>
      <c r="AD328" s="5">
        <f>IF(Table3[[#This Row],[Efficiency Difference]]*0.2146 -7 &gt; Table3[[#This Row],[Scoring Margin]], 1, 0)</f>
        <v>0</v>
      </c>
      <c r="AE328" s="5">
        <f>IF(Table3[[#This Row],[Efficiency Difference]]*0.2146 -3 &gt; Table3[[#This Row],[Scoring Margin]], 1, 0)</f>
        <v>0</v>
      </c>
      <c r="AF328" s="5">
        <f>IF(Table3[[#This Row],[Efficiency Difference]]*0.2146 -5 &gt; Table3[[#This Row],[Scoring Margin]], 1, 0)</f>
        <v>0</v>
      </c>
      <c r="AG328" s="5">
        <f>IF(Table3[[#This Row],[Efficiency Difference]]*0.2146 -10 &gt; Table3[[#This Row],[Scoring Margin]], 1, 0)</f>
        <v>0</v>
      </c>
    </row>
    <row r="329" spans="2:33">
      <c r="B329" s="5">
        <v>40.489999999999981</v>
      </c>
      <c r="C329" s="5">
        <v>3</v>
      </c>
      <c r="X329" s="5">
        <v>40.489999999999981</v>
      </c>
      <c r="Y329" s="5">
        <v>3</v>
      </c>
      <c r="Z329" s="5">
        <f>IF(Table3[[#This Row],[Efficiency Difference]]*0.2146 &gt; Table3[[#This Row],[Scoring Margin]], 1, 0)</f>
        <v>1</v>
      </c>
      <c r="AA329" s="5">
        <f>IF(Table3[[#This Row],[Efficiency Difference]]*0.2146 + 7 &gt; Table3[[#This Row],[Scoring Margin]], 1, 0)</f>
        <v>1</v>
      </c>
      <c r="AB329" s="5">
        <f>IF(Table3[[#This Row],[Efficiency Difference]]*0.2146 + 14 &gt; Table3[[#This Row],[Scoring Margin]], 1, 0)</f>
        <v>1</v>
      </c>
      <c r="AC329" s="5">
        <f>IF(Table3[[#This Row],[Efficiency Difference]]*0.2146 + 21 &gt; Table3[[#This Row],[Scoring Margin]], 1, 0)</f>
        <v>1</v>
      </c>
      <c r="AD329" s="5">
        <f>IF(Table3[[#This Row],[Efficiency Difference]]*0.2146 -7 &gt; Table3[[#This Row],[Scoring Margin]], 1, 0)</f>
        <v>0</v>
      </c>
      <c r="AE329" s="5">
        <f>IF(Table3[[#This Row],[Efficiency Difference]]*0.2146 -3 &gt; Table3[[#This Row],[Scoring Margin]], 1, 0)</f>
        <v>1</v>
      </c>
      <c r="AF329" s="5">
        <f>IF(Table3[[#This Row],[Efficiency Difference]]*0.2146 -5 &gt; Table3[[#This Row],[Scoring Margin]], 1, 0)</f>
        <v>1</v>
      </c>
      <c r="AG329" s="5">
        <f>IF(Table3[[#This Row],[Efficiency Difference]]*0.2146 -10 &gt; Table3[[#This Row],[Scoring Margin]], 1, 0)</f>
        <v>0</v>
      </c>
    </row>
    <row r="330" spans="2:33">
      <c r="B330" s="5">
        <v>88.670000000000044</v>
      </c>
      <c r="C330" s="5">
        <v>14</v>
      </c>
      <c r="X330" s="5">
        <v>88.670000000000044</v>
      </c>
      <c r="Y330" s="5">
        <v>14</v>
      </c>
      <c r="Z330" s="5">
        <f>IF(Table3[[#This Row],[Efficiency Difference]]*0.2146 &gt; Table3[[#This Row],[Scoring Margin]], 1, 0)</f>
        <v>1</v>
      </c>
      <c r="AA330" s="5">
        <f>IF(Table3[[#This Row],[Efficiency Difference]]*0.2146 + 7 &gt; Table3[[#This Row],[Scoring Margin]], 1, 0)</f>
        <v>1</v>
      </c>
      <c r="AB330" s="5">
        <f>IF(Table3[[#This Row],[Efficiency Difference]]*0.2146 + 14 &gt; Table3[[#This Row],[Scoring Margin]], 1, 0)</f>
        <v>1</v>
      </c>
      <c r="AC330" s="5">
        <f>IF(Table3[[#This Row],[Efficiency Difference]]*0.2146 + 21 &gt; Table3[[#This Row],[Scoring Margin]], 1, 0)</f>
        <v>1</v>
      </c>
      <c r="AD330" s="5">
        <f>IF(Table3[[#This Row],[Efficiency Difference]]*0.2146 -7 &gt; Table3[[#This Row],[Scoring Margin]], 1, 0)</f>
        <v>0</v>
      </c>
      <c r="AE330" s="5">
        <f>IF(Table3[[#This Row],[Efficiency Difference]]*0.2146 -3 &gt; Table3[[#This Row],[Scoring Margin]], 1, 0)</f>
        <v>1</v>
      </c>
      <c r="AF330" s="5">
        <f>IF(Table3[[#This Row],[Efficiency Difference]]*0.2146 -5 &gt; Table3[[#This Row],[Scoring Margin]], 1, 0)</f>
        <v>1</v>
      </c>
      <c r="AG330" s="5">
        <f>IF(Table3[[#This Row],[Efficiency Difference]]*0.2146 -10 &gt; Table3[[#This Row],[Scoring Margin]], 1, 0)</f>
        <v>0</v>
      </c>
    </row>
    <row r="331" spans="2:33">
      <c r="B331" s="5">
        <v>31.240000000000009</v>
      </c>
      <c r="C331" s="5">
        <v>6</v>
      </c>
      <c r="X331" s="5">
        <v>31.240000000000009</v>
      </c>
      <c r="Y331" s="5">
        <v>6</v>
      </c>
      <c r="Z331" s="5">
        <f>IF(Table3[[#This Row],[Efficiency Difference]]*0.2146 &gt; Table3[[#This Row],[Scoring Margin]], 1, 0)</f>
        <v>1</v>
      </c>
      <c r="AA331" s="5">
        <f>IF(Table3[[#This Row],[Efficiency Difference]]*0.2146 + 7 &gt; Table3[[#This Row],[Scoring Margin]], 1, 0)</f>
        <v>1</v>
      </c>
      <c r="AB331" s="5">
        <f>IF(Table3[[#This Row],[Efficiency Difference]]*0.2146 + 14 &gt; Table3[[#This Row],[Scoring Margin]], 1, 0)</f>
        <v>1</v>
      </c>
      <c r="AC331" s="5">
        <f>IF(Table3[[#This Row],[Efficiency Difference]]*0.2146 + 21 &gt; Table3[[#This Row],[Scoring Margin]], 1, 0)</f>
        <v>1</v>
      </c>
      <c r="AD331" s="5">
        <f>IF(Table3[[#This Row],[Efficiency Difference]]*0.2146 -7 &gt; Table3[[#This Row],[Scoring Margin]], 1, 0)</f>
        <v>0</v>
      </c>
      <c r="AE331" s="5">
        <f>IF(Table3[[#This Row],[Efficiency Difference]]*0.2146 -3 &gt; Table3[[#This Row],[Scoring Margin]], 1, 0)</f>
        <v>0</v>
      </c>
      <c r="AF331" s="5">
        <f>IF(Table3[[#This Row],[Efficiency Difference]]*0.2146 -5 &gt; Table3[[#This Row],[Scoring Margin]], 1, 0)</f>
        <v>0</v>
      </c>
      <c r="AG331" s="5">
        <f>IF(Table3[[#This Row],[Efficiency Difference]]*0.2146 -10 &gt; Table3[[#This Row],[Scoring Margin]], 1, 0)</f>
        <v>0</v>
      </c>
    </row>
    <row r="332" spans="2:33">
      <c r="B332" s="5">
        <v>5.4999999999999716</v>
      </c>
      <c r="C332" s="5">
        <v>3</v>
      </c>
      <c r="X332" s="5">
        <v>5.4999999999999716</v>
      </c>
      <c r="Y332" s="5">
        <v>3</v>
      </c>
      <c r="Z332" s="5">
        <f>IF(Table3[[#This Row],[Efficiency Difference]]*0.2146 &gt; Table3[[#This Row],[Scoring Margin]], 1, 0)</f>
        <v>0</v>
      </c>
      <c r="AA332" s="5">
        <f>IF(Table3[[#This Row],[Efficiency Difference]]*0.2146 + 7 &gt; Table3[[#This Row],[Scoring Margin]], 1, 0)</f>
        <v>1</v>
      </c>
      <c r="AB332" s="5">
        <f>IF(Table3[[#This Row],[Efficiency Difference]]*0.2146 + 14 &gt; Table3[[#This Row],[Scoring Margin]], 1, 0)</f>
        <v>1</v>
      </c>
      <c r="AC332" s="5">
        <f>IF(Table3[[#This Row],[Efficiency Difference]]*0.2146 + 21 &gt; Table3[[#This Row],[Scoring Margin]], 1, 0)</f>
        <v>1</v>
      </c>
      <c r="AD332" s="5">
        <f>IF(Table3[[#This Row],[Efficiency Difference]]*0.2146 -7 &gt; Table3[[#This Row],[Scoring Margin]], 1, 0)</f>
        <v>0</v>
      </c>
      <c r="AE332" s="5">
        <f>IF(Table3[[#This Row],[Efficiency Difference]]*0.2146 -3 &gt; Table3[[#This Row],[Scoring Margin]], 1, 0)</f>
        <v>0</v>
      </c>
      <c r="AF332" s="5">
        <f>IF(Table3[[#This Row],[Efficiency Difference]]*0.2146 -5 &gt; Table3[[#This Row],[Scoring Margin]], 1, 0)</f>
        <v>0</v>
      </c>
      <c r="AG332" s="5">
        <f>IF(Table3[[#This Row],[Efficiency Difference]]*0.2146 -10 &gt; Table3[[#This Row],[Scoring Margin]], 1, 0)</f>
        <v>0</v>
      </c>
    </row>
    <row r="333" spans="2:33">
      <c r="B333" s="5">
        <v>6.1500000000000057</v>
      </c>
      <c r="C333" s="5">
        <v>3</v>
      </c>
      <c r="X333" s="5">
        <v>6.1500000000000057</v>
      </c>
      <c r="Y333" s="5">
        <v>3</v>
      </c>
      <c r="Z333" s="5">
        <f>IF(Table3[[#This Row],[Efficiency Difference]]*0.2146 &gt; Table3[[#This Row],[Scoring Margin]], 1, 0)</f>
        <v>0</v>
      </c>
      <c r="AA333" s="5">
        <f>IF(Table3[[#This Row],[Efficiency Difference]]*0.2146 + 7 &gt; Table3[[#This Row],[Scoring Margin]], 1, 0)</f>
        <v>1</v>
      </c>
      <c r="AB333" s="5">
        <f>IF(Table3[[#This Row],[Efficiency Difference]]*0.2146 + 14 &gt; Table3[[#This Row],[Scoring Margin]], 1, 0)</f>
        <v>1</v>
      </c>
      <c r="AC333" s="5">
        <f>IF(Table3[[#This Row],[Efficiency Difference]]*0.2146 + 21 &gt; Table3[[#This Row],[Scoring Margin]], 1, 0)</f>
        <v>1</v>
      </c>
      <c r="AD333" s="5">
        <f>IF(Table3[[#This Row],[Efficiency Difference]]*0.2146 -7 &gt; Table3[[#This Row],[Scoring Margin]], 1, 0)</f>
        <v>0</v>
      </c>
      <c r="AE333" s="5">
        <f>IF(Table3[[#This Row],[Efficiency Difference]]*0.2146 -3 &gt; Table3[[#This Row],[Scoring Margin]], 1, 0)</f>
        <v>0</v>
      </c>
      <c r="AF333" s="5">
        <f>IF(Table3[[#This Row],[Efficiency Difference]]*0.2146 -5 &gt; Table3[[#This Row],[Scoring Margin]], 1, 0)</f>
        <v>0</v>
      </c>
      <c r="AG333" s="5">
        <f>IF(Table3[[#This Row],[Efficiency Difference]]*0.2146 -10 &gt; Table3[[#This Row],[Scoring Margin]], 1, 0)</f>
        <v>0</v>
      </c>
    </row>
    <row r="334" spans="2:33">
      <c r="B334" s="5">
        <v>45.990000000000009</v>
      </c>
      <c r="C334" s="5">
        <v>7</v>
      </c>
      <c r="X334" s="5">
        <v>45.990000000000009</v>
      </c>
      <c r="Y334" s="5">
        <v>7</v>
      </c>
      <c r="Z334" s="5">
        <f>IF(Table3[[#This Row],[Efficiency Difference]]*0.2146 &gt; Table3[[#This Row],[Scoring Margin]], 1, 0)</f>
        <v>1</v>
      </c>
      <c r="AA334" s="5">
        <f>IF(Table3[[#This Row],[Efficiency Difference]]*0.2146 + 7 &gt; Table3[[#This Row],[Scoring Margin]], 1, 0)</f>
        <v>1</v>
      </c>
      <c r="AB334" s="5">
        <f>IF(Table3[[#This Row],[Efficiency Difference]]*0.2146 + 14 &gt; Table3[[#This Row],[Scoring Margin]], 1, 0)</f>
        <v>1</v>
      </c>
      <c r="AC334" s="5">
        <f>IF(Table3[[#This Row],[Efficiency Difference]]*0.2146 + 21 &gt; Table3[[#This Row],[Scoring Margin]], 1, 0)</f>
        <v>1</v>
      </c>
      <c r="AD334" s="5">
        <f>IF(Table3[[#This Row],[Efficiency Difference]]*0.2146 -7 &gt; Table3[[#This Row],[Scoring Margin]], 1, 0)</f>
        <v>0</v>
      </c>
      <c r="AE334" s="5">
        <f>IF(Table3[[#This Row],[Efficiency Difference]]*0.2146 -3 &gt; Table3[[#This Row],[Scoring Margin]], 1, 0)</f>
        <v>0</v>
      </c>
      <c r="AF334" s="5">
        <f>IF(Table3[[#This Row],[Efficiency Difference]]*0.2146 -5 &gt; Table3[[#This Row],[Scoring Margin]], 1, 0)</f>
        <v>0</v>
      </c>
      <c r="AG334" s="5">
        <f>IF(Table3[[#This Row],[Efficiency Difference]]*0.2146 -10 &gt; Table3[[#This Row],[Scoring Margin]], 1, 0)</f>
        <v>0</v>
      </c>
    </row>
    <row r="335" spans="2:33">
      <c r="B335" s="5">
        <v>29.829999999999984</v>
      </c>
      <c r="C335" s="5">
        <v>3</v>
      </c>
      <c r="X335" s="5">
        <v>29.829999999999984</v>
      </c>
      <c r="Y335" s="5">
        <v>3</v>
      </c>
      <c r="Z335" s="5">
        <f>IF(Table3[[#This Row],[Efficiency Difference]]*0.2146 &gt; Table3[[#This Row],[Scoring Margin]], 1, 0)</f>
        <v>1</v>
      </c>
      <c r="AA335" s="5">
        <f>IF(Table3[[#This Row],[Efficiency Difference]]*0.2146 + 7 &gt; Table3[[#This Row],[Scoring Margin]], 1, 0)</f>
        <v>1</v>
      </c>
      <c r="AB335" s="5">
        <f>IF(Table3[[#This Row],[Efficiency Difference]]*0.2146 + 14 &gt; Table3[[#This Row],[Scoring Margin]], 1, 0)</f>
        <v>1</v>
      </c>
      <c r="AC335" s="5">
        <f>IF(Table3[[#This Row],[Efficiency Difference]]*0.2146 + 21 &gt; Table3[[#This Row],[Scoring Margin]], 1, 0)</f>
        <v>1</v>
      </c>
      <c r="AD335" s="5">
        <f>IF(Table3[[#This Row],[Efficiency Difference]]*0.2146 -7 &gt; Table3[[#This Row],[Scoring Margin]], 1, 0)</f>
        <v>0</v>
      </c>
      <c r="AE335" s="5">
        <f>IF(Table3[[#This Row],[Efficiency Difference]]*0.2146 -3 &gt; Table3[[#This Row],[Scoring Margin]], 1, 0)</f>
        <v>1</v>
      </c>
      <c r="AF335" s="5">
        <f>IF(Table3[[#This Row],[Efficiency Difference]]*0.2146 -5 &gt; Table3[[#This Row],[Scoring Margin]], 1, 0)</f>
        <v>0</v>
      </c>
      <c r="AG335" s="5">
        <f>IF(Table3[[#This Row],[Efficiency Difference]]*0.2146 -10 &gt; Table3[[#This Row],[Scoring Margin]], 1, 0)</f>
        <v>0</v>
      </c>
    </row>
    <row r="336" spans="2:33">
      <c r="B336" s="5">
        <v>75.149999999999977</v>
      </c>
      <c r="C336" s="5">
        <v>24</v>
      </c>
      <c r="X336" s="5">
        <v>75.149999999999977</v>
      </c>
      <c r="Y336" s="5">
        <v>24</v>
      </c>
      <c r="Z336" s="5">
        <f>IF(Table3[[#This Row],[Efficiency Difference]]*0.2146 &gt; Table3[[#This Row],[Scoring Margin]], 1, 0)</f>
        <v>0</v>
      </c>
      <c r="AA336" s="5">
        <f>IF(Table3[[#This Row],[Efficiency Difference]]*0.2146 + 7 &gt; Table3[[#This Row],[Scoring Margin]], 1, 0)</f>
        <v>0</v>
      </c>
      <c r="AB336" s="5">
        <f>IF(Table3[[#This Row],[Efficiency Difference]]*0.2146 + 14 &gt; Table3[[#This Row],[Scoring Margin]], 1, 0)</f>
        <v>1</v>
      </c>
      <c r="AC336" s="5">
        <f>IF(Table3[[#This Row],[Efficiency Difference]]*0.2146 + 21 &gt; Table3[[#This Row],[Scoring Margin]], 1, 0)</f>
        <v>1</v>
      </c>
      <c r="AD336" s="5">
        <f>IF(Table3[[#This Row],[Efficiency Difference]]*0.2146 -7 &gt; Table3[[#This Row],[Scoring Margin]], 1, 0)</f>
        <v>0</v>
      </c>
      <c r="AE336" s="5">
        <f>IF(Table3[[#This Row],[Efficiency Difference]]*0.2146 -3 &gt; Table3[[#This Row],[Scoring Margin]], 1, 0)</f>
        <v>0</v>
      </c>
      <c r="AF336" s="5">
        <f>IF(Table3[[#This Row],[Efficiency Difference]]*0.2146 -5 &gt; Table3[[#This Row],[Scoring Margin]], 1, 0)</f>
        <v>0</v>
      </c>
      <c r="AG336" s="5">
        <f>IF(Table3[[#This Row],[Efficiency Difference]]*0.2146 -10 &gt; Table3[[#This Row],[Scoring Margin]], 1, 0)</f>
        <v>0</v>
      </c>
    </row>
    <row r="337" spans="2:33">
      <c r="B337" s="5">
        <v>0.61999999999997613</v>
      </c>
      <c r="C337" s="5">
        <v>2</v>
      </c>
      <c r="X337" s="5">
        <v>0.61999999999997613</v>
      </c>
      <c r="Y337" s="5">
        <v>2</v>
      </c>
      <c r="Z337" s="5">
        <f>IF(Table3[[#This Row],[Efficiency Difference]]*0.2146 &gt; Table3[[#This Row],[Scoring Margin]], 1, 0)</f>
        <v>0</v>
      </c>
      <c r="AA337" s="5">
        <f>IF(Table3[[#This Row],[Efficiency Difference]]*0.2146 + 7 &gt; Table3[[#This Row],[Scoring Margin]], 1, 0)</f>
        <v>1</v>
      </c>
      <c r="AB337" s="5">
        <f>IF(Table3[[#This Row],[Efficiency Difference]]*0.2146 + 14 &gt; Table3[[#This Row],[Scoring Margin]], 1, 0)</f>
        <v>1</v>
      </c>
      <c r="AC337" s="5">
        <f>IF(Table3[[#This Row],[Efficiency Difference]]*0.2146 + 21 &gt; Table3[[#This Row],[Scoring Margin]], 1, 0)</f>
        <v>1</v>
      </c>
      <c r="AD337" s="5">
        <f>IF(Table3[[#This Row],[Efficiency Difference]]*0.2146 -7 &gt; Table3[[#This Row],[Scoring Margin]], 1, 0)</f>
        <v>0</v>
      </c>
      <c r="AE337" s="5">
        <f>IF(Table3[[#This Row],[Efficiency Difference]]*0.2146 -3 &gt; Table3[[#This Row],[Scoring Margin]], 1, 0)</f>
        <v>0</v>
      </c>
      <c r="AF337" s="5">
        <f>IF(Table3[[#This Row],[Efficiency Difference]]*0.2146 -5 &gt; Table3[[#This Row],[Scoring Margin]], 1, 0)</f>
        <v>0</v>
      </c>
      <c r="AG337" s="5">
        <f>IF(Table3[[#This Row],[Efficiency Difference]]*0.2146 -10 &gt; Table3[[#This Row],[Scoring Margin]], 1, 0)</f>
        <v>0</v>
      </c>
    </row>
    <row r="338" spans="2:33">
      <c r="B338" s="5">
        <v>3.5699999999999932</v>
      </c>
      <c r="C338" s="5">
        <v>7</v>
      </c>
      <c r="X338" s="5">
        <v>3.5699999999999932</v>
      </c>
      <c r="Y338" s="5">
        <v>7</v>
      </c>
      <c r="Z338" s="5">
        <f>IF(Table3[[#This Row],[Efficiency Difference]]*0.2146 &gt; Table3[[#This Row],[Scoring Margin]], 1, 0)</f>
        <v>0</v>
      </c>
      <c r="AA338" s="5">
        <f>IF(Table3[[#This Row],[Efficiency Difference]]*0.2146 + 7 &gt; Table3[[#This Row],[Scoring Margin]], 1, 0)</f>
        <v>1</v>
      </c>
      <c r="AB338" s="5">
        <f>IF(Table3[[#This Row],[Efficiency Difference]]*0.2146 + 14 &gt; Table3[[#This Row],[Scoring Margin]], 1, 0)</f>
        <v>1</v>
      </c>
      <c r="AC338" s="5">
        <f>IF(Table3[[#This Row],[Efficiency Difference]]*0.2146 + 21 &gt; Table3[[#This Row],[Scoring Margin]], 1, 0)</f>
        <v>1</v>
      </c>
      <c r="AD338" s="5">
        <f>IF(Table3[[#This Row],[Efficiency Difference]]*0.2146 -7 &gt; Table3[[#This Row],[Scoring Margin]], 1, 0)</f>
        <v>0</v>
      </c>
      <c r="AE338" s="5">
        <f>IF(Table3[[#This Row],[Efficiency Difference]]*0.2146 -3 &gt; Table3[[#This Row],[Scoring Margin]], 1, 0)</f>
        <v>0</v>
      </c>
      <c r="AF338" s="5">
        <f>IF(Table3[[#This Row],[Efficiency Difference]]*0.2146 -5 &gt; Table3[[#This Row],[Scoring Margin]], 1, 0)</f>
        <v>0</v>
      </c>
      <c r="AG338" s="5">
        <f>IF(Table3[[#This Row],[Efficiency Difference]]*0.2146 -10 &gt; Table3[[#This Row],[Scoring Margin]], 1, 0)</f>
        <v>0</v>
      </c>
    </row>
    <row r="339" spans="2:33">
      <c r="B339" s="5">
        <v>32.849999999999966</v>
      </c>
      <c r="C339" s="5">
        <v>6</v>
      </c>
      <c r="X339" s="5">
        <v>32.849999999999966</v>
      </c>
      <c r="Y339" s="5">
        <v>6</v>
      </c>
      <c r="Z339" s="5">
        <f>IF(Table3[[#This Row],[Efficiency Difference]]*0.2146 &gt; Table3[[#This Row],[Scoring Margin]], 1, 0)</f>
        <v>1</v>
      </c>
      <c r="AA339" s="5">
        <f>IF(Table3[[#This Row],[Efficiency Difference]]*0.2146 + 7 &gt; Table3[[#This Row],[Scoring Margin]], 1, 0)</f>
        <v>1</v>
      </c>
      <c r="AB339" s="5">
        <f>IF(Table3[[#This Row],[Efficiency Difference]]*0.2146 + 14 &gt; Table3[[#This Row],[Scoring Margin]], 1, 0)</f>
        <v>1</v>
      </c>
      <c r="AC339" s="5">
        <f>IF(Table3[[#This Row],[Efficiency Difference]]*0.2146 + 21 &gt; Table3[[#This Row],[Scoring Margin]], 1, 0)</f>
        <v>1</v>
      </c>
      <c r="AD339" s="5">
        <f>IF(Table3[[#This Row],[Efficiency Difference]]*0.2146 -7 &gt; Table3[[#This Row],[Scoring Margin]], 1, 0)</f>
        <v>0</v>
      </c>
      <c r="AE339" s="5">
        <f>IF(Table3[[#This Row],[Efficiency Difference]]*0.2146 -3 &gt; Table3[[#This Row],[Scoring Margin]], 1, 0)</f>
        <v>0</v>
      </c>
      <c r="AF339" s="5">
        <f>IF(Table3[[#This Row],[Efficiency Difference]]*0.2146 -5 &gt; Table3[[#This Row],[Scoring Margin]], 1, 0)</f>
        <v>0</v>
      </c>
      <c r="AG339" s="5">
        <f>IF(Table3[[#This Row],[Efficiency Difference]]*0.2146 -10 &gt; Table3[[#This Row],[Scoring Margin]], 1, 0)</f>
        <v>0</v>
      </c>
    </row>
    <row r="340" spans="2:33">
      <c r="B340" s="5">
        <v>202.64</v>
      </c>
      <c r="C340" s="5">
        <v>58</v>
      </c>
      <c r="X340" s="5">
        <v>202.64</v>
      </c>
      <c r="Y340" s="5">
        <v>58</v>
      </c>
      <c r="Z340" s="5">
        <f>IF(Table3[[#This Row],[Efficiency Difference]]*0.2146 &gt; Table3[[#This Row],[Scoring Margin]], 1, 0)</f>
        <v>0</v>
      </c>
      <c r="AA340" s="5">
        <f>IF(Table3[[#This Row],[Efficiency Difference]]*0.2146 + 7 &gt; Table3[[#This Row],[Scoring Margin]], 1, 0)</f>
        <v>0</v>
      </c>
      <c r="AB340" s="5">
        <f>IF(Table3[[#This Row],[Efficiency Difference]]*0.2146 + 14 &gt; Table3[[#This Row],[Scoring Margin]], 1, 0)</f>
        <v>0</v>
      </c>
      <c r="AC340" s="5">
        <f>IF(Table3[[#This Row],[Efficiency Difference]]*0.2146 + 21 &gt; Table3[[#This Row],[Scoring Margin]], 1, 0)</f>
        <v>1</v>
      </c>
      <c r="AD340" s="5">
        <f>IF(Table3[[#This Row],[Efficiency Difference]]*0.2146 -7 &gt; Table3[[#This Row],[Scoring Margin]], 1, 0)</f>
        <v>0</v>
      </c>
      <c r="AE340" s="5">
        <f>IF(Table3[[#This Row],[Efficiency Difference]]*0.2146 -3 &gt; Table3[[#This Row],[Scoring Margin]], 1, 0)</f>
        <v>0</v>
      </c>
      <c r="AF340" s="5">
        <f>IF(Table3[[#This Row],[Efficiency Difference]]*0.2146 -5 &gt; Table3[[#This Row],[Scoring Margin]], 1, 0)</f>
        <v>0</v>
      </c>
      <c r="AG340" s="5">
        <f>IF(Table3[[#This Row],[Efficiency Difference]]*0.2146 -10 &gt; Table3[[#This Row],[Scoring Margin]], 1, 0)</f>
        <v>0</v>
      </c>
    </row>
    <row r="341" spans="2:33">
      <c r="B341" s="5">
        <v>111.87</v>
      </c>
      <c r="C341" s="5">
        <v>28</v>
      </c>
      <c r="X341" s="5">
        <v>111.87</v>
      </c>
      <c r="Y341" s="5">
        <v>28</v>
      </c>
      <c r="Z341" s="5">
        <f>IF(Table3[[#This Row],[Efficiency Difference]]*0.2146 &gt; Table3[[#This Row],[Scoring Margin]], 1, 0)</f>
        <v>0</v>
      </c>
      <c r="AA341" s="5">
        <f>IF(Table3[[#This Row],[Efficiency Difference]]*0.2146 + 7 &gt; Table3[[#This Row],[Scoring Margin]], 1, 0)</f>
        <v>1</v>
      </c>
      <c r="AB341" s="5">
        <f>IF(Table3[[#This Row],[Efficiency Difference]]*0.2146 + 14 &gt; Table3[[#This Row],[Scoring Margin]], 1, 0)</f>
        <v>1</v>
      </c>
      <c r="AC341" s="5">
        <f>IF(Table3[[#This Row],[Efficiency Difference]]*0.2146 + 21 &gt; Table3[[#This Row],[Scoring Margin]], 1, 0)</f>
        <v>1</v>
      </c>
      <c r="AD341" s="5">
        <f>IF(Table3[[#This Row],[Efficiency Difference]]*0.2146 -7 &gt; Table3[[#This Row],[Scoring Margin]], 1, 0)</f>
        <v>0</v>
      </c>
      <c r="AE341" s="5">
        <f>IF(Table3[[#This Row],[Efficiency Difference]]*0.2146 -3 &gt; Table3[[#This Row],[Scoring Margin]], 1, 0)</f>
        <v>0</v>
      </c>
      <c r="AF341" s="5">
        <f>IF(Table3[[#This Row],[Efficiency Difference]]*0.2146 -5 &gt; Table3[[#This Row],[Scoring Margin]], 1, 0)</f>
        <v>0</v>
      </c>
      <c r="AG341" s="5">
        <f>IF(Table3[[#This Row],[Efficiency Difference]]*0.2146 -10 &gt; Table3[[#This Row],[Scoring Margin]], 1, 0)</f>
        <v>0</v>
      </c>
    </row>
    <row r="342" spans="2:33">
      <c r="B342" s="5">
        <v>93.360000000000014</v>
      </c>
      <c r="C342" s="5">
        <v>27</v>
      </c>
      <c r="X342" s="5">
        <v>93.360000000000014</v>
      </c>
      <c r="Y342" s="5">
        <v>27</v>
      </c>
      <c r="Z342" s="5">
        <f>IF(Table3[[#This Row],[Efficiency Difference]]*0.2146 &gt; Table3[[#This Row],[Scoring Margin]], 1, 0)</f>
        <v>0</v>
      </c>
      <c r="AA342" s="5">
        <f>IF(Table3[[#This Row],[Efficiency Difference]]*0.2146 + 7 &gt; Table3[[#This Row],[Scoring Margin]], 1, 0)</f>
        <v>1</v>
      </c>
      <c r="AB342" s="5">
        <f>IF(Table3[[#This Row],[Efficiency Difference]]*0.2146 + 14 &gt; Table3[[#This Row],[Scoring Margin]], 1, 0)</f>
        <v>1</v>
      </c>
      <c r="AC342" s="5">
        <f>IF(Table3[[#This Row],[Efficiency Difference]]*0.2146 + 21 &gt; Table3[[#This Row],[Scoring Margin]], 1, 0)</f>
        <v>1</v>
      </c>
      <c r="AD342" s="5">
        <f>IF(Table3[[#This Row],[Efficiency Difference]]*0.2146 -7 &gt; Table3[[#This Row],[Scoring Margin]], 1, 0)</f>
        <v>0</v>
      </c>
      <c r="AE342" s="5">
        <f>IF(Table3[[#This Row],[Efficiency Difference]]*0.2146 -3 &gt; Table3[[#This Row],[Scoring Margin]], 1, 0)</f>
        <v>0</v>
      </c>
      <c r="AF342" s="5">
        <f>IF(Table3[[#This Row],[Efficiency Difference]]*0.2146 -5 &gt; Table3[[#This Row],[Scoring Margin]], 1, 0)</f>
        <v>0</v>
      </c>
      <c r="AG342" s="5">
        <f>IF(Table3[[#This Row],[Efficiency Difference]]*0.2146 -10 &gt; Table3[[#This Row],[Scoring Margin]], 1, 0)</f>
        <v>0</v>
      </c>
    </row>
    <row r="343" spans="2:33">
      <c r="B343" s="5">
        <v>179.03000000000003</v>
      </c>
      <c r="C343" s="5">
        <v>45</v>
      </c>
      <c r="X343" s="5">
        <v>179.03000000000003</v>
      </c>
      <c r="Y343" s="5">
        <v>45</v>
      </c>
      <c r="Z343" s="5">
        <f>IF(Table3[[#This Row],[Efficiency Difference]]*0.2146 &gt; Table3[[#This Row],[Scoring Margin]], 1, 0)</f>
        <v>0</v>
      </c>
      <c r="AA343" s="5">
        <f>IF(Table3[[#This Row],[Efficiency Difference]]*0.2146 + 7 &gt; Table3[[#This Row],[Scoring Margin]], 1, 0)</f>
        <v>1</v>
      </c>
      <c r="AB343" s="5">
        <f>IF(Table3[[#This Row],[Efficiency Difference]]*0.2146 + 14 &gt; Table3[[#This Row],[Scoring Margin]], 1, 0)</f>
        <v>1</v>
      </c>
      <c r="AC343" s="5">
        <f>IF(Table3[[#This Row],[Efficiency Difference]]*0.2146 + 21 &gt; Table3[[#This Row],[Scoring Margin]], 1, 0)</f>
        <v>1</v>
      </c>
      <c r="AD343" s="5">
        <f>IF(Table3[[#This Row],[Efficiency Difference]]*0.2146 -7 &gt; Table3[[#This Row],[Scoring Margin]], 1, 0)</f>
        <v>0</v>
      </c>
      <c r="AE343" s="5">
        <f>IF(Table3[[#This Row],[Efficiency Difference]]*0.2146 -3 &gt; Table3[[#This Row],[Scoring Margin]], 1, 0)</f>
        <v>0</v>
      </c>
      <c r="AF343" s="5">
        <f>IF(Table3[[#This Row],[Efficiency Difference]]*0.2146 -5 &gt; Table3[[#This Row],[Scoring Margin]], 1, 0)</f>
        <v>0</v>
      </c>
      <c r="AG343" s="5">
        <f>IF(Table3[[#This Row],[Efficiency Difference]]*0.2146 -10 &gt; Table3[[#This Row],[Scoring Margin]], 1, 0)</f>
        <v>0</v>
      </c>
    </row>
    <row r="344" spans="2:33">
      <c r="B344" s="5">
        <v>47.45999999999998</v>
      </c>
      <c r="C344" s="5">
        <v>7</v>
      </c>
      <c r="X344" s="5">
        <v>47.45999999999998</v>
      </c>
      <c r="Y344" s="5">
        <v>7</v>
      </c>
      <c r="Z344" s="5">
        <f>IF(Table3[[#This Row],[Efficiency Difference]]*0.2146 &gt; Table3[[#This Row],[Scoring Margin]], 1, 0)</f>
        <v>1</v>
      </c>
      <c r="AA344" s="5">
        <f>IF(Table3[[#This Row],[Efficiency Difference]]*0.2146 + 7 &gt; Table3[[#This Row],[Scoring Margin]], 1, 0)</f>
        <v>1</v>
      </c>
      <c r="AB344" s="5">
        <f>IF(Table3[[#This Row],[Efficiency Difference]]*0.2146 + 14 &gt; Table3[[#This Row],[Scoring Margin]], 1, 0)</f>
        <v>1</v>
      </c>
      <c r="AC344" s="5">
        <f>IF(Table3[[#This Row],[Efficiency Difference]]*0.2146 + 21 &gt; Table3[[#This Row],[Scoring Margin]], 1, 0)</f>
        <v>1</v>
      </c>
      <c r="AD344" s="5">
        <f>IF(Table3[[#This Row],[Efficiency Difference]]*0.2146 -7 &gt; Table3[[#This Row],[Scoring Margin]], 1, 0)</f>
        <v>0</v>
      </c>
      <c r="AE344" s="5">
        <f>IF(Table3[[#This Row],[Efficiency Difference]]*0.2146 -3 &gt; Table3[[#This Row],[Scoring Margin]], 1, 0)</f>
        <v>1</v>
      </c>
      <c r="AF344" s="5">
        <f>IF(Table3[[#This Row],[Efficiency Difference]]*0.2146 -5 &gt; Table3[[#This Row],[Scoring Margin]], 1, 0)</f>
        <v>0</v>
      </c>
      <c r="AG344" s="5">
        <f>IF(Table3[[#This Row],[Efficiency Difference]]*0.2146 -10 &gt; Table3[[#This Row],[Scoring Margin]], 1, 0)</f>
        <v>0</v>
      </c>
    </row>
    <row r="345" spans="2:33">
      <c r="B345" s="5">
        <v>103.35999999999999</v>
      </c>
      <c r="C345" s="5">
        <v>13</v>
      </c>
      <c r="X345" s="5">
        <v>103.35999999999999</v>
      </c>
      <c r="Y345" s="5">
        <v>13</v>
      </c>
      <c r="Z345" s="5">
        <f>IF(Table3[[#This Row],[Efficiency Difference]]*0.2146 &gt; Table3[[#This Row],[Scoring Margin]], 1, 0)</f>
        <v>1</v>
      </c>
      <c r="AA345" s="5">
        <f>IF(Table3[[#This Row],[Efficiency Difference]]*0.2146 + 7 &gt; Table3[[#This Row],[Scoring Margin]], 1, 0)</f>
        <v>1</v>
      </c>
      <c r="AB345" s="5">
        <f>IF(Table3[[#This Row],[Efficiency Difference]]*0.2146 + 14 &gt; Table3[[#This Row],[Scoring Margin]], 1, 0)</f>
        <v>1</v>
      </c>
      <c r="AC345" s="5">
        <f>IF(Table3[[#This Row],[Efficiency Difference]]*0.2146 + 21 &gt; Table3[[#This Row],[Scoring Margin]], 1, 0)</f>
        <v>1</v>
      </c>
      <c r="AD345" s="5">
        <f>IF(Table3[[#This Row],[Efficiency Difference]]*0.2146 -7 &gt; Table3[[#This Row],[Scoring Margin]], 1, 0)</f>
        <v>1</v>
      </c>
      <c r="AE345" s="5">
        <f>IF(Table3[[#This Row],[Efficiency Difference]]*0.2146 -3 &gt; Table3[[#This Row],[Scoring Margin]], 1, 0)</f>
        <v>1</v>
      </c>
      <c r="AF345" s="5">
        <f>IF(Table3[[#This Row],[Efficiency Difference]]*0.2146 -5 &gt; Table3[[#This Row],[Scoring Margin]], 1, 0)</f>
        <v>1</v>
      </c>
      <c r="AG345" s="5">
        <f>IF(Table3[[#This Row],[Efficiency Difference]]*0.2146 -10 &gt; Table3[[#This Row],[Scoring Margin]], 1, 0)</f>
        <v>0</v>
      </c>
    </row>
    <row r="346" spans="2:33">
      <c r="B346" s="5">
        <v>11.400000000000006</v>
      </c>
      <c r="C346" s="5">
        <v>6</v>
      </c>
      <c r="X346" s="5">
        <v>11.400000000000006</v>
      </c>
      <c r="Y346" s="5">
        <v>6</v>
      </c>
      <c r="Z346" s="5">
        <f>IF(Table3[[#This Row],[Efficiency Difference]]*0.2146 &gt; Table3[[#This Row],[Scoring Margin]], 1, 0)</f>
        <v>0</v>
      </c>
      <c r="AA346" s="5">
        <f>IF(Table3[[#This Row],[Efficiency Difference]]*0.2146 + 7 &gt; Table3[[#This Row],[Scoring Margin]], 1, 0)</f>
        <v>1</v>
      </c>
      <c r="AB346" s="5">
        <f>IF(Table3[[#This Row],[Efficiency Difference]]*0.2146 + 14 &gt; Table3[[#This Row],[Scoring Margin]], 1, 0)</f>
        <v>1</v>
      </c>
      <c r="AC346" s="5">
        <f>IF(Table3[[#This Row],[Efficiency Difference]]*0.2146 + 21 &gt; Table3[[#This Row],[Scoring Margin]], 1, 0)</f>
        <v>1</v>
      </c>
      <c r="AD346" s="5">
        <f>IF(Table3[[#This Row],[Efficiency Difference]]*0.2146 -7 &gt; Table3[[#This Row],[Scoring Margin]], 1, 0)</f>
        <v>0</v>
      </c>
      <c r="AE346" s="5">
        <f>IF(Table3[[#This Row],[Efficiency Difference]]*0.2146 -3 &gt; Table3[[#This Row],[Scoring Margin]], 1, 0)</f>
        <v>0</v>
      </c>
      <c r="AF346" s="5">
        <f>IF(Table3[[#This Row],[Efficiency Difference]]*0.2146 -5 &gt; Table3[[#This Row],[Scoring Margin]], 1, 0)</f>
        <v>0</v>
      </c>
      <c r="AG346" s="5">
        <f>IF(Table3[[#This Row],[Efficiency Difference]]*0.2146 -10 &gt; Table3[[#This Row],[Scoring Margin]], 1, 0)</f>
        <v>0</v>
      </c>
    </row>
    <row r="347" spans="2:33">
      <c r="B347" s="5">
        <v>44.61999999999999</v>
      </c>
      <c r="C347" s="5">
        <v>14</v>
      </c>
      <c r="X347" s="5">
        <v>44.61999999999999</v>
      </c>
      <c r="Y347" s="5">
        <v>14</v>
      </c>
      <c r="Z347" s="5">
        <f>IF(Table3[[#This Row],[Efficiency Difference]]*0.2146 &gt; Table3[[#This Row],[Scoring Margin]], 1, 0)</f>
        <v>0</v>
      </c>
      <c r="AA347" s="5">
        <f>IF(Table3[[#This Row],[Efficiency Difference]]*0.2146 + 7 &gt; Table3[[#This Row],[Scoring Margin]], 1, 0)</f>
        <v>1</v>
      </c>
      <c r="AB347" s="5">
        <f>IF(Table3[[#This Row],[Efficiency Difference]]*0.2146 + 14 &gt; Table3[[#This Row],[Scoring Margin]], 1, 0)</f>
        <v>1</v>
      </c>
      <c r="AC347" s="5">
        <f>IF(Table3[[#This Row],[Efficiency Difference]]*0.2146 + 21 &gt; Table3[[#This Row],[Scoring Margin]], 1, 0)</f>
        <v>1</v>
      </c>
      <c r="AD347" s="5">
        <f>IF(Table3[[#This Row],[Efficiency Difference]]*0.2146 -7 &gt; Table3[[#This Row],[Scoring Margin]], 1, 0)</f>
        <v>0</v>
      </c>
      <c r="AE347" s="5">
        <f>IF(Table3[[#This Row],[Efficiency Difference]]*0.2146 -3 &gt; Table3[[#This Row],[Scoring Margin]], 1, 0)</f>
        <v>0</v>
      </c>
      <c r="AF347" s="5">
        <f>IF(Table3[[#This Row],[Efficiency Difference]]*0.2146 -5 &gt; Table3[[#This Row],[Scoring Margin]], 1, 0)</f>
        <v>0</v>
      </c>
      <c r="AG347" s="5">
        <f>IF(Table3[[#This Row],[Efficiency Difference]]*0.2146 -10 &gt; Table3[[#This Row],[Scoring Margin]], 1, 0)</f>
        <v>0</v>
      </c>
    </row>
    <row r="348" spans="2:33">
      <c r="B348" s="5">
        <v>95.049999999999983</v>
      </c>
      <c r="C348" s="5">
        <v>18</v>
      </c>
      <c r="X348" s="5">
        <v>95.049999999999983</v>
      </c>
      <c r="Y348" s="5">
        <v>18</v>
      </c>
      <c r="Z348" s="5">
        <f>IF(Table3[[#This Row],[Efficiency Difference]]*0.2146 &gt; Table3[[#This Row],[Scoring Margin]], 1, 0)</f>
        <v>1</v>
      </c>
      <c r="AA348" s="5">
        <f>IF(Table3[[#This Row],[Efficiency Difference]]*0.2146 + 7 &gt; Table3[[#This Row],[Scoring Margin]], 1, 0)</f>
        <v>1</v>
      </c>
      <c r="AB348" s="5">
        <f>IF(Table3[[#This Row],[Efficiency Difference]]*0.2146 + 14 &gt; Table3[[#This Row],[Scoring Margin]], 1, 0)</f>
        <v>1</v>
      </c>
      <c r="AC348" s="5">
        <f>IF(Table3[[#This Row],[Efficiency Difference]]*0.2146 + 21 &gt; Table3[[#This Row],[Scoring Margin]], 1, 0)</f>
        <v>1</v>
      </c>
      <c r="AD348" s="5">
        <f>IF(Table3[[#This Row],[Efficiency Difference]]*0.2146 -7 &gt; Table3[[#This Row],[Scoring Margin]], 1, 0)</f>
        <v>0</v>
      </c>
      <c r="AE348" s="5">
        <f>IF(Table3[[#This Row],[Efficiency Difference]]*0.2146 -3 &gt; Table3[[#This Row],[Scoring Margin]], 1, 0)</f>
        <v>0</v>
      </c>
      <c r="AF348" s="5">
        <f>IF(Table3[[#This Row],[Efficiency Difference]]*0.2146 -5 &gt; Table3[[#This Row],[Scoring Margin]], 1, 0)</f>
        <v>0</v>
      </c>
      <c r="AG348" s="5">
        <f>IF(Table3[[#This Row],[Efficiency Difference]]*0.2146 -10 &gt; Table3[[#This Row],[Scoring Margin]], 1, 0)</f>
        <v>0</v>
      </c>
    </row>
    <row r="349" spans="2:33">
      <c r="B349" s="5">
        <v>14.22999999999999</v>
      </c>
      <c r="C349" s="5">
        <v>2</v>
      </c>
      <c r="X349" s="5">
        <v>14.22999999999999</v>
      </c>
      <c r="Y349" s="5">
        <v>2</v>
      </c>
      <c r="Z349" s="5">
        <f>IF(Table3[[#This Row],[Efficiency Difference]]*0.2146 &gt; Table3[[#This Row],[Scoring Margin]], 1, 0)</f>
        <v>1</v>
      </c>
      <c r="AA349" s="5">
        <f>IF(Table3[[#This Row],[Efficiency Difference]]*0.2146 + 7 &gt; Table3[[#This Row],[Scoring Margin]], 1, 0)</f>
        <v>1</v>
      </c>
      <c r="AB349" s="5">
        <f>IF(Table3[[#This Row],[Efficiency Difference]]*0.2146 + 14 &gt; Table3[[#This Row],[Scoring Margin]], 1, 0)</f>
        <v>1</v>
      </c>
      <c r="AC349" s="5">
        <f>IF(Table3[[#This Row],[Efficiency Difference]]*0.2146 + 21 &gt; Table3[[#This Row],[Scoring Margin]], 1, 0)</f>
        <v>1</v>
      </c>
      <c r="AD349" s="5">
        <f>IF(Table3[[#This Row],[Efficiency Difference]]*0.2146 -7 &gt; Table3[[#This Row],[Scoring Margin]], 1, 0)</f>
        <v>0</v>
      </c>
      <c r="AE349" s="5">
        <f>IF(Table3[[#This Row],[Efficiency Difference]]*0.2146 -3 &gt; Table3[[#This Row],[Scoring Margin]], 1, 0)</f>
        <v>0</v>
      </c>
      <c r="AF349" s="5">
        <f>IF(Table3[[#This Row],[Efficiency Difference]]*0.2146 -5 &gt; Table3[[#This Row],[Scoring Margin]], 1, 0)</f>
        <v>0</v>
      </c>
      <c r="AG349" s="5">
        <f>IF(Table3[[#This Row],[Efficiency Difference]]*0.2146 -10 &gt; Table3[[#This Row],[Scoring Margin]], 1, 0)</f>
        <v>0</v>
      </c>
    </row>
    <row r="350" spans="2:33">
      <c r="B350" s="5">
        <v>61.400000000000006</v>
      </c>
      <c r="C350" s="5">
        <v>11</v>
      </c>
      <c r="X350" s="5">
        <v>61.400000000000006</v>
      </c>
      <c r="Y350" s="5">
        <v>11</v>
      </c>
      <c r="Z350" s="5">
        <f>IF(Table3[[#This Row],[Efficiency Difference]]*0.2146 &gt; Table3[[#This Row],[Scoring Margin]], 1, 0)</f>
        <v>1</v>
      </c>
      <c r="AA350" s="5">
        <f>IF(Table3[[#This Row],[Efficiency Difference]]*0.2146 + 7 &gt; Table3[[#This Row],[Scoring Margin]], 1, 0)</f>
        <v>1</v>
      </c>
      <c r="AB350" s="5">
        <f>IF(Table3[[#This Row],[Efficiency Difference]]*0.2146 + 14 &gt; Table3[[#This Row],[Scoring Margin]], 1, 0)</f>
        <v>1</v>
      </c>
      <c r="AC350" s="5">
        <f>IF(Table3[[#This Row],[Efficiency Difference]]*0.2146 + 21 &gt; Table3[[#This Row],[Scoring Margin]], 1, 0)</f>
        <v>1</v>
      </c>
      <c r="AD350" s="5">
        <f>IF(Table3[[#This Row],[Efficiency Difference]]*0.2146 -7 &gt; Table3[[#This Row],[Scoring Margin]], 1, 0)</f>
        <v>0</v>
      </c>
      <c r="AE350" s="5">
        <f>IF(Table3[[#This Row],[Efficiency Difference]]*0.2146 -3 &gt; Table3[[#This Row],[Scoring Margin]], 1, 0)</f>
        <v>0</v>
      </c>
      <c r="AF350" s="5">
        <f>IF(Table3[[#This Row],[Efficiency Difference]]*0.2146 -5 &gt; Table3[[#This Row],[Scoring Margin]], 1, 0)</f>
        <v>0</v>
      </c>
      <c r="AG350" s="5">
        <f>IF(Table3[[#This Row],[Efficiency Difference]]*0.2146 -10 &gt; Table3[[#This Row],[Scoring Margin]], 1, 0)</f>
        <v>0</v>
      </c>
    </row>
    <row r="351" spans="2:33">
      <c r="B351" s="5">
        <v>2.3999999999999773</v>
      </c>
      <c r="C351" s="5">
        <v>7</v>
      </c>
      <c r="X351" s="5">
        <v>2.3999999999999773</v>
      </c>
      <c r="Y351" s="5">
        <v>7</v>
      </c>
      <c r="Z351" s="5">
        <f>IF(Table3[[#This Row],[Efficiency Difference]]*0.2146 &gt; Table3[[#This Row],[Scoring Margin]], 1, 0)</f>
        <v>0</v>
      </c>
      <c r="AA351" s="5">
        <f>IF(Table3[[#This Row],[Efficiency Difference]]*0.2146 + 7 &gt; Table3[[#This Row],[Scoring Margin]], 1, 0)</f>
        <v>1</v>
      </c>
      <c r="AB351" s="5">
        <f>IF(Table3[[#This Row],[Efficiency Difference]]*0.2146 + 14 &gt; Table3[[#This Row],[Scoring Margin]], 1, 0)</f>
        <v>1</v>
      </c>
      <c r="AC351" s="5">
        <f>IF(Table3[[#This Row],[Efficiency Difference]]*0.2146 + 21 &gt; Table3[[#This Row],[Scoring Margin]], 1, 0)</f>
        <v>1</v>
      </c>
      <c r="AD351" s="5">
        <f>IF(Table3[[#This Row],[Efficiency Difference]]*0.2146 -7 &gt; Table3[[#This Row],[Scoring Margin]], 1, 0)</f>
        <v>0</v>
      </c>
      <c r="AE351" s="5">
        <f>IF(Table3[[#This Row],[Efficiency Difference]]*0.2146 -3 &gt; Table3[[#This Row],[Scoring Margin]], 1, 0)</f>
        <v>0</v>
      </c>
      <c r="AF351" s="5">
        <f>IF(Table3[[#This Row],[Efficiency Difference]]*0.2146 -5 &gt; Table3[[#This Row],[Scoring Margin]], 1, 0)</f>
        <v>0</v>
      </c>
      <c r="AG351" s="5">
        <f>IF(Table3[[#This Row],[Efficiency Difference]]*0.2146 -10 &gt; Table3[[#This Row],[Scoring Margin]], 1, 0)</f>
        <v>0</v>
      </c>
    </row>
    <row r="352" spans="2:33">
      <c r="B352" s="5">
        <v>30.920000000000016</v>
      </c>
      <c r="C352" s="5">
        <v>10</v>
      </c>
      <c r="X352" s="5">
        <v>30.920000000000016</v>
      </c>
      <c r="Y352" s="5">
        <v>10</v>
      </c>
      <c r="Z352" s="5">
        <f>IF(Table3[[#This Row],[Efficiency Difference]]*0.2146 &gt; Table3[[#This Row],[Scoring Margin]], 1, 0)</f>
        <v>0</v>
      </c>
      <c r="AA352" s="5">
        <f>IF(Table3[[#This Row],[Efficiency Difference]]*0.2146 + 7 &gt; Table3[[#This Row],[Scoring Margin]], 1, 0)</f>
        <v>1</v>
      </c>
      <c r="AB352" s="5">
        <f>IF(Table3[[#This Row],[Efficiency Difference]]*0.2146 + 14 &gt; Table3[[#This Row],[Scoring Margin]], 1, 0)</f>
        <v>1</v>
      </c>
      <c r="AC352" s="5">
        <f>IF(Table3[[#This Row],[Efficiency Difference]]*0.2146 + 21 &gt; Table3[[#This Row],[Scoring Margin]], 1, 0)</f>
        <v>1</v>
      </c>
      <c r="AD352" s="5">
        <f>IF(Table3[[#This Row],[Efficiency Difference]]*0.2146 -7 &gt; Table3[[#This Row],[Scoring Margin]], 1, 0)</f>
        <v>0</v>
      </c>
      <c r="AE352" s="5">
        <f>IF(Table3[[#This Row],[Efficiency Difference]]*0.2146 -3 &gt; Table3[[#This Row],[Scoring Margin]], 1, 0)</f>
        <v>0</v>
      </c>
      <c r="AF352" s="5">
        <f>IF(Table3[[#This Row],[Efficiency Difference]]*0.2146 -5 &gt; Table3[[#This Row],[Scoring Margin]], 1, 0)</f>
        <v>0</v>
      </c>
      <c r="AG352" s="5">
        <f>IF(Table3[[#This Row],[Efficiency Difference]]*0.2146 -10 &gt; Table3[[#This Row],[Scoring Margin]], 1, 0)</f>
        <v>0</v>
      </c>
    </row>
    <row r="353" spans="2:33">
      <c r="B353" s="5">
        <v>1.3000000000000114</v>
      </c>
      <c r="C353" s="5">
        <v>7</v>
      </c>
      <c r="X353" s="5">
        <v>1.3000000000000114</v>
      </c>
      <c r="Y353" s="5">
        <v>7</v>
      </c>
      <c r="Z353" s="5">
        <f>IF(Table3[[#This Row],[Efficiency Difference]]*0.2146 &gt; Table3[[#This Row],[Scoring Margin]], 1, 0)</f>
        <v>0</v>
      </c>
      <c r="AA353" s="5">
        <f>IF(Table3[[#This Row],[Efficiency Difference]]*0.2146 + 7 &gt; Table3[[#This Row],[Scoring Margin]], 1, 0)</f>
        <v>1</v>
      </c>
      <c r="AB353" s="5">
        <f>IF(Table3[[#This Row],[Efficiency Difference]]*0.2146 + 14 &gt; Table3[[#This Row],[Scoring Margin]], 1, 0)</f>
        <v>1</v>
      </c>
      <c r="AC353" s="5">
        <f>IF(Table3[[#This Row],[Efficiency Difference]]*0.2146 + 21 &gt; Table3[[#This Row],[Scoring Margin]], 1, 0)</f>
        <v>1</v>
      </c>
      <c r="AD353" s="5">
        <f>IF(Table3[[#This Row],[Efficiency Difference]]*0.2146 -7 &gt; Table3[[#This Row],[Scoring Margin]], 1, 0)</f>
        <v>0</v>
      </c>
      <c r="AE353" s="5">
        <f>IF(Table3[[#This Row],[Efficiency Difference]]*0.2146 -3 &gt; Table3[[#This Row],[Scoring Margin]], 1, 0)</f>
        <v>0</v>
      </c>
      <c r="AF353" s="5">
        <f>IF(Table3[[#This Row],[Efficiency Difference]]*0.2146 -5 &gt; Table3[[#This Row],[Scoring Margin]], 1, 0)</f>
        <v>0</v>
      </c>
      <c r="AG353" s="5">
        <f>IF(Table3[[#This Row],[Efficiency Difference]]*0.2146 -10 &gt; Table3[[#This Row],[Scoring Margin]], 1, 0)</f>
        <v>0</v>
      </c>
    </row>
    <row r="354" spans="2:33">
      <c r="B354" s="5">
        <v>84.359999999999985</v>
      </c>
      <c r="C354" s="5">
        <v>35</v>
      </c>
      <c r="X354" s="5">
        <v>84.359999999999985</v>
      </c>
      <c r="Y354" s="5">
        <v>35</v>
      </c>
      <c r="Z354" s="5">
        <f>IF(Table3[[#This Row],[Efficiency Difference]]*0.2146 &gt; Table3[[#This Row],[Scoring Margin]], 1, 0)</f>
        <v>0</v>
      </c>
      <c r="AA354" s="5">
        <f>IF(Table3[[#This Row],[Efficiency Difference]]*0.2146 + 7 &gt; Table3[[#This Row],[Scoring Margin]], 1, 0)</f>
        <v>0</v>
      </c>
      <c r="AB354" s="5">
        <f>IF(Table3[[#This Row],[Efficiency Difference]]*0.2146 + 14 &gt; Table3[[#This Row],[Scoring Margin]], 1, 0)</f>
        <v>0</v>
      </c>
      <c r="AC354" s="5">
        <f>IF(Table3[[#This Row],[Efficiency Difference]]*0.2146 + 21 &gt; Table3[[#This Row],[Scoring Margin]], 1, 0)</f>
        <v>1</v>
      </c>
      <c r="AD354" s="5">
        <f>IF(Table3[[#This Row],[Efficiency Difference]]*0.2146 -7 &gt; Table3[[#This Row],[Scoring Margin]], 1, 0)</f>
        <v>0</v>
      </c>
      <c r="AE354" s="5">
        <f>IF(Table3[[#This Row],[Efficiency Difference]]*0.2146 -3 &gt; Table3[[#This Row],[Scoring Margin]], 1, 0)</f>
        <v>0</v>
      </c>
      <c r="AF354" s="5">
        <f>IF(Table3[[#This Row],[Efficiency Difference]]*0.2146 -5 &gt; Table3[[#This Row],[Scoring Margin]], 1, 0)</f>
        <v>0</v>
      </c>
      <c r="AG354" s="5">
        <f>IF(Table3[[#This Row],[Efficiency Difference]]*0.2146 -10 &gt; Table3[[#This Row],[Scoring Margin]], 1, 0)</f>
        <v>0</v>
      </c>
    </row>
    <row r="355" spans="2:33">
      <c r="B355" s="5">
        <v>87.009999999999962</v>
      </c>
      <c r="C355" s="5">
        <v>21</v>
      </c>
      <c r="X355" s="5">
        <v>87.009999999999962</v>
      </c>
      <c r="Y355" s="5">
        <v>21</v>
      </c>
      <c r="Z355" s="5">
        <f>IF(Table3[[#This Row],[Efficiency Difference]]*0.2146 &gt; Table3[[#This Row],[Scoring Margin]], 1, 0)</f>
        <v>0</v>
      </c>
      <c r="AA355" s="5">
        <f>IF(Table3[[#This Row],[Efficiency Difference]]*0.2146 + 7 &gt; Table3[[#This Row],[Scoring Margin]], 1, 0)</f>
        <v>1</v>
      </c>
      <c r="AB355" s="5">
        <f>IF(Table3[[#This Row],[Efficiency Difference]]*0.2146 + 14 &gt; Table3[[#This Row],[Scoring Margin]], 1, 0)</f>
        <v>1</v>
      </c>
      <c r="AC355" s="5">
        <f>IF(Table3[[#This Row],[Efficiency Difference]]*0.2146 + 21 &gt; Table3[[#This Row],[Scoring Margin]], 1, 0)</f>
        <v>1</v>
      </c>
      <c r="AD355" s="5">
        <f>IF(Table3[[#This Row],[Efficiency Difference]]*0.2146 -7 &gt; Table3[[#This Row],[Scoring Margin]], 1, 0)</f>
        <v>0</v>
      </c>
      <c r="AE355" s="5">
        <f>IF(Table3[[#This Row],[Efficiency Difference]]*0.2146 -3 &gt; Table3[[#This Row],[Scoring Margin]], 1, 0)</f>
        <v>0</v>
      </c>
      <c r="AF355" s="5">
        <f>IF(Table3[[#This Row],[Efficiency Difference]]*0.2146 -5 &gt; Table3[[#This Row],[Scoring Margin]], 1, 0)</f>
        <v>0</v>
      </c>
      <c r="AG355" s="5">
        <f>IF(Table3[[#This Row],[Efficiency Difference]]*0.2146 -10 &gt; Table3[[#This Row],[Scoring Margin]], 1, 0)</f>
        <v>0</v>
      </c>
    </row>
    <row r="356" spans="2:33">
      <c r="B356" s="5">
        <v>17.579999999999984</v>
      </c>
      <c r="C356" s="5">
        <v>3</v>
      </c>
      <c r="X356" s="5">
        <v>17.579999999999984</v>
      </c>
      <c r="Y356" s="5">
        <v>3</v>
      </c>
      <c r="Z356" s="5">
        <f>IF(Table3[[#This Row],[Efficiency Difference]]*0.2146 &gt; Table3[[#This Row],[Scoring Margin]], 1, 0)</f>
        <v>1</v>
      </c>
      <c r="AA356" s="5">
        <f>IF(Table3[[#This Row],[Efficiency Difference]]*0.2146 + 7 &gt; Table3[[#This Row],[Scoring Margin]], 1, 0)</f>
        <v>1</v>
      </c>
      <c r="AB356" s="5">
        <f>IF(Table3[[#This Row],[Efficiency Difference]]*0.2146 + 14 &gt; Table3[[#This Row],[Scoring Margin]], 1, 0)</f>
        <v>1</v>
      </c>
      <c r="AC356" s="5">
        <f>IF(Table3[[#This Row],[Efficiency Difference]]*0.2146 + 21 &gt; Table3[[#This Row],[Scoring Margin]], 1, 0)</f>
        <v>1</v>
      </c>
      <c r="AD356" s="5">
        <f>IF(Table3[[#This Row],[Efficiency Difference]]*0.2146 -7 &gt; Table3[[#This Row],[Scoring Margin]], 1, 0)</f>
        <v>0</v>
      </c>
      <c r="AE356" s="5">
        <f>IF(Table3[[#This Row],[Efficiency Difference]]*0.2146 -3 &gt; Table3[[#This Row],[Scoring Margin]], 1, 0)</f>
        <v>0</v>
      </c>
      <c r="AF356" s="5">
        <f>IF(Table3[[#This Row],[Efficiency Difference]]*0.2146 -5 &gt; Table3[[#This Row],[Scoring Margin]], 1, 0)</f>
        <v>0</v>
      </c>
      <c r="AG356" s="5">
        <f>IF(Table3[[#This Row],[Efficiency Difference]]*0.2146 -10 &gt; Table3[[#This Row],[Scoring Margin]], 1, 0)</f>
        <v>0</v>
      </c>
    </row>
    <row r="357" spans="2:33">
      <c r="B357" s="5">
        <v>52.69</v>
      </c>
      <c r="C357" s="5">
        <v>13</v>
      </c>
      <c r="X357" s="5">
        <v>52.69</v>
      </c>
      <c r="Y357" s="5">
        <v>13</v>
      </c>
      <c r="Z357" s="5">
        <f>IF(Table3[[#This Row],[Efficiency Difference]]*0.2146 &gt; Table3[[#This Row],[Scoring Margin]], 1, 0)</f>
        <v>0</v>
      </c>
      <c r="AA357" s="5">
        <f>IF(Table3[[#This Row],[Efficiency Difference]]*0.2146 + 7 &gt; Table3[[#This Row],[Scoring Margin]], 1, 0)</f>
        <v>1</v>
      </c>
      <c r="AB357" s="5">
        <f>IF(Table3[[#This Row],[Efficiency Difference]]*0.2146 + 14 &gt; Table3[[#This Row],[Scoring Margin]], 1, 0)</f>
        <v>1</v>
      </c>
      <c r="AC357" s="5">
        <f>IF(Table3[[#This Row],[Efficiency Difference]]*0.2146 + 21 &gt; Table3[[#This Row],[Scoring Margin]], 1, 0)</f>
        <v>1</v>
      </c>
      <c r="AD357" s="5">
        <f>IF(Table3[[#This Row],[Efficiency Difference]]*0.2146 -7 &gt; Table3[[#This Row],[Scoring Margin]], 1, 0)</f>
        <v>0</v>
      </c>
      <c r="AE357" s="5">
        <f>IF(Table3[[#This Row],[Efficiency Difference]]*0.2146 -3 &gt; Table3[[#This Row],[Scoring Margin]], 1, 0)</f>
        <v>0</v>
      </c>
      <c r="AF357" s="5">
        <f>IF(Table3[[#This Row],[Efficiency Difference]]*0.2146 -5 &gt; Table3[[#This Row],[Scoring Margin]], 1, 0)</f>
        <v>0</v>
      </c>
      <c r="AG357" s="5">
        <f>IF(Table3[[#This Row],[Efficiency Difference]]*0.2146 -10 &gt; Table3[[#This Row],[Scoring Margin]], 1, 0)</f>
        <v>0</v>
      </c>
    </row>
    <row r="358" spans="2:33">
      <c r="B358" s="5">
        <v>36.379999999999995</v>
      </c>
      <c r="C358" s="5">
        <v>13</v>
      </c>
      <c r="X358" s="5">
        <v>36.379999999999995</v>
      </c>
      <c r="Y358" s="5">
        <v>13</v>
      </c>
      <c r="Z358" s="5">
        <f>IF(Table3[[#This Row],[Efficiency Difference]]*0.2146 &gt; Table3[[#This Row],[Scoring Margin]], 1, 0)</f>
        <v>0</v>
      </c>
      <c r="AA358" s="5">
        <f>IF(Table3[[#This Row],[Efficiency Difference]]*0.2146 + 7 &gt; Table3[[#This Row],[Scoring Margin]], 1, 0)</f>
        <v>1</v>
      </c>
      <c r="AB358" s="5">
        <f>IF(Table3[[#This Row],[Efficiency Difference]]*0.2146 + 14 &gt; Table3[[#This Row],[Scoring Margin]], 1, 0)</f>
        <v>1</v>
      </c>
      <c r="AC358" s="5">
        <f>IF(Table3[[#This Row],[Efficiency Difference]]*0.2146 + 21 &gt; Table3[[#This Row],[Scoring Margin]], 1, 0)</f>
        <v>1</v>
      </c>
      <c r="AD358" s="5">
        <f>IF(Table3[[#This Row],[Efficiency Difference]]*0.2146 -7 &gt; Table3[[#This Row],[Scoring Margin]], 1, 0)</f>
        <v>0</v>
      </c>
      <c r="AE358" s="5">
        <f>IF(Table3[[#This Row],[Efficiency Difference]]*0.2146 -3 &gt; Table3[[#This Row],[Scoring Margin]], 1, 0)</f>
        <v>0</v>
      </c>
      <c r="AF358" s="5">
        <f>IF(Table3[[#This Row],[Efficiency Difference]]*0.2146 -5 &gt; Table3[[#This Row],[Scoring Margin]], 1, 0)</f>
        <v>0</v>
      </c>
      <c r="AG358" s="5">
        <f>IF(Table3[[#This Row],[Efficiency Difference]]*0.2146 -10 &gt; Table3[[#This Row],[Scoring Margin]], 1, 0)</f>
        <v>0</v>
      </c>
    </row>
    <row r="359" spans="2:33">
      <c r="B359" s="5">
        <v>86.419999999999987</v>
      </c>
      <c r="C359" s="5">
        <v>24</v>
      </c>
      <c r="X359" s="5">
        <v>86.419999999999987</v>
      </c>
      <c r="Y359" s="5">
        <v>24</v>
      </c>
      <c r="Z359" s="5">
        <f>IF(Table3[[#This Row],[Efficiency Difference]]*0.2146 &gt; Table3[[#This Row],[Scoring Margin]], 1, 0)</f>
        <v>0</v>
      </c>
      <c r="AA359" s="5">
        <f>IF(Table3[[#This Row],[Efficiency Difference]]*0.2146 + 7 &gt; Table3[[#This Row],[Scoring Margin]], 1, 0)</f>
        <v>1</v>
      </c>
      <c r="AB359" s="5">
        <f>IF(Table3[[#This Row],[Efficiency Difference]]*0.2146 + 14 &gt; Table3[[#This Row],[Scoring Margin]], 1, 0)</f>
        <v>1</v>
      </c>
      <c r="AC359" s="5">
        <f>IF(Table3[[#This Row],[Efficiency Difference]]*0.2146 + 21 &gt; Table3[[#This Row],[Scoring Margin]], 1, 0)</f>
        <v>1</v>
      </c>
      <c r="AD359" s="5">
        <f>IF(Table3[[#This Row],[Efficiency Difference]]*0.2146 -7 &gt; Table3[[#This Row],[Scoring Margin]], 1, 0)</f>
        <v>0</v>
      </c>
      <c r="AE359" s="5">
        <f>IF(Table3[[#This Row],[Efficiency Difference]]*0.2146 -3 &gt; Table3[[#This Row],[Scoring Margin]], 1, 0)</f>
        <v>0</v>
      </c>
      <c r="AF359" s="5">
        <f>IF(Table3[[#This Row],[Efficiency Difference]]*0.2146 -5 &gt; Table3[[#This Row],[Scoring Margin]], 1, 0)</f>
        <v>0</v>
      </c>
      <c r="AG359" s="5">
        <f>IF(Table3[[#This Row],[Efficiency Difference]]*0.2146 -10 &gt; Table3[[#This Row],[Scoring Margin]], 1, 0)</f>
        <v>0</v>
      </c>
    </row>
    <row r="360" spans="2:33">
      <c r="B360" s="5">
        <v>125.22000000000003</v>
      </c>
      <c r="C360" s="5">
        <v>31</v>
      </c>
      <c r="X360" s="5">
        <v>125.22000000000003</v>
      </c>
      <c r="Y360" s="5">
        <v>31</v>
      </c>
      <c r="Z360" s="5">
        <f>IF(Table3[[#This Row],[Efficiency Difference]]*0.2146 &gt; Table3[[#This Row],[Scoring Margin]], 1, 0)</f>
        <v>0</v>
      </c>
      <c r="AA360" s="5">
        <f>IF(Table3[[#This Row],[Efficiency Difference]]*0.2146 + 7 &gt; Table3[[#This Row],[Scoring Margin]], 1, 0)</f>
        <v>1</v>
      </c>
      <c r="AB360" s="5">
        <f>IF(Table3[[#This Row],[Efficiency Difference]]*0.2146 + 14 &gt; Table3[[#This Row],[Scoring Margin]], 1, 0)</f>
        <v>1</v>
      </c>
      <c r="AC360" s="5">
        <f>IF(Table3[[#This Row],[Efficiency Difference]]*0.2146 + 21 &gt; Table3[[#This Row],[Scoring Margin]], 1, 0)</f>
        <v>1</v>
      </c>
      <c r="AD360" s="5">
        <f>IF(Table3[[#This Row],[Efficiency Difference]]*0.2146 -7 &gt; Table3[[#This Row],[Scoring Margin]], 1, 0)</f>
        <v>0</v>
      </c>
      <c r="AE360" s="5">
        <f>IF(Table3[[#This Row],[Efficiency Difference]]*0.2146 -3 &gt; Table3[[#This Row],[Scoring Margin]], 1, 0)</f>
        <v>0</v>
      </c>
      <c r="AF360" s="5">
        <f>IF(Table3[[#This Row],[Efficiency Difference]]*0.2146 -5 &gt; Table3[[#This Row],[Scoring Margin]], 1, 0)</f>
        <v>0</v>
      </c>
      <c r="AG360" s="5">
        <f>IF(Table3[[#This Row],[Efficiency Difference]]*0.2146 -10 &gt; Table3[[#This Row],[Scoring Margin]], 1, 0)</f>
        <v>0</v>
      </c>
    </row>
    <row r="361" spans="2:33">
      <c r="B361" s="5">
        <v>36.260000000000019</v>
      </c>
      <c r="C361" s="5">
        <v>7</v>
      </c>
      <c r="X361" s="5">
        <v>36.260000000000019</v>
      </c>
      <c r="Y361" s="5">
        <v>7</v>
      </c>
      <c r="Z361" s="5">
        <f>IF(Table3[[#This Row],[Efficiency Difference]]*0.2146 &gt; Table3[[#This Row],[Scoring Margin]], 1, 0)</f>
        <v>1</v>
      </c>
      <c r="AA361" s="5">
        <f>IF(Table3[[#This Row],[Efficiency Difference]]*0.2146 + 7 &gt; Table3[[#This Row],[Scoring Margin]], 1, 0)</f>
        <v>1</v>
      </c>
      <c r="AB361" s="5">
        <f>IF(Table3[[#This Row],[Efficiency Difference]]*0.2146 + 14 &gt; Table3[[#This Row],[Scoring Margin]], 1, 0)</f>
        <v>1</v>
      </c>
      <c r="AC361" s="5">
        <f>IF(Table3[[#This Row],[Efficiency Difference]]*0.2146 + 21 &gt; Table3[[#This Row],[Scoring Margin]], 1, 0)</f>
        <v>1</v>
      </c>
      <c r="AD361" s="5">
        <f>IF(Table3[[#This Row],[Efficiency Difference]]*0.2146 -7 &gt; Table3[[#This Row],[Scoring Margin]], 1, 0)</f>
        <v>0</v>
      </c>
      <c r="AE361" s="5">
        <f>IF(Table3[[#This Row],[Efficiency Difference]]*0.2146 -3 &gt; Table3[[#This Row],[Scoring Margin]], 1, 0)</f>
        <v>0</v>
      </c>
      <c r="AF361" s="5">
        <f>IF(Table3[[#This Row],[Efficiency Difference]]*0.2146 -5 &gt; Table3[[#This Row],[Scoring Margin]], 1, 0)</f>
        <v>0</v>
      </c>
      <c r="AG361" s="5">
        <f>IF(Table3[[#This Row],[Efficiency Difference]]*0.2146 -10 &gt; Table3[[#This Row],[Scoring Margin]], 1, 0)</f>
        <v>0</v>
      </c>
    </row>
    <row r="362" spans="2:33">
      <c r="B362" s="5">
        <v>93.360000000000014</v>
      </c>
      <c r="C362" s="5">
        <v>27</v>
      </c>
      <c r="X362" s="5">
        <v>93.360000000000014</v>
      </c>
      <c r="Y362" s="5">
        <v>27</v>
      </c>
      <c r="Z362" s="5">
        <f>IF(Table3[[#This Row],[Efficiency Difference]]*0.2146 &gt; Table3[[#This Row],[Scoring Margin]], 1, 0)</f>
        <v>0</v>
      </c>
      <c r="AA362" s="5">
        <f>IF(Table3[[#This Row],[Efficiency Difference]]*0.2146 + 7 &gt; Table3[[#This Row],[Scoring Margin]], 1, 0)</f>
        <v>1</v>
      </c>
      <c r="AB362" s="5">
        <f>IF(Table3[[#This Row],[Efficiency Difference]]*0.2146 + 14 &gt; Table3[[#This Row],[Scoring Margin]], 1, 0)</f>
        <v>1</v>
      </c>
      <c r="AC362" s="5">
        <f>IF(Table3[[#This Row],[Efficiency Difference]]*0.2146 + 21 &gt; Table3[[#This Row],[Scoring Margin]], 1, 0)</f>
        <v>1</v>
      </c>
      <c r="AD362" s="5">
        <f>IF(Table3[[#This Row],[Efficiency Difference]]*0.2146 -7 &gt; Table3[[#This Row],[Scoring Margin]], 1, 0)</f>
        <v>0</v>
      </c>
      <c r="AE362" s="5">
        <f>IF(Table3[[#This Row],[Efficiency Difference]]*0.2146 -3 &gt; Table3[[#This Row],[Scoring Margin]], 1, 0)</f>
        <v>0</v>
      </c>
      <c r="AF362" s="5">
        <f>IF(Table3[[#This Row],[Efficiency Difference]]*0.2146 -5 &gt; Table3[[#This Row],[Scoring Margin]], 1, 0)</f>
        <v>0</v>
      </c>
      <c r="AG362" s="5">
        <f>IF(Table3[[#This Row],[Efficiency Difference]]*0.2146 -10 &gt; Table3[[#This Row],[Scoring Margin]], 1, 0)</f>
        <v>0</v>
      </c>
    </row>
    <row r="363" spans="2:33">
      <c r="B363" s="5">
        <v>108.49999999999994</v>
      </c>
      <c r="C363" s="5">
        <v>49</v>
      </c>
      <c r="X363" s="5">
        <v>108.49999999999994</v>
      </c>
      <c r="Y363" s="5">
        <v>49</v>
      </c>
      <c r="Z363" s="5">
        <f>IF(Table3[[#This Row],[Efficiency Difference]]*0.2146 &gt; Table3[[#This Row],[Scoring Margin]], 1, 0)</f>
        <v>0</v>
      </c>
      <c r="AA363" s="5">
        <f>IF(Table3[[#This Row],[Efficiency Difference]]*0.2146 + 7 &gt; Table3[[#This Row],[Scoring Margin]], 1, 0)</f>
        <v>0</v>
      </c>
      <c r="AB363" s="5">
        <f>IF(Table3[[#This Row],[Efficiency Difference]]*0.2146 + 14 &gt; Table3[[#This Row],[Scoring Margin]], 1, 0)</f>
        <v>0</v>
      </c>
      <c r="AC363" s="5">
        <f>IF(Table3[[#This Row],[Efficiency Difference]]*0.2146 + 21 &gt; Table3[[#This Row],[Scoring Margin]], 1, 0)</f>
        <v>0</v>
      </c>
      <c r="AD363" s="5">
        <f>IF(Table3[[#This Row],[Efficiency Difference]]*0.2146 -7 &gt; Table3[[#This Row],[Scoring Margin]], 1, 0)</f>
        <v>0</v>
      </c>
      <c r="AE363" s="5">
        <f>IF(Table3[[#This Row],[Efficiency Difference]]*0.2146 -3 &gt; Table3[[#This Row],[Scoring Margin]], 1, 0)</f>
        <v>0</v>
      </c>
      <c r="AF363" s="5">
        <f>IF(Table3[[#This Row],[Efficiency Difference]]*0.2146 -5 &gt; Table3[[#This Row],[Scoring Margin]], 1, 0)</f>
        <v>0</v>
      </c>
      <c r="AG363" s="5">
        <f>IF(Table3[[#This Row],[Efficiency Difference]]*0.2146 -10 &gt; Table3[[#This Row],[Scoring Margin]], 1, 0)</f>
        <v>0</v>
      </c>
    </row>
    <row r="364" spans="2:33">
      <c r="B364" s="5">
        <v>6.6700000000000159</v>
      </c>
      <c r="C364" s="5">
        <v>3</v>
      </c>
      <c r="X364" s="5">
        <v>6.6700000000000159</v>
      </c>
      <c r="Y364" s="5">
        <v>3</v>
      </c>
      <c r="Z364" s="5">
        <f>IF(Table3[[#This Row],[Efficiency Difference]]*0.2146 &gt; Table3[[#This Row],[Scoring Margin]], 1, 0)</f>
        <v>0</v>
      </c>
      <c r="AA364" s="5">
        <f>IF(Table3[[#This Row],[Efficiency Difference]]*0.2146 + 7 &gt; Table3[[#This Row],[Scoring Margin]], 1, 0)</f>
        <v>1</v>
      </c>
      <c r="AB364" s="5">
        <f>IF(Table3[[#This Row],[Efficiency Difference]]*0.2146 + 14 &gt; Table3[[#This Row],[Scoring Margin]], 1, 0)</f>
        <v>1</v>
      </c>
      <c r="AC364" s="5">
        <f>IF(Table3[[#This Row],[Efficiency Difference]]*0.2146 + 21 &gt; Table3[[#This Row],[Scoring Margin]], 1, 0)</f>
        <v>1</v>
      </c>
      <c r="AD364" s="5">
        <f>IF(Table3[[#This Row],[Efficiency Difference]]*0.2146 -7 &gt; Table3[[#This Row],[Scoring Margin]], 1, 0)</f>
        <v>0</v>
      </c>
      <c r="AE364" s="5">
        <f>IF(Table3[[#This Row],[Efficiency Difference]]*0.2146 -3 &gt; Table3[[#This Row],[Scoring Margin]], 1, 0)</f>
        <v>0</v>
      </c>
      <c r="AF364" s="5">
        <f>IF(Table3[[#This Row],[Efficiency Difference]]*0.2146 -5 &gt; Table3[[#This Row],[Scoring Margin]], 1, 0)</f>
        <v>0</v>
      </c>
      <c r="AG364" s="5">
        <f>IF(Table3[[#This Row],[Efficiency Difference]]*0.2146 -10 &gt; Table3[[#This Row],[Scoring Margin]], 1, 0)</f>
        <v>0</v>
      </c>
    </row>
    <row r="365" spans="2:33">
      <c r="B365" s="5">
        <v>41.949999999999989</v>
      </c>
      <c r="C365" s="5">
        <v>1</v>
      </c>
      <c r="X365" s="5">
        <v>41.949999999999989</v>
      </c>
      <c r="Y365" s="5">
        <v>1</v>
      </c>
      <c r="Z365" s="5">
        <f>IF(Table3[[#This Row],[Efficiency Difference]]*0.2146 &gt; Table3[[#This Row],[Scoring Margin]], 1, 0)</f>
        <v>1</v>
      </c>
      <c r="AA365" s="5">
        <f>IF(Table3[[#This Row],[Efficiency Difference]]*0.2146 + 7 &gt; Table3[[#This Row],[Scoring Margin]], 1, 0)</f>
        <v>1</v>
      </c>
      <c r="AB365" s="5">
        <f>IF(Table3[[#This Row],[Efficiency Difference]]*0.2146 + 14 &gt; Table3[[#This Row],[Scoring Margin]], 1, 0)</f>
        <v>1</v>
      </c>
      <c r="AC365" s="5">
        <f>IF(Table3[[#This Row],[Efficiency Difference]]*0.2146 + 21 &gt; Table3[[#This Row],[Scoring Margin]], 1, 0)</f>
        <v>1</v>
      </c>
      <c r="AD365" s="5">
        <f>IF(Table3[[#This Row],[Efficiency Difference]]*0.2146 -7 &gt; Table3[[#This Row],[Scoring Margin]], 1, 0)</f>
        <v>1</v>
      </c>
      <c r="AE365" s="5">
        <f>IF(Table3[[#This Row],[Efficiency Difference]]*0.2146 -3 &gt; Table3[[#This Row],[Scoring Margin]], 1, 0)</f>
        <v>1</v>
      </c>
      <c r="AF365" s="5">
        <f>IF(Table3[[#This Row],[Efficiency Difference]]*0.2146 -5 &gt; Table3[[#This Row],[Scoring Margin]], 1, 0)</f>
        <v>1</v>
      </c>
      <c r="AG365" s="5">
        <f>IF(Table3[[#This Row],[Efficiency Difference]]*0.2146 -10 &gt; Table3[[#This Row],[Scoring Margin]], 1, 0)</f>
        <v>0</v>
      </c>
    </row>
    <row r="366" spans="2:33">
      <c r="B366" s="5">
        <v>92.019999999999982</v>
      </c>
      <c r="C366" s="5">
        <v>20</v>
      </c>
      <c r="X366" s="5">
        <v>92.019999999999982</v>
      </c>
      <c r="Y366" s="5">
        <v>20</v>
      </c>
      <c r="Z366" s="5">
        <f>IF(Table3[[#This Row],[Efficiency Difference]]*0.2146 &gt; Table3[[#This Row],[Scoring Margin]], 1, 0)</f>
        <v>0</v>
      </c>
      <c r="AA366" s="5">
        <f>IF(Table3[[#This Row],[Efficiency Difference]]*0.2146 + 7 &gt; Table3[[#This Row],[Scoring Margin]], 1, 0)</f>
        <v>1</v>
      </c>
      <c r="AB366" s="5">
        <f>IF(Table3[[#This Row],[Efficiency Difference]]*0.2146 + 14 &gt; Table3[[#This Row],[Scoring Margin]], 1, 0)</f>
        <v>1</v>
      </c>
      <c r="AC366" s="5">
        <f>IF(Table3[[#This Row],[Efficiency Difference]]*0.2146 + 21 &gt; Table3[[#This Row],[Scoring Margin]], 1, 0)</f>
        <v>1</v>
      </c>
      <c r="AD366" s="5">
        <f>IF(Table3[[#This Row],[Efficiency Difference]]*0.2146 -7 &gt; Table3[[#This Row],[Scoring Margin]], 1, 0)</f>
        <v>0</v>
      </c>
      <c r="AE366" s="5">
        <f>IF(Table3[[#This Row],[Efficiency Difference]]*0.2146 -3 &gt; Table3[[#This Row],[Scoring Margin]], 1, 0)</f>
        <v>0</v>
      </c>
      <c r="AF366" s="5">
        <f>IF(Table3[[#This Row],[Efficiency Difference]]*0.2146 -5 &gt; Table3[[#This Row],[Scoring Margin]], 1, 0)</f>
        <v>0</v>
      </c>
      <c r="AG366" s="5">
        <f>IF(Table3[[#This Row],[Efficiency Difference]]*0.2146 -10 &gt; Table3[[#This Row],[Scoring Margin]], 1, 0)</f>
        <v>0</v>
      </c>
    </row>
    <row r="367" spans="2:33">
      <c r="B367" s="5">
        <v>118.63999999999999</v>
      </c>
      <c r="C367" s="5">
        <v>42</v>
      </c>
      <c r="X367" s="5">
        <v>118.63999999999999</v>
      </c>
      <c r="Y367" s="5">
        <v>42</v>
      </c>
      <c r="Z367" s="5">
        <f>IF(Table3[[#This Row],[Efficiency Difference]]*0.2146 &gt; Table3[[#This Row],[Scoring Margin]], 1, 0)</f>
        <v>0</v>
      </c>
      <c r="AA367" s="5">
        <f>IF(Table3[[#This Row],[Efficiency Difference]]*0.2146 + 7 &gt; Table3[[#This Row],[Scoring Margin]], 1, 0)</f>
        <v>0</v>
      </c>
      <c r="AB367" s="5">
        <f>IF(Table3[[#This Row],[Efficiency Difference]]*0.2146 + 14 &gt; Table3[[#This Row],[Scoring Margin]], 1, 0)</f>
        <v>0</v>
      </c>
      <c r="AC367" s="5">
        <f>IF(Table3[[#This Row],[Efficiency Difference]]*0.2146 + 21 &gt; Table3[[#This Row],[Scoring Margin]], 1, 0)</f>
        <v>1</v>
      </c>
      <c r="AD367" s="5">
        <f>IF(Table3[[#This Row],[Efficiency Difference]]*0.2146 -7 &gt; Table3[[#This Row],[Scoring Margin]], 1, 0)</f>
        <v>0</v>
      </c>
      <c r="AE367" s="5">
        <f>IF(Table3[[#This Row],[Efficiency Difference]]*0.2146 -3 &gt; Table3[[#This Row],[Scoring Margin]], 1, 0)</f>
        <v>0</v>
      </c>
      <c r="AF367" s="5">
        <f>IF(Table3[[#This Row],[Efficiency Difference]]*0.2146 -5 &gt; Table3[[#This Row],[Scoring Margin]], 1, 0)</f>
        <v>0</v>
      </c>
      <c r="AG367" s="5">
        <f>IF(Table3[[#This Row],[Efficiency Difference]]*0.2146 -10 &gt; Table3[[#This Row],[Scoring Margin]], 1, 0)</f>
        <v>0</v>
      </c>
    </row>
    <row r="368" spans="2:33">
      <c r="B368" s="5">
        <v>25.839999999999975</v>
      </c>
      <c r="C368" s="5">
        <v>7</v>
      </c>
      <c r="X368" s="5">
        <v>25.839999999999975</v>
      </c>
      <c r="Y368" s="5">
        <v>7</v>
      </c>
      <c r="Z368" s="5">
        <f>IF(Table3[[#This Row],[Efficiency Difference]]*0.2146 &gt; Table3[[#This Row],[Scoring Margin]], 1, 0)</f>
        <v>0</v>
      </c>
      <c r="AA368" s="5">
        <f>IF(Table3[[#This Row],[Efficiency Difference]]*0.2146 + 7 &gt; Table3[[#This Row],[Scoring Margin]], 1, 0)</f>
        <v>1</v>
      </c>
      <c r="AB368" s="5">
        <f>IF(Table3[[#This Row],[Efficiency Difference]]*0.2146 + 14 &gt; Table3[[#This Row],[Scoring Margin]], 1, 0)</f>
        <v>1</v>
      </c>
      <c r="AC368" s="5">
        <f>IF(Table3[[#This Row],[Efficiency Difference]]*0.2146 + 21 &gt; Table3[[#This Row],[Scoring Margin]], 1, 0)</f>
        <v>1</v>
      </c>
      <c r="AD368" s="5">
        <f>IF(Table3[[#This Row],[Efficiency Difference]]*0.2146 -7 &gt; Table3[[#This Row],[Scoring Margin]], 1, 0)</f>
        <v>0</v>
      </c>
      <c r="AE368" s="5">
        <f>IF(Table3[[#This Row],[Efficiency Difference]]*0.2146 -3 &gt; Table3[[#This Row],[Scoring Margin]], 1, 0)</f>
        <v>0</v>
      </c>
      <c r="AF368" s="5">
        <f>IF(Table3[[#This Row],[Efficiency Difference]]*0.2146 -5 &gt; Table3[[#This Row],[Scoring Margin]], 1, 0)</f>
        <v>0</v>
      </c>
      <c r="AG368" s="5">
        <f>IF(Table3[[#This Row],[Efficiency Difference]]*0.2146 -10 &gt; Table3[[#This Row],[Scoring Margin]], 1, 0)</f>
        <v>0</v>
      </c>
    </row>
    <row r="369" spans="2:33">
      <c r="B369" s="5">
        <v>44</v>
      </c>
      <c r="C369" s="5">
        <v>4</v>
      </c>
      <c r="X369" s="5">
        <v>44</v>
      </c>
      <c r="Y369" s="5">
        <v>4</v>
      </c>
      <c r="Z369" s="5">
        <f>IF(Table3[[#This Row],[Efficiency Difference]]*0.2146 &gt; Table3[[#This Row],[Scoring Margin]], 1, 0)</f>
        <v>1</v>
      </c>
      <c r="AA369" s="5">
        <f>IF(Table3[[#This Row],[Efficiency Difference]]*0.2146 + 7 &gt; Table3[[#This Row],[Scoring Margin]], 1, 0)</f>
        <v>1</v>
      </c>
      <c r="AB369" s="5">
        <f>IF(Table3[[#This Row],[Efficiency Difference]]*0.2146 + 14 &gt; Table3[[#This Row],[Scoring Margin]], 1, 0)</f>
        <v>1</v>
      </c>
      <c r="AC369" s="5">
        <f>IF(Table3[[#This Row],[Efficiency Difference]]*0.2146 + 21 &gt; Table3[[#This Row],[Scoring Margin]], 1, 0)</f>
        <v>1</v>
      </c>
      <c r="AD369" s="5">
        <f>IF(Table3[[#This Row],[Efficiency Difference]]*0.2146 -7 &gt; Table3[[#This Row],[Scoring Margin]], 1, 0)</f>
        <v>0</v>
      </c>
      <c r="AE369" s="5">
        <f>IF(Table3[[#This Row],[Efficiency Difference]]*0.2146 -3 &gt; Table3[[#This Row],[Scoring Margin]], 1, 0)</f>
        <v>1</v>
      </c>
      <c r="AF369" s="5">
        <f>IF(Table3[[#This Row],[Efficiency Difference]]*0.2146 -5 &gt; Table3[[#This Row],[Scoring Margin]], 1, 0)</f>
        <v>1</v>
      </c>
      <c r="AG369" s="5">
        <f>IF(Table3[[#This Row],[Efficiency Difference]]*0.2146 -10 &gt; Table3[[#This Row],[Scoring Margin]], 1, 0)</f>
        <v>0</v>
      </c>
    </row>
    <row r="370" spans="2:33">
      <c r="B370" s="5">
        <v>103.42000000000002</v>
      </c>
      <c r="C370" s="5">
        <v>49</v>
      </c>
      <c r="X370" s="5">
        <v>103.42000000000002</v>
      </c>
      <c r="Y370" s="5">
        <v>49</v>
      </c>
      <c r="Z370" s="5">
        <f>IF(Table3[[#This Row],[Efficiency Difference]]*0.2146 &gt; Table3[[#This Row],[Scoring Margin]], 1, 0)</f>
        <v>0</v>
      </c>
      <c r="AA370" s="5">
        <f>IF(Table3[[#This Row],[Efficiency Difference]]*0.2146 + 7 &gt; Table3[[#This Row],[Scoring Margin]], 1, 0)</f>
        <v>0</v>
      </c>
      <c r="AB370" s="5">
        <f>IF(Table3[[#This Row],[Efficiency Difference]]*0.2146 + 14 &gt; Table3[[#This Row],[Scoring Margin]], 1, 0)</f>
        <v>0</v>
      </c>
      <c r="AC370" s="5">
        <f>IF(Table3[[#This Row],[Efficiency Difference]]*0.2146 + 21 &gt; Table3[[#This Row],[Scoring Margin]], 1, 0)</f>
        <v>0</v>
      </c>
      <c r="AD370" s="5">
        <f>IF(Table3[[#This Row],[Efficiency Difference]]*0.2146 -7 &gt; Table3[[#This Row],[Scoring Margin]], 1, 0)</f>
        <v>0</v>
      </c>
      <c r="AE370" s="5">
        <f>IF(Table3[[#This Row],[Efficiency Difference]]*0.2146 -3 &gt; Table3[[#This Row],[Scoring Margin]], 1, 0)</f>
        <v>0</v>
      </c>
      <c r="AF370" s="5">
        <f>IF(Table3[[#This Row],[Efficiency Difference]]*0.2146 -5 &gt; Table3[[#This Row],[Scoring Margin]], 1, 0)</f>
        <v>0</v>
      </c>
      <c r="AG370" s="5">
        <f>IF(Table3[[#This Row],[Efficiency Difference]]*0.2146 -10 &gt; Table3[[#This Row],[Scoring Margin]], 1, 0)</f>
        <v>0</v>
      </c>
    </row>
    <row r="371" spans="2:33">
      <c r="B371" s="5">
        <v>151.43000000000004</v>
      </c>
      <c r="C371" s="5">
        <v>46</v>
      </c>
      <c r="X371" s="5">
        <v>151.43000000000004</v>
      </c>
      <c r="Y371" s="5">
        <v>46</v>
      </c>
      <c r="Z371" s="5">
        <f>IF(Table3[[#This Row],[Efficiency Difference]]*0.2146 &gt; Table3[[#This Row],[Scoring Margin]], 1, 0)</f>
        <v>0</v>
      </c>
      <c r="AA371" s="5">
        <f>IF(Table3[[#This Row],[Efficiency Difference]]*0.2146 + 7 &gt; Table3[[#This Row],[Scoring Margin]], 1, 0)</f>
        <v>0</v>
      </c>
      <c r="AB371" s="5">
        <f>IF(Table3[[#This Row],[Efficiency Difference]]*0.2146 + 14 &gt; Table3[[#This Row],[Scoring Margin]], 1, 0)</f>
        <v>1</v>
      </c>
      <c r="AC371" s="5">
        <f>IF(Table3[[#This Row],[Efficiency Difference]]*0.2146 + 21 &gt; Table3[[#This Row],[Scoring Margin]], 1, 0)</f>
        <v>1</v>
      </c>
      <c r="AD371" s="5">
        <f>IF(Table3[[#This Row],[Efficiency Difference]]*0.2146 -7 &gt; Table3[[#This Row],[Scoring Margin]], 1, 0)</f>
        <v>0</v>
      </c>
      <c r="AE371" s="5">
        <f>IF(Table3[[#This Row],[Efficiency Difference]]*0.2146 -3 &gt; Table3[[#This Row],[Scoring Margin]], 1, 0)</f>
        <v>0</v>
      </c>
      <c r="AF371" s="5">
        <f>IF(Table3[[#This Row],[Efficiency Difference]]*0.2146 -5 &gt; Table3[[#This Row],[Scoring Margin]], 1, 0)</f>
        <v>0</v>
      </c>
      <c r="AG371" s="5">
        <f>IF(Table3[[#This Row],[Efficiency Difference]]*0.2146 -10 &gt; Table3[[#This Row],[Scoring Margin]], 1, 0)</f>
        <v>0</v>
      </c>
    </row>
    <row r="372" spans="2:33">
      <c r="B372" s="5">
        <v>82.199999999999989</v>
      </c>
      <c r="C372" s="5">
        <v>3</v>
      </c>
      <c r="X372" s="5">
        <v>82.199999999999989</v>
      </c>
      <c r="Y372" s="5">
        <v>3</v>
      </c>
      <c r="Z372" s="5">
        <f>IF(Table3[[#This Row],[Efficiency Difference]]*0.2146 &gt; Table3[[#This Row],[Scoring Margin]], 1, 0)</f>
        <v>1</v>
      </c>
      <c r="AA372" s="5">
        <f>IF(Table3[[#This Row],[Efficiency Difference]]*0.2146 + 7 &gt; Table3[[#This Row],[Scoring Margin]], 1, 0)</f>
        <v>1</v>
      </c>
      <c r="AB372" s="5">
        <f>IF(Table3[[#This Row],[Efficiency Difference]]*0.2146 + 14 &gt; Table3[[#This Row],[Scoring Margin]], 1, 0)</f>
        <v>1</v>
      </c>
      <c r="AC372" s="5">
        <f>IF(Table3[[#This Row],[Efficiency Difference]]*0.2146 + 21 &gt; Table3[[#This Row],[Scoring Margin]], 1, 0)</f>
        <v>1</v>
      </c>
      <c r="AD372" s="5">
        <f>IF(Table3[[#This Row],[Efficiency Difference]]*0.2146 -7 &gt; Table3[[#This Row],[Scoring Margin]], 1, 0)</f>
        <v>1</v>
      </c>
      <c r="AE372" s="5">
        <f>IF(Table3[[#This Row],[Efficiency Difference]]*0.2146 -3 &gt; Table3[[#This Row],[Scoring Margin]], 1, 0)</f>
        <v>1</v>
      </c>
      <c r="AF372" s="5">
        <f>IF(Table3[[#This Row],[Efficiency Difference]]*0.2146 -5 &gt; Table3[[#This Row],[Scoring Margin]], 1, 0)</f>
        <v>1</v>
      </c>
      <c r="AG372" s="5">
        <f>IF(Table3[[#This Row],[Efficiency Difference]]*0.2146 -10 &gt; Table3[[#This Row],[Scoring Margin]], 1, 0)</f>
        <v>1</v>
      </c>
    </row>
    <row r="373" spans="2:33">
      <c r="B373" s="5">
        <v>40.239999999999981</v>
      </c>
      <c r="C373" s="5">
        <v>14</v>
      </c>
      <c r="X373" s="5">
        <v>40.239999999999981</v>
      </c>
      <c r="Y373" s="5">
        <v>14</v>
      </c>
      <c r="Z373" s="5">
        <f>IF(Table3[[#This Row],[Efficiency Difference]]*0.2146 &gt; Table3[[#This Row],[Scoring Margin]], 1, 0)</f>
        <v>0</v>
      </c>
      <c r="AA373" s="5">
        <f>IF(Table3[[#This Row],[Efficiency Difference]]*0.2146 + 7 &gt; Table3[[#This Row],[Scoring Margin]], 1, 0)</f>
        <v>1</v>
      </c>
      <c r="AB373" s="5">
        <f>IF(Table3[[#This Row],[Efficiency Difference]]*0.2146 + 14 &gt; Table3[[#This Row],[Scoring Margin]], 1, 0)</f>
        <v>1</v>
      </c>
      <c r="AC373" s="5">
        <f>IF(Table3[[#This Row],[Efficiency Difference]]*0.2146 + 21 &gt; Table3[[#This Row],[Scoring Margin]], 1, 0)</f>
        <v>1</v>
      </c>
      <c r="AD373" s="5">
        <f>IF(Table3[[#This Row],[Efficiency Difference]]*0.2146 -7 &gt; Table3[[#This Row],[Scoring Margin]], 1, 0)</f>
        <v>0</v>
      </c>
      <c r="AE373" s="5">
        <f>IF(Table3[[#This Row],[Efficiency Difference]]*0.2146 -3 &gt; Table3[[#This Row],[Scoring Margin]], 1, 0)</f>
        <v>0</v>
      </c>
      <c r="AF373" s="5">
        <f>IF(Table3[[#This Row],[Efficiency Difference]]*0.2146 -5 &gt; Table3[[#This Row],[Scoring Margin]], 1, 0)</f>
        <v>0</v>
      </c>
      <c r="AG373" s="5">
        <f>IF(Table3[[#This Row],[Efficiency Difference]]*0.2146 -10 &gt; Table3[[#This Row],[Scoring Margin]], 1, 0)</f>
        <v>0</v>
      </c>
    </row>
    <row r="374" spans="2:33">
      <c r="B374" s="5">
        <v>118.63999999999999</v>
      </c>
      <c r="C374" s="5">
        <v>42</v>
      </c>
      <c r="X374" s="5">
        <v>118.63999999999999</v>
      </c>
      <c r="Y374" s="5">
        <v>42</v>
      </c>
      <c r="Z374" s="5">
        <f>IF(Table3[[#This Row],[Efficiency Difference]]*0.2146 &gt; Table3[[#This Row],[Scoring Margin]], 1, 0)</f>
        <v>0</v>
      </c>
      <c r="AA374" s="5">
        <f>IF(Table3[[#This Row],[Efficiency Difference]]*0.2146 + 7 &gt; Table3[[#This Row],[Scoring Margin]], 1, 0)</f>
        <v>0</v>
      </c>
      <c r="AB374" s="5">
        <f>IF(Table3[[#This Row],[Efficiency Difference]]*0.2146 + 14 &gt; Table3[[#This Row],[Scoring Margin]], 1, 0)</f>
        <v>0</v>
      </c>
      <c r="AC374" s="5">
        <f>IF(Table3[[#This Row],[Efficiency Difference]]*0.2146 + 21 &gt; Table3[[#This Row],[Scoring Margin]], 1, 0)</f>
        <v>1</v>
      </c>
      <c r="AD374" s="5">
        <f>IF(Table3[[#This Row],[Efficiency Difference]]*0.2146 -7 &gt; Table3[[#This Row],[Scoring Margin]], 1, 0)</f>
        <v>0</v>
      </c>
      <c r="AE374" s="5">
        <f>IF(Table3[[#This Row],[Efficiency Difference]]*0.2146 -3 &gt; Table3[[#This Row],[Scoring Margin]], 1, 0)</f>
        <v>0</v>
      </c>
      <c r="AF374" s="5">
        <f>IF(Table3[[#This Row],[Efficiency Difference]]*0.2146 -5 &gt; Table3[[#This Row],[Scoring Margin]], 1, 0)</f>
        <v>0</v>
      </c>
      <c r="AG374" s="5">
        <f>IF(Table3[[#This Row],[Efficiency Difference]]*0.2146 -10 &gt; Table3[[#This Row],[Scoring Margin]], 1, 0)</f>
        <v>0</v>
      </c>
    </row>
    <row r="375" spans="2:33">
      <c r="B375" s="5">
        <v>109.32000000000001</v>
      </c>
      <c r="C375" s="5">
        <v>20</v>
      </c>
      <c r="X375" s="5">
        <v>109.32000000000001</v>
      </c>
      <c r="Y375" s="5">
        <v>20</v>
      </c>
      <c r="Z375" s="5">
        <f>IF(Table3[[#This Row],[Efficiency Difference]]*0.2146 &gt; Table3[[#This Row],[Scoring Margin]], 1, 0)</f>
        <v>1</v>
      </c>
      <c r="AA375" s="5">
        <f>IF(Table3[[#This Row],[Efficiency Difference]]*0.2146 + 7 &gt; Table3[[#This Row],[Scoring Margin]], 1, 0)</f>
        <v>1</v>
      </c>
      <c r="AB375" s="5">
        <f>IF(Table3[[#This Row],[Efficiency Difference]]*0.2146 + 14 &gt; Table3[[#This Row],[Scoring Margin]], 1, 0)</f>
        <v>1</v>
      </c>
      <c r="AC375" s="5">
        <f>IF(Table3[[#This Row],[Efficiency Difference]]*0.2146 + 21 &gt; Table3[[#This Row],[Scoring Margin]], 1, 0)</f>
        <v>1</v>
      </c>
      <c r="AD375" s="5">
        <f>IF(Table3[[#This Row],[Efficiency Difference]]*0.2146 -7 &gt; Table3[[#This Row],[Scoring Margin]], 1, 0)</f>
        <v>0</v>
      </c>
      <c r="AE375" s="5">
        <f>IF(Table3[[#This Row],[Efficiency Difference]]*0.2146 -3 &gt; Table3[[#This Row],[Scoring Margin]], 1, 0)</f>
        <v>1</v>
      </c>
      <c r="AF375" s="5">
        <f>IF(Table3[[#This Row],[Efficiency Difference]]*0.2146 -5 &gt; Table3[[#This Row],[Scoring Margin]], 1, 0)</f>
        <v>0</v>
      </c>
      <c r="AG375" s="5">
        <f>IF(Table3[[#This Row],[Efficiency Difference]]*0.2146 -10 &gt; Table3[[#This Row],[Scoring Margin]], 1, 0)</f>
        <v>0</v>
      </c>
    </row>
    <row r="376" spans="2:33">
      <c r="B376" s="5">
        <v>3.5699999999999932</v>
      </c>
      <c r="C376" s="5">
        <v>7</v>
      </c>
      <c r="X376" s="5">
        <v>3.5699999999999932</v>
      </c>
      <c r="Y376" s="5">
        <v>7</v>
      </c>
      <c r="Z376" s="5">
        <f>IF(Table3[[#This Row],[Efficiency Difference]]*0.2146 &gt; Table3[[#This Row],[Scoring Margin]], 1, 0)</f>
        <v>0</v>
      </c>
      <c r="AA376" s="5">
        <f>IF(Table3[[#This Row],[Efficiency Difference]]*0.2146 + 7 &gt; Table3[[#This Row],[Scoring Margin]], 1, 0)</f>
        <v>1</v>
      </c>
      <c r="AB376" s="5">
        <f>IF(Table3[[#This Row],[Efficiency Difference]]*0.2146 + 14 &gt; Table3[[#This Row],[Scoring Margin]], 1, 0)</f>
        <v>1</v>
      </c>
      <c r="AC376" s="5">
        <f>IF(Table3[[#This Row],[Efficiency Difference]]*0.2146 + 21 &gt; Table3[[#This Row],[Scoring Margin]], 1, 0)</f>
        <v>1</v>
      </c>
      <c r="AD376" s="5">
        <f>IF(Table3[[#This Row],[Efficiency Difference]]*0.2146 -7 &gt; Table3[[#This Row],[Scoring Margin]], 1, 0)</f>
        <v>0</v>
      </c>
      <c r="AE376" s="5">
        <f>IF(Table3[[#This Row],[Efficiency Difference]]*0.2146 -3 &gt; Table3[[#This Row],[Scoring Margin]], 1, 0)</f>
        <v>0</v>
      </c>
      <c r="AF376" s="5">
        <f>IF(Table3[[#This Row],[Efficiency Difference]]*0.2146 -5 &gt; Table3[[#This Row],[Scoring Margin]], 1, 0)</f>
        <v>0</v>
      </c>
      <c r="AG376" s="5">
        <f>IF(Table3[[#This Row],[Efficiency Difference]]*0.2146 -10 &gt; Table3[[#This Row],[Scoring Margin]], 1, 0)</f>
        <v>0</v>
      </c>
    </row>
    <row r="377" spans="2:33">
      <c r="B377" s="5">
        <v>58.320000000000007</v>
      </c>
      <c r="C377" s="5">
        <v>6</v>
      </c>
      <c r="X377" s="5">
        <v>58.320000000000007</v>
      </c>
      <c r="Y377" s="5">
        <v>6</v>
      </c>
      <c r="Z377" s="5">
        <f>IF(Table3[[#This Row],[Efficiency Difference]]*0.2146 &gt; Table3[[#This Row],[Scoring Margin]], 1, 0)</f>
        <v>1</v>
      </c>
      <c r="AA377" s="5">
        <f>IF(Table3[[#This Row],[Efficiency Difference]]*0.2146 + 7 &gt; Table3[[#This Row],[Scoring Margin]], 1, 0)</f>
        <v>1</v>
      </c>
      <c r="AB377" s="5">
        <f>IF(Table3[[#This Row],[Efficiency Difference]]*0.2146 + 14 &gt; Table3[[#This Row],[Scoring Margin]], 1, 0)</f>
        <v>1</v>
      </c>
      <c r="AC377" s="5">
        <f>IF(Table3[[#This Row],[Efficiency Difference]]*0.2146 + 21 &gt; Table3[[#This Row],[Scoring Margin]], 1, 0)</f>
        <v>1</v>
      </c>
      <c r="AD377" s="5">
        <f>IF(Table3[[#This Row],[Efficiency Difference]]*0.2146 -7 &gt; Table3[[#This Row],[Scoring Margin]], 1, 0)</f>
        <v>0</v>
      </c>
      <c r="AE377" s="5">
        <f>IF(Table3[[#This Row],[Efficiency Difference]]*0.2146 -3 &gt; Table3[[#This Row],[Scoring Margin]], 1, 0)</f>
        <v>1</v>
      </c>
      <c r="AF377" s="5">
        <f>IF(Table3[[#This Row],[Efficiency Difference]]*0.2146 -5 &gt; Table3[[#This Row],[Scoring Margin]], 1, 0)</f>
        <v>1</v>
      </c>
      <c r="AG377" s="5">
        <f>IF(Table3[[#This Row],[Efficiency Difference]]*0.2146 -10 &gt; Table3[[#This Row],[Scoring Margin]], 1, 0)</f>
        <v>0</v>
      </c>
    </row>
    <row r="378" spans="2:33">
      <c r="B378" s="5">
        <v>3.3199999999999932</v>
      </c>
      <c r="C378" s="5">
        <v>10</v>
      </c>
      <c r="X378" s="5">
        <v>3.3199999999999932</v>
      </c>
      <c r="Y378" s="5">
        <v>10</v>
      </c>
      <c r="Z378" s="5">
        <f>IF(Table3[[#This Row],[Efficiency Difference]]*0.2146 &gt; Table3[[#This Row],[Scoring Margin]], 1, 0)</f>
        <v>0</v>
      </c>
      <c r="AA378" s="5">
        <f>IF(Table3[[#This Row],[Efficiency Difference]]*0.2146 + 7 &gt; Table3[[#This Row],[Scoring Margin]], 1, 0)</f>
        <v>0</v>
      </c>
      <c r="AB378" s="5">
        <f>IF(Table3[[#This Row],[Efficiency Difference]]*0.2146 + 14 &gt; Table3[[#This Row],[Scoring Margin]], 1, 0)</f>
        <v>1</v>
      </c>
      <c r="AC378" s="5">
        <f>IF(Table3[[#This Row],[Efficiency Difference]]*0.2146 + 21 &gt; Table3[[#This Row],[Scoring Margin]], 1, 0)</f>
        <v>1</v>
      </c>
      <c r="AD378" s="5">
        <f>IF(Table3[[#This Row],[Efficiency Difference]]*0.2146 -7 &gt; Table3[[#This Row],[Scoring Margin]], 1, 0)</f>
        <v>0</v>
      </c>
      <c r="AE378" s="5">
        <f>IF(Table3[[#This Row],[Efficiency Difference]]*0.2146 -3 &gt; Table3[[#This Row],[Scoring Margin]], 1, 0)</f>
        <v>0</v>
      </c>
      <c r="AF378" s="5">
        <f>IF(Table3[[#This Row],[Efficiency Difference]]*0.2146 -5 &gt; Table3[[#This Row],[Scoring Margin]], 1, 0)</f>
        <v>0</v>
      </c>
      <c r="AG378" s="5">
        <f>IF(Table3[[#This Row],[Efficiency Difference]]*0.2146 -10 &gt; Table3[[#This Row],[Scoring Margin]], 1, 0)</f>
        <v>0</v>
      </c>
    </row>
    <row r="379" spans="2:33">
      <c r="B379" s="5">
        <v>40.239999999999981</v>
      </c>
      <c r="C379" s="5">
        <v>14</v>
      </c>
      <c r="X379" s="5">
        <v>40.239999999999981</v>
      </c>
      <c r="Y379" s="5">
        <v>14</v>
      </c>
      <c r="Z379" s="5">
        <f>IF(Table3[[#This Row],[Efficiency Difference]]*0.2146 &gt; Table3[[#This Row],[Scoring Margin]], 1, 0)</f>
        <v>0</v>
      </c>
      <c r="AA379" s="5">
        <f>IF(Table3[[#This Row],[Efficiency Difference]]*0.2146 + 7 &gt; Table3[[#This Row],[Scoring Margin]], 1, 0)</f>
        <v>1</v>
      </c>
      <c r="AB379" s="5">
        <f>IF(Table3[[#This Row],[Efficiency Difference]]*0.2146 + 14 &gt; Table3[[#This Row],[Scoring Margin]], 1, 0)</f>
        <v>1</v>
      </c>
      <c r="AC379" s="5">
        <f>IF(Table3[[#This Row],[Efficiency Difference]]*0.2146 + 21 &gt; Table3[[#This Row],[Scoring Margin]], 1, 0)</f>
        <v>1</v>
      </c>
      <c r="AD379" s="5">
        <f>IF(Table3[[#This Row],[Efficiency Difference]]*0.2146 -7 &gt; Table3[[#This Row],[Scoring Margin]], 1, 0)</f>
        <v>0</v>
      </c>
      <c r="AE379" s="5">
        <f>IF(Table3[[#This Row],[Efficiency Difference]]*0.2146 -3 &gt; Table3[[#This Row],[Scoring Margin]], 1, 0)</f>
        <v>0</v>
      </c>
      <c r="AF379" s="5">
        <f>IF(Table3[[#This Row],[Efficiency Difference]]*0.2146 -5 &gt; Table3[[#This Row],[Scoring Margin]], 1, 0)</f>
        <v>0</v>
      </c>
      <c r="AG379" s="5">
        <f>IF(Table3[[#This Row],[Efficiency Difference]]*0.2146 -10 &gt; Table3[[#This Row],[Scoring Margin]], 1, 0)</f>
        <v>0</v>
      </c>
    </row>
    <row r="380" spans="2:33">
      <c r="B380" s="5">
        <v>85.490000000000009</v>
      </c>
      <c r="C380" s="5">
        <v>7</v>
      </c>
      <c r="X380" s="5">
        <v>85.490000000000009</v>
      </c>
      <c r="Y380" s="5">
        <v>7</v>
      </c>
      <c r="Z380" s="5">
        <f>IF(Table3[[#This Row],[Efficiency Difference]]*0.2146 &gt; Table3[[#This Row],[Scoring Margin]], 1, 0)</f>
        <v>1</v>
      </c>
      <c r="AA380" s="5">
        <f>IF(Table3[[#This Row],[Efficiency Difference]]*0.2146 + 7 &gt; Table3[[#This Row],[Scoring Margin]], 1, 0)</f>
        <v>1</v>
      </c>
      <c r="AB380" s="5">
        <f>IF(Table3[[#This Row],[Efficiency Difference]]*0.2146 + 14 &gt; Table3[[#This Row],[Scoring Margin]], 1, 0)</f>
        <v>1</v>
      </c>
      <c r="AC380" s="5">
        <f>IF(Table3[[#This Row],[Efficiency Difference]]*0.2146 + 21 &gt; Table3[[#This Row],[Scoring Margin]], 1, 0)</f>
        <v>1</v>
      </c>
      <c r="AD380" s="5">
        <f>IF(Table3[[#This Row],[Efficiency Difference]]*0.2146 -7 &gt; Table3[[#This Row],[Scoring Margin]], 1, 0)</f>
        <v>1</v>
      </c>
      <c r="AE380" s="5">
        <f>IF(Table3[[#This Row],[Efficiency Difference]]*0.2146 -3 &gt; Table3[[#This Row],[Scoring Margin]], 1, 0)</f>
        <v>1</v>
      </c>
      <c r="AF380" s="5">
        <f>IF(Table3[[#This Row],[Efficiency Difference]]*0.2146 -5 &gt; Table3[[#This Row],[Scoring Margin]], 1, 0)</f>
        <v>1</v>
      </c>
      <c r="AG380" s="5">
        <f>IF(Table3[[#This Row],[Efficiency Difference]]*0.2146 -10 &gt; Table3[[#This Row],[Scoring Margin]], 1, 0)</f>
        <v>1</v>
      </c>
    </row>
    <row r="381" spans="2:33">
      <c r="B381" s="5">
        <v>42.510000000000019</v>
      </c>
      <c r="C381" s="5">
        <v>11</v>
      </c>
      <c r="X381" s="5">
        <v>42.510000000000019</v>
      </c>
      <c r="Y381" s="5">
        <v>11</v>
      </c>
      <c r="Z381" s="5">
        <f>IF(Table3[[#This Row],[Efficiency Difference]]*0.2146 &gt; Table3[[#This Row],[Scoring Margin]], 1, 0)</f>
        <v>0</v>
      </c>
      <c r="AA381" s="5">
        <f>IF(Table3[[#This Row],[Efficiency Difference]]*0.2146 + 7 &gt; Table3[[#This Row],[Scoring Margin]], 1, 0)</f>
        <v>1</v>
      </c>
      <c r="AB381" s="5">
        <f>IF(Table3[[#This Row],[Efficiency Difference]]*0.2146 + 14 &gt; Table3[[#This Row],[Scoring Margin]], 1, 0)</f>
        <v>1</v>
      </c>
      <c r="AC381" s="5">
        <f>IF(Table3[[#This Row],[Efficiency Difference]]*0.2146 + 21 &gt; Table3[[#This Row],[Scoring Margin]], 1, 0)</f>
        <v>1</v>
      </c>
      <c r="AD381" s="5">
        <f>IF(Table3[[#This Row],[Efficiency Difference]]*0.2146 -7 &gt; Table3[[#This Row],[Scoring Margin]], 1, 0)</f>
        <v>0</v>
      </c>
      <c r="AE381" s="5">
        <f>IF(Table3[[#This Row],[Efficiency Difference]]*0.2146 -3 &gt; Table3[[#This Row],[Scoring Margin]], 1, 0)</f>
        <v>0</v>
      </c>
      <c r="AF381" s="5">
        <f>IF(Table3[[#This Row],[Efficiency Difference]]*0.2146 -5 &gt; Table3[[#This Row],[Scoring Margin]], 1, 0)</f>
        <v>0</v>
      </c>
      <c r="AG381" s="5">
        <f>IF(Table3[[#This Row],[Efficiency Difference]]*0.2146 -10 &gt; Table3[[#This Row],[Scoring Margin]], 1, 0)</f>
        <v>0</v>
      </c>
    </row>
    <row r="382" spans="2:33">
      <c r="B382" s="5">
        <v>111.88</v>
      </c>
      <c r="C382" s="5">
        <v>2</v>
      </c>
      <c r="X382" s="5">
        <v>111.88</v>
      </c>
      <c r="Y382" s="5">
        <v>2</v>
      </c>
      <c r="Z382" s="5">
        <f>IF(Table3[[#This Row],[Efficiency Difference]]*0.2146 &gt; Table3[[#This Row],[Scoring Margin]], 1, 0)</f>
        <v>1</v>
      </c>
      <c r="AA382" s="5">
        <f>IF(Table3[[#This Row],[Efficiency Difference]]*0.2146 + 7 &gt; Table3[[#This Row],[Scoring Margin]], 1, 0)</f>
        <v>1</v>
      </c>
      <c r="AB382" s="5">
        <f>IF(Table3[[#This Row],[Efficiency Difference]]*0.2146 + 14 &gt; Table3[[#This Row],[Scoring Margin]], 1, 0)</f>
        <v>1</v>
      </c>
      <c r="AC382" s="5">
        <f>IF(Table3[[#This Row],[Efficiency Difference]]*0.2146 + 21 &gt; Table3[[#This Row],[Scoring Margin]], 1, 0)</f>
        <v>1</v>
      </c>
      <c r="AD382" s="5">
        <f>IF(Table3[[#This Row],[Efficiency Difference]]*0.2146 -7 &gt; Table3[[#This Row],[Scoring Margin]], 1, 0)</f>
        <v>1</v>
      </c>
      <c r="AE382" s="5">
        <f>IF(Table3[[#This Row],[Efficiency Difference]]*0.2146 -3 &gt; Table3[[#This Row],[Scoring Margin]], 1, 0)</f>
        <v>1</v>
      </c>
      <c r="AF382" s="5">
        <f>IF(Table3[[#This Row],[Efficiency Difference]]*0.2146 -5 &gt; Table3[[#This Row],[Scoring Margin]], 1, 0)</f>
        <v>1</v>
      </c>
      <c r="AG382" s="5">
        <f>IF(Table3[[#This Row],[Efficiency Difference]]*0.2146 -10 &gt; Table3[[#This Row],[Scoring Margin]], 1, 0)</f>
        <v>1</v>
      </c>
    </row>
    <row r="383" spans="2:33">
      <c r="B383" s="5">
        <v>54.319999999999993</v>
      </c>
      <c r="C383" s="5">
        <v>11</v>
      </c>
      <c r="X383" s="5">
        <v>54.319999999999993</v>
      </c>
      <c r="Y383" s="5">
        <v>11</v>
      </c>
      <c r="Z383" s="5">
        <f>IF(Table3[[#This Row],[Efficiency Difference]]*0.2146 &gt; Table3[[#This Row],[Scoring Margin]], 1, 0)</f>
        <v>1</v>
      </c>
      <c r="AA383" s="5">
        <f>IF(Table3[[#This Row],[Efficiency Difference]]*0.2146 + 7 &gt; Table3[[#This Row],[Scoring Margin]], 1, 0)</f>
        <v>1</v>
      </c>
      <c r="AB383" s="5">
        <f>IF(Table3[[#This Row],[Efficiency Difference]]*0.2146 + 14 &gt; Table3[[#This Row],[Scoring Margin]], 1, 0)</f>
        <v>1</v>
      </c>
      <c r="AC383" s="5">
        <f>IF(Table3[[#This Row],[Efficiency Difference]]*0.2146 + 21 &gt; Table3[[#This Row],[Scoring Margin]], 1, 0)</f>
        <v>1</v>
      </c>
      <c r="AD383" s="5">
        <f>IF(Table3[[#This Row],[Efficiency Difference]]*0.2146 -7 &gt; Table3[[#This Row],[Scoring Margin]], 1, 0)</f>
        <v>0</v>
      </c>
      <c r="AE383" s="5">
        <f>IF(Table3[[#This Row],[Efficiency Difference]]*0.2146 -3 &gt; Table3[[#This Row],[Scoring Margin]], 1, 0)</f>
        <v>0</v>
      </c>
      <c r="AF383" s="5">
        <f>IF(Table3[[#This Row],[Efficiency Difference]]*0.2146 -5 &gt; Table3[[#This Row],[Scoring Margin]], 1, 0)</f>
        <v>0</v>
      </c>
      <c r="AG383" s="5">
        <f>IF(Table3[[#This Row],[Efficiency Difference]]*0.2146 -10 &gt; Table3[[#This Row],[Scoring Margin]], 1, 0)</f>
        <v>0</v>
      </c>
    </row>
    <row r="384" spans="2:33">
      <c r="B384" s="5">
        <v>135.73000000000002</v>
      </c>
      <c r="C384" s="5">
        <v>15</v>
      </c>
      <c r="X384" s="5">
        <v>135.73000000000002</v>
      </c>
      <c r="Y384" s="5">
        <v>15</v>
      </c>
      <c r="Z384" s="5">
        <f>IF(Table3[[#This Row],[Efficiency Difference]]*0.2146 &gt; Table3[[#This Row],[Scoring Margin]], 1, 0)</f>
        <v>1</v>
      </c>
      <c r="AA384" s="5">
        <f>IF(Table3[[#This Row],[Efficiency Difference]]*0.2146 + 7 &gt; Table3[[#This Row],[Scoring Margin]], 1, 0)</f>
        <v>1</v>
      </c>
      <c r="AB384" s="5">
        <f>IF(Table3[[#This Row],[Efficiency Difference]]*0.2146 + 14 &gt; Table3[[#This Row],[Scoring Margin]], 1, 0)</f>
        <v>1</v>
      </c>
      <c r="AC384" s="5">
        <f>IF(Table3[[#This Row],[Efficiency Difference]]*0.2146 + 21 &gt; Table3[[#This Row],[Scoring Margin]], 1, 0)</f>
        <v>1</v>
      </c>
      <c r="AD384" s="5">
        <f>IF(Table3[[#This Row],[Efficiency Difference]]*0.2146 -7 &gt; Table3[[#This Row],[Scoring Margin]], 1, 0)</f>
        <v>1</v>
      </c>
      <c r="AE384" s="5">
        <f>IF(Table3[[#This Row],[Efficiency Difference]]*0.2146 -3 &gt; Table3[[#This Row],[Scoring Margin]], 1, 0)</f>
        <v>1</v>
      </c>
      <c r="AF384" s="5">
        <f>IF(Table3[[#This Row],[Efficiency Difference]]*0.2146 -5 &gt; Table3[[#This Row],[Scoring Margin]], 1, 0)</f>
        <v>1</v>
      </c>
      <c r="AG384" s="5">
        <f>IF(Table3[[#This Row],[Efficiency Difference]]*0.2146 -10 &gt; Table3[[#This Row],[Scoring Margin]], 1, 0)</f>
        <v>1</v>
      </c>
    </row>
    <row r="385" spans="2:33">
      <c r="B385" s="5">
        <v>31.849999999999966</v>
      </c>
      <c r="C385" s="5">
        <v>7</v>
      </c>
      <c r="X385" s="5">
        <v>31.849999999999966</v>
      </c>
      <c r="Y385" s="5">
        <v>7</v>
      </c>
      <c r="Z385" s="5">
        <f>IF(Table3[[#This Row],[Efficiency Difference]]*0.2146 &gt; Table3[[#This Row],[Scoring Margin]], 1, 0)</f>
        <v>0</v>
      </c>
      <c r="AA385" s="5">
        <f>IF(Table3[[#This Row],[Efficiency Difference]]*0.2146 + 7 &gt; Table3[[#This Row],[Scoring Margin]], 1, 0)</f>
        <v>1</v>
      </c>
      <c r="AB385" s="5">
        <f>IF(Table3[[#This Row],[Efficiency Difference]]*0.2146 + 14 &gt; Table3[[#This Row],[Scoring Margin]], 1, 0)</f>
        <v>1</v>
      </c>
      <c r="AC385" s="5">
        <f>IF(Table3[[#This Row],[Efficiency Difference]]*0.2146 + 21 &gt; Table3[[#This Row],[Scoring Margin]], 1, 0)</f>
        <v>1</v>
      </c>
      <c r="AD385" s="5">
        <f>IF(Table3[[#This Row],[Efficiency Difference]]*0.2146 -7 &gt; Table3[[#This Row],[Scoring Margin]], 1, 0)</f>
        <v>0</v>
      </c>
      <c r="AE385" s="5">
        <f>IF(Table3[[#This Row],[Efficiency Difference]]*0.2146 -3 &gt; Table3[[#This Row],[Scoring Margin]], 1, 0)</f>
        <v>0</v>
      </c>
      <c r="AF385" s="5">
        <f>IF(Table3[[#This Row],[Efficiency Difference]]*0.2146 -5 &gt; Table3[[#This Row],[Scoring Margin]], 1, 0)</f>
        <v>0</v>
      </c>
      <c r="AG385" s="5">
        <f>IF(Table3[[#This Row],[Efficiency Difference]]*0.2146 -10 &gt; Table3[[#This Row],[Scoring Margin]], 1, 0)</f>
        <v>0</v>
      </c>
    </row>
    <row r="386" spans="2:33">
      <c r="B386" s="5">
        <v>35.820000000000022</v>
      </c>
      <c r="C386" s="5">
        <v>6</v>
      </c>
      <c r="X386" s="5">
        <v>35.820000000000022</v>
      </c>
      <c r="Y386" s="5">
        <v>6</v>
      </c>
      <c r="Z386" s="5">
        <f>IF(Table3[[#This Row],[Efficiency Difference]]*0.2146 &gt; Table3[[#This Row],[Scoring Margin]], 1, 0)</f>
        <v>1</v>
      </c>
      <c r="AA386" s="5">
        <f>IF(Table3[[#This Row],[Efficiency Difference]]*0.2146 + 7 &gt; Table3[[#This Row],[Scoring Margin]], 1, 0)</f>
        <v>1</v>
      </c>
      <c r="AB386" s="5">
        <f>IF(Table3[[#This Row],[Efficiency Difference]]*0.2146 + 14 &gt; Table3[[#This Row],[Scoring Margin]], 1, 0)</f>
        <v>1</v>
      </c>
      <c r="AC386" s="5">
        <f>IF(Table3[[#This Row],[Efficiency Difference]]*0.2146 + 21 &gt; Table3[[#This Row],[Scoring Margin]], 1, 0)</f>
        <v>1</v>
      </c>
      <c r="AD386" s="5">
        <f>IF(Table3[[#This Row],[Efficiency Difference]]*0.2146 -7 &gt; Table3[[#This Row],[Scoring Margin]], 1, 0)</f>
        <v>0</v>
      </c>
      <c r="AE386" s="5">
        <f>IF(Table3[[#This Row],[Efficiency Difference]]*0.2146 -3 &gt; Table3[[#This Row],[Scoring Margin]], 1, 0)</f>
        <v>0</v>
      </c>
      <c r="AF386" s="5">
        <f>IF(Table3[[#This Row],[Efficiency Difference]]*0.2146 -5 &gt; Table3[[#This Row],[Scoring Margin]], 1, 0)</f>
        <v>0</v>
      </c>
      <c r="AG386" s="5">
        <f>IF(Table3[[#This Row],[Efficiency Difference]]*0.2146 -10 &gt; Table3[[#This Row],[Scoring Margin]], 1, 0)</f>
        <v>0</v>
      </c>
    </row>
    <row r="387" spans="2:33">
      <c r="B387" s="5">
        <v>9.4699999999999989</v>
      </c>
      <c r="C387" s="5">
        <v>21</v>
      </c>
      <c r="X387" s="5">
        <v>9.4699999999999989</v>
      </c>
      <c r="Y387" s="5">
        <v>21</v>
      </c>
      <c r="Z387" s="5">
        <f>IF(Table3[[#This Row],[Efficiency Difference]]*0.2146 &gt; Table3[[#This Row],[Scoring Margin]], 1, 0)</f>
        <v>0</v>
      </c>
      <c r="AA387" s="5">
        <f>IF(Table3[[#This Row],[Efficiency Difference]]*0.2146 + 7 &gt; Table3[[#This Row],[Scoring Margin]], 1, 0)</f>
        <v>0</v>
      </c>
      <c r="AB387" s="5">
        <f>IF(Table3[[#This Row],[Efficiency Difference]]*0.2146 + 14 &gt; Table3[[#This Row],[Scoring Margin]], 1, 0)</f>
        <v>0</v>
      </c>
      <c r="AC387" s="5">
        <f>IF(Table3[[#This Row],[Efficiency Difference]]*0.2146 + 21 &gt; Table3[[#This Row],[Scoring Margin]], 1, 0)</f>
        <v>1</v>
      </c>
      <c r="AD387" s="5">
        <f>IF(Table3[[#This Row],[Efficiency Difference]]*0.2146 -7 &gt; Table3[[#This Row],[Scoring Margin]], 1, 0)</f>
        <v>0</v>
      </c>
      <c r="AE387" s="5">
        <f>IF(Table3[[#This Row],[Efficiency Difference]]*0.2146 -3 &gt; Table3[[#This Row],[Scoring Margin]], 1, 0)</f>
        <v>0</v>
      </c>
      <c r="AF387" s="5">
        <f>IF(Table3[[#This Row],[Efficiency Difference]]*0.2146 -5 &gt; Table3[[#This Row],[Scoring Margin]], 1, 0)</f>
        <v>0</v>
      </c>
      <c r="AG387" s="5">
        <f>IF(Table3[[#This Row],[Efficiency Difference]]*0.2146 -10 &gt; Table3[[#This Row],[Scoring Margin]], 1, 0)</f>
        <v>0</v>
      </c>
    </row>
    <row r="388" spans="2:33">
      <c r="B388" s="5">
        <v>8.6800000000000068</v>
      </c>
      <c r="C388" s="5">
        <v>7</v>
      </c>
      <c r="X388" s="5">
        <v>8.6800000000000068</v>
      </c>
      <c r="Y388" s="5">
        <v>7</v>
      </c>
      <c r="Z388" s="5">
        <f>IF(Table3[[#This Row],[Efficiency Difference]]*0.2146 &gt; Table3[[#This Row],[Scoring Margin]], 1, 0)</f>
        <v>0</v>
      </c>
      <c r="AA388" s="5">
        <f>IF(Table3[[#This Row],[Efficiency Difference]]*0.2146 + 7 &gt; Table3[[#This Row],[Scoring Margin]], 1, 0)</f>
        <v>1</v>
      </c>
      <c r="AB388" s="5">
        <f>IF(Table3[[#This Row],[Efficiency Difference]]*0.2146 + 14 &gt; Table3[[#This Row],[Scoring Margin]], 1, 0)</f>
        <v>1</v>
      </c>
      <c r="AC388" s="5">
        <f>IF(Table3[[#This Row],[Efficiency Difference]]*0.2146 + 21 &gt; Table3[[#This Row],[Scoring Margin]], 1, 0)</f>
        <v>1</v>
      </c>
      <c r="AD388" s="5">
        <f>IF(Table3[[#This Row],[Efficiency Difference]]*0.2146 -7 &gt; Table3[[#This Row],[Scoring Margin]], 1, 0)</f>
        <v>0</v>
      </c>
      <c r="AE388" s="5">
        <f>IF(Table3[[#This Row],[Efficiency Difference]]*0.2146 -3 &gt; Table3[[#This Row],[Scoring Margin]], 1, 0)</f>
        <v>0</v>
      </c>
      <c r="AF388" s="5">
        <f>IF(Table3[[#This Row],[Efficiency Difference]]*0.2146 -5 &gt; Table3[[#This Row],[Scoring Margin]], 1, 0)</f>
        <v>0</v>
      </c>
      <c r="AG388" s="5">
        <f>IF(Table3[[#This Row],[Efficiency Difference]]*0.2146 -10 &gt; Table3[[#This Row],[Scoring Margin]], 1, 0)</f>
        <v>0</v>
      </c>
    </row>
    <row r="389" spans="2:33">
      <c r="B389" s="5">
        <v>177.65</v>
      </c>
      <c r="C389" s="5">
        <v>30</v>
      </c>
      <c r="X389" s="5">
        <v>177.65</v>
      </c>
      <c r="Y389" s="5">
        <v>30</v>
      </c>
      <c r="Z389" s="5">
        <f>IF(Table3[[#This Row],[Efficiency Difference]]*0.2146 &gt; Table3[[#This Row],[Scoring Margin]], 1, 0)</f>
        <v>1</v>
      </c>
      <c r="AA389" s="5">
        <f>IF(Table3[[#This Row],[Efficiency Difference]]*0.2146 + 7 &gt; Table3[[#This Row],[Scoring Margin]], 1, 0)</f>
        <v>1</v>
      </c>
      <c r="AB389" s="5">
        <f>IF(Table3[[#This Row],[Efficiency Difference]]*0.2146 + 14 &gt; Table3[[#This Row],[Scoring Margin]], 1, 0)</f>
        <v>1</v>
      </c>
      <c r="AC389" s="5">
        <f>IF(Table3[[#This Row],[Efficiency Difference]]*0.2146 + 21 &gt; Table3[[#This Row],[Scoring Margin]], 1, 0)</f>
        <v>1</v>
      </c>
      <c r="AD389" s="5">
        <f>IF(Table3[[#This Row],[Efficiency Difference]]*0.2146 -7 &gt; Table3[[#This Row],[Scoring Margin]], 1, 0)</f>
        <v>1</v>
      </c>
      <c r="AE389" s="5">
        <f>IF(Table3[[#This Row],[Efficiency Difference]]*0.2146 -3 &gt; Table3[[#This Row],[Scoring Margin]], 1, 0)</f>
        <v>1</v>
      </c>
      <c r="AF389" s="5">
        <f>IF(Table3[[#This Row],[Efficiency Difference]]*0.2146 -5 &gt; Table3[[#This Row],[Scoring Margin]], 1, 0)</f>
        <v>1</v>
      </c>
      <c r="AG389" s="5">
        <f>IF(Table3[[#This Row],[Efficiency Difference]]*0.2146 -10 &gt; Table3[[#This Row],[Scoring Margin]], 1, 0)</f>
        <v>0</v>
      </c>
    </row>
    <row r="390" spans="2:33">
      <c r="B390" s="5">
        <v>46.53</v>
      </c>
      <c r="C390" s="5">
        <v>14</v>
      </c>
      <c r="X390" s="5">
        <v>46.53</v>
      </c>
      <c r="Y390" s="5">
        <v>14</v>
      </c>
      <c r="Z390" s="5">
        <f>IF(Table3[[#This Row],[Efficiency Difference]]*0.2146 &gt; Table3[[#This Row],[Scoring Margin]], 1, 0)</f>
        <v>0</v>
      </c>
      <c r="AA390" s="5">
        <f>IF(Table3[[#This Row],[Efficiency Difference]]*0.2146 + 7 &gt; Table3[[#This Row],[Scoring Margin]], 1, 0)</f>
        <v>1</v>
      </c>
      <c r="AB390" s="5">
        <f>IF(Table3[[#This Row],[Efficiency Difference]]*0.2146 + 14 &gt; Table3[[#This Row],[Scoring Margin]], 1, 0)</f>
        <v>1</v>
      </c>
      <c r="AC390" s="5">
        <f>IF(Table3[[#This Row],[Efficiency Difference]]*0.2146 + 21 &gt; Table3[[#This Row],[Scoring Margin]], 1, 0)</f>
        <v>1</v>
      </c>
      <c r="AD390" s="5">
        <f>IF(Table3[[#This Row],[Efficiency Difference]]*0.2146 -7 &gt; Table3[[#This Row],[Scoring Margin]], 1, 0)</f>
        <v>0</v>
      </c>
      <c r="AE390" s="5">
        <f>IF(Table3[[#This Row],[Efficiency Difference]]*0.2146 -3 &gt; Table3[[#This Row],[Scoring Margin]], 1, 0)</f>
        <v>0</v>
      </c>
      <c r="AF390" s="5">
        <f>IF(Table3[[#This Row],[Efficiency Difference]]*0.2146 -5 &gt; Table3[[#This Row],[Scoring Margin]], 1, 0)</f>
        <v>0</v>
      </c>
      <c r="AG390" s="5">
        <f>IF(Table3[[#This Row],[Efficiency Difference]]*0.2146 -10 &gt; Table3[[#This Row],[Scoring Margin]], 1, 0)</f>
        <v>0</v>
      </c>
    </row>
    <row r="391" spans="2:33">
      <c r="B391" s="5">
        <v>44.129999999999995</v>
      </c>
      <c r="C391" s="5">
        <v>14</v>
      </c>
      <c r="X391" s="5">
        <v>44.129999999999995</v>
      </c>
      <c r="Y391" s="5">
        <v>14</v>
      </c>
      <c r="Z391" s="5">
        <f>IF(Table3[[#This Row],[Efficiency Difference]]*0.2146 &gt; Table3[[#This Row],[Scoring Margin]], 1, 0)</f>
        <v>0</v>
      </c>
      <c r="AA391" s="5">
        <f>IF(Table3[[#This Row],[Efficiency Difference]]*0.2146 + 7 &gt; Table3[[#This Row],[Scoring Margin]], 1, 0)</f>
        <v>1</v>
      </c>
      <c r="AB391" s="5">
        <f>IF(Table3[[#This Row],[Efficiency Difference]]*0.2146 + 14 &gt; Table3[[#This Row],[Scoring Margin]], 1, 0)</f>
        <v>1</v>
      </c>
      <c r="AC391" s="5">
        <f>IF(Table3[[#This Row],[Efficiency Difference]]*0.2146 + 21 &gt; Table3[[#This Row],[Scoring Margin]], 1, 0)</f>
        <v>1</v>
      </c>
      <c r="AD391" s="5">
        <f>IF(Table3[[#This Row],[Efficiency Difference]]*0.2146 -7 &gt; Table3[[#This Row],[Scoring Margin]], 1, 0)</f>
        <v>0</v>
      </c>
      <c r="AE391" s="5">
        <f>IF(Table3[[#This Row],[Efficiency Difference]]*0.2146 -3 &gt; Table3[[#This Row],[Scoring Margin]], 1, 0)</f>
        <v>0</v>
      </c>
      <c r="AF391" s="5">
        <f>IF(Table3[[#This Row],[Efficiency Difference]]*0.2146 -5 &gt; Table3[[#This Row],[Scoring Margin]], 1, 0)</f>
        <v>0</v>
      </c>
      <c r="AG391" s="5">
        <f>IF(Table3[[#This Row],[Efficiency Difference]]*0.2146 -10 &gt; Table3[[#This Row],[Scoring Margin]], 1, 0)</f>
        <v>0</v>
      </c>
    </row>
    <row r="392" spans="2:33">
      <c r="B392" s="5">
        <v>105.07999999999998</v>
      </c>
      <c r="C392" s="5">
        <v>25</v>
      </c>
      <c r="X392" s="5">
        <v>105.07999999999998</v>
      </c>
      <c r="Y392" s="5">
        <v>25</v>
      </c>
      <c r="Z392" s="5">
        <f>IF(Table3[[#This Row],[Efficiency Difference]]*0.2146 &gt; Table3[[#This Row],[Scoring Margin]], 1, 0)</f>
        <v>0</v>
      </c>
      <c r="AA392" s="5">
        <f>IF(Table3[[#This Row],[Efficiency Difference]]*0.2146 + 7 &gt; Table3[[#This Row],[Scoring Margin]], 1, 0)</f>
        <v>1</v>
      </c>
      <c r="AB392" s="5">
        <f>IF(Table3[[#This Row],[Efficiency Difference]]*0.2146 + 14 &gt; Table3[[#This Row],[Scoring Margin]], 1, 0)</f>
        <v>1</v>
      </c>
      <c r="AC392" s="5">
        <f>IF(Table3[[#This Row],[Efficiency Difference]]*0.2146 + 21 &gt; Table3[[#This Row],[Scoring Margin]], 1, 0)</f>
        <v>1</v>
      </c>
      <c r="AD392" s="5">
        <f>IF(Table3[[#This Row],[Efficiency Difference]]*0.2146 -7 &gt; Table3[[#This Row],[Scoring Margin]], 1, 0)</f>
        <v>0</v>
      </c>
      <c r="AE392" s="5">
        <f>IF(Table3[[#This Row],[Efficiency Difference]]*0.2146 -3 &gt; Table3[[#This Row],[Scoring Margin]], 1, 0)</f>
        <v>0</v>
      </c>
      <c r="AF392" s="5">
        <f>IF(Table3[[#This Row],[Efficiency Difference]]*0.2146 -5 &gt; Table3[[#This Row],[Scoring Margin]], 1, 0)</f>
        <v>0</v>
      </c>
      <c r="AG392" s="5">
        <f>IF(Table3[[#This Row],[Efficiency Difference]]*0.2146 -10 &gt; Table3[[#This Row],[Scoring Margin]], 1, 0)</f>
        <v>0</v>
      </c>
    </row>
    <row r="393" spans="2:33">
      <c r="B393" s="5">
        <v>59.329999999999984</v>
      </c>
      <c r="C393" s="5">
        <v>25</v>
      </c>
      <c r="X393" s="5">
        <v>59.329999999999984</v>
      </c>
      <c r="Y393" s="5">
        <v>25</v>
      </c>
      <c r="Z393" s="5">
        <f>IF(Table3[[#This Row],[Efficiency Difference]]*0.2146 &gt; Table3[[#This Row],[Scoring Margin]], 1, 0)</f>
        <v>0</v>
      </c>
      <c r="AA393" s="5">
        <f>IF(Table3[[#This Row],[Efficiency Difference]]*0.2146 + 7 &gt; Table3[[#This Row],[Scoring Margin]], 1, 0)</f>
        <v>0</v>
      </c>
      <c r="AB393" s="5">
        <f>IF(Table3[[#This Row],[Efficiency Difference]]*0.2146 + 14 &gt; Table3[[#This Row],[Scoring Margin]], 1, 0)</f>
        <v>1</v>
      </c>
      <c r="AC393" s="5">
        <f>IF(Table3[[#This Row],[Efficiency Difference]]*0.2146 + 21 &gt; Table3[[#This Row],[Scoring Margin]], 1, 0)</f>
        <v>1</v>
      </c>
      <c r="AD393" s="5">
        <f>IF(Table3[[#This Row],[Efficiency Difference]]*0.2146 -7 &gt; Table3[[#This Row],[Scoring Margin]], 1, 0)</f>
        <v>0</v>
      </c>
      <c r="AE393" s="5">
        <f>IF(Table3[[#This Row],[Efficiency Difference]]*0.2146 -3 &gt; Table3[[#This Row],[Scoring Margin]], 1, 0)</f>
        <v>0</v>
      </c>
      <c r="AF393" s="5">
        <f>IF(Table3[[#This Row],[Efficiency Difference]]*0.2146 -5 &gt; Table3[[#This Row],[Scoring Margin]], 1, 0)</f>
        <v>0</v>
      </c>
      <c r="AG393" s="5">
        <f>IF(Table3[[#This Row],[Efficiency Difference]]*0.2146 -10 &gt; Table3[[#This Row],[Scoring Margin]], 1, 0)</f>
        <v>0</v>
      </c>
    </row>
    <row r="394" spans="2:33">
      <c r="B394" s="5">
        <v>256.83999999999997</v>
      </c>
      <c r="C394" s="5">
        <v>41</v>
      </c>
      <c r="X394" s="5">
        <v>256.83999999999997</v>
      </c>
      <c r="Y394" s="5">
        <v>41</v>
      </c>
      <c r="Z394" s="5">
        <f>IF(Table3[[#This Row],[Efficiency Difference]]*0.2146 &gt; Table3[[#This Row],[Scoring Margin]], 1, 0)</f>
        <v>1</v>
      </c>
      <c r="AA394" s="5">
        <f>IF(Table3[[#This Row],[Efficiency Difference]]*0.2146 + 7 &gt; Table3[[#This Row],[Scoring Margin]], 1, 0)</f>
        <v>1</v>
      </c>
      <c r="AB394" s="5">
        <f>IF(Table3[[#This Row],[Efficiency Difference]]*0.2146 + 14 &gt; Table3[[#This Row],[Scoring Margin]], 1, 0)</f>
        <v>1</v>
      </c>
      <c r="AC394" s="5">
        <f>IF(Table3[[#This Row],[Efficiency Difference]]*0.2146 + 21 &gt; Table3[[#This Row],[Scoring Margin]], 1, 0)</f>
        <v>1</v>
      </c>
      <c r="AD394" s="5">
        <f>IF(Table3[[#This Row],[Efficiency Difference]]*0.2146 -7 &gt; Table3[[#This Row],[Scoring Margin]], 1, 0)</f>
        <v>1</v>
      </c>
      <c r="AE394" s="5">
        <f>IF(Table3[[#This Row],[Efficiency Difference]]*0.2146 -3 &gt; Table3[[#This Row],[Scoring Margin]], 1, 0)</f>
        <v>1</v>
      </c>
      <c r="AF394" s="5">
        <f>IF(Table3[[#This Row],[Efficiency Difference]]*0.2146 -5 &gt; Table3[[#This Row],[Scoring Margin]], 1, 0)</f>
        <v>1</v>
      </c>
      <c r="AG394" s="5">
        <f>IF(Table3[[#This Row],[Efficiency Difference]]*0.2146 -10 &gt; Table3[[#This Row],[Scoring Margin]], 1, 0)</f>
        <v>1</v>
      </c>
    </row>
    <row r="395" spans="2:33">
      <c r="B395" s="5">
        <v>82.360000000000014</v>
      </c>
      <c r="C395" s="5">
        <v>3</v>
      </c>
      <c r="X395" s="5">
        <v>82.360000000000014</v>
      </c>
      <c r="Y395" s="5">
        <v>3</v>
      </c>
      <c r="Z395" s="5">
        <f>IF(Table3[[#This Row],[Efficiency Difference]]*0.2146 &gt; Table3[[#This Row],[Scoring Margin]], 1, 0)</f>
        <v>1</v>
      </c>
      <c r="AA395" s="5">
        <f>IF(Table3[[#This Row],[Efficiency Difference]]*0.2146 + 7 &gt; Table3[[#This Row],[Scoring Margin]], 1, 0)</f>
        <v>1</v>
      </c>
      <c r="AB395" s="5">
        <f>IF(Table3[[#This Row],[Efficiency Difference]]*0.2146 + 14 &gt; Table3[[#This Row],[Scoring Margin]], 1, 0)</f>
        <v>1</v>
      </c>
      <c r="AC395" s="5">
        <f>IF(Table3[[#This Row],[Efficiency Difference]]*0.2146 + 21 &gt; Table3[[#This Row],[Scoring Margin]], 1, 0)</f>
        <v>1</v>
      </c>
      <c r="AD395" s="5">
        <f>IF(Table3[[#This Row],[Efficiency Difference]]*0.2146 -7 &gt; Table3[[#This Row],[Scoring Margin]], 1, 0)</f>
        <v>1</v>
      </c>
      <c r="AE395" s="5">
        <f>IF(Table3[[#This Row],[Efficiency Difference]]*0.2146 -3 &gt; Table3[[#This Row],[Scoring Margin]], 1, 0)</f>
        <v>1</v>
      </c>
      <c r="AF395" s="5">
        <f>IF(Table3[[#This Row],[Efficiency Difference]]*0.2146 -5 &gt; Table3[[#This Row],[Scoring Margin]], 1, 0)</f>
        <v>1</v>
      </c>
      <c r="AG395" s="5">
        <f>IF(Table3[[#This Row],[Efficiency Difference]]*0.2146 -10 &gt; Table3[[#This Row],[Scoring Margin]], 1, 0)</f>
        <v>1</v>
      </c>
    </row>
    <row r="396" spans="2:33">
      <c r="B396" s="5">
        <v>40.210000000000008</v>
      </c>
      <c r="C396" s="5">
        <v>17</v>
      </c>
      <c r="X396" s="5">
        <v>40.210000000000008</v>
      </c>
      <c r="Y396" s="5">
        <v>17</v>
      </c>
      <c r="Z396" s="5">
        <f>IF(Table3[[#This Row],[Efficiency Difference]]*0.2146 &gt; Table3[[#This Row],[Scoring Margin]], 1, 0)</f>
        <v>0</v>
      </c>
      <c r="AA396" s="5">
        <f>IF(Table3[[#This Row],[Efficiency Difference]]*0.2146 + 7 &gt; Table3[[#This Row],[Scoring Margin]], 1, 0)</f>
        <v>0</v>
      </c>
      <c r="AB396" s="5">
        <f>IF(Table3[[#This Row],[Efficiency Difference]]*0.2146 + 14 &gt; Table3[[#This Row],[Scoring Margin]], 1, 0)</f>
        <v>1</v>
      </c>
      <c r="AC396" s="5">
        <f>IF(Table3[[#This Row],[Efficiency Difference]]*0.2146 + 21 &gt; Table3[[#This Row],[Scoring Margin]], 1, 0)</f>
        <v>1</v>
      </c>
      <c r="AD396" s="5">
        <f>IF(Table3[[#This Row],[Efficiency Difference]]*0.2146 -7 &gt; Table3[[#This Row],[Scoring Margin]], 1, 0)</f>
        <v>0</v>
      </c>
      <c r="AE396" s="5">
        <f>IF(Table3[[#This Row],[Efficiency Difference]]*0.2146 -3 &gt; Table3[[#This Row],[Scoring Margin]], 1, 0)</f>
        <v>0</v>
      </c>
      <c r="AF396" s="5">
        <f>IF(Table3[[#This Row],[Efficiency Difference]]*0.2146 -5 &gt; Table3[[#This Row],[Scoring Margin]], 1, 0)</f>
        <v>0</v>
      </c>
      <c r="AG396" s="5">
        <f>IF(Table3[[#This Row],[Efficiency Difference]]*0.2146 -10 &gt; Table3[[#This Row],[Scoring Margin]], 1, 0)</f>
        <v>0</v>
      </c>
    </row>
    <row r="397" spans="2:33">
      <c r="B397" s="5">
        <v>13.039999999999964</v>
      </c>
      <c r="C397" s="5">
        <v>14</v>
      </c>
      <c r="X397" s="5">
        <v>13.039999999999964</v>
      </c>
      <c r="Y397" s="5">
        <v>14</v>
      </c>
      <c r="Z397" s="5">
        <f>IF(Table3[[#This Row],[Efficiency Difference]]*0.2146 &gt; Table3[[#This Row],[Scoring Margin]], 1, 0)</f>
        <v>0</v>
      </c>
      <c r="AA397" s="5">
        <f>IF(Table3[[#This Row],[Efficiency Difference]]*0.2146 + 7 &gt; Table3[[#This Row],[Scoring Margin]], 1, 0)</f>
        <v>0</v>
      </c>
      <c r="AB397" s="5">
        <f>IF(Table3[[#This Row],[Efficiency Difference]]*0.2146 + 14 &gt; Table3[[#This Row],[Scoring Margin]], 1, 0)</f>
        <v>1</v>
      </c>
      <c r="AC397" s="5">
        <f>IF(Table3[[#This Row],[Efficiency Difference]]*0.2146 + 21 &gt; Table3[[#This Row],[Scoring Margin]], 1, 0)</f>
        <v>1</v>
      </c>
      <c r="AD397" s="5">
        <f>IF(Table3[[#This Row],[Efficiency Difference]]*0.2146 -7 &gt; Table3[[#This Row],[Scoring Margin]], 1, 0)</f>
        <v>0</v>
      </c>
      <c r="AE397" s="5">
        <f>IF(Table3[[#This Row],[Efficiency Difference]]*0.2146 -3 &gt; Table3[[#This Row],[Scoring Margin]], 1, 0)</f>
        <v>0</v>
      </c>
      <c r="AF397" s="5">
        <f>IF(Table3[[#This Row],[Efficiency Difference]]*0.2146 -5 &gt; Table3[[#This Row],[Scoring Margin]], 1, 0)</f>
        <v>0</v>
      </c>
      <c r="AG397" s="5">
        <f>IF(Table3[[#This Row],[Efficiency Difference]]*0.2146 -10 &gt; Table3[[#This Row],[Scoring Margin]], 1, 0)</f>
        <v>0</v>
      </c>
    </row>
    <row r="398" spans="2:33">
      <c r="B398" s="5">
        <v>79.679999999999993</v>
      </c>
      <c r="C398" s="5">
        <v>20</v>
      </c>
      <c r="X398" s="5">
        <v>79.679999999999993</v>
      </c>
      <c r="Y398" s="5">
        <v>20</v>
      </c>
      <c r="Z398" s="5">
        <f>IF(Table3[[#This Row],[Efficiency Difference]]*0.2146 &gt; Table3[[#This Row],[Scoring Margin]], 1, 0)</f>
        <v>0</v>
      </c>
      <c r="AA398" s="5">
        <f>IF(Table3[[#This Row],[Efficiency Difference]]*0.2146 + 7 &gt; Table3[[#This Row],[Scoring Margin]], 1, 0)</f>
        <v>1</v>
      </c>
      <c r="AB398" s="5">
        <f>IF(Table3[[#This Row],[Efficiency Difference]]*0.2146 + 14 &gt; Table3[[#This Row],[Scoring Margin]], 1, 0)</f>
        <v>1</v>
      </c>
      <c r="AC398" s="5">
        <f>IF(Table3[[#This Row],[Efficiency Difference]]*0.2146 + 21 &gt; Table3[[#This Row],[Scoring Margin]], 1, 0)</f>
        <v>1</v>
      </c>
      <c r="AD398" s="5">
        <f>IF(Table3[[#This Row],[Efficiency Difference]]*0.2146 -7 &gt; Table3[[#This Row],[Scoring Margin]], 1, 0)</f>
        <v>0</v>
      </c>
      <c r="AE398" s="5">
        <f>IF(Table3[[#This Row],[Efficiency Difference]]*0.2146 -3 &gt; Table3[[#This Row],[Scoring Margin]], 1, 0)</f>
        <v>0</v>
      </c>
      <c r="AF398" s="5">
        <f>IF(Table3[[#This Row],[Efficiency Difference]]*0.2146 -5 &gt; Table3[[#This Row],[Scoring Margin]], 1, 0)</f>
        <v>0</v>
      </c>
      <c r="AG398" s="5">
        <f>IF(Table3[[#This Row],[Efficiency Difference]]*0.2146 -10 &gt; Table3[[#This Row],[Scoring Margin]], 1, 0)</f>
        <v>0</v>
      </c>
    </row>
    <row r="399" spans="2:33">
      <c r="B399" s="5">
        <v>48.170000000000016</v>
      </c>
      <c r="C399" s="5">
        <v>17</v>
      </c>
      <c r="X399" s="5">
        <v>48.170000000000016</v>
      </c>
      <c r="Y399" s="5">
        <v>17</v>
      </c>
      <c r="Z399" s="5">
        <f>IF(Table3[[#This Row],[Efficiency Difference]]*0.2146 &gt; Table3[[#This Row],[Scoring Margin]], 1, 0)</f>
        <v>0</v>
      </c>
      <c r="AA399" s="5">
        <f>IF(Table3[[#This Row],[Efficiency Difference]]*0.2146 + 7 &gt; Table3[[#This Row],[Scoring Margin]], 1, 0)</f>
        <v>1</v>
      </c>
      <c r="AB399" s="5">
        <f>IF(Table3[[#This Row],[Efficiency Difference]]*0.2146 + 14 &gt; Table3[[#This Row],[Scoring Margin]], 1, 0)</f>
        <v>1</v>
      </c>
      <c r="AC399" s="5">
        <f>IF(Table3[[#This Row],[Efficiency Difference]]*0.2146 + 21 &gt; Table3[[#This Row],[Scoring Margin]], 1, 0)</f>
        <v>1</v>
      </c>
      <c r="AD399" s="5">
        <f>IF(Table3[[#This Row],[Efficiency Difference]]*0.2146 -7 &gt; Table3[[#This Row],[Scoring Margin]], 1, 0)</f>
        <v>0</v>
      </c>
      <c r="AE399" s="5">
        <f>IF(Table3[[#This Row],[Efficiency Difference]]*0.2146 -3 &gt; Table3[[#This Row],[Scoring Margin]], 1, 0)</f>
        <v>0</v>
      </c>
      <c r="AF399" s="5">
        <f>IF(Table3[[#This Row],[Efficiency Difference]]*0.2146 -5 &gt; Table3[[#This Row],[Scoring Margin]], 1, 0)</f>
        <v>0</v>
      </c>
      <c r="AG399" s="5">
        <f>IF(Table3[[#This Row],[Efficiency Difference]]*0.2146 -10 &gt; Table3[[#This Row],[Scoring Margin]], 1, 0)</f>
        <v>0</v>
      </c>
    </row>
    <row r="400" spans="2:33">
      <c r="B400" s="5">
        <v>90.990000000000009</v>
      </c>
      <c r="C400" s="5">
        <v>23</v>
      </c>
      <c r="X400" s="5">
        <v>90.990000000000009</v>
      </c>
      <c r="Y400" s="5">
        <v>23</v>
      </c>
      <c r="Z400" s="5">
        <f>IF(Table3[[#This Row],[Efficiency Difference]]*0.2146 &gt; Table3[[#This Row],[Scoring Margin]], 1, 0)</f>
        <v>0</v>
      </c>
      <c r="AA400" s="5">
        <f>IF(Table3[[#This Row],[Efficiency Difference]]*0.2146 + 7 &gt; Table3[[#This Row],[Scoring Margin]], 1, 0)</f>
        <v>1</v>
      </c>
      <c r="AB400" s="5">
        <f>IF(Table3[[#This Row],[Efficiency Difference]]*0.2146 + 14 &gt; Table3[[#This Row],[Scoring Margin]], 1, 0)</f>
        <v>1</v>
      </c>
      <c r="AC400" s="5">
        <f>IF(Table3[[#This Row],[Efficiency Difference]]*0.2146 + 21 &gt; Table3[[#This Row],[Scoring Margin]], 1, 0)</f>
        <v>1</v>
      </c>
      <c r="AD400" s="5">
        <f>IF(Table3[[#This Row],[Efficiency Difference]]*0.2146 -7 &gt; Table3[[#This Row],[Scoring Margin]], 1, 0)</f>
        <v>0</v>
      </c>
      <c r="AE400" s="5">
        <f>IF(Table3[[#This Row],[Efficiency Difference]]*0.2146 -3 &gt; Table3[[#This Row],[Scoring Margin]], 1, 0)</f>
        <v>0</v>
      </c>
      <c r="AF400" s="5">
        <f>IF(Table3[[#This Row],[Efficiency Difference]]*0.2146 -5 &gt; Table3[[#This Row],[Scoring Margin]], 1, 0)</f>
        <v>0</v>
      </c>
      <c r="AG400" s="5">
        <f>IF(Table3[[#This Row],[Efficiency Difference]]*0.2146 -10 &gt; Table3[[#This Row],[Scoring Margin]], 1, 0)</f>
        <v>0</v>
      </c>
    </row>
    <row r="401" spans="2:33">
      <c r="B401" s="5">
        <v>44.840000000000032</v>
      </c>
      <c r="C401" s="5">
        <v>3</v>
      </c>
      <c r="X401" s="5">
        <v>44.840000000000032</v>
      </c>
      <c r="Y401" s="5">
        <v>3</v>
      </c>
      <c r="Z401" s="5">
        <f>IF(Table3[[#This Row],[Efficiency Difference]]*0.2146 &gt; Table3[[#This Row],[Scoring Margin]], 1, 0)</f>
        <v>1</v>
      </c>
      <c r="AA401" s="5">
        <f>IF(Table3[[#This Row],[Efficiency Difference]]*0.2146 + 7 &gt; Table3[[#This Row],[Scoring Margin]], 1, 0)</f>
        <v>1</v>
      </c>
      <c r="AB401" s="5">
        <f>IF(Table3[[#This Row],[Efficiency Difference]]*0.2146 + 14 &gt; Table3[[#This Row],[Scoring Margin]], 1, 0)</f>
        <v>1</v>
      </c>
      <c r="AC401" s="5">
        <f>IF(Table3[[#This Row],[Efficiency Difference]]*0.2146 + 21 &gt; Table3[[#This Row],[Scoring Margin]], 1, 0)</f>
        <v>1</v>
      </c>
      <c r="AD401" s="5">
        <f>IF(Table3[[#This Row],[Efficiency Difference]]*0.2146 -7 &gt; Table3[[#This Row],[Scoring Margin]], 1, 0)</f>
        <v>0</v>
      </c>
      <c r="AE401" s="5">
        <f>IF(Table3[[#This Row],[Efficiency Difference]]*0.2146 -3 &gt; Table3[[#This Row],[Scoring Margin]], 1, 0)</f>
        <v>1</v>
      </c>
      <c r="AF401" s="5">
        <f>IF(Table3[[#This Row],[Efficiency Difference]]*0.2146 -5 &gt; Table3[[#This Row],[Scoring Margin]], 1, 0)</f>
        <v>1</v>
      </c>
      <c r="AG401" s="5">
        <f>IF(Table3[[#This Row],[Efficiency Difference]]*0.2146 -10 &gt; Table3[[#This Row],[Scoring Margin]], 1, 0)</f>
        <v>0</v>
      </c>
    </row>
    <row r="402" spans="2:33">
      <c r="B402" s="5">
        <v>112.70000000000005</v>
      </c>
      <c r="C402" s="5">
        <v>42</v>
      </c>
      <c r="X402" s="5">
        <v>112.70000000000005</v>
      </c>
      <c r="Y402" s="5">
        <v>42</v>
      </c>
      <c r="Z402" s="5">
        <f>IF(Table3[[#This Row],[Efficiency Difference]]*0.2146 &gt; Table3[[#This Row],[Scoring Margin]], 1, 0)</f>
        <v>0</v>
      </c>
      <c r="AA402" s="5">
        <f>IF(Table3[[#This Row],[Efficiency Difference]]*0.2146 + 7 &gt; Table3[[#This Row],[Scoring Margin]], 1, 0)</f>
        <v>0</v>
      </c>
      <c r="AB402" s="5">
        <f>IF(Table3[[#This Row],[Efficiency Difference]]*0.2146 + 14 &gt; Table3[[#This Row],[Scoring Margin]], 1, 0)</f>
        <v>0</v>
      </c>
      <c r="AC402" s="5">
        <f>IF(Table3[[#This Row],[Efficiency Difference]]*0.2146 + 21 &gt; Table3[[#This Row],[Scoring Margin]], 1, 0)</f>
        <v>1</v>
      </c>
      <c r="AD402" s="5">
        <f>IF(Table3[[#This Row],[Efficiency Difference]]*0.2146 -7 &gt; Table3[[#This Row],[Scoring Margin]], 1, 0)</f>
        <v>0</v>
      </c>
      <c r="AE402" s="5">
        <f>IF(Table3[[#This Row],[Efficiency Difference]]*0.2146 -3 &gt; Table3[[#This Row],[Scoring Margin]], 1, 0)</f>
        <v>0</v>
      </c>
      <c r="AF402" s="5">
        <f>IF(Table3[[#This Row],[Efficiency Difference]]*0.2146 -5 &gt; Table3[[#This Row],[Scoring Margin]], 1, 0)</f>
        <v>0</v>
      </c>
      <c r="AG402" s="5">
        <f>IF(Table3[[#This Row],[Efficiency Difference]]*0.2146 -10 &gt; Table3[[#This Row],[Scoring Margin]], 1, 0)</f>
        <v>0</v>
      </c>
    </row>
    <row r="403" spans="2:33">
      <c r="B403" s="5">
        <v>86.610000000000014</v>
      </c>
      <c r="C403" s="5">
        <v>7</v>
      </c>
      <c r="X403" s="5">
        <v>86.610000000000014</v>
      </c>
      <c r="Y403" s="5">
        <v>7</v>
      </c>
      <c r="Z403" s="5">
        <f>IF(Table3[[#This Row],[Efficiency Difference]]*0.2146 &gt; Table3[[#This Row],[Scoring Margin]], 1, 0)</f>
        <v>1</v>
      </c>
      <c r="AA403" s="5">
        <f>IF(Table3[[#This Row],[Efficiency Difference]]*0.2146 + 7 &gt; Table3[[#This Row],[Scoring Margin]], 1, 0)</f>
        <v>1</v>
      </c>
      <c r="AB403" s="5">
        <f>IF(Table3[[#This Row],[Efficiency Difference]]*0.2146 + 14 &gt; Table3[[#This Row],[Scoring Margin]], 1, 0)</f>
        <v>1</v>
      </c>
      <c r="AC403" s="5">
        <f>IF(Table3[[#This Row],[Efficiency Difference]]*0.2146 + 21 &gt; Table3[[#This Row],[Scoring Margin]], 1, 0)</f>
        <v>1</v>
      </c>
      <c r="AD403" s="5">
        <f>IF(Table3[[#This Row],[Efficiency Difference]]*0.2146 -7 &gt; Table3[[#This Row],[Scoring Margin]], 1, 0)</f>
        <v>1</v>
      </c>
      <c r="AE403" s="5">
        <f>IF(Table3[[#This Row],[Efficiency Difference]]*0.2146 -3 &gt; Table3[[#This Row],[Scoring Margin]], 1, 0)</f>
        <v>1</v>
      </c>
      <c r="AF403" s="5">
        <f>IF(Table3[[#This Row],[Efficiency Difference]]*0.2146 -5 &gt; Table3[[#This Row],[Scoring Margin]], 1, 0)</f>
        <v>1</v>
      </c>
      <c r="AG403" s="5">
        <f>IF(Table3[[#This Row],[Efficiency Difference]]*0.2146 -10 &gt; Table3[[#This Row],[Scoring Margin]], 1, 0)</f>
        <v>1</v>
      </c>
    </row>
    <row r="404" spans="2:33">
      <c r="B404" s="5">
        <v>212.75</v>
      </c>
      <c r="C404" s="5">
        <v>30</v>
      </c>
      <c r="X404" s="5">
        <v>212.75</v>
      </c>
      <c r="Y404" s="5">
        <v>30</v>
      </c>
      <c r="Z404" s="5">
        <f>IF(Table3[[#This Row],[Efficiency Difference]]*0.2146 &gt; Table3[[#This Row],[Scoring Margin]], 1, 0)</f>
        <v>1</v>
      </c>
      <c r="AA404" s="5">
        <f>IF(Table3[[#This Row],[Efficiency Difference]]*0.2146 + 7 &gt; Table3[[#This Row],[Scoring Margin]], 1, 0)</f>
        <v>1</v>
      </c>
      <c r="AB404" s="5">
        <f>IF(Table3[[#This Row],[Efficiency Difference]]*0.2146 + 14 &gt; Table3[[#This Row],[Scoring Margin]], 1, 0)</f>
        <v>1</v>
      </c>
      <c r="AC404" s="5">
        <f>IF(Table3[[#This Row],[Efficiency Difference]]*0.2146 + 21 &gt; Table3[[#This Row],[Scoring Margin]], 1, 0)</f>
        <v>1</v>
      </c>
      <c r="AD404" s="5">
        <f>IF(Table3[[#This Row],[Efficiency Difference]]*0.2146 -7 &gt; Table3[[#This Row],[Scoring Margin]], 1, 0)</f>
        <v>1</v>
      </c>
      <c r="AE404" s="5">
        <f>IF(Table3[[#This Row],[Efficiency Difference]]*0.2146 -3 &gt; Table3[[#This Row],[Scoring Margin]], 1, 0)</f>
        <v>1</v>
      </c>
      <c r="AF404" s="5">
        <f>IF(Table3[[#This Row],[Efficiency Difference]]*0.2146 -5 &gt; Table3[[#This Row],[Scoring Margin]], 1, 0)</f>
        <v>1</v>
      </c>
      <c r="AG404" s="5">
        <f>IF(Table3[[#This Row],[Efficiency Difference]]*0.2146 -10 &gt; Table3[[#This Row],[Scoring Margin]], 1, 0)</f>
        <v>1</v>
      </c>
    </row>
    <row r="405" spans="2:33">
      <c r="B405" s="5">
        <v>153.42999999999998</v>
      </c>
      <c r="C405" s="5">
        <v>29</v>
      </c>
      <c r="X405" s="5">
        <v>153.42999999999998</v>
      </c>
      <c r="Y405" s="5">
        <v>29</v>
      </c>
      <c r="Z405" s="5">
        <f>IF(Table3[[#This Row],[Efficiency Difference]]*0.2146 &gt; Table3[[#This Row],[Scoring Margin]], 1, 0)</f>
        <v>1</v>
      </c>
      <c r="AA405" s="5">
        <f>IF(Table3[[#This Row],[Efficiency Difference]]*0.2146 + 7 &gt; Table3[[#This Row],[Scoring Margin]], 1, 0)</f>
        <v>1</v>
      </c>
      <c r="AB405" s="5">
        <f>IF(Table3[[#This Row],[Efficiency Difference]]*0.2146 + 14 &gt; Table3[[#This Row],[Scoring Margin]], 1, 0)</f>
        <v>1</v>
      </c>
      <c r="AC405" s="5">
        <f>IF(Table3[[#This Row],[Efficiency Difference]]*0.2146 + 21 &gt; Table3[[#This Row],[Scoring Margin]], 1, 0)</f>
        <v>1</v>
      </c>
      <c r="AD405" s="5">
        <f>IF(Table3[[#This Row],[Efficiency Difference]]*0.2146 -7 &gt; Table3[[#This Row],[Scoring Margin]], 1, 0)</f>
        <v>0</v>
      </c>
      <c r="AE405" s="5">
        <f>IF(Table3[[#This Row],[Efficiency Difference]]*0.2146 -3 &gt; Table3[[#This Row],[Scoring Margin]], 1, 0)</f>
        <v>1</v>
      </c>
      <c r="AF405" s="5">
        <f>IF(Table3[[#This Row],[Efficiency Difference]]*0.2146 -5 &gt; Table3[[#This Row],[Scoring Margin]], 1, 0)</f>
        <v>0</v>
      </c>
      <c r="AG405" s="5">
        <f>IF(Table3[[#This Row],[Efficiency Difference]]*0.2146 -10 &gt; Table3[[#This Row],[Scoring Margin]], 1, 0)</f>
        <v>0</v>
      </c>
    </row>
    <row r="406" spans="2:33">
      <c r="B406" s="5">
        <v>11.259999999999991</v>
      </c>
      <c r="C406" s="5">
        <v>1</v>
      </c>
      <c r="X406" s="5">
        <v>11.259999999999991</v>
      </c>
      <c r="Y406" s="5">
        <v>1</v>
      </c>
      <c r="Z406" s="5">
        <f>IF(Table3[[#This Row],[Efficiency Difference]]*0.2146 &gt; Table3[[#This Row],[Scoring Margin]], 1, 0)</f>
        <v>1</v>
      </c>
      <c r="AA406" s="5">
        <f>IF(Table3[[#This Row],[Efficiency Difference]]*0.2146 + 7 &gt; Table3[[#This Row],[Scoring Margin]], 1, 0)</f>
        <v>1</v>
      </c>
      <c r="AB406" s="5">
        <f>IF(Table3[[#This Row],[Efficiency Difference]]*0.2146 + 14 &gt; Table3[[#This Row],[Scoring Margin]], 1, 0)</f>
        <v>1</v>
      </c>
      <c r="AC406" s="5">
        <f>IF(Table3[[#This Row],[Efficiency Difference]]*0.2146 + 21 &gt; Table3[[#This Row],[Scoring Margin]], 1, 0)</f>
        <v>1</v>
      </c>
      <c r="AD406" s="5">
        <f>IF(Table3[[#This Row],[Efficiency Difference]]*0.2146 -7 &gt; Table3[[#This Row],[Scoring Margin]], 1, 0)</f>
        <v>0</v>
      </c>
      <c r="AE406" s="5">
        <f>IF(Table3[[#This Row],[Efficiency Difference]]*0.2146 -3 &gt; Table3[[#This Row],[Scoring Margin]], 1, 0)</f>
        <v>0</v>
      </c>
      <c r="AF406" s="5">
        <f>IF(Table3[[#This Row],[Efficiency Difference]]*0.2146 -5 &gt; Table3[[#This Row],[Scoring Margin]], 1, 0)</f>
        <v>0</v>
      </c>
      <c r="AG406" s="5">
        <f>IF(Table3[[#This Row],[Efficiency Difference]]*0.2146 -10 &gt; Table3[[#This Row],[Scoring Margin]], 1, 0)</f>
        <v>0</v>
      </c>
    </row>
    <row r="407" spans="2:33">
      <c r="B407" s="5">
        <v>27.300000000000011</v>
      </c>
      <c r="C407" s="5">
        <v>7</v>
      </c>
      <c r="X407" s="5">
        <v>27.300000000000011</v>
      </c>
      <c r="Y407" s="5">
        <v>7</v>
      </c>
      <c r="Z407" s="5">
        <f>IF(Table3[[#This Row],[Efficiency Difference]]*0.2146 &gt; Table3[[#This Row],[Scoring Margin]], 1, 0)</f>
        <v>0</v>
      </c>
      <c r="AA407" s="5">
        <f>IF(Table3[[#This Row],[Efficiency Difference]]*0.2146 + 7 &gt; Table3[[#This Row],[Scoring Margin]], 1, 0)</f>
        <v>1</v>
      </c>
      <c r="AB407" s="5">
        <f>IF(Table3[[#This Row],[Efficiency Difference]]*0.2146 + 14 &gt; Table3[[#This Row],[Scoring Margin]], 1, 0)</f>
        <v>1</v>
      </c>
      <c r="AC407" s="5">
        <f>IF(Table3[[#This Row],[Efficiency Difference]]*0.2146 + 21 &gt; Table3[[#This Row],[Scoring Margin]], 1, 0)</f>
        <v>1</v>
      </c>
      <c r="AD407" s="5">
        <f>IF(Table3[[#This Row],[Efficiency Difference]]*0.2146 -7 &gt; Table3[[#This Row],[Scoring Margin]], 1, 0)</f>
        <v>0</v>
      </c>
      <c r="AE407" s="5">
        <f>IF(Table3[[#This Row],[Efficiency Difference]]*0.2146 -3 &gt; Table3[[#This Row],[Scoring Margin]], 1, 0)</f>
        <v>0</v>
      </c>
      <c r="AF407" s="5">
        <f>IF(Table3[[#This Row],[Efficiency Difference]]*0.2146 -5 &gt; Table3[[#This Row],[Scoring Margin]], 1, 0)</f>
        <v>0</v>
      </c>
      <c r="AG407" s="5">
        <f>IF(Table3[[#This Row],[Efficiency Difference]]*0.2146 -10 &gt; Table3[[#This Row],[Scoring Margin]], 1, 0)</f>
        <v>0</v>
      </c>
    </row>
    <row r="408" spans="2:33">
      <c r="B408" s="5">
        <v>61.869999999999976</v>
      </c>
      <c r="C408" s="5">
        <v>3</v>
      </c>
      <c r="X408" s="5">
        <v>61.869999999999976</v>
      </c>
      <c r="Y408" s="5">
        <v>3</v>
      </c>
      <c r="Z408" s="5">
        <f>IF(Table3[[#This Row],[Efficiency Difference]]*0.2146 &gt; Table3[[#This Row],[Scoring Margin]], 1, 0)</f>
        <v>1</v>
      </c>
      <c r="AA408" s="5">
        <f>IF(Table3[[#This Row],[Efficiency Difference]]*0.2146 + 7 &gt; Table3[[#This Row],[Scoring Margin]], 1, 0)</f>
        <v>1</v>
      </c>
      <c r="AB408" s="5">
        <f>IF(Table3[[#This Row],[Efficiency Difference]]*0.2146 + 14 &gt; Table3[[#This Row],[Scoring Margin]], 1, 0)</f>
        <v>1</v>
      </c>
      <c r="AC408" s="5">
        <f>IF(Table3[[#This Row],[Efficiency Difference]]*0.2146 + 21 &gt; Table3[[#This Row],[Scoring Margin]], 1, 0)</f>
        <v>1</v>
      </c>
      <c r="AD408" s="5">
        <f>IF(Table3[[#This Row],[Efficiency Difference]]*0.2146 -7 &gt; Table3[[#This Row],[Scoring Margin]], 1, 0)</f>
        <v>1</v>
      </c>
      <c r="AE408" s="5">
        <f>IF(Table3[[#This Row],[Efficiency Difference]]*0.2146 -3 &gt; Table3[[#This Row],[Scoring Margin]], 1, 0)</f>
        <v>1</v>
      </c>
      <c r="AF408" s="5">
        <f>IF(Table3[[#This Row],[Efficiency Difference]]*0.2146 -5 &gt; Table3[[#This Row],[Scoring Margin]], 1, 0)</f>
        <v>1</v>
      </c>
      <c r="AG408" s="5">
        <f>IF(Table3[[#This Row],[Efficiency Difference]]*0.2146 -10 &gt; Table3[[#This Row],[Scoring Margin]], 1, 0)</f>
        <v>1</v>
      </c>
    </row>
    <row r="409" spans="2:33">
      <c r="B409" s="5">
        <v>2.1200000000000045</v>
      </c>
      <c r="C409" s="5">
        <v>18</v>
      </c>
      <c r="X409" s="5">
        <v>2.1200000000000045</v>
      </c>
      <c r="Y409" s="5">
        <v>18</v>
      </c>
      <c r="Z409" s="5">
        <f>IF(Table3[[#This Row],[Efficiency Difference]]*0.2146 &gt; Table3[[#This Row],[Scoring Margin]], 1, 0)</f>
        <v>0</v>
      </c>
      <c r="AA409" s="5">
        <f>IF(Table3[[#This Row],[Efficiency Difference]]*0.2146 + 7 &gt; Table3[[#This Row],[Scoring Margin]], 1, 0)</f>
        <v>0</v>
      </c>
      <c r="AB409" s="5">
        <f>IF(Table3[[#This Row],[Efficiency Difference]]*0.2146 + 14 &gt; Table3[[#This Row],[Scoring Margin]], 1, 0)</f>
        <v>0</v>
      </c>
      <c r="AC409" s="5">
        <f>IF(Table3[[#This Row],[Efficiency Difference]]*0.2146 + 21 &gt; Table3[[#This Row],[Scoring Margin]], 1, 0)</f>
        <v>1</v>
      </c>
      <c r="AD409" s="5">
        <f>IF(Table3[[#This Row],[Efficiency Difference]]*0.2146 -7 &gt; Table3[[#This Row],[Scoring Margin]], 1, 0)</f>
        <v>0</v>
      </c>
      <c r="AE409" s="5">
        <f>IF(Table3[[#This Row],[Efficiency Difference]]*0.2146 -3 &gt; Table3[[#This Row],[Scoring Margin]], 1, 0)</f>
        <v>0</v>
      </c>
      <c r="AF409" s="5">
        <f>IF(Table3[[#This Row],[Efficiency Difference]]*0.2146 -5 &gt; Table3[[#This Row],[Scoring Margin]], 1, 0)</f>
        <v>0</v>
      </c>
      <c r="AG409" s="5">
        <f>IF(Table3[[#This Row],[Efficiency Difference]]*0.2146 -10 &gt; Table3[[#This Row],[Scoring Margin]], 1, 0)</f>
        <v>0</v>
      </c>
    </row>
    <row r="410" spans="2:33">
      <c r="B410" s="5">
        <v>63.309999999999974</v>
      </c>
      <c r="C410" s="5">
        <v>10</v>
      </c>
      <c r="X410" s="5">
        <v>63.309999999999974</v>
      </c>
      <c r="Y410" s="5">
        <v>10</v>
      </c>
      <c r="Z410" s="5">
        <f>IF(Table3[[#This Row],[Efficiency Difference]]*0.2146 &gt; Table3[[#This Row],[Scoring Margin]], 1, 0)</f>
        <v>1</v>
      </c>
      <c r="AA410" s="5">
        <f>IF(Table3[[#This Row],[Efficiency Difference]]*0.2146 + 7 &gt; Table3[[#This Row],[Scoring Margin]], 1, 0)</f>
        <v>1</v>
      </c>
      <c r="AB410" s="5">
        <f>IF(Table3[[#This Row],[Efficiency Difference]]*0.2146 + 14 &gt; Table3[[#This Row],[Scoring Margin]], 1, 0)</f>
        <v>1</v>
      </c>
      <c r="AC410" s="5">
        <f>IF(Table3[[#This Row],[Efficiency Difference]]*0.2146 + 21 &gt; Table3[[#This Row],[Scoring Margin]], 1, 0)</f>
        <v>1</v>
      </c>
      <c r="AD410" s="5">
        <f>IF(Table3[[#This Row],[Efficiency Difference]]*0.2146 -7 &gt; Table3[[#This Row],[Scoring Margin]], 1, 0)</f>
        <v>0</v>
      </c>
      <c r="AE410" s="5">
        <f>IF(Table3[[#This Row],[Efficiency Difference]]*0.2146 -3 &gt; Table3[[#This Row],[Scoring Margin]], 1, 0)</f>
        <v>1</v>
      </c>
      <c r="AF410" s="5">
        <f>IF(Table3[[#This Row],[Efficiency Difference]]*0.2146 -5 &gt; Table3[[#This Row],[Scoring Margin]], 1, 0)</f>
        <v>0</v>
      </c>
      <c r="AG410" s="5">
        <f>IF(Table3[[#This Row],[Efficiency Difference]]*0.2146 -10 &gt; Table3[[#This Row],[Scoring Margin]], 1, 0)</f>
        <v>0</v>
      </c>
    </row>
    <row r="411" spans="2:33">
      <c r="B411" s="5">
        <v>54.5</v>
      </c>
      <c r="C411" s="5">
        <v>10</v>
      </c>
      <c r="X411" s="5">
        <v>54.5</v>
      </c>
      <c r="Y411" s="5">
        <v>10</v>
      </c>
      <c r="Z411" s="5">
        <f>IF(Table3[[#This Row],[Efficiency Difference]]*0.2146 &gt; Table3[[#This Row],[Scoring Margin]], 1, 0)</f>
        <v>1</v>
      </c>
      <c r="AA411" s="5">
        <f>IF(Table3[[#This Row],[Efficiency Difference]]*0.2146 + 7 &gt; Table3[[#This Row],[Scoring Margin]], 1, 0)</f>
        <v>1</v>
      </c>
      <c r="AB411" s="5">
        <f>IF(Table3[[#This Row],[Efficiency Difference]]*0.2146 + 14 &gt; Table3[[#This Row],[Scoring Margin]], 1, 0)</f>
        <v>1</v>
      </c>
      <c r="AC411" s="5">
        <f>IF(Table3[[#This Row],[Efficiency Difference]]*0.2146 + 21 &gt; Table3[[#This Row],[Scoring Margin]], 1, 0)</f>
        <v>1</v>
      </c>
      <c r="AD411" s="5">
        <f>IF(Table3[[#This Row],[Efficiency Difference]]*0.2146 -7 &gt; Table3[[#This Row],[Scoring Margin]], 1, 0)</f>
        <v>0</v>
      </c>
      <c r="AE411" s="5">
        <f>IF(Table3[[#This Row],[Efficiency Difference]]*0.2146 -3 &gt; Table3[[#This Row],[Scoring Margin]], 1, 0)</f>
        <v>0</v>
      </c>
      <c r="AF411" s="5">
        <f>IF(Table3[[#This Row],[Efficiency Difference]]*0.2146 -5 &gt; Table3[[#This Row],[Scoring Margin]], 1, 0)</f>
        <v>0</v>
      </c>
      <c r="AG411" s="5">
        <f>IF(Table3[[#This Row],[Efficiency Difference]]*0.2146 -10 &gt; Table3[[#This Row],[Scoring Margin]], 1, 0)</f>
        <v>0</v>
      </c>
    </row>
    <row r="412" spans="2:33">
      <c r="B412" s="5">
        <v>14.740000000000009</v>
      </c>
      <c r="C412" s="5">
        <v>3</v>
      </c>
      <c r="X412" s="5">
        <v>14.740000000000009</v>
      </c>
      <c r="Y412" s="5">
        <v>3</v>
      </c>
      <c r="Z412" s="5">
        <f>IF(Table3[[#This Row],[Efficiency Difference]]*0.2146 &gt; Table3[[#This Row],[Scoring Margin]], 1, 0)</f>
        <v>1</v>
      </c>
      <c r="AA412" s="5">
        <f>IF(Table3[[#This Row],[Efficiency Difference]]*0.2146 + 7 &gt; Table3[[#This Row],[Scoring Margin]], 1, 0)</f>
        <v>1</v>
      </c>
      <c r="AB412" s="5">
        <f>IF(Table3[[#This Row],[Efficiency Difference]]*0.2146 + 14 &gt; Table3[[#This Row],[Scoring Margin]], 1, 0)</f>
        <v>1</v>
      </c>
      <c r="AC412" s="5">
        <f>IF(Table3[[#This Row],[Efficiency Difference]]*0.2146 + 21 &gt; Table3[[#This Row],[Scoring Margin]], 1, 0)</f>
        <v>1</v>
      </c>
      <c r="AD412" s="5">
        <f>IF(Table3[[#This Row],[Efficiency Difference]]*0.2146 -7 &gt; Table3[[#This Row],[Scoring Margin]], 1, 0)</f>
        <v>0</v>
      </c>
      <c r="AE412" s="5">
        <f>IF(Table3[[#This Row],[Efficiency Difference]]*0.2146 -3 &gt; Table3[[#This Row],[Scoring Margin]], 1, 0)</f>
        <v>0</v>
      </c>
      <c r="AF412" s="5">
        <f>IF(Table3[[#This Row],[Efficiency Difference]]*0.2146 -5 &gt; Table3[[#This Row],[Scoring Margin]], 1, 0)</f>
        <v>0</v>
      </c>
      <c r="AG412" s="5">
        <f>IF(Table3[[#This Row],[Efficiency Difference]]*0.2146 -10 &gt; Table3[[#This Row],[Scoring Margin]], 1, 0)</f>
        <v>0</v>
      </c>
    </row>
    <row r="413" spans="2:33">
      <c r="B413" s="5">
        <v>8.2900000000000205</v>
      </c>
      <c r="C413" s="5">
        <v>4</v>
      </c>
      <c r="X413" s="5">
        <v>8.2900000000000205</v>
      </c>
      <c r="Y413" s="5">
        <v>4</v>
      </c>
      <c r="Z413" s="5">
        <f>IF(Table3[[#This Row],[Efficiency Difference]]*0.2146 &gt; Table3[[#This Row],[Scoring Margin]], 1, 0)</f>
        <v>0</v>
      </c>
      <c r="AA413" s="5">
        <f>IF(Table3[[#This Row],[Efficiency Difference]]*0.2146 + 7 &gt; Table3[[#This Row],[Scoring Margin]], 1, 0)</f>
        <v>1</v>
      </c>
      <c r="AB413" s="5">
        <f>IF(Table3[[#This Row],[Efficiency Difference]]*0.2146 + 14 &gt; Table3[[#This Row],[Scoring Margin]], 1, 0)</f>
        <v>1</v>
      </c>
      <c r="AC413" s="5">
        <f>IF(Table3[[#This Row],[Efficiency Difference]]*0.2146 + 21 &gt; Table3[[#This Row],[Scoring Margin]], 1, 0)</f>
        <v>1</v>
      </c>
      <c r="AD413" s="5">
        <f>IF(Table3[[#This Row],[Efficiency Difference]]*0.2146 -7 &gt; Table3[[#This Row],[Scoring Margin]], 1, 0)</f>
        <v>0</v>
      </c>
      <c r="AE413" s="5">
        <f>IF(Table3[[#This Row],[Efficiency Difference]]*0.2146 -3 &gt; Table3[[#This Row],[Scoring Margin]], 1, 0)</f>
        <v>0</v>
      </c>
      <c r="AF413" s="5">
        <f>IF(Table3[[#This Row],[Efficiency Difference]]*0.2146 -5 &gt; Table3[[#This Row],[Scoring Margin]], 1, 0)</f>
        <v>0</v>
      </c>
      <c r="AG413" s="5">
        <f>IF(Table3[[#This Row],[Efficiency Difference]]*0.2146 -10 &gt; Table3[[#This Row],[Scoring Margin]], 1, 0)</f>
        <v>0</v>
      </c>
    </row>
    <row r="414" spans="2:33">
      <c r="B414" s="5">
        <v>60.889999999999986</v>
      </c>
      <c r="C414" s="5">
        <v>18</v>
      </c>
      <c r="X414" s="5">
        <v>60.889999999999986</v>
      </c>
      <c r="Y414" s="5">
        <v>18</v>
      </c>
      <c r="Z414" s="5">
        <f>IF(Table3[[#This Row],[Efficiency Difference]]*0.2146 &gt; Table3[[#This Row],[Scoring Margin]], 1, 0)</f>
        <v>0</v>
      </c>
      <c r="AA414" s="5">
        <f>IF(Table3[[#This Row],[Efficiency Difference]]*0.2146 + 7 &gt; Table3[[#This Row],[Scoring Margin]], 1, 0)</f>
        <v>1</v>
      </c>
      <c r="AB414" s="5">
        <f>IF(Table3[[#This Row],[Efficiency Difference]]*0.2146 + 14 &gt; Table3[[#This Row],[Scoring Margin]], 1, 0)</f>
        <v>1</v>
      </c>
      <c r="AC414" s="5">
        <f>IF(Table3[[#This Row],[Efficiency Difference]]*0.2146 + 21 &gt; Table3[[#This Row],[Scoring Margin]], 1, 0)</f>
        <v>1</v>
      </c>
      <c r="AD414" s="5">
        <f>IF(Table3[[#This Row],[Efficiency Difference]]*0.2146 -7 &gt; Table3[[#This Row],[Scoring Margin]], 1, 0)</f>
        <v>0</v>
      </c>
      <c r="AE414" s="5">
        <f>IF(Table3[[#This Row],[Efficiency Difference]]*0.2146 -3 &gt; Table3[[#This Row],[Scoring Margin]], 1, 0)</f>
        <v>0</v>
      </c>
      <c r="AF414" s="5">
        <f>IF(Table3[[#This Row],[Efficiency Difference]]*0.2146 -5 &gt; Table3[[#This Row],[Scoring Margin]], 1, 0)</f>
        <v>0</v>
      </c>
      <c r="AG414" s="5">
        <f>IF(Table3[[#This Row],[Efficiency Difference]]*0.2146 -10 &gt; Table3[[#This Row],[Scoring Margin]], 1, 0)</f>
        <v>0</v>
      </c>
    </row>
    <row r="415" spans="2:33">
      <c r="B415" s="5">
        <v>46.430000000000007</v>
      </c>
      <c r="C415" s="5">
        <v>3</v>
      </c>
      <c r="X415" s="5">
        <v>46.430000000000007</v>
      </c>
      <c r="Y415" s="5">
        <v>3</v>
      </c>
      <c r="Z415" s="5">
        <f>IF(Table3[[#This Row],[Efficiency Difference]]*0.2146 &gt; Table3[[#This Row],[Scoring Margin]], 1, 0)</f>
        <v>1</v>
      </c>
      <c r="AA415" s="5">
        <f>IF(Table3[[#This Row],[Efficiency Difference]]*0.2146 + 7 &gt; Table3[[#This Row],[Scoring Margin]], 1, 0)</f>
        <v>1</v>
      </c>
      <c r="AB415" s="5">
        <f>IF(Table3[[#This Row],[Efficiency Difference]]*0.2146 + 14 &gt; Table3[[#This Row],[Scoring Margin]], 1, 0)</f>
        <v>1</v>
      </c>
      <c r="AC415" s="5">
        <f>IF(Table3[[#This Row],[Efficiency Difference]]*0.2146 + 21 &gt; Table3[[#This Row],[Scoring Margin]], 1, 0)</f>
        <v>1</v>
      </c>
      <c r="AD415" s="5">
        <f>IF(Table3[[#This Row],[Efficiency Difference]]*0.2146 -7 &gt; Table3[[#This Row],[Scoring Margin]], 1, 0)</f>
        <v>0</v>
      </c>
      <c r="AE415" s="5">
        <f>IF(Table3[[#This Row],[Efficiency Difference]]*0.2146 -3 &gt; Table3[[#This Row],[Scoring Margin]], 1, 0)</f>
        <v>1</v>
      </c>
      <c r="AF415" s="5">
        <f>IF(Table3[[#This Row],[Efficiency Difference]]*0.2146 -5 &gt; Table3[[#This Row],[Scoring Margin]], 1, 0)</f>
        <v>1</v>
      </c>
      <c r="AG415" s="5">
        <f>IF(Table3[[#This Row],[Efficiency Difference]]*0.2146 -10 &gt; Table3[[#This Row],[Scoring Margin]], 1, 0)</f>
        <v>0</v>
      </c>
    </row>
    <row r="416" spans="2:33">
      <c r="B416" s="5">
        <v>135.22999999999999</v>
      </c>
      <c r="C416" s="5">
        <v>28</v>
      </c>
      <c r="X416" s="5">
        <v>135.22999999999999</v>
      </c>
      <c r="Y416" s="5">
        <v>28</v>
      </c>
      <c r="Z416" s="5">
        <f>IF(Table3[[#This Row],[Efficiency Difference]]*0.2146 &gt; Table3[[#This Row],[Scoring Margin]], 1, 0)</f>
        <v>1</v>
      </c>
      <c r="AA416" s="5">
        <f>IF(Table3[[#This Row],[Efficiency Difference]]*0.2146 + 7 &gt; Table3[[#This Row],[Scoring Margin]], 1, 0)</f>
        <v>1</v>
      </c>
      <c r="AB416" s="5">
        <f>IF(Table3[[#This Row],[Efficiency Difference]]*0.2146 + 14 &gt; Table3[[#This Row],[Scoring Margin]], 1, 0)</f>
        <v>1</v>
      </c>
      <c r="AC416" s="5">
        <f>IF(Table3[[#This Row],[Efficiency Difference]]*0.2146 + 21 &gt; Table3[[#This Row],[Scoring Margin]], 1, 0)</f>
        <v>1</v>
      </c>
      <c r="AD416" s="5">
        <f>IF(Table3[[#This Row],[Efficiency Difference]]*0.2146 -7 &gt; Table3[[#This Row],[Scoring Margin]], 1, 0)</f>
        <v>0</v>
      </c>
      <c r="AE416" s="5">
        <f>IF(Table3[[#This Row],[Efficiency Difference]]*0.2146 -3 &gt; Table3[[#This Row],[Scoring Margin]], 1, 0)</f>
        <v>0</v>
      </c>
      <c r="AF416" s="5">
        <f>IF(Table3[[#This Row],[Efficiency Difference]]*0.2146 -5 &gt; Table3[[#This Row],[Scoring Margin]], 1, 0)</f>
        <v>0</v>
      </c>
      <c r="AG416" s="5">
        <f>IF(Table3[[#This Row],[Efficiency Difference]]*0.2146 -10 &gt; Table3[[#This Row],[Scoring Margin]], 1, 0)</f>
        <v>0</v>
      </c>
    </row>
    <row r="417" spans="2:33">
      <c r="B417" s="5">
        <v>132.85000000000002</v>
      </c>
      <c r="C417" s="5">
        <v>26</v>
      </c>
      <c r="X417" s="5">
        <v>132.85000000000002</v>
      </c>
      <c r="Y417" s="5">
        <v>26</v>
      </c>
      <c r="Z417" s="5">
        <f>IF(Table3[[#This Row],[Efficiency Difference]]*0.2146 &gt; Table3[[#This Row],[Scoring Margin]], 1, 0)</f>
        <v>1</v>
      </c>
      <c r="AA417" s="5">
        <f>IF(Table3[[#This Row],[Efficiency Difference]]*0.2146 + 7 &gt; Table3[[#This Row],[Scoring Margin]], 1, 0)</f>
        <v>1</v>
      </c>
      <c r="AB417" s="5">
        <f>IF(Table3[[#This Row],[Efficiency Difference]]*0.2146 + 14 &gt; Table3[[#This Row],[Scoring Margin]], 1, 0)</f>
        <v>1</v>
      </c>
      <c r="AC417" s="5">
        <f>IF(Table3[[#This Row],[Efficiency Difference]]*0.2146 + 21 &gt; Table3[[#This Row],[Scoring Margin]], 1, 0)</f>
        <v>1</v>
      </c>
      <c r="AD417" s="5">
        <f>IF(Table3[[#This Row],[Efficiency Difference]]*0.2146 -7 &gt; Table3[[#This Row],[Scoring Margin]], 1, 0)</f>
        <v>0</v>
      </c>
      <c r="AE417" s="5">
        <f>IF(Table3[[#This Row],[Efficiency Difference]]*0.2146 -3 &gt; Table3[[#This Row],[Scoring Margin]], 1, 0)</f>
        <v>0</v>
      </c>
      <c r="AF417" s="5">
        <f>IF(Table3[[#This Row],[Efficiency Difference]]*0.2146 -5 &gt; Table3[[#This Row],[Scoring Margin]], 1, 0)</f>
        <v>0</v>
      </c>
      <c r="AG417" s="5">
        <f>IF(Table3[[#This Row],[Efficiency Difference]]*0.2146 -10 &gt; Table3[[#This Row],[Scoring Margin]], 1, 0)</f>
        <v>0</v>
      </c>
    </row>
    <row r="418" spans="2:33">
      <c r="B418" s="5">
        <v>109.31999999999996</v>
      </c>
      <c r="C418" s="5">
        <v>20</v>
      </c>
      <c r="X418" s="5">
        <v>109.31999999999996</v>
      </c>
      <c r="Y418" s="5">
        <v>20</v>
      </c>
      <c r="Z418" s="5">
        <f>IF(Table3[[#This Row],[Efficiency Difference]]*0.2146 &gt; Table3[[#This Row],[Scoring Margin]], 1, 0)</f>
        <v>1</v>
      </c>
      <c r="AA418" s="5">
        <f>IF(Table3[[#This Row],[Efficiency Difference]]*0.2146 + 7 &gt; Table3[[#This Row],[Scoring Margin]], 1, 0)</f>
        <v>1</v>
      </c>
      <c r="AB418" s="5">
        <f>IF(Table3[[#This Row],[Efficiency Difference]]*0.2146 + 14 &gt; Table3[[#This Row],[Scoring Margin]], 1, 0)</f>
        <v>1</v>
      </c>
      <c r="AC418" s="5">
        <f>IF(Table3[[#This Row],[Efficiency Difference]]*0.2146 + 21 &gt; Table3[[#This Row],[Scoring Margin]], 1, 0)</f>
        <v>1</v>
      </c>
      <c r="AD418" s="5">
        <f>IF(Table3[[#This Row],[Efficiency Difference]]*0.2146 -7 &gt; Table3[[#This Row],[Scoring Margin]], 1, 0)</f>
        <v>0</v>
      </c>
      <c r="AE418" s="5">
        <f>IF(Table3[[#This Row],[Efficiency Difference]]*0.2146 -3 &gt; Table3[[#This Row],[Scoring Margin]], 1, 0)</f>
        <v>1</v>
      </c>
      <c r="AF418" s="5">
        <f>IF(Table3[[#This Row],[Efficiency Difference]]*0.2146 -5 &gt; Table3[[#This Row],[Scoring Margin]], 1, 0)</f>
        <v>0</v>
      </c>
      <c r="AG418" s="5">
        <f>IF(Table3[[#This Row],[Efficiency Difference]]*0.2146 -10 &gt; Table3[[#This Row],[Scoring Margin]], 1, 0)</f>
        <v>0</v>
      </c>
    </row>
    <row r="419" spans="2:33">
      <c r="B419" s="5">
        <v>114.84999999999997</v>
      </c>
      <c r="C419" s="5">
        <v>37</v>
      </c>
      <c r="X419" s="5">
        <v>114.84999999999997</v>
      </c>
      <c r="Y419" s="5">
        <v>37</v>
      </c>
      <c r="Z419" s="5">
        <f>IF(Table3[[#This Row],[Efficiency Difference]]*0.2146 &gt; Table3[[#This Row],[Scoring Margin]], 1, 0)</f>
        <v>0</v>
      </c>
      <c r="AA419" s="5">
        <f>IF(Table3[[#This Row],[Efficiency Difference]]*0.2146 + 7 &gt; Table3[[#This Row],[Scoring Margin]], 1, 0)</f>
        <v>0</v>
      </c>
      <c r="AB419" s="5">
        <f>IF(Table3[[#This Row],[Efficiency Difference]]*0.2146 + 14 &gt; Table3[[#This Row],[Scoring Margin]], 1, 0)</f>
        <v>1</v>
      </c>
      <c r="AC419" s="5">
        <f>IF(Table3[[#This Row],[Efficiency Difference]]*0.2146 + 21 &gt; Table3[[#This Row],[Scoring Margin]], 1, 0)</f>
        <v>1</v>
      </c>
      <c r="AD419" s="5">
        <f>IF(Table3[[#This Row],[Efficiency Difference]]*0.2146 -7 &gt; Table3[[#This Row],[Scoring Margin]], 1, 0)</f>
        <v>0</v>
      </c>
      <c r="AE419" s="5">
        <f>IF(Table3[[#This Row],[Efficiency Difference]]*0.2146 -3 &gt; Table3[[#This Row],[Scoring Margin]], 1, 0)</f>
        <v>0</v>
      </c>
      <c r="AF419" s="5">
        <f>IF(Table3[[#This Row],[Efficiency Difference]]*0.2146 -5 &gt; Table3[[#This Row],[Scoring Margin]], 1, 0)</f>
        <v>0</v>
      </c>
      <c r="AG419" s="5">
        <f>IF(Table3[[#This Row],[Efficiency Difference]]*0.2146 -10 &gt; Table3[[#This Row],[Scoring Margin]], 1, 0)</f>
        <v>0</v>
      </c>
    </row>
    <row r="420" spans="2:33">
      <c r="B420" s="5">
        <v>12.120000000000005</v>
      </c>
      <c r="C420" s="5">
        <v>12</v>
      </c>
      <c r="X420" s="5">
        <v>12.120000000000005</v>
      </c>
      <c r="Y420" s="5">
        <v>12</v>
      </c>
      <c r="Z420" s="5">
        <f>IF(Table3[[#This Row],[Efficiency Difference]]*0.2146 &gt; Table3[[#This Row],[Scoring Margin]], 1, 0)</f>
        <v>0</v>
      </c>
      <c r="AA420" s="5">
        <f>IF(Table3[[#This Row],[Efficiency Difference]]*0.2146 + 7 &gt; Table3[[#This Row],[Scoring Margin]], 1, 0)</f>
        <v>0</v>
      </c>
      <c r="AB420" s="5">
        <f>IF(Table3[[#This Row],[Efficiency Difference]]*0.2146 + 14 &gt; Table3[[#This Row],[Scoring Margin]], 1, 0)</f>
        <v>1</v>
      </c>
      <c r="AC420" s="5">
        <f>IF(Table3[[#This Row],[Efficiency Difference]]*0.2146 + 21 &gt; Table3[[#This Row],[Scoring Margin]], 1, 0)</f>
        <v>1</v>
      </c>
      <c r="AD420" s="5">
        <f>IF(Table3[[#This Row],[Efficiency Difference]]*0.2146 -7 &gt; Table3[[#This Row],[Scoring Margin]], 1, 0)</f>
        <v>0</v>
      </c>
      <c r="AE420" s="5">
        <f>IF(Table3[[#This Row],[Efficiency Difference]]*0.2146 -3 &gt; Table3[[#This Row],[Scoring Margin]], 1, 0)</f>
        <v>0</v>
      </c>
      <c r="AF420" s="5">
        <f>IF(Table3[[#This Row],[Efficiency Difference]]*0.2146 -5 &gt; Table3[[#This Row],[Scoring Margin]], 1, 0)</f>
        <v>0</v>
      </c>
      <c r="AG420" s="5">
        <f>IF(Table3[[#This Row],[Efficiency Difference]]*0.2146 -10 &gt; Table3[[#This Row],[Scoring Margin]], 1, 0)</f>
        <v>0</v>
      </c>
    </row>
    <row r="421" spans="2:33">
      <c r="B421" s="5">
        <v>80.47</v>
      </c>
      <c r="C421" s="5">
        <v>7</v>
      </c>
      <c r="X421" s="5">
        <v>80.47</v>
      </c>
      <c r="Y421" s="5">
        <v>7</v>
      </c>
      <c r="Z421" s="5">
        <f>IF(Table3[[#This Row],[Efficiency Difference]]*0.2146 &gt; Table3[[#This Row],[Scoring Margin]], 1, 0)</f>
        <v>1</v>
      </c>
      <c r="AA421" s="5">
        <f>IF(Table3[[#This Row],[Efficiency Difference]]*0.2146 + 7 &gt; Table3[[#This Row],[Scoring Margin]], 1, 0)</f>
        <v>1</v>
      </c>
      <c r="AB421" s="5">
        <f>IF(Table3[[#This Row],[Efficiency Difference]]*0.2146 + 14 &gt; Table3[[#This Row],[Scoring Margin]], 1, 0)</f>
        <v>1</v>
      </c>
      <c r="AC421" s="5">
        <f>IF(Table3[[#This Row],[Efficiency Difference]]*0.2146 + 21 &gt; Table3[[#This Row],[Scoring Margin]], 1, 0)</f>
        <v>1</v>
      </c>
      <c r="AD421" s="5">
        <f>IF(Table3[[#This Row],[Efficiency Difference]]*0.2146 -7 &gt; Table3[[#This Row],[Scoring Margin]], 1, 0)</f>
        <v>1</v>
      </c>
      <c r="AE421" s="5">
        <f>IF(Table3[[#This Row],[Efficiency Difference]]*0.2146 -3 &gt; Table3[[#This Row],[Scoring Margin]], 1, 0)</f>
        <v>1</v>
      </c>
      <c r="AF421" s="5">
        <f>IF(Table3[[#This Row],[Efficiency Difference]]*0.2146 -5 &gt; Table3[[#This Row],[Scoring Margin]], 1, 0)</f>
        <v>1</v>
      </c>
      <c r="AG421" s="5">
        <f>IF(Table3[[#This Row],[Efficiency Difference]]*0.2146 -10 &gt; Table3[[#This Row],[Scoring Margin]], 1, 0)</f>
        <v>1</v>
      </c>
    </row>
    <row r="422" spans="2:33">
      <c r="B422" s="5">
        <v>39.220000000000027</v>
      </c>
      <c r="C422" s="5">
        <v>1</v>
      </c>
      <c r="X422" s="5">
        <v>39.220000000000027</v>
      </c>
      <c r="Y422" s="5">
        <v>1</v>
      </c>
      <c r="Z422" s="5">
        <f>IF(Table3[[#This Row],[Efficiency Difference]]*0.2146 &gt; Table3[[#This Row],[Scoring Margin]], 1, 0)</f>
        <v>1</v>
      </c>
      <c r="AA422" s="5">
        <f>IF(Table3[[#This Row],[Efficiency Difference]]*0.2146 + 7 &gt; Table3[[#This Row],[Scoring Margin]], 1, 0)</f>
        <v>1</v>
      </c>
      <c r="AB422" s="5">
        <f>IF(Table3[[#This Row],[Efficiency Difference]]*0.2146 + 14 &gt; Table3[[#This Row],[Scoring Margin]], 1, 0)</f>
        <v>1</v>
      </c>
      <c r="AC422" s="5">
        <f>IF(Table3[[#This Row],[Efficiency Difference]]*0.2146 + 21 &gt; Table3[[#This Row],[Scoring Margin]], 1, 0)</f>
        <v>1</v>
      </c>
      <c r="AD422" s="5">
        <f>IF(Table3[[#This Row],[Efficiency Difference]]*0.2146 -7 &gt; Table3[[#This Row],[Scoring Margin]], 1, 0)</f>
        <v>1</v>
      </c>
      <c r="AE422" s="5">
        <f>IF(Table3[[#This Row],[Efficiency Difference]]*0.2146 -3 &gt; Table3[[#This Row],[Scoring Margin]], 1, 0)</f>
        <v>1</v>
      </c>
      <c r="AF422" s="5">
        <f>IF(Table3[[#This Row],[Efficiency Difference]]*0.2146 -5 &gt; Table3[[#This Row],[Scoring Margin]], 1, 0)</f>
        <v>1</v>
      </c>
      <c r="AG422" s="5">
        <f>IF(Table3[[#This Row],[Efficiency Difference]]*0.2146 -10 &gt; Table3[[#This Row],[Scoring Margin]], 1, 0)</f>
        <v>0</v>
      </c>
    </row>
    <row r="423" spans="2:33">
      <c r="B423" s="5">
        <v>8.3800000000000239</v>
      </c>
      <c r="C423" s="5">
        <v>3</v>
      </c>
      <c r="X423" s="5">
        <v>8.3800000000000239</v>
      </c>
      <c r="Y423" s="5">
        <v>3</v>
      </c>
      <c r="Z423" s="5">
        <f>IF(Table3[[#This Row],[Efficiency Difference]]*0.2146 &gt; Table3[[#This Row],[Scoring Margin]], 1, 0)</f>
        <v>0</v>
      </c>
      <c r="AA423" s="5">
        <f>IF(Table3[[#This Row],[Efficiency Difference]]*0.2146 + 7 &gt; Table3[[#This Row],[Scoring Margin]], 1, 0)</f>
        <v>1</v>
      </c>
      <c r="AB423" s="5">
        <f>IF(Table3[[#This Row],[Efficiency Difference]]*0.2146 + 14 &gt; Table3[[#This Row],[Scoring Margin]], 1, 0)</f>
        <v>1</v>
      </c>
      <c r="AC423" s="5">
        <f>IF(Table3[[#This Row],[Efficiency Difference]]*0.2146 + 21 &gt; Table3[[#This Row],[Scoring Margin]], 1, 0)</f>
        <v>1</v>
      </c>
      <c r="AD423" s="5">
        <f>IF(Table3[[#This Row],[Efficiency Difference]]*0.2146 -7 &gt; Table3[[#This Row],[Scoring Margin]], 1, 0)</f>
        <v>0</v>
      </c>
      <c r="AE423" s="5">
        <f>IF(Table3[[#This Row],[Efficiency Difference]]*0.2146 -3 &gt; Table3[[#This Row],[Scoring Margin]], 1, 0)</f>
        <v>0</v>
      </c>
      <c r="AF423" s="5">
        <f>IF(Table3[[#This Row],[Efficiency Difference]]*0.2146 -5 &gt; Table3[[#This Row],[Scoring Margin]], 1, 0)</f>
        <v>0</v>
      </c>
      <c r="AG423" s="5">
        <f>IF(Table3[[#This Row],[Efficiency Difference]]*0.2146 -10 &gt; Table3[[#This Row],[Scoring Margin]], 1, 0)</f>
        <v>0</v>
      </c>
    </row>
    <row r="424" spans="2:33">
      <c r="B424" s="5">
        <v>95.44999999999996</v>
      </c>
      <c r="C424" s="5">
        <v>17</v>
      </c>
      <c r="X424" s="5">
        <v>95.44999999999996</v>
      </c>
      <c r="Y424" s="5">
        <v>17</v>
      </c>
      <c r="Z424" s="5">
        <f>IF(Table3[[#This Row],[Efficiency Difference]]*0.2146 &gt; Table3[[#This Row],[Scoring Margin]], 1, 0)</f>
        <v>1</v>
      </c>
      <c r="AA424" s="5">
        <f>IF(Table3[[#This Row],[Efficiency Difference]]*0.2146 + 7 &gt; Table3[[#This Row],[Scoring Margin]], 1, 0)</f>
        <v>1</v>
      </c>
      <c r="AB424" s="5">
        <f>IF(Table3[[#This Row],[Efficiency Difference]]*0.2146 + 14 &gt; Table3[[#This Row],[Scoring Margin]], 1, 0)</f>
        <v>1</v>
      </c>
      <c r="AC424" s="5">
        <f>IF(Table3[[#This Row],[Efficiency Difference]]*0.2146 + 21 &gt; Table3[[#This Row],[Scoring Margin]], 1, 0)</f>
        <v>1</v>
      </c>
      <c r="AD424" s="5">
        <f>IF(Table3[[#This Row],[Efficiency Difference]]*0.2146 -7 &gt; Table3[[#This Row],[Scoring Margin]], 1, 0)</f>
        <v>0</v>
      </c>
      <c r="AE424" s="5">
        <f>IF(Table3[[#This Row],[Efficiency Difference]]*0.2146 -3 &gt; Table3[[#This Row],[Scoring Margin]], 1, 0)</f>
        <v>1</v>
      </c>
      <c r="AF424" s="5">
        <f>IF(Table3[[#This Row],[Efficiency Difference]]*0.2146 -5 &gt; Table3[[#This Row],[Scoring Margin]], 1, 0)</f>
        <v>0</v>
      </c>
      <c r="AG424" s="5">
        <f>IF(Table3[[#This Row],[Efficiency Difference]]*0.2146 -10 &gt; Table3[[#This Row],[Scoring Margin]], 1, 0)</f>
        <v>0</v>
      </c>
    </row>
    <row r="425" spans="2:33">
      <c r="B425" s="5">
        <v>184.89000000000001</v>
      </c>
      <c r="C425" s="5">
        <v>42</v>
      </c>
      <c r="X425" s="5">
        <v>184.89000000000001</v>
      </c>
      <c r="Y425" s="5">
        <v>42</v>
      </c>
      <c r="Z425" s="5">
        <f>IF(Table3[[#This Row],[Efficiency Difference]]*0.2146 &gt; Table3[[#This Row],[Scoring Margin]], 1, 0)</f>
        <v>0</v>
      </c>
      <c r="AA425" s="5">
        <f>IF(Table3[[#This Row],[Efficiency Difference]]*0.2146 + 7 &gt; Table3[[#This Row],[Scoring Margin]], 1, 0)</f>
        <v>1</v>
      </c>
      <c r="AB425" s="5">
        <f>IF(Table3[[#This Row],[Efficiency Difference]]*0.2146 + 14 &gt; Table3[[#This Row],[Scoring Margin]], 1, 0)</f>
        <v>1</v>
      </c>
      <c r="AC425" s="5">
        <f>IF(Table3[[#This Row],[Efficiency Difference]]*0.2146 + 21 &gt; Table3[[#This Row],[Scoring Margin]], 1, 0)</f>
        <v>1</v>
      </c>
      <c r="AD425" s="5">
        <f>IF(Table3[[#This Row],[Efficiency Difference]]*0.2146 -7 &gt; Table3[[#This Row],[Scoring Margin]], 1, 0)</f>
        <v>0</v>
      </c>
      <c r="AE425" s="5">
        <f>IF(Table3[[#This Row],[Efficiency Difference]]*0.2146 -3 &gt; Table3[[#This Row],[Scoring Margin]], 1, 0)</f>
        <v>0</v>
      </c>
      <c r="AF425" s="5">
        <f>IF(Table3[[#This Row],[Efficiency Difference]]*0.2146 -5 &gt; Table3[[#This Row],[Scoring Margin]], 1, 0)</f>
        <v>0</v>
      </c>
      <c r="AG425" s="5">
        <f>IF(Table3[[#This Row],[Efficiency Difference]]*0.2146 -10 &gt; Table3[[#This Row],[Scoring Margin]], 1, 0)</f>
        <v>0</v>
      </c>
    </row>
    <row r="426" spans="2:33">
      <c r="B426" s="5">
        <v>40.630000000000024</v>
      </c>
      <c r="C426" s="5">
        <v>5</v>
      </c>
      <c r="X426" s="5">
        <v>40.630000000000024</v>
      </c>
      <c r="Y426" s="5">
        <v>5</v>
      </c>
      <c r="Z426" s="5">
        <f>IF(Table3[[#This Row],[Efficiency Difference]]*0.2146 &gt; Table3[[#This Row],[Scoring Margin]], 1, 0)</f>
        <v>1</v>
      </c>
      <c r="AA426" s="5">
        <f>IF(Table3[[#This Row],[Efficiency Difference]]*0.2146 + 7 &gt; Table3[[#This Row],[Scoring Margin]], 1, 0)</f>
        <v>1</v>
      </c>
      <c r="AB426" s="5">
        <f>IF(Table3[[#This Row],[Efficiency Difference]]*0.2146 + 14 &gt; Table3[[#This Row],[Scoring Margin]], 1, 0)</f>
        <v>1</v>
      </c>
      <c r="AC426" s="5">
        <f>IF(Table3[[#This Row],[Efficiency Difference]]*0.2146 + 21 &gt; Table3[[#This Row],[Scoring Margin]], 1, 0)</f>
        <v>1</v>
      </c>
      <c r="AD426" s="5">
        <f>IF(Table3[[#This Row],[Efficiency Difference]]*0.2146 -7 &gt; Table3[[#This Row],[Scoring Margin]], 1, 0)</f>
        <v>0</v>
      </c>
      <c r="AE426" s="5">
        <f>IF(Table3[[#This Row],[Efficiency Difference]]*0.2146 -3 &gt; Table3[[#This Row],[Scoring Margin]], 1, 0)</f>
        <v>1</v>
      </c>
      <c r="AF426" s="5">
        <f>IF(Table3[[#This Row],[Efficiency Difference]]*0.2146 -5 &gt; Table3[[#This Row],[Scoring Margin]], 1, 0)</f>
        <v>0</v>
      </c>
      <c r="AG426" s="5">
        <f>IF(Table3[[#This Row],[Efficiency Difference]]*0.2146 -10 &gt; Table3[[#This Row],[Scoring Margin]], 1, 0)</f>
        <v>0</v>
      </c>
    </row>
    <row r="427" spans="2:33">
      <c r="B427" s="5">
        <v>104.67000000000002</v>
      </c>
      <c r="C427" s="5">
        <v>18</v>
      </c>
      <c r="X427" s="5">
        <v>104.67000000000002</v>
      </c>
      <c r="Y427" s="5">
        <v>18</v>
      </c>
      <c r="Z427" s="5">
        <f>IF(Table3[[#This Row],[Efficiency Difference]]*0.2146 &gt; Table3[[#This Row],[Scoring Margin]], 1, 0)</f>
        <v>1</v>
      </c>
      <c r="AA427" s="5">
        <f>IF(Table3[[#This Row],[Efficiency Difference]]*0.2146 + 7 &gt; Table3[[#This Row],[Scoring Margin]], 1, 0)</f>
        <v>1</v>
      </c>
      <c r="AB427" s="5">
        <f>IF(Table3[[#This Row],[Efficiency Difference]]*0.2146 + 14 &gt; Table3[[#This Row],[Scoring Margin]], 1, 0)</f>
        <v>1</v>
      </c>
      <c r="AC427" s="5">
        <f>IF(Table3[[#This Row],[Efficiency Difference]]*0.2146 + 21 &gt; Table3[[#This Row],[Scoring Margin]], 1, 0)</f>
        <v>1</v>
      </c>
      <c r="AD427" s="5">
        <f>IF(Table3[[#This Row],[Efficiency Difference]]*0.2146 -7 &gt; Table3[[#This Row],[Scoring Margin]], 1, 0)</f>
        <v>0</v>
      </c>
      <c r="AE427" s="5">
        <f>IF(Table3[[#This Row],[Efficiency Difference]]*0.2146 -3 &gt; Table3[[#This Row],[Scoring Margin]], 1, 0)</f>
        <v>1</v>
      </c>
      <c r="AF427" s="5">
        <f>IF(Table3[[#This Row],[Efficiency Difference]]*0.2146 -5 &gt; Table3[[#This Row],[Scoring Margin]], 1, 0)</f>
        <v>0</v>
      </c>
      <c r="AG427" s="5">
        <f>IF(Table3[[#This Row],[Efficiency Difference]]*0.2146 -10 &gt; Table3[[#This Row],[Scoring Margin]], 1, 0)</f>
        <v>0</v>
      </c>
    </row>
    <row r="428" spans="2:33">
      <c r="B428" s="5">
        <v>54.509999999999991</v>
      </c>
      <c r="C428" s="5">
        <v>20</v>
      </c>
      <c r="X428" s="5">
        <v>54.509999999999991</v>
      </c>
      <c r="Y428" s="5">
        <v>20</v>
      </c>
      <c r="Z428" s="5">
        <f>IF(Table3[[#This Row],[Efficiency Difference]]*0.2146 &gt; Table3[[#This Row],[Scoring Margin]], 1, 0)</f>
        <v>0</v>
      </c>
      <c r="AA428" s="5">
        <f>IF(Table3[[#This Row],[Efficiency Difference]]*0.2146 + 7 &gt; Table3[[#This Row],[Scoring Margin]], 1, 0)</f>
        <v>0</v>
      </c>
      <c r="AB428" s="5">
        <f>IF(Table3[[#This Row],[Efficiency Difference]]*0.2146 + 14 &gt; Table3[[#This Row],[Scoring Margin]], 1, 0)</f>
        <v>1</v>
      </c>
      <c r="AC428" s="5">
        <f>IF(Table3[[#This Row],[Efficiency Difference]]*0.2146 + 21 &gt; Table3[[#This Row],[Scoring Margin]], 1, 0)</f>
        <v>1</v>
      </c>
      <c r="AD428" s="5">
        <f>IF(Table3[[#This Row],[Efficiency Difference]]*0.2146 -7 &gt; Table3[[#This Row],[Scoring Margin]], 1, 0)</f>
        <v>0</v>
      </c>
      <c r="AE428" s="5">
        <f>IF(Table3[[#This Row],[Efficiency Difference]]*0.2146 -3 &gt; Table3[[#This Row],[Scoring Margin]], 1, 0)</f>
        <v>0</v>
      </c>
      <c r="AF428" s="5">
        <f>IF(Table3[[#This Row],[Efficiency Difference]]*0.2146 -5 &gt; Table3[[#This Row],[Scoring Margin]], 1, 0)</f>
        <v>0</v>
      </c>
      <c r="AG428" s="5">
        <f>IF(Table3[[#This Row],[Efficiency Difference]]*0.2146 -10 &gt; Table3[[#This Row],[Scoring Margin]], 1, 0)</f>
        <v>0</v>
      </c>
    </row>
    <row r="429" spans="2:33">
      <c r="B429" s="5">
        <v>40.490000000000009</v>
      </c>
      <c r="C429" s="5">
        <v>3</v>
      </c>
      <c r="X429" s="5">
        <v>40.490000000000009</v>
      </c>
      <c r="Y429" s="5">
        <v>3</v>
      </c>
      <c r="Z429" s="5">
        <f>IF(Table3[[#This Row],[Efficiency Difference]]*0.2146 &gt; Table3[[#This Row],[Scoring Margin]], 1, 0)</f>
        <v>1</v>
      </c>
      <c r="AA429" s="5">
        <f>IF(Table3[[#This Row],[Efficiency Difference]]*0.2146 + 7 &gt; Table3[[#This Row],[Scoring Margin]], 1, 0)</f>
        <v>1</v>
      </c>
      <c r="AB429" s="5">
        <f>IF(Table3[[#This Row],[Efficiency Difference]]*0.2146 + 14 &gt; Table3[[#This Row],[Scoring Margin]], 1, 0)</f>
        <v>1</v>
      </c>
      <c r="AC429" s="5">
        <f>IF(Table3[[#This Row],[Efficiency Difference]]*0.2146 + 21 &gt; Table3[[#This Row],[Scoring Margin]], 1, 0)</f>
        <v>1</v>
      </c>
      <c r="AD429" s="5">
        <f>IF(Table3[[#This Row],[Efficiency Difference]]*0.2146 -7 &gt; Table3[[#This Row],[Scoring Margin]], 1, 0)</f>
        <v>0</v>
      </c>
      <c r="AE429" s="5">
        <f>IF(Table3[[#This Row],[Efficiency Difference]]*0.2146 -3 &gt; Table3[[#This Row],[Scoring Margin]], 1, 0)</f>
        <v>1</v>
      </c>
      <c r="AF429" s="5">
        <f>IF(Table3[[#This Row],[Efficiency Difference]]*0.2146 -5 &gt; Table3[[#This Row],[Scoring Margin]], 1, 0)</f>
        <v>1</v>
      </c>
      <c r="AG429" s="5">
        <f>IF(Table3[[#This Row],[Efficiency Difference]]*0.2146 -10 &gt; Table3[[#This Row],[Scoring Margin]], 1, 0)</f>
        <v>0</v>
      </c>
    </row>
    <row r="430" spans="2:33">
      <c r="B430" s="5">
        <v>36.260000000000019</v>
      </c>
      <c r="C430" s="5">
        <v>7</v>
      </c>
      <c r="X430" s="5">
        <v>36.260000000000019</v>
      </c>
      <c r="Y430" s="5">
        <v>7</v>
      </c>
      <c r="Z430" s="5">
        <f>IF(Table3[[#This Row],[Efficiency Difference]]*0.2146 &gt; Table3[[#This Row],[Scoring Margin]], 1, 0)</f>
        <v>1</v>
      </c>
      <c r="AA430" s="5">
        <f>IF(Table3[[#This Row],[Efficiency Difference]]*0.2146 + 7 &gt; Table3[[#This Row],[Scoring Margin]], 1, 0)</f>
        <v>1</v>
      </c>
      <c r="AB430" s="5">
        <f>IF(Table3[[#This Row],[Efficiency Difference]]*0.2146 + 14 &gt; Table3[[#This Row],[Scoring Margin]], 1, 0)</f>
        <v>1</v>
      </c>
      <c r="AC430" s="5">
        <f>IF(Table3[[#This Row],[Efficiency Difference]]*0.2146 + 21 &gt; Table3[[#This Row],[Scoring Margin]], 1, 0)</f>
        <v>1</v>
      </c>
      <c r="AD430" s="5">
        <f>IF(Table3[[#This Row],[Efficiency Difference]]*0.2146 -7 &gt; Table3[[#This Row],[Scoring Margin]], 1, 0)</f>
        <v>0</v>
      </c>
      <c r="AE430" s="5">
        <f>IF(Table3[[#This Row],[Efficiency Difference]]*0.2146 -3 &gt; Table3[[#This Row],[Scoring Margin]], 1, 0)</f>
        <v>0</v>
      </c>
      <c r="AF430" s="5">
        <f>IF(Table3[[#This Row],[Efficiency Difference]]*0.2146 -5 &gt; Table3[[#This Row],[Scoring Margin]], 1, 0)</f>
        <v>0</v>
      </c>
      <c r="AG430" s="5">
        <f>IF(Table3[[#This Row],[Efficiency Difference]]*0.2146 -10 &gt; Table3[[#This Row],[Scoring Margin]], 1, 0)</f>
        <v>0</v>
      </c>
    </row>
    <row r="431" spans="2:33">
      <c r="B431" s="5">
        <v>74.449999999999989</v>
      </c>
      <c r="C431" s="5">
        <v>33</v>
      </c>
      <c r="X431" s="5">
        <v>74.449999999999989</v>
      </c>
      <c r="Y431" s="5">
        <v>33</v>
      </c>
      <c r="Z431" s="5">
        <f>IF(Table3[[#This Row],[Efficiency Difference]]*0.2146 &gt; Table3[[#This Row],[Scoring Margin]], 1, 0)</f>
        <v>0</v>
      </c>
      <c r="AA431" s="5">
        <f>IF(Table3[[#This Row],[Efficiency Difference]]*0.2146 + 7 &gt; Table3[[#This Row],[Scoring Margin]], 1, 0)</f>
        <v>0</v>
      </c>
      <c r="AB431" s="5">
        <f>IF(Table3[[#This Row],[Efficiency Difference]]*0.2146 + 14 &gt; Table3[[#This Row],[Scoring Margin]], 1, 0)</f>
        <v>0</v>
      </c>
      <c r="AC431" s="5">
        <f>IF(Table3[[#This Row],[Efficiency Difference]]*0.2146 + 21 &gt; Table3[[#This Row],[Scoring Margin]], 1, 0)</f>
        <v>1</v>
      </c>
      <c r="AD431" s="5">
        <f>IF(Table3[[#This Row],[Efficiency Difference]]*0.2146 -7 &gt; Table3[[#This Row],[Scoring Margin]], 1, 0)</f>
        <v>0</v>
      </c>
      <c r="AE431" s="5">
        <f>IF(Table3[[#This Row],[Efficiency Difference]]*0.2146 -3 &gt; Table3[[#This Row],[Scoring Margin]], 1, 0)</f>
        <v>0</v>
      </c>
      <c r="AF431" s="5">
        <f>IF(Table3[[#This Row],[Efficiency Difference]]*0.2146 -5 &gt; Table3[[#This Row],[Scoring Margin]], 1, 0)</f>
        <v>0</v>
      </c>
      <c r="AG431" s="5">
        <f>IF(Table3[[#This Row],[Efficiency Difference]]*0.2146 -10 &gt; Table3[[#This Row],[Scoring Margin]], 1, 0)</f>
        <v>0</v>
      </c>
    </row>
    <row r="432" spans="2:33">
      <c r="B432" s="5">
        <v>64.089999999999975</v>
      </c>
      <c r="C432" s="5">
        <v>10</v>
      </c>
      <c r="X432" s="5">
        <v>64.089999999999975</v>
      </c>
      <c r="Y432" s="5">
        <v>10</v>
      </c>
      <c r="Z432" s="5">
        <f>IF(Table3[[#This Row],[Efficiency Difference]]*0.2146 &gt; Table3[[#This Row],[Scoring Margin]], 1, 0)</f>
        <v>1</v>
      </c>
      <c r="AA432" s="5">
        <f>IF(Table3[[#This Row],[Efficiency Difference]]*0.2146 + 7 &gt; Table3[[#This Row],[Scoring Margin]], 1, 0)</f>
        <v>1</v>
      </c>
      <c r="AB432" s="5">
        <f>IF(Table3[[#This Row],[Efficiency Difference]]*0.2146 + 14 &gt; Table3[[#This Row],[Scoring Margin]], 1, 0)</f>
        <v>1</v>
      </c>
      <c r="AC432" s="5">
        <f>IF(Table3[[#This Row],[Efficiency Difference]]*0.2146 + 21 &gt; Table3[[#This Row],[Scoring Margin]], 1, 0)</f>
        <v>1</v>
      </c>
      <c r="AD432" s="5">
        <f>IF(Table3[[#This Row],[Efficiency Difference]]*0.2146 -7 &gt; Table3[[#This Row],[Scoring Margin]], 1, 0)</f>
        <v>0</v>
      </c>
      <c r="AE432" s="5">
        <f>IF(Table3[[#This Row],[Efficiency Difference]]*0.2146 -3 &gt; Table3[[#This Row],[Scoring Margin]], 1, 0)</f>
        <v>1</v>
      </c>
      <c r="AF432" s="5">
        <f>IF(Table3[[#This Row],[Efficiency Difference]]*0.2146 -5 &gt; Table3[[#This Row],[Scoring Margin]], 1, 0)</f>
        <v>0</v>
      </c>
      <c r="AG432" s="5">
        <f>IF(Table3[[#This Row],[Efficiency Difference]]*0.2146 -10 &gt; Table3[[#This Row],[Scoring Margin]], 1, 0)</f>
        <v>0</v>
      </c>
    </row>
    <row r="433" spans="2:33">
      <c r="B433" s="5">
        <v>30.920000000000016</v>
      </c>
      <c r="C433" s="5">
        <v>10</v>
      </c>
      <c r="X433" s="5">
        <v>30.920000000000016</v>
      </c>
      <c r="Y433" s="5">
        <v>10</v>
      </c>
      <c r="Z433" s="5">
        <f>IF(Table3[[#This Row],[Efficiency Difference]]*0.2146 &gt; Table3[[#This Row],[Scoring Margin]], 1, 0)</f>
        <v>0</v>
      </c>
      <c r="AA433" s="5">
        <f>IF(Table3[[#This Row],[Efficiency Difference]]*0.2146 + 7 &gt; Table3[[#This Row],[Scoring Margin]], 1, 0)</f>
        <v>1</v>
      </c>
      <c r="AB433" s="5">
        <f>IF(Table3[[#This Row],[Efficiency Difference]]*0.2146 + 14 &gt; Table3[[#This Row],[Scoring Margin]], 1, 0)</f>
        <v>1</v>
      </c>
      <c r="AC433" s="5">
        <f>IF(Table3[[#This Row],[Efficiency Difference]]*0.2146 + 21 &gt; Table3[[#This Row],[Scoring Margin]], 1, 0)</f>
        <v>1</v>
      </c>
      <c r="AD433" s="5">
        <f>IF(Table3[[#This Row],[Efficiency Difference]]*0.2146 -7 &gt; Table3[[#This Row],[Scoring Margin]], 1, 0)</f>
        <v>0</v>
      </c>
      <c r="AE433" s="5">
        <f>IF(Table3[[#This Row],[Efficiency Difference]]*0.2146 -3 &gt; Table3[[#This Row],[Scoring Margin]], 1, 0)</f>
        <v>0</v>
      </c>
      <c r="AF433" s="5">
        <f>IF(Table3[[#This Row],[Efficiency Difference]]*0.2146 -5 &gt; Table3[[#This Row],[Scoring Margin]], 1, 0)</f>
        <v>0</v>
      </c>
      <c r="AG433" s="5">
        <f>IF(Table3[[#This Row],[Efficiency Difference]]*0.2146 -10 &gt; Table3[[#This Row],[Scoring Margin]], 1, 0)</f>
        <v>0</v>
      </c>
    </row>
    <row r="434" spans="2:33">
      <c r="B434" s="5">
        <v>171.63999999999993</v>
      </c>
      <c r="C434" s="5">
        <v>56</v>
      </c>
      <c r="X434" s="5">
        <v>171.63999999999993</v>
      </c>
      <c r="Y434" s="5">
        <v>56</v>
      </c>
      <c r="Z434" s="5">
        <f>IF(Table3[[#This Row],[Efficiency Difference]]*0.2146 &gt; Table3[[#This Row],[Scoring Margin]], 1, 0)</f>
        <v>0</v>
      </c>
      <c r="AA434" s="5">
        <f>IF(Table3[[#This Row],[Efficiency Difference]]*0.2146 + 7 &gt; Table3[[#This Row],[Scoring Margin]], 1, 0)</f>
        <v>0</v>
      </c>
      <c r="AB434" s="5">
        <f>IF(Table3[[#This Row],[Efficiency Difference]]*0.2146 + 14 &gt; Table3[[#This Row],[Scoring Margin]], 1, 0)</f>
        <v>0</v>
      </c>
      <c r="AC434" s="5">
        <f>IF(Table3[[#This Row],[Efficiency Difference]]*0.2146 + 21 &gt; Table3[[#This Row],[Scoring Margin]], 1, 0)</f>
        <v>1</v>
      </c>
      <c r="AD434" s="5">
        <f>IF(Table3[[#This Row],[Efficiency Difference]]*0.2146 -7 &gt; Table3[[#This Row],[Scoring Margin]], 1, 0)</f>
        <v>0</v>
      </c>
      <c r="AE434" s="5">
        <f>IF(Table3[[#This Row],[Efficiency Difference]]*0.2146 -3 &gt; Table3[[#This Row],[Scoring Margin]], 1, 0)</f>
        <v>0</v>
      </c>
      <c r="AF434" s="5">
        <f>IF(Table3[[#This Row],[Efficiency Difference]]*0.2146 -5 &gt; Table3[[#This Row],[Scoring Margin]], 1, 0)</f>
        <v>0</v>
      </c>
      <c r="AG434" s="5">
        <f>IF(Table3[[#This Row],[Efficiency Difference]]*0.2146 -10 &gt; Table3[[#This Row],[Scoring Margin]], 1, 0)</f>
        <v>0</v>
      </c>
    </row>
    <row r="435" spans="2:33">
      <c r="B435" s="5">
        <v>128.47000000000003</v>
      </c>
      <c r="C435" s="5">
        <v>38</v>
      </c>
      <c r="X435" s="5">
        <v>128.47000000000003</v>
      </c>
      <c r="Y435" s="5">
        <v>38</v>
      </c>
      <c r="Z435" s="5">
        <f>IF(Table3[[#This Row],[Efficiency Difference]]*0.2146 &gt; Table3[[#This Row],[Scoring Margin]], 1, 0)</f>
        <v>0</v>
      </c>
      <c r="AA435" s="5">
        <f>IF(Table3[[#This Row],[Efficiency Difference]]*0.2146 + 7 &gt; Table3[[#This Row],[Scoring Margin]], 1, 0)</f>
        <v>0</v>
      </c>
      <c r="AB435" s="5">
        <f>IF(Table3[[#This Row],[Efficiency Difference]]*0.2146 + 14 &gt; Table3[[#This Row],[Scoring Margin]], 1, 0)</f>
        <v>1</v>
      </c>
      <c r="AC435" s="5">
        <f>IF(Table3[[#This Row],[Efficiency Difference]]*0.2146 + 21 &gt; Table3[[#This Row],[Scoring Margin]], 1, 0)</f>
        <v>1</v>
      </c>
      <c r="AD435" s="5">
        <f>IF(Table3[[#This Row],[Efficiency Difference]]*0.2146 -7 &gt; Table3[[#This Row],[Scoring Margin]], 1, 0)</f>
        <v>0</v>
      </c>
      <c r="AE435" s="5">
        <f>IF(Table3[[#This Row],[Efficiency Difference]]*0.2146 -3 &gt; Table3[[#This Row],[Scoring Margin]], 1, 0)</f>
        <v>0</v>
      </c>
      <c r="AF435" s="5">
        <f>IF(Table3[[#This Row],[Efficiency Difference]]*0.2146 -5 &gt; Table3[[#This Row],[Scoring Margin]], 1, 0)</f>
        <v>0</v>
      </c>
      <c r="AG435" s="5">
        <f>IF(Table3[[#This Row],[Efficiency Difference]]*0.2146 -10 &gt; Table3[[#This Row],[Scoring Margin]], 1, 0)</f>
        <v>0</v>
      </c>
    </row>
    <row r="436" spans="2:33">
      <c r="B436" s="5">
        <v>69.169999999999959</v>
      </c>
      <c r="C436" s="5">
        <v>30</v>
      </c>
      <c r="X436" s="5">
        <v>69.169999999999959</v>
      </c>
      <c r="Y436" s="5">
        <v>30</v>
      </c>
      <c r="Z436" s="5">
        <f>IF(Table3[[#This Row],[Efficiency Difference]]*0.2146 &gt; Table3[[#This Row],[Scoring Margin]], 1, 0)</f>
        <v>0</v>
      </c>
      <c r="AA436" s="5">
        <f>IF(Table3[[#This Row],[Efficiency Difference]]*0.2146 + 7 &gt; Table3[[#This Row],[Scoring Margin]], 1, 0)</f>
        <v>0</v>
      </c>
      <c r="AB436" s="5">
        <f>IF(Table3[[#This Row],[Efficiency Difference]]*0.2146 + 14 &gt; Table3[[#This Row],[Scoring Margin]], 1, 0)</f>
        <v>0</v>
      </c>
      <c r="AC436" s="5">
        <f>IF(Table3[[#This Row],[Efficiency Difference]]*0.2146 + 21 &gt; Table3[[#This Row],[Scoring Margin]], 1, 0)</f>
        <v>1</v>
      </c>
      <c r="AD436" s="5">
        <f>IF(Table3[[#This Row],[Efficiency Difference]]*0.2146 -7 &gt; Table3[[#This Row],[Scoring Margin]], 1, 0)</f>
        <v>0</v>
      </c>
      <c r="AE436" s="5">
        <f>IF(Table3[[#This Row],[Efficiency Difference]]*0.2146 -3 &gt; Table3[[#This Row],[Scoring Margin]], 1, 0)</f>
        <v>0</v>
      </c>
      <c r="AF436" s="5">
        <f>IF(Table3[[#This Row],[Efficiency Difference]]*0.2146 -5 &gt; Table3[[#This Row],[Scoring Margin]], 1, 0)</f>
        <v>0</v>
      </c>
      <c r="AG436" s="5">
        <f>IF(Table3[[#This Row],[Efficiency Difference]]*0.2146 -10 &gt; Table3[[#This Row],[Scoring Margin]], 1, 0)</f>
        <v>0</v>
      </c>
    </row>
    <row r="437" spans="2:33">
      <c r="B437" s="5">
        <v>16.439999999999998</v>
      </c>
      <c r="C437" s="5">
        <v>3</v>
      </c>
      <c r="X437" s="5">
        <v>16.439999999999998</v>
      </c>
      <c r="Y437" s="5">
        <v>3</v>
      </c>
      <c r="Z437" s="5">
        <f>IF(Table3[[#This Row],[Efficiency Difference]]*0.2146 &gt; Table3[[#This Row],[Scoring Margin]], 1, 0)</f>
        <v>1</v>
      </c>
      <c r="AA437" s="5">
        <f>IF(Table3[[#This Row],[Efficiency Difference]]*0.2146 + 7 &gt; Table3[[#This Row],[Scoring Margin]], 1, 0)</f>
        <v>1</v>
      </c>
      <c r="AB437" s="5">
        <f>IF(Table3[[#This Row],[Efficiency Difference]]*0.2146 + 14 &gt; Table3[[#This Row],[Scoring Margin]], 1, 0)</f>
        <v>1</v>
      </c>
      <c r="AC437" s="5">
        <f>IF(Table3[[#This Row],[Efficiency Difference]]*0.2146 + 21 &gt; Table3[[#This Row],[Scoring Margin]], 1, 0)</f>
        <v>1</v>
      </c>
      <c r="AD437" s="5">
        <f>IF(Table3[[#This Row],[Efficiency Difference]]*0.2146 -7 &gt; Table3[[#This Row],[Scoring Margin]], 1, 0)</f>
        <v>0</v>
      </c>
      <c r="AE437" s="5">
        <f>IF(Table3[[#This Row],[Efficiency Difference]]*0.2146 -3 &gt; Table3[[#This Row],[Scoring Margin]], 1, 0)</f>
        <v>0</v>
      </c>
      <c r="AF437" s="5">
        <f>IF(Table3[[#This Row],[Efficiency Difference]]*0.2146 -5 &gt; Table3[[#This Row],[Scoring Margin]], 1, 0)</f>
        <v>0</v>
      </c>
      <c r="AG437" s="5">
        <f>IF(Table3[[#This Row],[Efficiency Difference]]*0.2146 -10 &gt; Table3[[#This Row],[Scoring Margin]], 1, 0)</f>
        <v>0</v>
      </c>
    </row>
    <row r="438" spans="2:33">
      <c r="B438" s="5">
        <v>91.200000000000017</v>
      </c>
      <c r="C438" s="5">
        <v>27</v>
      </c>
      <c r="X438" s="5">
        <v>91.200000000000017</v>
      </c>
      <c r="Y438" s="5">
        <v>27</v>
      </c>
      <c r="Z438" s="5">
        <f>IF(Table3[[#This Row],[Efficiency Difference]]*0.2146 &gt; Table3[[#This Row],[Scoring Margin]], 1, 0)</f>
        <v>0</v>
      </c>
      <c r="AA438" s="5">
        <f>IF(Table3[[#This Row],[Efficiency Difference]]*0.2146 + 7 &gt; Table3[[#This Row],[Scoring Margin]], 1, 0)</f>
        <v>0</v>
      </c>
      <c r="AB438" s="5">
        <f>IF(Table3[[#This Row],[Efficiency Difference]]*0.2146 + 14 &gt; Table3[[#This Row],[Scoring Margin]], 1, 0)</f>
        <v>1</v>
      </c>
      <c r="AC438" s="5">
        <f>IF(Table3[[#This Row],[Efficiency Difference]]*0.2146 + 21 &gt; Table3[[#This Row],[Scoring Margin]], 1, 0)</f>
        <v>1</v>
      </c>
      <c r="AD438" s="5">
        <f>IF(Table3[[#This Row],[Efficiency Difference]]*0.2146 -7 &gt; Table3[[#This Row],[Scoring Margin]], 1, 0)</f>
        <v>0</v>
      </c>
      <c r="AE438" s="5">
        <f>IF(Table3[[#This Row],[Efficiency Difference]]*0.2146 -3 &gt; Table3[[#This Row],[Scoring Margin]], 1, 0)</f>
        <v>0</v>
      </c>
      <c r="AF438" s="5">
        <f>IF(Table3[[#This Row],[Efficiency Difference]]*0.2146 -5 &gt; Table3[[#This Row],[Scoring Margin]], 1, 0)</f>
        <v>0</v>
      </c>
      <c r="AG438" s="5">
        <f>IF(Table3[[#This Row],[Efficiency Difference]]*0.2146 -10 &gt; Table3[[#This Row],[Scoring Margin]], 1, 0)</f>
        <v>0</v>
      </c>
    </row>
    <row r="439" spans="2:33">
      <c r="B439" s="5">
        <v>125.84999999999997</v>
      </c>
      <c r="C439" s="5">
        <v>23</v>
      </c>
      <c r="X439" s="5">
        <v>125.84999999999997</v>
      </c>
      <c r="Y439" s="5">
        <v>23</v>
      </c>
      <c r="Z439" s="5">
        <f>IF(Table3[[#This Row],[Efficiency Difference]]*0.2146 &gt; Table3[[#This Row],[Scoring Margin]], 1, 0)</f>
        <v>1</v>
      </c>
      <c r="AA439" s="5">
        <f>IF(Table3[[#This Row],[Efficiency Difference]]*0.2146 + 7 &gt; Table3[[#This Row],[Scoring Margin]], 1, 0)</f>
        <v>1</v>
      </c>
      <c r="AB439" s="5">
        <f>IF(Table3[[#This Row],[Efficiency Difference]]*0.2146 + 14 &gt; Table3[[#This Row],[Scoring Margin]], 1, 0)</f>
        <v>1</v>
      </c>
      <c r="AC439" s="5">
        <f>IF(Table3[[#This Row],[Efficiency Difference]]*0.2146 + 21 &gt; Table3[[#This Row],[Scoring Margin]], 1, 0)</f>
        <v>1</v>
      </c>
      <c r="AD439" s="5">
        <f>IF(Table3[[#This Row],[Efficiency Difference]]*0.2146 -7 &gt; Table3[[#This Row],[Scoring Margin]], 1, 0)</f>
        <v>0</v>
      </c>
      <c r="AE439" s="5">
        <f>IF(Table3[[#This Row],[Efficiency Difference]]*0.2146 -3 &gt; Table3[[#This Row],[Scoring Margin]], 1, 0)</f>
        <v>1</v>
      </c>
      <c r="AF439" s="5">
        <f>IF(Table3[[#This Row],[Efficiency Difference]]*0.2146 -5 &gt; Table3[[#This Row],[Scoring Margin]], 1, 0)</f>
        <v>0</v>
      </c>
      <c r="AG439" s="5">
        <f>IF(Table3[[#This Row],[Efficiency Difference]]*0.2146 -10 &gt; Table3[[#This Row],[Scoring Margin]], 1, 0)</f>
        <v>0</v>
      </c>
    </row>
    <row r="440" spans="2:33">
      <c r="B440" s="5">
        <v>56.509999999999991</v>
      </c>
      <c r="C440" s="5">
        <v>26</v>
      </c>
      <c r="X440" s="5">
        <v>56.509999999999991</v>
      </c>
      <c r="Y440" s="5">
        <v>26</v>
      </c>
      <c r="Z440" s="5">
        <f>IF(Table3[[#This Row],[Efficiency Difference]]*0.2146 &gt; Table3[[#This Row],[Scoring Margin]], 1, 0)</f>
        <v>0</v>
      </c>
      <c r="AA440" s="5">
        <f>IF(Table3[[#This Row],[Efficiency Difference]]*0.2146 + 7 &gt; Table3[[#This Row],[Scoring Margin]], 1, 0)</f>
        <v>0</v>
      </c>
      <c r="AB440" s="5">
        <f>IF(Table3[[#This Row],[Efficiency Difference]]*0.2146 + 14 &gt; Table3[[#This Row],[Scoring Margin]], 1, 0)</f>
        <v>1</v>
      </c>
      <c r="AC440" s="5">
        <f>IF(Table3[[#This Row],[Efficiency Difference]]*0.2146 + 21 &gt; Table3[[#This Row],[Scoring Margin]], 1, 0)</f>
        <v>1</v>
      </c>
      <c r="AD440" s="5">
        <f>IF(Table3[[#This Row],[Efficiency Difference]]*0.2146 -7 &gt; Table3[[#This Row],[Scoring Margin]], 1, 0)</f>
        <v>0</v>
      </c>
      <c r="AE440" s="5">
        <f>IF(Table3[[#This Row],[Efficiency Difference]]*0.2146 -3 &gt; Table3[[#This Row],[Scoring Margin]], 1, 0)</f>
        <v>0</v>
      </c>
      <c r="AF440" s="5">
        <f>IF(Table3[[#This Row],[Efficiency Difference]]*0.2146 -5 &gt; Table3[[#This Row],[Scoring Margin]], 1, 0)</f>
        <v>0</v>
      </c>
      <c r="AG440" s="5">
        <f>IF(Table3[[#This Row],[Efficiency Difference]]*0.2146 -10 &gt; Table3[[#This Row],[Scoring Margin]], 1, 0)</f>
        <v>0</v>
      </c>
    </row>
    <row r="441" spans="2:33">
      <c r="B441" s="5">
        <v>66.94999999999996</v>
      </c>
      <c r="C441" s="5">
        <v>1</v>
      </c>
      <c r="X441" s="5">
        <v>66.94999999999996</v>
      </c>
      <c r="Y441" s="5">
        <v>1</v>
      </c>
      <c r="Z441" s="5">
        <f>IF(Table3[[#This Row],[Efficiency Difference]]*0.2146 &gt; Table3[[#This Row],[Scoring Margin]], 1, 0)</f>
        <v>1</v>
      </c>
      <c r="AA441" s="5">
        <f>IF(Table3[[#This Row],[Efficiency Difference]]*0.2146 + 7 &gt; Table3[[#This Row],[Scoring Margin]], 1, 0)</f>
        <v>1</v>
      </c>
      <c r="AB441" s="5">
        <f>IF(Table3[[#This Row],[Efficiency Difference]]*0.2146 + 14 &gt; Table3[[#This Row],[Scoring Margin]], 1, 0)</f>
        <v>1</v>
      </c>
      <c r="AC441" s="5">
        <f>IF(Table3[[#This Row],[Efficiency Difference]]*0.2146 + 21 &gt; Table3[[#This Row],[Scoring Margin]], 1, 0)</f>
        <v>1</v>
      </c>
      <c r="AD441" s="5">
        <f>IF(Table3[[#This Row],[Efficiency Difference]]*0.2146 -7 &gt; Table3[[#This Row],[Scoring Margin]], 1, 0)</f>
        <v>1</v>
      </c>
      <c r="AE441" s="5">
        <f>IF(Table3[[#This Row],[Efficiency Difference]]*0.2146 -3 &gt; Table3[[#This Row],[Scoring Margin]], 1, 0)</f>
        <v>1</v>
      </c>
      <c r="AF441" s="5">
        <f>IF(Table3[[#This Row],[Efficiency Difference]]*0.2146 -5 &gt; Table3[[#This Row],[Scoring Margin]], 1, 0)</f>
        <v>1</v>
      </c>
      <c r="AG441" s="5">
        <f>IF(Table3[[#This Row],[Efficiency Difference]]*0.2146 -10 &gt; Table3[[#This Row],[Scoring Margin]], 1, 0)</f>
        <v>1</v>
      </c>
    </row>
    <row r="442" spans="2:33">
      <c r="B442" s="5">
        <v>77.789999999999964</v>
      </c>
      <c r="C442" s="5">
        <v>42</v>
      </c>
      <c r="X442" s="5">
        <v>77.789999999999964</v>
      </c>
      <c r="Y442" s="5">
        <v>42</v>
      </c>
      <c r="Z442" s="5">
        <f>IF(Table3[[#This Row],[Efficiency Difference]]*0.2146 &gt; Table3[[#This Row],[Scoring Margin]], 1, 0)</f>
        <v>0</v>
      </c>
      <c r="AA442" s="5">
        <f>IF(Table3[[#This Row],[Efficiency Difference]]*0.2146 + 7 &gt; Table3[[#This Row],[Scoring Margin]], 1, 0)</f>
        <v>0</v>
      </c>
      <c r="AB442" s="5">
        <f>IF(Table3[[#This Row],[Efficiency Difference]]*0.2146 + 14 &gt; Table3[[#This Row],[Scoring Margin]], 1, 0)</f>
        <v>0</v>
      </c>
      <c r="AC442" s="5">
        <f>IF(Table3[[#This Row],[Efficiency Difference]]*0.2146 + 21 &gt; Table3[[#This Row],[Scoring Margin]], 1, 0)</f>
        <v>0</v>
      </c>
      <c r="AD442" s="5">
        <f>IF(Table3[[#This Row],[Efficiency Difference]]*0.2146 -7 &gt; Table3[[#This Row],[Scoring Margin]], 1, 0)</f>
        <v>0</v>
      </c>
      <c r="AE442" s="5">
        <f>IF(Table3[[#This Row],[Efficiency Difference]]*0.2146 -3 &gt; Table3[[#This Row],[Scoring Margin]], 1, 0)</f>
        <v>0</v>
      </c>
      <c r="AF442" s="5">
        <f>IF(Table3[[#This Row],[Efficiency Difference]]*0.2146 -5 &gt; Table3[[#This Row],[Scoring Margin]], 1, 0)</f>
        <v>0</v>
      </c>
      <c r="AG442" s="5">
        <f>IF(Table3[[#This Row],[Efficiency Difference]]*0.2146 -10 &gt; Table3[[#This Row],[Scoring Margin]], 1, 0)</f>
        <v>0</v>
      </c>
    </row>
    <row r="443" spans="2:33">
      <c r="B443" s="5">
        <v>99.550000000000011</v>
      </c>
      <c r="C443" s="5">
        <v>12</v>
      </c>
      <c r="X443" s="5">
        <v>99.550000000000011</v>
      </c>
      <c r="Y443" s="5">
        <v>12</v>
      </c>
      <c r="Z443" s="5">
        <f>IF(Table3[[#This Row],[Efficiency Difference]]*0.2146 &gt; Table3[[#This Row],[Scoring Margin]], 1, 0)</f>
        <v>1</v>
      </c>
      <c r="AA443" s="5">
        <f>IF(Table3[[#This Row],[Efficiency Difference]]*0.2146 + 7 &gt; Table3[[#This Row],[Scoring Margin]], 1, 0)</f>
        <v>1</v>
      </c>
      <c r="AB443" s="5">
        <f>IF(Table3[[#This Row],[Efficiency Difference]]*0.2146 + 14 &gt; Table3[[#This Row],[Scoring Margin]], 1, 0)</f>
        <v>1</v>
      </c>
      <c r="AC443" s="5">
        <f>IF(Table3[[#This Row],[Efficiency Difference]]*0.2146 + 21 &gt; Table3[[#This Row],[Scoring Margin]], 1, 0)</f>
        <v>1</v>
      </c>
      <c r="AD443" s="5">
        <f>IF(Table3[[#This Row],[Efficiency Difference]]*0.2146 -7 &gt; Table3[[#This Row],[Scoring Margin]], 1, 0)</f>
        <v>1</v>
      </c>
      <c r="AE443" s="5">
        <f>IF(Table3[[#This Row],[Efficiency Difference]]*0.2146 -3 &gt; Table3[[#This Row],[Scoring Margin]], 1, 0)</f>
        <v>1</v>
      </c>
      <c r="AF443" s="5">
        <f>IF(Table3[[#This Row],[Efficiency Difference]]*0.2146 -5 &gt; Table3[[#This Row],[Scoring Margin]], 1, 0)</f>
        <v>1</v>
      </c>
      <c r="AG443" s="5">
        <f>IF(Table3[[#This Row],[Efficiency Difference]]*0.2146 -10 &gt; Table3[[#This Row],[Scoring Margin]], 1, 0)</f>
        <v>0</v>
      </c>
    </row>
    <row r="444" spans="2:33">
      <c r="B444" s="5">
        <v>87.009999999999962</v>
      </c>
      <c r="C444" s="5">
        <v>21</v>
      </c>
      <c r="X444" s="5">
        <v>87.009999999999962</v>
      </c>
      <c r="Y444" s="5">
        <v>21</v>
      </c>
      <c r="Z444" s="5">
        <f>IF(Table3[[#This Row],[Efficiency Difference]]*0.2146 &gt; Table3[[#This Row],[Scoring Margin]], 1, 0)</f>
        <v>0</v>
      </c>
      <c r="AA444" s="5">
        <f>IF(Table3[[#This Row],[Efficiency Difference]]*0.2146 + 7 &gt; Table3[[#This Row],[Scoring Margin]], 1, 0)</f>
        <v>1</v>
      </c>
      <c r="AB444" s="5">
        <f>IF(Table3[[#This Row],[Efficiency Difference]]*0.2146 + 14 &gt; Table3[[#This Row],[Scoring Margin]], 1, 0)</f>
        <v>1</v>
      </c>
      <c r="AC444" s="5">
        <f>IF(Table3[[#This Row],[Efficiency Difference]]*0.2146 + 21 &gt; Table3[[#This Row],[Scoring Margin]], 1, 0)</f>
        <v>1</v>
      </c>
      <c r="AD444" s="5">
        <f>IF(Table3[[#This Row],[Efficiency Difference]]*0.2146 -7 &gt; Table3[[#This Row],[Scoring Margin]], 1, 0)</f>
        <v>0</v>
      </c>
      <c r="AE444" s="5">
        <f>IF(Table3[[#This Row],[Efficiency Difference]]*0.2146 -3 &gt; Table3[[#This Row],[Scoring Margin]], 1, 0)</f>
        <v>0</v>
      </c>
      <c r="AF444" s="5">
        <f>IF(Table3[[#This Row],[Efficiency Difference]]*0.2146 -5 &gt; Table3[[#This Row],[Scoring Margin]], 1, 0)</f>
        <v>0</v>
      </c>
      <c r="AG444" s="5">
        <f>IF(Table3[[#This Row],[Efficiency Difference]]*0.2146 -10 &gt; Table3[[#This Row],[Scoring Margin]], 1, 0)</f>
        <v>0</v>
      </c>
    </row>
    <row r="445" spans="2:33">
      <c r="B445" s="5">
        <v>47.469999999999985</v>
      </c>
      <c r="C445" s="5">
        <v>1</v>
      </c>
      <c r="X445" s="5">
        <v>47.469999999999985</v>
      </c>
      <c r="Y445" s="5">
        <v>1</v>
      </c>
      <c r="Z445" s="5">
        <f>IF(Table3[[#This Row],[Efficiency Difference]]*0.2146 &gt; Table3[[#This Row],[Scoring Margin]], 1, 0)</f>
        <v>1</v>
      </c>
      <c r="AA445" s="5">
        <f>IF(Table3[[#This Row],[Efficiency Difference]]*0.2146 + 7 &gt; Table3[[#This Row],[Scoring Margin]], 1, 0)</f>
        <v>1</v>
      </c>
      <c r="AB445" s="5">
        <f>IF(Table3[[#This Row],[Efficiency Difference]]*0.2146 + 14 &gt; Table3[[#This Row],[Scoring Margin]], 1, 0)</f>
        <v>1</v>
      </c>
      <c r="AC445" s="5">
        <f>IF(Table3[[#This Row],[Efficiency Difference]]*0.2146 + 21 &gt; Table3[[#This Row],[Scoring Margin]], 1, 0)</f>
        <v>1</v>
      </c>
      <c r="AD445" s="5">
        <f>IF(Table3[[#This Row],[Efficiency Difference]]*0.2146 -7 &gt; Table3[[#This Row],[Scoring Margin]], 1, 0)</f>
        <v>1</v>
      </c>
      <c r="AE445" s="5">
        <f>IF(Table3[[#This Row],[Efficiency Difference]]*0.2146 -3 &gt; Table3[[#This Row],[Scoring Margin]], 1, 0)</f>
        <v>1</v>
      </c>
      <c r="AF445" s="5">
        <f>IF(Table3[[#This Row],[Efficiency Difference]]*0.2146 -5 &gt; Table3[[#This Row],[Scoring Margin]], 1, 0)</f>
        <v>1</v>
      </c>
      <c r="AG445" s="5">
        <f>IF(Table3[[#This Row],[Efficiency Difference]]*0.2146 -10 &gt; Table3[[#This Row],[Scoring Margin]], 1, 0)</f>
        <v>0</v>
      </c>
    </row>
    <row r="446" spans="2:33">
      <c r="B446" s="5">
        <v>112.54</v>
      </c>
      <c r="C446" s="5">
        <v>23</v>
      </c>
      <c r="X446" s="5">
        <v>112.54</v>
      </c>
      <c r="Y446" s="5">
        <v>23</v>
      </c>
      <c r="Z446" s="5">
        <f>IF(Table3[[#This Row],[Efficiency Difference]]*0.2146 &gt; Table3[[#This Row],[Scoring Margin]], 1, 0)</f>
        <v>1</v>
      </c>
      <c r="AA446" s="5">
        <f>IF(Table3[[#This Row],[Efficiency Difference]]*0.2146 + 7 &gt; Table3[[#This Row],[Scoring Margin]], 1, 0)</f>
        <v>1</v>
      </c>
      <c r="AB446" s="5">
        <f>IF(Table3[[#This Row],[Efficiency Difference]]*0.2146 + 14 &gt; Table3[[#This Row],[Scoring Margin]], 1, 0)</f>
        <v>1</v>
      </c>
      <c r="AC446" s="5">
        <f>IF(Table3[[#This Row],[Efficiency Difference]]*0.2146 + 21 &gt; Table3[[#This Row],[Scoring Margin]], 1, 0)</f>
        <v>1</v>
      </c>
      <c r="AD446" s="5">
        <f>IF(Table3[[#This Row],[Efficiency Difference]]*0.2146 -7 &gt; Table3[[#This Row],[Scoring Margin]], 1, 0)</f>
        <v>0</v>
      </c>
      <c r="AE446" s="5">
        <f>IF(Table3[[#This Row],[Efficiency Difference]]*0.2146 -3 &gt; Table3[[#This Row],[Scoring Margin]], 1, 0)</f>
        <v>0</v>
      </c>
      <c r="AF446" s="5">
        <f>IF(Table3[[#This Row],[Efficiency Difference]]*0.2146 -5 &gt; Table3[[#This Row],[Scoring Margin]], 1, 0)</f>
        <v>0</v>
      </c>
      <c r="AG446" s="5">
        <f>IF(Table3[[#This Row],[Efficiency Difference]]*0.2146 -10 &gt; Table3[[#This Row],[Scoring Margin]], 1, 0)</f>
        <v>0</v>
      </c>
    </row>
    <row r="447" spans="2:33">
      <c r="B447" s="5">
        <v>127.59</v>
      </c>
      <c r="C447" s="5">
        <v>14</v>
      </c>
      <c r="X447" s="5">
        <v>127.59</v>
      </c>
      <c r="Y447" s="5">
        <v>14</v>
      </c>
      <c r="Z447" s="5">
        <f>IF(Table3[[#This Row],[Efficiency Difference]]*0.2146 &gt; Table3[[#This Row],[Scoring Margin]], 1, 0)</f>
        <v>1</v>
      </c>
      <c r="AA447" s="5">
        <f>IF(Table3[[#This Row],[Efficiency Difference]]*0.2146 + 7 &gt; Table3[[#This Row],[Scoring Margin]], 1, 0)</f>
        <v>1</v>
      </c>
      <c r="AB447" s="5">
        <f>IF(Table3[[#This Row],[Efficiency Difference]]*0.2146 + 14 &gt; Table3[[#This Row],[Scoring Margin]], 1, 0)</f>
        <v>1</v>
      </c>
      <c r="AC447" s="5">
        <f>IF(Table3[[#This Row],[Efficiency Difference]]*0.2146 + 21 &gt; Table3[[#This Row],[Scoring Margin]], 1, 0)</f>
        <v>1</v>
      </c>
      <c r="AD447" s="5">
        <f>IF(Table3[[#This Row],[Efficiency Difference]]*0.2146 -7 &gt; Table3[[#This Row],[Scoring Margin]], 1, 0)</f>
        <v>1</v>
      </c>
      <c r="AE447" s="5">
        <f>IF(Table3[[#This Row],[Efficiency Difference]]*0.2146 -3 &gt; Table3[[#This Row],[Scoring Margin]], 1, 0)</f>
        <v>1</v>
      </c>
      <c r="AF447" s="5">
        <f>IF(Table3[[#This Row],[Efficiency Difference]]*0.2146 -5 &gt; Table3[[#This Row],[Scoring Margin]], 1, 0)</f>
        <v>1</v>
      </c>
      <c r="AG447" s="5">
        <f>IF(Table3[[#This Row],[Efficiency Difference]]*0.2146 -10 &gt; Table3[[#This Row],[Scoring Margin]], 1, 0)</f>
        <v>1</v>
      </c>
    </row>
    <row r="448" spans="2:33">
      <c r="B448" s="5">
        <v>33.75</v>
      </c>
      <c r="C448" s="5">
        <v>10</v>
      </c>
      <c r="X448" s="5">
        <v>33.75</v>
      </c>
      <c r="Y448" s="5">
        <v>10</v>
      </c>
      <c r="Z448" s="5">
        <f>IF(Table3[[#This Row],[Efficiency Difference]]*0.2146 &gt; Table3[[#This Row],[Scoring Margin]], 1, 0)</f>
        <v>0</v>
      </c>
      <c r="AA448" s="5">
        <f>IF(Table3[[#This Row],[Efficiency Difference]]*0.2146 + 7 &gt; Table3[[#This Row],[Scoring Margin]], 1, 0)</f>
        <v>1</v>
      </c>
      <c r="AB448" s="5">
        <f>IF(Table3[[#This Row],[Efficiency Difference]]*0.2146 + 14 &gt; Table3[[#This Row],[Scoring Margin]], 1, 0)</f>
        <v>1</v>
      </c>
      <c r="AC448" s="5">
        <f>IF(Table3[[#This Row],[Efficiency Difference]]*0.2146 + 21 &gt; Table3[[#This Row],[Scoring Margin]], 1, 0)</f>
        <v>1</v>
      </c>
      <c r="AD448" s="5">
        <f>IF(Table3[[#This Row],[Efficiency Difference]]*0.2146 -7 &gt; Table3[[#This Row],[Scoring Margin]], 1, 0)</f>
        <v>0</v>
      </c>
      <c r="AE448" s="5">
        <f>IF(Table3[[#This Row],[Efficiency Difference]]*0.2146 -3 &gt; Table3[[#This Row],[Scoring Margin]], 1, 0)</f>
        <v>0</v>
      </c>
      <c r="AF448" s="5">
        <f>IF(Table3[[#This Row],[Efficiency Difference]]*0.2146 -5 &gt; Table3[[#This Row],[Scoring Margin]], 1, 0)</f>
        <v>0</v>
      </c>
      <c r="AG448" s="5">
        <f>IF(Table3[[#This Row],[Efficiency Difference]]*0.2146 -10 &gt; Table3[[#This Row],[Scoring Margin]], 1, 0)</f>
        <v>0</v>
      </c>
    </row>
    <row r="449" spans="2:33">
      <c r="B449" s="5">
        <v>292.79000000000008</v>
      </c>
      <c r="C449" s="5">
        <v>45</v>
      </c>
      <c r="X449" s="5">
        <v>292.79000000000008</v>
      </c>
      <c r="Y449" s="5">
        <v>45</v>
      </c>
      <c r="Z449" s="5">
        <f>IF(Table3[[#This Row],[Efficiency Difference]]*0.2146 &gt; Table3[[#This Row],[Scoring Margin]], 1, 0)</f>
        <v>1</v>
      </c>
      <c r="AA449" s="5">
        <f>IF(Table3[[#This Row],[Efficiency Difference]]*0.2146 + 7 &gt; Table3[[#This Row],[Scoring Margin]], 1, 0)</f>
        <v>1</v>
      </c>
      <c r="AB449" s="5">
        <f>IF(Table3[[#This Row],[Efficiency Difference]]*0.2146 + 14 &gt; Table3[[#This Row],[Scoring Margin]], 1, 0)</f>
        <v>1</v>
      </c>
      <c r="AC449" s="5">
        <f>IF(Table3[[#This Row],[Efficiency Difference]]*0.2146 + 21 &gt; Table3[[#This Row],[Scoring Margin]], 1, 0)</f>
        <v>1</v>
      </c>
      <c r="AD449" s="5">
        <f>IF(Table3[[#This Row],[Efficiency Difference]]*0.2146 -7 &gt; Table3[[#This Row],[Scoring Margin]], 1, 0)</f>
        <v>1</v>
      </c>
      <c r="AE449" s="5">
        <f>IF(Table3[[#This Row],[Efficiency Difference]]*0.2146 -3 &gt; Table3[[#This Row],[Scoring Margin]], 1, 0)</f>
        <v>1</v>
      </c>
      <c r="AF449" s="5">
        <f>IF(Table3[[#This Row],[Efficiency Difference]]*0.2146 -5 &gt; Table3[[#This Row],[Scoring Margin]], 1, 0)</f>
        <v>1</v>
      </c>
      <c r="AG449" s="5">
        <f>IF(Table3[[#This Row],[Efficiency Difference]]*0.2146 -10 &gt; Table3[[#This Row],[Scoring Margin]], 1, 0)</f>
        <v>1</v>
      </c>
    </row>
    <row r="450" spans="2:33">
      <c r="B450" s="5">
        <v>82.35</v>
      </c>
      <c r="C450" s="5">
        <v>5</v>
      </c>
      <c r="X450" s="5">
        <v>82.35</v>
      </c>
      <c r="Y450" s="5">
        <v>5</v>
      </c>
      <c r="Z450" s="5">
        <f>IF(Table3[[#This Row],[Efficiency Difference]]*0.2146 &gt; Table3[[#This Row],[Scoring Margin]], 1, 0)</f>
        <v>1</v>
      </c>
      <c r="AA450" s="5">
        <f>IF(Table3[[#This Row],[Efficiency Difference]]*0.2146 + 7 &gt; Table3[[#This Row],[Scoring Margin]], 1, 0)</f>
        <v>1</v>
      </c>
      <c r="AB450" s="5">
        <f>IF(Table3[[#This Row],[Efficiency Difference]]*0.2146 + 14 &gt; Table3[[#This Row],[Scoring Margin]], 1, 0)</f>
        <v>1</v>
      </c>
      <c r="AC450" s="5">
        <f>IF(Table3[[#This Row],[Efficiency Difference]]*0.2146 + 21 &gt; Table3[[#This Row],[Scoring Margin]], 1, 0)</f>
        <v>1</v>
      </c>
      <c r="AD450" s="5">
        <f>IF(Table3[[#This Row],[Efficiency Difference]]*0.2146 -7 &gt; Table3[[#This Row],[Scoring Margin]], 1, 0)</f>
        <v>1</v>
      </c>
      <c r="AE450" s="5">
        <f>IF(Table3[[#This Row],[Efficiency Difference]]*0.2146 -3 &gt; Table3[[#This Row],[Scoring Margin]], 1, 0)</f>
        <v>1</v>
      </c>
      <c r="AF450" s="5">
        <f>IF(Table3[[#This Row],[Efficiency Difference]]*0.2146 -5 &gt; Table3[[#This Row],[Scoring Margin]], 1, 0)</f>
        <v>1</v>
      </c>
      <c r="AG450" s="5">
        <f>IF(Table3[[#This Row],[Efficiency Difference]]*0.2146 -10 &gt; Table3[[#This Row],[Scoring Margin]], 1, 0)</f>
        <v>1</v>
      </c>
    </row>
    <row r="451" spans="2:33">
      <c r="B451" s="5">
        <v>28.120000000000005</v>
      </c>
      <c r="C451" s="5">
        <v>13</v>
      </c>
      <c r="X451" s="5">
        <v>28.120000000000005</v>
      </c>
      <c r="Y451" s="5">
        <v>13</v>
      </c>
      <c r="Z451" s="5">
        <f>IF(Table3[[#This Row],[Efficiency Difference]]*0.2146 &gt; Table3[[#This Row],[Scoring Margin]], 1, 0)</f>
        <v>0</v>
      </c>
      <c r="AA451" s="5">
        <f>IF(Table3[[#This Row],[Efficiency Difference]]*0.2146 + 7 &gt; Table3[[#This Row],[Scoring Margin]], 1, 0)</f>
        <v>1</v>
      </c>
      <c r="AB451" s="5">
        <f>IF(Table3[[#This Row],[Efficiency Difference]]*0.2146 + 14 &gt; Table3[[#This Row],[Scoring Margin]], 1, 0)</f>
        <v>1</v>
      </c>
      <c r="AC451" s="5">
        <f>IF(Table3[[#This Row],[Efficiency Difference]]*0.2146 + 21 &gt; Table3[[#This Row],[Scoring Margin]], 1, 0)</f>
        <v>1</v>
      </c>
      <c r="AD451" s="5">
        <f>IF(Table3[[#This Row],[Efficiency Difference]]*0.2146 -7 &gt; Table3[[#This Row],[Scoring Margin]], 1, 0)</f>
        <v>0</v>
      </c>
      <c r="AE451" s="5">
        <f>IF(Table3[[#This Row],[Efficiency Difference]]*0.2146 -3 &gt; Table3[[#This Row],[Scoring Margin]], 1, 0)</f>
        <v>0</v>
      </c>
      <c r="AF451" s="5">
        <f>IF(Table3[[#This Row],[Efficiency Difference]]*0.2146 -5 &gt; Table3[[#This Row],[Scoring Margin]], 1, 0)</f>
        <v>0</v>
      </c>
      <c r="AG451" s="5">
        <f>IF(Table3[[#This Row],[Efficiency Difference]]*0.2146 -10 &gt; Table3[[#This Row],[Scoring Margin]], 1, 0)</f>
        <v>0</v>
      </c>
    </row>
    <row r="452" spans="2:33">
      <c r="B452" s="5">
        <v>108.49999999999994</v>
      </c>
      <c r="C452" s="5">
        <v>49</v>
      </c>
      <c r="X452" s="5">
        <v>108.49999999999994</v>
      </c>
      <c r="Y452" s="5">
        <v>49</v>
      </c>
      <c r="Z452" s="5">
        <f>IF(Table3[[#This Row],[Efficiency Difference]]*0.2146 &gt; Table3[[#This Row],[Scoring Margin]], 1, 0)</f>
        <v>0</v>
      </c>
      <c r="AA452" s="5">
        <f>IF(Table3[[#This Row],[Efficiency Difference]]*0.2146 + 7 &gt; Table3[[#This Row],[Scoring Margin]], 1, 0)</f>
        <v>0</v>
      </c>
      <c r="AB452" s="5">
        <f>IF(Table3[[#This Row],[Efficiency Difference]]*0.2146 + 14 &gt; Table3[[#This Row],[Scoring Margin]], 1, 0)</f>
        <v>0</v>
      </c>
      <c r="AC452" s="5">
        <f>IF(Table3[[#This Row],[Efficiency Difference]]*0.2146 + 21 &gt; Table3[[#This Row],[Scoring Margin]], 1, 0)</f>
        <v>0</v>
      </c>
      <c r="AD452" s="5">
        <f>IF(Table3[[#This Row],[Efficiency Difference]]*0.2146 -7 &gt; Table3[[#This Row],[Scoring Margin]], 1, 0)</f>
        <v>0</v>
      </c>
      <c r="AE452" s="5">
        <f>IF(Table3[[#This Row],[Efficiency Difference]]*0.2146 -3 &gt; Table3[[#This Row],[Scoring Margin]], 1, 0)</f>
        <v>0</v>
      </c>
      <c r="AF452" s="5">
        <f>IF(Table3[[#This Row],[Efficiency Difference]]*0.2146 -5 &gt; Table3[[#This Row],[Scoring Margin]], 1, 0)</f>
        <v>0</v>
      </c>
      <c r="AG452" s="5">
        <f>IF(Table3[[#This Row],[Efficiency Difference]]*0.2146 -10 &gt; Table3[[#This Row],[Scoring Margin]], 1, 0)</f>
        <v>0</v>
      </c>
    </row>
    <row r="453" spans="2:33">
      <c r="B453" s="5">
        <v>157.28</v>
      </c>
      <c r="C453" s="5">
        <v>25</v>
      </c>
      <c r="X453" s="5">
        <v>157.28</v>
      </c>
      <c r="Y453" s="5">
        <v>25</v>
      </c>
      <c r="Z453" s="5">
        <f>IF(Table3[[#This Row],[Efficiency Difference]]*0.2146 &gt; Table3[[#This Row],[Scoring Margin]], 1, 0)</f>
        <v>1</v>
      </c>
      <c r="AA453" s="5">
        <f>IF(Table3[[#This Row],[Efficiency Difference]]*0.2146 + 7 &gt; Table3[[#This Row],[Scoring Margin]], 1, 0)</f>
        <v>1</v>
      </c>
      <c r="AB453" s="5">
        <f>IF(Table3[[#This Row],[Efficiency Difference]]*0.2146 + 14 &gt; Table3[[#This Row],[Scoring Margin]], 1, 0)</f>
        <v>1</v>
      </c>
      <c r="AC453" s="5">
        <f>IF(Table3[[#This Row],[Efficiency Difference]]*0.2146 + 21 &gt; Table3[[#This Row],[Scoring Margin]], 1, 0)</f>
        <v>1</v>
      </c>
      <c r="AD453" s="5">
        <f>IF(Table3[[#This Row],[Efficiency Difference]]*0.2146 -7 &gt; Table3[[#This Row],[Scoring Margin]], 1, 0)</f>
        <v>1</v>
      </c>
      <c r="AE453" s="5">
        <f>IF(Table3[[#This Row],[Efficiency Difference]]*0.2146 -3 &gt; Table3[[#This Row],[Scoring Margin]], 1, 0)</f>
        <v>1</v>
      </c>
      <c r="AF453" s="5">
        <f>IF(Table3[[#This Row],[Efficiency Difference]]*0.2146 -5 &gt; Table3[[#This Row],[Scoring Margin]], 1, 0)</f>
        <v>1</v>
      </c>
      <c r="AG453" s="5">
        <f>IF(Table3[[#This Row],[Efficiency Difference]]*0.2146 -10 &gt; Table3[[#This Row],[Scoring Margin]], 1, 0)</f>
        <v>0</v>
      </c>
    </row>
    <row r="454" spans="2:33">
      <c r="B454" s="5">
        <v>73.96999999999997</v>
      </c>
      <c r="C454" s="5">
        <v>28</v>
      </c>
      <c r="X454" s="5">
        <v>73.96999999999997</v>
      </c>
      <c r="Y454" s="5">
        <v>28</v>
      </c>
      <c r="Z454" s="5">
        <f>IF(Table3[[#This Row],[Efficiency Difference]]*0.2146 &gt; Table3[[#This Row],[Scoring Margin]], 1, 0)</f>
        <v>0</v>
      </c>
      <c r="AA454" s="5">
        <f>IF(Table3[[#This Row],[Efficiency Difference]]*0.2146 + 7 &gt; Table3[[#This Row],[Scoring Margin]], 1, 0)</f>
        <v>0</v>
      </c>
      <c r="AB454" s="5">
        <f>IF(Table3[[#This Row],[Efficiency Difference]]*0.2146 + 14 &gt; Table3[[#This Row],[Scoring Margin]], 1, 0)</f>
        <v>1</v>
      </c>
      <c r="AC454" s="5">
        <f>IF(Table3[[#This Row],[Efficiency Difference]]*0.2146 + 21 &gt; Table3[[#This Row],[Scoring Margin]], 1, 0)</f>
        <v>1</v>
      </c>
      <c r="AD454" s="5">
        <f>IF(Table3[[#This Row],[Efficiency Difference]]*0.2146 -7 &gt; Table3[[#This Row],[Scoring Margin]], 1, 0)</f>
        <v>0</v>
      </c>
      <c r="AE454" s="5">
        <f>IF(Table3[[#This Row],[Efficiency Difference]]*0.2146 -3 &gt; Table3[[#This Row],[Scoring Margin]], 1, 0)</f>
        <v>0</v>
      </c>
      <c r="AF454" s="5">
        <f>IF(Table3[[#This Row],[Efficiency Difference]]*0.2146 -5 &gt; Table3[[#This Row],[Scoring Margin]], 1, 0)</f>
        <v>0</v>
      </c>
      <c r="AG454" s="5">
        <f>IF(Table3[[#This Row],[Efficiency Difference]]*0.2146 -10 &gt; Table3[[#This Row],[Scoring Margin]], 1, 0)</f>
        <v>0</v>
      </c>
    </row>
    <row r="455" spans="2:33">
      <c r="B455" s="5">
        <v>70.539999999999964</v>
      </c>
      <c r="C455" s="5">
        <v>14</v>
      </c>
      <c r="X455" s="5">
        <v>70.539999999999964</v>
      </c>
      <c r="Y455" s="5">
        <v>14</v>
      </c>
      <c r="Z455" s="5">
        <f>IF(Table3[[#This Row],[Efficiency Difference]]*0.2146 &gt; Table3[[#This Row],[Scoring Margin]], 1, 0)</f>
        <v>1</v>
      </c>
      <c r="AA455" s="5">
        <f>IF(Table3[[#This Row],[Efficiency Difference]]*0.2146 + 7 &gt; Table3[[#This Row],[Scoring Margin]], 1, 0)</f>
        <v>1</v>
      </c>
      <c r="AB455" s="5">
        <f>IF(Table3[[#This Row],[Efficiency Difference]]*0.2146 + 14 &gt; Table3[[#This Row],[Scoring Margin]], 1, 0)</f>
        <v>1</v>
      </c>
      <c r="AC455" s="5">
        <f>IF(Table3[[#This Row],[Efficiency Difference]]*0.2146 + 21 &gt; Table3[[#This Row],[Scoring Margin]], 1, 0)</f>
        <v>1</v>
      </c>
      <c r="AD455" s="5">
        <f>IF(Table3[[#This Row],[Efficiency Difference]]*0.2146 -7 &gt; Table3[[#This Row],[Scoring Margin]], 1, 0)</f>
        <v>0</v>
      </c>
      <c r="AE455" s="5">
        <f>IF(Table3[[#This Row],[Efficiency Difference]]*0.2146 -3 &gt; Table3[[#This Row],[Scoring Margin]], 1, 0)</f>
        <v>0</v>
      </c>
      <c r="AF455" s="5">
        <f>IF(Table3[[#This Row],[Efficiency Difference]]*0.2146 -5 &gt; Table3[[#This Row],[Scoring Margin]], 1, 0)</f>
        <v>0</v>
      </c>
      <c r="AG455" s="5">
        <f>IF(Table3[[#This Row],[Efficiency Difference]]*0.2146 -10 &gt; Table3[[#This Row],[Scoring Margin]], 1, 0)</f>
        <v>0</v>
      </c>
    </row>
    <row r="456" spans="2:33">
      <c r="B456" s="5">
        <v>179.21000000000004</v>
      </c>
      <c r="C456" s="5">
        <v>43</v>
      </c>
      <c r="X456" s="5">
        <v>179.21000000000004</v>
      </c>
      <c r="Y456" s="5">
        <v>43</v>
      </c>
      <c r="Z456" s="5">
        <f>IF(Table3[[#This Row],[Efficiency Difference]]*0.2146 &gt; Table3[[#This Row],[Scoring Margin]], 1, 0)</f>
        <v>0</v>
      </c>
      <c r="AA456" s="5">
        <f>IF(Table3[[#This Row],[Efficiency Difference]]*0.2146 + 7 &gt; Table3[[#This Row],[Scoring Margin]], 1, 0)</f>
        <v>1</v>
      </c>
      <c r="AB456" s="5">
        <f>IF(Table3[[#This Row],[Efficiency Difference]]*0.2146 + 14 &gt; Table3[[#This Row],[Scoring Margin]], 1, 0)</f>
        <v>1</v>
      </c>
      <c r="AC456" s="5">
        <f>IF(Table3[[#This Row],[Efficiency Difference]]*0.2146 + 21 &gt; Table3[[#This Row],[Scoring Margin]], 1, 0)</f>
        <v>1</v>
      </c>
      <c r="AD456" s="5">
        <f>IF(Table3[[#This Row],[Efficiency Difference]]*0.2146 -7 &gt; Table3[[#This Row],[Scoring Margin]], 1, 0)</f>
        <v>0</v>
      </c>
      <c r="AE456" s="5">
        <f>IF(Table3[[#This Row],[Efficiency Difference]]*0.2146 -3 &gt; Table3[[#This Row],[Scoring Margin]], 1, 0)</f>
        <v>0</v>
      </c>
      <c r="AF456" s="5">
        <f>IF(Table3[[#This Row],[Efficiency Difference]]*0.2146 -5 &gt; Table3[[#This Row],[Scoring Margin]], 1, 0)</f>
        <v>0</v>
      </c>
      <c r="AG456" s="5">
        <f>IF(Table3[[#This Row],[Efficiency Difference]]*0.2146 -10 &gt; Table3[[#This Row],[Scoring Margin]], 1, 0)</f>
        <v>0</v>
      </c>
    </row>
    <row r="457" spans="2:33">
      <c r="B457" s="5">
        <v>153.47</v>
      </c>
      <c r="C457" s="5">
        <v>35</v>
      </c>
      <c r="X457" s="5">
        <v>153.47</v>
      </c>
      <c r="Y457" s="5">
        <v>35</v>
      </c>
      <c r="Z457" s="5">
        <f>IF(Table3[[#This Row],[Efficiency Difference]]*0.2146 &gt; Table3[[#This Row],[Scoring Margin]], 1, 0)</f>
        <v>0</v>
      </c>
      <c r="AA457" s="5">
        <f>IF(Table3[[#This Row],[Efficiency Difference]]*0.2146 + 7 &gt; Table3[[#This Row],[Scoring Margin]], 1, 0)</f>
        <v>1</v>
      </c>
      <c r="AB457" s="5">
        <f>IF(Table3[[#This Row],[Efficiency Difference]]*0.2146 + 14 &gt; Table3[[#This Row],[Scoring Margin]], 1, 0)</f>
        <v>1</v>
      </c>
      <c r="AC457" s="5">
        <f>IF(Table3[[#This Row],[Efficiency Difference]]*0.2146 + 21 &gt; Table3[[#This Row],[Scoring Margin]], 1, 0)</f>
        <v>1</v>
      </c>
      <c r="AD457" s="5">
        <f>IF(Table3[[#This Row],[Efficiency Difference]]*0.2146 -7 &gt; Table3[[#This Row],[Scoring Margin]], 1, 0)</f>
        <v>0</v>
      </c>
      <c r="AE457" s="5">
        <f>IF(Table3[[#This Row],[Efficiency Difference]]*0.2146 -3 &gt; Table3[[#This Row],[Scoring Margin]], 1, 0)</f>
        <v>0</v>
      </c>
      <c r="AF457" s="5">
        <f>IF(Table3[[#This Row],[Efficiency Difference]]*0.2146 -5 &gt; Table3[[#This Row],[Scoring Margin]], 1, 0)</f>
        <v>0</v>
      </c>
      <c r="AG457" s="5">
        <f>IF(Table3[[#This Row],[Efficiency Difference]]*0.2146 -10 &gt; Table3[[#This Row],[Scoring Margin]], 1, 0)</f>
        <v>0</v>
      </c>
    </row>
    <row r="458" spans="2:33">
      <c r="B458" s="5">
        <v>40.789999999999964</v>
      </c>
      <c r="C458" s="5">
        <v>10</v>
      </c>
      <c r="X458" s="5">
        <v>40.789999999999964</v>
      </c>
      <c r="Y458" s="5">
        <v>10</v>
      </c>
      <c r="Z458" s="5">
        <f>IF(Table3[[#This Row],[Efficiency Difference]]*0.2146 &gt; Table3[[#This Row],[Scoring Margin]], 1, 0)</f>
        <v>0</v>
      </c>
      <c r="AA458" s="5">
        <f>IF(Table3[[#This Row],[Efficiency Difference]]*0.2146 + 7 &gt; Table3[[#This Row],[Scoring Margin]], 1, 0)</f>
        <v>1</v>
      </c>
      <c r="AB458" s="5">
        <f>IF(Table3[[#This Row],[Efficiency Difference]]*0.2146 + 14 &gt; Table3[[#This Row],[Scoring Margin]], 1, 0)</f>
        <v>1</v>
      </c>
      <c r="AC458" s="5">
        <f>IF(Table3[[#This Row],[Efficiency Difference]]*0.2146 + 21 &gt; Table3[[#This Row],[Scoring Margin]], 1, 0)</f>
        <v>1</v>
      </c>
      <c r="AD458" s="5">
        <f>IF(Table3[[#This Row],[Efficiency Difference]]*0.2146 -7 &gt; Table3[[#This Row],[Scoring Margin]], 1, 0)</f>
        <v>0</v>
      </c>
      <c r="AE458" s="5">
        <f>IF(Table3[[#This Row],[Efficiency Difference]]*0.2146 -3 &gt; Table3[[#This Row],[Scoring Margin]], 1, 0)</f>
        <v>0</v>
      </c>
      <c r="AF458" s="5">
        <f>IF(Table3[[#This Row],[Efficiency Difference]]*0.2146 -5 &gt; Table3[[#This Row],[Scoring Margin]], 1, 0)</f>
        <v>0</v>
      </c>
      <c r="AG458" s="5">
        <f>IF(Table3[[#This Row],[Efficiency Difference]]*0.2146 -10 &gt; Table3[[#This Row],[Scoring Margin]], 1, 0)</f>
        <v>0</v>
      </c>
    </row>
    <row r="459" spans="2:33">
      <c r="B459" s="5">
        <v>103.29000000000002</v>
      </c>
      <c r="C459" s="5">
        <v>10</v>
      </c>
      <c r="X459" s="5">
        <v>103.29000000000002</v>
      </c>
      <c r="Y459" s="5">
        <v>10</v>
      </c>
      <c r="Z459" s="5">
        <f>IF(Table3[[#This Row],[Efficiency Difference]]*0.2146 &gt; Table3[[#This Row],[Scoring Margin]], 1, 0)</f>
        <v>1</v>
      </c>
      <c r="AA459" s="5">
        <f>IF(Table3[[#This Row],[Efficiency Difference]]*0.2146 + 7 &gt; Table3[[#This Row],[Scoring Margin]], 1, 0)</f>
        <v>1</v>
      </c>
      <c r="AB459" s="5">
        <f>IF(Table3[[#This Row],[Efficiency Difference]]*0.2146 + 14 &gt; Table3[[#This Row],[Scoring Margin]], 1, 0)</f>
        <v>1</v>
      </c>
      <c r="AC459" s="5">
        <f>IF(Table3[[#This Row],[Efficiency Difference]]*0.2146 + 21 &gt; Table3[[#This Row],[Scoring Margin]], 1, 0)</f>
        <v>1</v>
      </c>
      <c r="AD459" s="5">
        <f>IF(Table3[[#This Row],[Efficiency Difference]]*0.2146 -7 &gt; Table3[[#This Row],[Scoring Margin]], 1, 0)</f>
        <v>1</v>
      </c>
      <c r="AE459" s="5">
        <f>IF(Table3[[#This Row],[Efficiency Difference]]*0.2146 -3 &gt; Table3[[#This Row],[Scoring Margin]], 1, 0)</f>
        <v>1</v>
      </c>
      <c r="AF459" s="5">
        <f>IF(Table3[[#This Row],[Efficiency Difference]]*0.2146 -5 &gt; Table3[[#This Row],[Scoring Margin]], 1, 0)</f>
        <v>1</v>
      </c>
      <c r="AG459" s="5">
        <f>IF(Table3[[#This Row],[Efficiency Difference]]*0.2146 -10 &gt; Table3[[#This Row],[Scoring Margin]], 1, 0)</f>
        <v>1</v>
      </c>
    </row>
    <row r="460" spans="2:33">
      <c r="B460" s="5">
        <v>115.91</v>
      </c>
      <c r="C460" s="5">
        <v>23</v>
      </c>
      <c r="X460" s="5">
        <v>115.91</v>
      </c>
      <c r="Y460" s="5">
        <v>23</v>
      </c>
      <c r="Z460" s="5">
        <f>IF(Table3[[#This Row],[Efficiency Difference]]*0.2146 &gt; Table3[[#This Row],[Scoring Margin]], 1, 0)</f>
        <v>1</v>
      </c>
      <c r="AA460" s="5">
        <f>IF(Table3[[#This Row],[Efficiency Difference]]*0.2146 + 7 &gt; Table3[[#This Row],[Scoring Margin]], 1, 0)</f>
        <v>1</v>
      </c>
      <c r="AB460" s="5">
        <f>IF(Table3[[#This Row],[Efficiency Difference]]*0.2146 + 14 &gt; Table3[[#This Row],[Scoring Margin]], 1, 0)</f>
        <v>1</v>
      </c>
      <c r="AC460" s="5">
        <f>IF(Table3[[#This Row],[Efficiency Difference]]*0.2146 + 21 &gt; Table3[[#This Row],[Scoring Margin]], 1, 0)</f>
        <v>1</v>
      </c>
      <c r="AD460" s="5">
        <f>IF(Table3[[#This Row],[Efficiency Difference]]*0.2146 -7 &gt; Table3[[#This Row],[Scoring Margin]], 1, 0)</f>
        <v>0</v>
      </c>
      <c r="AE460" s="5">
        <f>IF(Table3[[#This Row],[Efficiency Difference]]*0.2146 -3 &gt; Table3[[#This Row],[Scoring Margin]], 1, 0)</f>
        <v>0</v>
      </c>
      <c r="AF460" s="5">
        <f>IF(Table3[[#This Row],[Efficiency Difference]]*0.2146 -5 &gt; Table3[[#This Row],[Scoring Margin]], 1, 0)</f>
        <v>0</v>
      </c>
      <c r="AG460" s="5">
        <f>IF(Table3[[#This Row],[Efficiency Difference]]*0.2146 -10 &gt; Table3[[#This Row],[Scoring Margin]], 1, 0)</f>
        <v>0</v>
      </c>
    </row>
    <row r="461" spans="2:33">
      <c r="B461" s="5">
        <v>102.05999999999999</v>
      </c>
      <c r="C461" s="5">
        <v>16</v>
      </c>
      <c r="X461" s="5">
        <v>102.05999999999999</v>
      </c>
      <c r="Y461" s="5">
        <v>16</v>
      </c>
      <c r="Z461" s="5">
        <f>IF(Table3[[#This Row],[Efficiency Difference]]*0.2146 &gt; Table3[[#This Row],[Scoring Margin]], 1, 0)</f>
        <v>1</v>
      </c>
      <c r="AA461" s="5">
        <f>IF(Table3[[#This Row],[Efficiency Difference]]*0.2146 + 7 &gt; Table3[[#This Row],[Scoring Margin]], 1, 0)</f>
        <v>1</v>
      </c>
      <c r="AB461" s="5">
        <f>IF(Table3[[#This Row],[Efficiency Difference]]*0.2146 + 14 &gt; Table3[[#This Row],[Scoring Margin]], 1, 0)</f>
        <v>1</v>
      </c>
      <c r="AC461" s="5">
        <f>IF(Table3[[#This Row],[Efficiency Difference]]*0.2146 + 21 &gt; Table3[[#This Row],[Scoring Margin]], 1, 0)</f>
        <v>1</v>
      </c>
      <c r="AD461" s="5">
        <f>IF(Table3[[#This Row],[Efficiency Difference]]*0.2146 -7 &gt; Table3[[#This Row],[Scoring Margin]], 1, 0)</f>
        <v>0</v>
      </c>
      <c r="AE461" s="5">
        <f>IF(Table3[[#This Row],[Efficiency Difference]]*0.2146 -3 &gt; Table3[[#This Row],[Scoring Margin]], 1, 0)</f>
        <v>1</v>
      </c>
      <c r="AF461" s="5">
        <f>IF(Table3[[#This Row],[Efficiency Difference]]*0.2146 -5 &gt; Table3[[#This Row],[Scoring Margin]], 1, 0)</f>
        <v>1</v>
      </c>
      <c r="AG461" s="5">
        <f>IF(Table3[[#This Row],[Efficiency Difference]]*0.2146 -10 &gt; Table3[[#This Row],[Scoring Margin]], 1, 0)</f>
        <v>0</v>
      </c>
    </row>
    <row r="462" spans="2:33">
      <c r="B462" s="5">
        <v>53.19</v>
      </c>
      <c r="C462" s="5">
        <v>4</v>
      </c>
      <c r="X462" s="5">
        <v>53.19</v>
      </c>
      <c r="Y462" s="5">
        <v>4</v>
      </c>
      <c r="Z462" s="5">
        <f>IF(Table3[[#This Row],[Efficiency Difference]]*0.2146 &gt; Table3[[#This Row],[Scoring Margin]], 1, 0)</f>
        <v>1</v>
      </c>
      <c r="AA462" s="5">
        <f>IF(Table3[[#This Row],[Efficiency Difference]]*0.2146 + 7 &gt; Table3[[#This Row],[Scoring Margin]], 1, 0)</f>
        <v>1</v>
      </c>
      <c r="AB462" s="5">
        <f>IF(Table3[[#This Row],[Efficiency Difference]]*0.2146 + 14 &gt; Table3[[#This Row],[Scoring Margin]], 1, 0)</f>
        <v>1</v>
      </c>
      <c r="AC462" s="5">
        <f>IF(Table3[[#This Row],[Efficiency Difference]]*0.2146 + 21 &gt; Table3[[#This Row],[Scoring Margin]], 1, 0)</f>
        <v>1</v>
      </c>
      <c r="AD462" s="5">
        <f>IF(Table3[[#This Row],[Efficiency Difference]]*0.2146 -7 &gt; Table3[[#This Row],[Scoring Margin]], 1, 0)</f>
        <v>1</v>
      </c>
      <c r="AE462" s="5">
        <f>IF(Table3[[#This Row],[Efficiency Difference]]*0.2146 -3 &gt; Table3[[#This Row],[Scoring Margin]], 1, 0)</f>
        <v>1</v>
      </c>
      <c r="AF462" s="5">
        <f>IF(Table3[[#This Row],[Efficiency Difference]]*0.2146 -5 &gt; Table3[[#This Row],[Scoring Margin]], 1, 0)</f>
        <v>1</v>
      </c>
      <c r="AG462" s="5">
        <f>IF(Table3[[#This Row],[Efficiency Difference]]*0.2146 -10 &gt; Table3[[#This Row],[Scoring Margin]], 1, 0)</f>
        <v>0</v>
      </c>
    </row>
    <row r="463" spans="2:33">
      <c r="B463" s="5">
        <v>96.850000000000023</v>
      </c>
      <c r="C463" s="5">
        <v>28</v>
      </c>
      <c r="X463" s="5">
        <v>96.850000000000023</v>
      </c>
      <c r="Y463" s="5">
        <v>28</v>
      </c>
      <c r="Z463" s="5">
        <f>IF(Table3[[#This Row],[Efficiency Difference]]*0.2146 &gt; Table3[[#This Row],[Scoring Margin]], 1, 0)</f>
        <v>0</v>
      </c>
      <c r="AA463" s="5">
        <f>IF(Table3[[#This Row],[Efficiency Difference]]*0.2146 + 7 &gt; Table3[[#This Row],[Scoring Margin]], 1, 0)</f>
        <v>0</v>
      </c>
      <c r="AB463" s="5">
        <f>IF(Table3[[#This Row],[Efficiency Difference]]*0.2146 + 14 &gt; Table3[[#This Row],[Scoring Margin]], 1, 0)</f>
        <v>1</v>
      </c>
      <c r="AC463" s="5">
        <f>IF(Table3[[#This Row],[Efficiency Difference]]*0.2146 + 21 &gt; Table3[[#This Row],[Scoring Margin]], 1, 0)</f>
        <v>1</v>
      </c>
      <c r="AD463" s="5">
        <f>IF(Table3[[#This Row],[Efficiency Difference]]*0.2146 -7 &gt; Table3[[#This Row],[Scoring Margin]], 1, 0)</f>
        <v>0</v>
      </c>
      <c r="AE463" s="5">
        <f>IF(Table3[[#This Row],[Efficiency Difference]]*0.2146 -3 &gt; Table3[[#This Row],[Scoring Margin]], 1, 0)</f>
        <v>0</v>
      </c>
      <c r="AF463" s="5">
        <f>IF(Table3[[#This Row],[Efficiency Difference]]*0.2146 -5 &gt; Table3[[#This Row],[Scoring Margin]], 1, 0)</f>
        <v>0</v>
      </c>
      <c r="AG463" s="5">
        <f>IF(Table3[[#This Row],[Efficiency Difference]]*0.2146 -10 &gt; Table3[[#This Row],[Scoring Margin]], 1, 0)</f>
        <v>0</v>
      </c>
    </row>
    <row r="464" spans="2:33">
      <c r="B464" s="5">
        <v>46.799999999999983</v>
      </c>
      <c r="C464" s="5">
        <v>6</v>
      </c>
      <c r="X464" s="5">
        <v>46.799999999999983</v>
      </c>
      <c r="Y464" s="5">
        <v>6</v>
      </c>
      <c r="Z464" s="5">
        <f>IF(Table3[[#This Row],[Efficiency Difference]]*0.2146 &gt; Table3[[#This Row],[Scoring Margin]], 1, 0)</f>
        <v>1</v>
      </c>
      <c r="AA464" s="5">
        <f>IF(Table3[[#This Row],[Efficiency Difference]]*0.2146 + 7 &gt; Table3[[#This Row],[Scoring Margin]], 1, 0)</f>
        <v>1</v>
      </c>
      <c r="AB464" s="5">
        <f>IF(Table3[[#This Row],[Efficiency Difference]]*0.2146 + 14 &gt; Table3[[#This Row],[Scoring Margin]], 1, 0)</f>
        <v>1</v>
      </c>
      <c r="AC464" s="5">
        <f>IF(Table3[[#This Row],[Efficiency Difference]]*0.2146 + 21 &gt; Table3[[#This Row],[Scoring Margin]], 1, 0)</f>
        <v>1</v>
      </c>
      <c r="AD464" s="5">
        <f>IF(Table3[[#This Row],[Efficiency Difference]]*0.2146 -7 &gt; Table3[[#This Row],[Scoring Margin]], 1, 0)</f>
        <v>0</v>
      </c>
      <c r="AE464" s="5">
        <f>IF(Table3[[#This Row],[Efficiency Difference]]*0.2146 -3 &gt; Table3[[#This Row],[Scoring Margin]], 1, 0)</f>
        <v>1</v>
      </c>
      <c r="AF464" s="5">
        <f>IF(Table3[[#This Row],[Efficiency Difference]]*0.2146 -5 &gt; Table3[[#This Row],[Scoring Margin]], 1, 0)</f>
        <v>0</v>
      </c>
      <c r="AG464" s="5">
        <f>IF(Table3[[#This Row],[Efficiency Difference]]*0.2146 -10 &gt; Table3[[#This Row],[Scoring Margin]], 1, 0)</f>
        <v>0</v>
      </c>
    </row>
    <row r="465" spans="2:33">
      <c r="B465" s="5">
        <v>88.400000000000034</v>
      </c>
      <c r="C465" s="5">
        <v>10</v>
      </c>
      <c r="X465" s="5">
        <v>88.400000000000034</v>
      </c>
      <c r="Y465" s="5">
        <v>10</v>
      </c>
      <c r="Z465" s="5">
        <f>IF(Table3[[#This Row],[Efficiency Difference]]*0.2146 &gt; Table3[[#This Row],[Scoring Margin]], 1, 0)</f>
        <v>1</v>
      </c>
      <c r="AA465" s="5">
        <f>IF(Table3[[#This Row],[Efficiency Difference]]*0.2146 + 7 &gt; Table3[[#This Row],[Scoring Margin]], 1, 0)</f>
        <v>1</v>
      </c>
      <c r="AB465" s="5">
        <f>IF(Table3[[#This Row],[Efficiency Difference]]*0.2146 + 14 &gt; Table3[[#This Row],[Scoring Margin]], 1, 0)</f>
        <v>1</v>
      </c>
      <c r="AC465" s="5">
        <f>IF(Table3[[#This Row],[Efficiency Difference]]*0.2146 + 21 &gt; Table3[[#This Row],[Scoring Margin]], 1, 0)</f>
        <v>1</v>
      </c>
      <c r="AD465" s="5">
        <f>IF(Table3[[#This Row],[Efficiency Difference]]*0.2146 -7 &gt; Table3[[#This Row],[Scoring Margin]], 1, 0)</f>
        <v>1</v>
      </c>
      <c r="AE465" s="5">
        <f>IF(Table3[[#This Row],[Efficiency Difference]]*0.2146 -3 &gt; Table3[[#This Row],[Scoring Margin]], 1, 0)</f>
        <v>1</v>
      </c>
      <c r="AF465" s="5">
        <f>IF(Table3[[#This Row],[Efficiency Difference]]*0.2146 -5 &gt; Table3[[#This Row],[Scoring Margin]], 1, 0)</f>
        <v>1</v>
      </c>
      <c r="AG465" s="5">
        <f>IF(Table3[[#This Row],[Efficiency Difference]]*0.2146 -10 &gt; Table3[[#This Row],[Scoring Margin]], 1, 0)</f>
        <v>0</v>
      </c>
    </row>
    <row r="466" spans="2:33">
      <c r="B466" s="5">
        <v>4.6799999999999784</v>
      </c>
      <c r="C466" s="5">
        <v>5</v>
      </c>
      <c r="X466" s="5">
        <v>4.6799999999999784</v>
      </c>
      <c r="Y466" s="5">
        <v>5</v>
      </c>
      <c r="Z466" s="5">
        <f>IF(Table3[[#This Row],[Efficiency Difference]]*0.2146 &gt; Table3[[#This Row],[Scoring Margin]], 1, 0)</f>
        <v>0</v>
      </c>
      <c r="AA466" s="5">
        <f>IF(Table3[[#This Row],[Efficiency Difference]]*0.2146 + 7 &gt; Table3[[#This Row],[Scoring Margin]], 1, 0)</f>
        <v>1</v>
      </c>
      <c r="AB466" s="5">
        <f>IF(Table3[[#This Row],[Efficiency Difference]]*0.2146 + 14 &gt; Table3[[#This Row],[Scoring Margin]], 1, 0)</f>
        <v>1</v>
      </c>
      <c r="AC466" s="5">
        <f>IF(Table3[[#This Row],[Efficiency Difference]]*0.2146 + 21 &gt; Table3[[#This Row],[Scoring Margin]], 1, 0)</f>
        <v>1</v>
      </c>
      <c r="AD466" s="5">
        <f>IF(Table3[[#This Row],[Efficiency Difference]]*0.2146 -7 &gt; Table3[[#This Row],[Scoring Margin]], 1, 0)</f>
        <v>0</v>
      </c>
      <c r="AE466" s="5">
        <f>IF(Table3[[#This Row],[Efficiency Difference]]*0.2146 -3 &gt; Table3[[#This Row],[Scoring Margin]], 1, 0)</f>
        <v>0</v>
      </c>
      <c r="AF466" s="5">
        <f>IF(Table3[[#This Row],[Efficiency Difference]]*0.2146 -5 &gt; Table3[[#This Row],[Scoring Margin]], 1, 0)</f>
        <v>0</v>
      </c>
      <c r="AG466" s="5">
        <f>IF(Table3[[#This Row],[Efficiency Difference]]*0.2146 -10 &gt; Table3[[#This Row],[Scoring Margin]], 1, 0)</f>
        <v>0</v>
      </c>
    </row>
    <row r="467" spans="2:33">
      <c r="B467" s="5">
        <v>54.499999999999972</v>
      </c>
      <c r="C467" s="5">
        <v>10</v>
      </c>
      <c r="X467" s="5">
        <v>54.499999999999972</v>
      </c>
      <c r="Y467" s="5">
        <v>10</v>
      </c>
      <c r="Z467" s="5">
        <f>IF(Table3[[#This Row],[Efficiency Difference]]*0.2146 &gt; Table3[[#This Row],[Scoring Margin]], 1, 0)</f>
        <v>1</v>
      </c>
      <c r="AA467" s="5">
        <f>IF(Table3[[#This Row],[Efficiency Difference]]*0.2146 + 7 &gt; Table3[[#This Row],[Scoring Margin]], 1, 0)</f>
        <v>1</v>
      </c>
      <c r="AB467" s="5">
        <f>IF(Table3[[#This Row],[Efficiency Difference]]*0.2146 + 14 &gt; Table3[[#This Row],[Scoring Margin]], 1, 0)</f>
        <v>1</v>
      </c>
      <c r="AC467" s="5">
        <f>IF(Table3[[#This Row],[Efficiency Difference]]*0.2146 + 21 &gt; Table3[[#This Row],[Scoring Margin]], 1, 0)</f>
        <v>1</v>
      </c>
      <c r="AD467" s="5">
        <f>IF(Table3[[#This Row],[Efficiency Difference]]*0.2146 -7 &gt; Table3[[#This Row],[Scoring Margin]], 1, 0)</f>
        <v>0</v>
      </c>
      <c r="AE467" s="5">
        <f>IF(Table3[[#This Row],[Efficiency Difference]]*0.2146 -3 &gt; Table3[[#This Row],[Scoring Margin]], 1, 0)</f>
        <v>0</v>
      </c>
      <c r="AF467" s="5">
        <f>IF(Table3[[#This Row],[Efficiency Difference]]*0.2146 -5 &gt; Table3[[#This Row],[Scoring Margin]], 1, 0)</f>
        <v>0</v>
      </c>
      <c r="AG467" s="5">
        <f>IF(Table3[[#This Row],[Efficiency Difference]]*0.2146 -10 &gt; Table3[[#This Row],[Scoring Margin]], 1, 0)</f>
        <v>0</v>
      </c>
    </row>
    <row r="468" spans="2:33">
      <c r="B468" s="5">
        <v>82.610000000000014</v>
      </c>
      <c r="C468" s="5">
        <v>19</v>
      </c>
      <c r="X468" s="5">
        <v>82.610000000000014</v>
      </c>
      <c r="Y468" s="5">
        <v>19</v>
      </c>
      <c r="Z468" s="5">
        <f>IF(Table3[[#This Row],[Efficiency Difference]]*0.2146 &gt; Table3[[#This Row],[Scoring Margin]], 1, 0)</f>
        <v>0</v>
      </c>
      <c r="AA468" s="5">
        <f>IF(Table3[[#This Row],[Efficiency Difference]]*0.2146 + 7 &gt; Table3[[#This Row],[Scoring Margin]], 1, 0)</f>
        <v>1</v>
      </c>
      <c r="AB468" s="5">
        <f>IF(Table3[[#This Row],[Efficiency Difference]]*0.2146 + 14 &gt; Table3[[#This Row],[Scoring Margin]], 1, 0)</f>
        <v>1</v>
      </c>
      <c r="AC468" s="5">
        <f>IF(Table3[[#This Row],[Efficiency Difference]]*0.2146 + 21 &gt; Table3[[#This Row],[Scoring Margin]], 1, 0)</f>
        <v>1</v>
      </c>
      <c r="AD468" s="5">
        <f>IF(Table3[[#This Row],[Efficiency Difference]]*0.2146 -7 &gt; Table3[[#This Row],[Scoring Margin]], 1, 0)</f>
        <v>0</v>
      </c>
      <c r="AE468" s="5">
        <f>IF(Table3[[#This Row],[Efficiency Difference]]*0.2146 -3 &gt; Table3[[#This Row],[Scoring Margin]], 1, 0)</f>
        <v>0</v>
      </c>
      <c r="AF468" s="5">
        <f>IF(Table3[[#This Row],[Efficiency Difference]]*0.2146 -5 &gt; Table3[[#This Row],[Scoring Margin]], 1, 0)</f>
        <v>0</v>
      </c>
      <c r="AG468" s="5">
        <f>IF(Table3[[#This Row],[Efficiency Difference]]*0.2146 -10 &gt; Table3[[#This Row],[Scoring Margin]], 1, 0)</f>
        <v>0</v>
      </c>
    </row>
    <row r="469" spans="2:33">
      <c r="B469" s="5">
        <v>18.659999999999997</v>
      </c>
      <c r="C469" s="5">
        <v>4</v>
      </c>
      <c r="X469" s="5">
        <v>18.659999999999997</v>
      </c>
      <c r="Y469" s="5">
        <v>4</v>
      </c>
      <c r="Z469" s="5">
        <f>IF(Table3[[#This Row],[Efficiency Difference]]*0.2146 &gt; Table3[[#This Row],[Scoring Margin]], 1, 0)</f>
        <v>1</v>
      </c>
      <c r="AA469" s="5">
        <f>IF(Table3[[#This Row],[Efficiency Difference]]*0.2146 + 7 &gt; Table3[[#This Row],[Scoring Margin]], 1, 0)</f>
        <v>1</v>
      </c>
      <c r="AB469" s="5">
        <f>IF(Table3[[#This Row],[Efficiency Difference]]*0.2146 + 14 &gt; Table3[[#This Row],[Scoring Margin]], 1, 0)</f>
        <v>1</v>
      </c>
      <c r="AC469" s="5">
        <f>IF(Table3[[#This Row],[Efficiency Difference]]*0.2146 + 21 &gt; Table3[[#This Row],[Scoring Margin]], 1, 0)</f>
        <v>1</v>
      </c>
      <c r="AD469" s="5">
        <f>IF(Table3[[#This Row],[Efficiency Difference]]*0.2146 -7 &gt; Table3[[#This Row],[Scoring Margin]], 1, 0)</f>
        <v>0</v>
      </c>
      <c r="AE469" s="5">
        <f>IF(Table3[[#This Row],[Efficiency Difference]]*0.2146 -3 &gt; Table3[[#This Row],[Scoring Margin]], 1, 0)</f>
        <v>0</v>
      </c>
      <c r="AF469" s="5">
        <f>IF(Table3[[#This Row],[Efficiency Difference]]*0.2146 -5 &gt; Table3[[#This Row],[Scoring Margin]], 1, 0)</f>
        <v>0</v>
      </c>
      <c r="AG469" s="5">
        <f>IF(Table3[[#This Row],[Efficiency Difference]]*0.2146 -10 &gt; Table3[[#This Row],[Scoring Margin]], 1, 0)</f>
        <v>0</v>
      </c>
    </row>
    <row r="470" spans="2:33">
      <c r="B470" s="5">
        <v>46.430000000000007</v>
      </c>
      <c r="C470" s="5">
        <v>3</v>
      </c>
      <c r="X470" s="5">
        <v>46.430000000000007</v>
      </c>
      <c r="Y470" s="5">
        <v>3</v>
      </c>
      <c r="Z470" s="5">
        <f>IF(Table3[[#This Row],[Efficiency Difference]]*0.2146 &gt; Table3[[#This Row],[Scoring Margin]], 1, 0)</f>
        <v>1</v>
      </c>
      <c r="AA470" s="5">
        <f>IF(Table3[[#This Row],[Efficiency Difference]]*0.2146 + 7 &gt; Table3[[#This Row],[Scoring Margin]], 1, 0)</f>
        <v>1</v>
      </c>
      <c r="AB470" s="5">
        <f>IF(Table3[[#This Row],[Efficiency Difference]]*0.2146 + 14 &gt; Table3[[#This Row],[Scoring Margin]], 1, 0)</f>
        <v>1</v>
      </c>
      <c r="AC470" s="5">
        <f>IF(Table3[[#This Row],[Efficiency Difference]]*0.2146 + 21 &gt; Table3[[#This Row],[Scoring Margin]], 1, 0)</f>
        <v>1</v>
      </c>
      <c r="AD470" s="5">
        <f>IF(Table3[[#This Row],[Efficiency Difference]]*0.2146 -7 &gt; Table3[[#This Row],[Scoring Margin]], 1, 0)</f>
        <v>0</v>
      </c>
      <c r="AE470" s="5">
        <f>IF(Table3[[#This Row],[Efficiency Difference]]*0.2146 -3 &gt; Table3[[#This Row],[Scoring Margin]], 1, 0)</f>
        <v>1</v>
      </c>
      <c r="AF470" s="5">
        <f>IF(Table3[[#This Row],[Efficiency Difference]]*0.2146 -5 &gt; Table3[[#This Row],[Scoring Margin]], 1, 0)</f>
        <v>1</v>
      </c>
      <c r="AG470" s="5">
        <f>IF(Table3[[#This Row],[Efficiency Difference]]*0.2146 -10 &gt; Table3[[#This Row],[Scoring Margin]], 1, 0)</f>
        <v>0</v>
      </c>
    </row>
    <row r="471" spans="2:33">
      <c r="B471" s="5">
        <v>35.659999999999997</v>
      </c>
      <c r="C471" s="5">
        <v>27</v>
      </c>
      <c r="X471" s="5">
        <v>35.659999999999997</v>
      </c>
      <c r="Y471" s="5">
        <v>27</v>
      </c>
      <c r="Z471" s="5">
        <f>IF(Table3[[#This Row],[Efficiency Difference]]*0.2146 &gt; Table3[[#This Row],[Scoring Margin]], 1, 0)</f>
        <v>0</v>
      </c>
      <c r="AA471" s="5">
        <f>IF(Table3[[#This Row],[Efficiency Difference]]*0.2146 + 7 &gt; Table3[[#This Row],[Scoring Margin]], 1, 0)</f>
        <v>0</v>
      </c>
      <c r="AB471" s="5">
        <f>IF(Table3[[#This Row],[Efficiency Difference]]*0.2146 + 14 &gt; Table3[[#This Row],[Scoring Margin]], 1, 0)</f>
        <v>0</v>
      </c>
      <c r="AC471" s="5">
        <f>IF(Table3[[#This Row],[Efficiency Difference]]*0.2146 + 21 &gt; Table3[[#This Row],[Scoring Margin]], 1, 0)</f>
        <v>1</v>
      </c>
      <c r="AD471" s="5">
        <f>IF(Table3[[#This Row],[Efficiency Difference]]*0.2146 -7 &gt; Table3[[#This Row],[Scoring Margin]], 1, 0)</f>
        <v>0</v>
      </c>
      <c r="AE471" s="5">
        <f>IF(Table3[[#This Row],[Efficiency Difference]]*0.2146 -3 &gt; Table3[[#This Row],[Scoring Margin]], 1, 0)</f>
        <v>0</v>
      </c>
      <c r="AF471" s="5">
        <f>IF(Table3[[#This Row],[Efficiency Difference]]*0.2146 -5 &gt; Table3[[#This Row],[Scoring Margin]], 1, 0)</f>
        <v>0</v>
      </c>
      <c r="AG471" s="5">
        <f>IF(Table3[[#This Row],[Efficiency Difference]]*0.2146 -10 &gt; Table3[[#This Row],[Scoring Margin]], 1, 0)</f>
        <v>0</v>
      </c>
    </row>
    <row r="472" spans="2:33">
      <c r="B472" s="5">
        <v>19.999999999999986</v>
      </c>
      <c r="C472" s="5">
        <v>24</v>
      </c>
      <c r="X472" s="5">
        <v>19.999999999999986</v>
      </c>
      <c r="Y472" s="5">
        <v>24</v>
      </c>
      <c r="Z472" s="5">
        <f>IF(Table3[[#This Row],[Efficiency Difference]]*0.2146 &gt; Table3[[#This Row],[Scoring Margin]], 1, 0)</f>
        <v>0</v>
      </c>
      <c r="AA472" s="5">
        <f>IF(Table3[[#This Row],[Efficiency Difference]]*0.2146 + 7 &gt; Table3[[#This Row],[Scoring Margin]], 1, 0)</f>
        <v>0</v>
      </c>
      <c r="AB472" s="5">
        <f>IF(Table3[[#This Row],[Efficiency Difference]]*0.2146 + 14 &gt; Table3[[#This Row],[Scoring Margin]], 1, 0)</f>
        <v>0</v>
      </c>
      <c r="AC472" s="5">
        <f>IF(Table3[[#This Row],[Efficiency Difference]]*0.2146 + 21 &gt; Table3[[#This Row],[Scoring Margin]], 1, 0)</f>
        <v>1</v>
      </c>
      <c r="AD472" s="5">
        <f>IF(Table3[[#This Row],[Efficiency Difference]]*0.2146 -7 &gt; Table3[[#This Row],[Scoring Margin]], 1, 0)</f>
        <v>0</v>
      </c>
      <c r="AE472" s="5">
        <f>IF(Table3[[#This Row],[Efficiency Difference]]*0.2146 -3 &gt; Table3[[#This Row],[Scoring Margin]], 1, 0)</f>
        <v>0</v>
      </c>
      <c r="AF472" s="5">
        <f>IF(Table3[[#This Row],[Efficiency Difference]]*0.2146 -5 &gt; Table3[[#This Row],[Scoring Margin]], 1, 0)</f>
        <v>0</v>
      </c>
      <c r="AG472" s="5">
        <f>IF(Table3[[#This Row],[Efficiency Difference]]*0.2146 -10 &gt; Table3[[#This Row],[Scoring Margin]], 1, 0)</f>
        <v>0</v>
      </c>
    </row>
    <row r="473" spans="2:33">
      <c r="B473" s="5">
        <v>91.010000000000019</v>
      </c>
      <c r="C473" s="5">
        <v>12</v>
      </c>
      <c r="X473" s="5">
        <v>91.010000000000019</v>
      </c>
      <c r="Y473" s="5">
        <v>12</v>
      </c>
      <c r="Z473" s="5">
        <f>IF(Table3[[#This Row],[Efficiency Difference]]*0.2146 &gt; Table3[[#This Row],[Scoring Margin]], 1, 0)</f>
        <v>1</v>
      </c>
      <c r="AA473" s="5">
        <f>IF(Table3[[#This Row],[Efficiency Difference]]*0.2146 + 7 &gt; Table3[[#This Row],[Scoring Margin]], 1, 0)</f>
        <v>1</v>
      </c>
      <c r="AB473" s="5">
        <f>IF(Table3[[#This Row],[Efficiency Difference]]*0.2146 + 14 &gt; Table3[[#This Row],[Scoring Margin]], 1, 0)</f>
        <v>1</v>
      </c>
      <c r="AC473" s="5">
        <f>IF(Table3[[#This Row],[Efficiency Difference]]*0.2146 + 21 &gt; Table3[[#This Row],[Scoring Margin]], 1, 0)</f>
        <v>1</v>
      </c>
      <c r="AD473" s="5">
        <f>IF(Table3[[#This Row],[Efficiency Difference]]*0.2146 -7 &gt; Table3[[#This Row],[Scoring Margin]], 1, 0)</f>
        <v>1</v>
      </c>
      <c r="AE473" s="5">
        <f>IF(Table3[[#This Row],[Efficiency Difference]]*0.2146 -3 &gt; Table3[[#This Row],[Scoring Margin]], 1, 0)</f>
        <v>1</v>
      </c>
      <c r="AF473" s="5">
        <f>IF(Table3[[#This Row],[Efficiency Difference]]*0.2146 -5 &gt; Table3[[#This Row],[Scoring Margin]], 1, 0)</f>
        <v>1</v>
      </c>
      <c r="AG473" s="5">
        <f>IF(Table3[[#This Row],[Efficiency Difference]]*0.2146 -10 &gt; Table3[[#This Row],[Scoring Margin]], 1, 0)</f>
        <v>0</v>
      </c>
    </row>
    <row r="474" spans="2:33">
      <c r="B474" s="5">
        <v>5.4999999999999716</v>
      </c>
      <c r="C474" s="5">
        <v>3</v>
      </c>
      <c r="X474" s="5">
        <v>5.4999999999999716</v>
      </c>
      <c r="Y474" s="5">
        <v>3</v>
      </c>
      <c r="Z474" s="5">
        <f>IF(Table3[[#This Row],[Efficiency Difference]]*0.2146 &gt; Table3[[#This Row],[Scoring Margin]], 1, 0)</f>
        <v>0</v>
      </c>
      <c r="AA474" s="5">
        <f>IF(Table3[[#This Row],[Efficiency Difference]]*0.2146 + 7 &gt; Table3[[#This Row],[Scoring Margin]], 1, 0)</f>
        <v>1</v>
      </c>
      <c r="AB474" s="5">
        <f>IF(Table3[[#This Row],[Efficiency Difference]]*0.2146 + 14 &gt; Table3[[#This Row],[Scoring Margin]], 1, 0)</f>
        <v>1</v>
      </c>
      <c r="AC474" s="5">
        <f>IF(Table3[[#This Row],[Efficiency Difference]]*0.2146 + 21 &gt; Table3[[#This Row],[Scoring Margin]], 1, 0)</f>
        <v>1</v>
      </c>
      <c r="AD474" s="5">
        <f>IF(Table3[[#This Row],[Efficiency Difference]]*0.2146 -7 &gt; Table3[[#This Row],[Scoring Margin]], 1, 0)</f>
        <v>0</v>
      </c>
      <c r="AE474" s="5">
        <f>IF(Table3[[#This Row],[Efficiency Difference]]*0.2146 -3 &gt; Table3[[#This Row],[Scoring Margin]], 1, 0)</f>
        <v>0</v>
      </c>
      <c r="AF474" s="5">
        <f>IF(Table3[[#This Row],[Efficiency Difference]]*0.2146 -5 &gt; Table3[[#This Row],[Scoring Margin]], 1, 0)</f>
        <v>0</v>
      </c>
      <c r="AG474" s="5">
        <f>IF(Table3[[#This Row],[Efficiency Difference]]*0.2146 -10 &gt; Table3[[#This Row],[Scoring Margin]], 1, 0)</f>
        <v>0</v>
      </c>
    </row>
    <row r="475" spans="2:33">
      <c r="B475" s="5">
        <v>38.860000000000014</v>
      </c>
      <c r="C475" s="5">
        <v>2</v>
      </c>
      <c r="X475" s="5">
        <v>38.860000000000014</v>
      </c>
      <c r="Y475" s="5">
        <v>2</v>
      </c>
      <c r="Z475" s="5">
        <f>IF(Table3[[#This Row],[Efficiency Difference]]*0.2146 &gt; Table3[[#This Row],[Scoring Margin]], 1, 0)</f>
        <v>1</v>
      </c>
      <c r="AA475" s="5">
        <f>IF(Table3[[#This Row],[Efficiency Difference]]*0.2146 + 7 &gt; Table3[[#This Row],[Scoring Margin]], 1, 0)</f>
        <v>1</v>
      </c>
      <c r="AB475" s="5">
        <f>IF(Table3[[#This Row],[Efficiency Difference]]*0.2146 + 14 &gt; Table3[[#This Row],[Scoring Margin]], 1, 0)</f>
        <v>1</v>
      </c>
      <c r="AC475" s="5">
        <f>IF(Table3[[#This Row],[Efficiency Difference]]*0.2146 + 21 &gt; Table3[[#This Row],[Scoring Margin]], 1, 0)</f>
        <v>1</v>
      </c>
      <c r="AD475" s="5">
        <f>IF(Table3[[#This Row],[Efficiency Difference]]*0.2146 -7 &gt; Table3[[#This Row],[Scoring Margin]], 1, 0)</f>
        <v>0</v>
      </c>
      <c r="AE475" s="5">
        <f>IF(Table3[[#This Row],[Efficiency Difference]]*0.2146 -3 &gt; Table3[[#This Row],[Scoring Margin]], 1, 0)</f>
        <v>1</v>
      </c>
      <c r="AF475" s="5">
        <f>IF(Table3[[#This Row],[Efficiency Difference]]*0.2146 -5 &gt; Table3[[#This Row],[Scoring Margin]], 1, 0)</f>
        <v>1</v>
      </c>
      <c r="AG475" s="5">
        <f>IF(Table3[[#This Row],[Efficiency Difference]]*0.2146 -10 &gt; Table3[[#This Row],[Scoring Margin]], 1, 0)</f>
        <v>0</v>
      </c>
    </row>
    <row r="476" spans="2:33">
      <c r="B476" s="5">
        <v>135.22999999999999</v>
      </c>
      <c r="C476" s="5">
        <v>28</v>
      </c>
      <c r="X476" s="5">
        <v>135.22999999999999</v>
      </c>
      <c r="Y476" s="5">
        <v>28</v>
      </c>
      <c r="Z476" s="5">
        <f>IF(Table3[[#This Row],[Efficiency Difference]]*0.2146 &gt; Table3[[#This Row],[Scoring Margin]], 1, 0)</f>
        <v>1</v>
      </c>
      <c r="AA476" s="5">
        <f>IF(Table3[[#This Row],[Efficiency Difference]]*0.2146 + 7 &gt; Table3[[#This Row],[Scoring Margin]], 1, 0)</f>
        <v>1</v>
      </c>
      <c r="AB476" s="5">
        <f>IF(Table3[[#This Row],[Efficiency Difference]]*0.2146 + 14 &gt; Table3[[#This Row],[Scoring Margin]], 1, 0)</f>
        <v>1</v>
      </c>
      <c r="AC476" s="5">
        <f>IF(Table3[[#This Row],[Efficiency Difference]]*0.2146 + 21 &gt; Table3[[#This Row],[Scoring Margin]], 1, 0)</f>
        <v>1</v>
      </c>
      <c r="AD476" s="5">
        <f>IF(Table3[[#This Row],[Efficiency Difference]]*0.2146 -7 &gt; Table3[[#This Row],[Scoring Margin]], 1, 0)</f>
        <v>0</v>
      </c>
      <c r="AE476" s="5">
        <f>IF(Table3[[#This Row],[Efficiency Difference]]*0.2146 -3 &gt; Table3[[#This Row],[Scoring Margin]], 1, 0)</f>
        <v>0</v>
      </c>
      <c r="AF476" s="5">
        <f>IF(Table3[[#This Row],[Efficiency Difference]]*0.2146 -5 &gt; Table3[[#This Row],[Scoring Margin]], 1, 0)</f>
        <v>0</v>
      </c>
      <c r="AG476" s="5">
        <f>IF(Table3[[#This Row],[Efficiency Difference]]*0.2146 -10 &gt; Table3[[#This Row],[Scoring Margin]], 1, 0)</f>
        <v>0</v>
      </c>
    </row>
    <row r="477" spans="2:33">
      <c r="B477" s="5">
        <v>111.87</v>
      </c>
      <c r="C477" s="5">
        <v>28</v>
      </c>
      <c r="X477" s="5">
        <v>111.87</v>
      </c>
      <c r="Y477" s="5">
        <v>28</v>
      </c>
      <c r="Z477" s="5">
        <f>IF(Table3[[#This Row],[Efficiency Difference]]*0.2146 &gt; Table3[[#This Row],[Scoring Margin]], 1, 0)</f>
        <v>0</v>
      </c>
      <c r="AA477" s="5">
        <f>IF(Table3[[#This Row],[Efficiency Difference]]*0.2146 + 7 &gt; Table3[[#This Row],[Scoring Margin]], 1, 0)</f>
        <v>1</v>
      </c>
      <c r="AB477" s="5">
        <f>IF(Table3[[#This Row],[Efficiency Difference]]*0.2146 + 14 &gt; Table3[[#This Row],[Scoring Margin]], 1, 0)</f>
        <v>1</v>
      </c>
      <c r="AC477" s="5">
        <f>IF(Table3[[#This Row],[Efficiency Difference]]*0.2146 + 21 &gt; Table3[[#This Row],[Scoring Margin]], 1, 0)</f>
        <v>1</v>
      </c>
      <c r="AD477" s="5">
        <f>IF(Table3[[#This Row],[Efficiency Difference]]*0.2146 -7 &gt; Table3[[#This Row],[Scoring Margin]], 1, 0)</f>
        <v>0</v>
      </c>
      <c r="AE477" s="5">
        <f>IF(Table3[[#This Row],[Efficiency Difference]]*0.2146 -3 &gt; Table3[[#This Row],[Scoring Margin]], 1, 0)</f>
        <v>0</v>
      </c>
      <c r="AF477" s="5">
        <f>IF(Table3[[#This Row],[Efficiency Difference]]*0.2146 -5 &gt; Table3[[#This Row],[Scoring Margin]], 1, 0)</f>
        <v>0</v>
      </c>
      <c r="AG477" s="5">
        <f>IF(Table3[[#This Row],[Efficiency Difference]]*0.2146 -10 &gt; Table3[[#This Row],[Scoring Margin]], 1, 0)</f>
        <v>0</v>
      </c>
    </row>
    <row r="478" spans="2:33">
      <c r="B478" s="5">
        <v>4.6799999999999784</v>
      </c>
      <c r="C478" s="5">
        <v>5</v>
      </c>
      <c r="X478" s="5">
        <v>4.6799999999999784</v>
      </c>
      <c r="Y478" s="5">
        <v>5</v>
      </c>
      <c r="Z478" s="5">
        <f>IF(Table3[[#This Row],[Efficiency Difference]]*0.2146 &gt; Table3[[#This Row],[Scoring Margin]], 1, 0)</f>
        <v>0</v>
      </c>
      <c r="AA478" s="5">
        <f>IF(Table3[[#This Row],[Efficiency Difference]]*0.2146 + 7 &gt; Table3[[#This Row],[Scoring Margin]], 1, 0)</f>
        <v>1</v>
      </c>
      <c r="AB478" s="5">
        <f>IF(Table3[[#This Row],[Efficiency Difference]]*0.2146 + 14 &gt; Table3[[#This Row],[Scoring Margin]], 1, 0)</f>
        <v>1</v>
      </c>
      <c r="AC478" s="5">
        <f>IF(Table3[[#This Row],[Efficiency Difference]]*0.2146 + 21 &gt; Table3[[#This Row],[Scoring Margin]], 1, 0)</f>
        <v>1</v>
      </c>
      <c r="AD478" s="5">
        <f>IF(Table3[[#This Row],[Efficiency Difference]]*0.2146 -7 &gt; Table3[[#This Row],[Scoring Margin]], 1, 0)</f>
        <v>0</v>
      </c>
      <c r="AE478" s="5">
        <f>IF(Table3[[#This Row],[Efficiency Difference]]*0.2146 -3 &gt; Table3[[#This Row],[Scoring Margin]], 1, 0)</f>
        <v>0</v>
      </c>
      <c r="AF478" s="5">
        <f>IF(Table3[[#This Row],[Efficiency Difference]]*0.2146 -5 &gt; Table3[[#This Row],[Scoring Margin]], 1, 0)</f>
        <v>0</v>
      </c>
      <c r="AG478" s="5">
        <f>IF(Table3[[#This Row],[Efficiency Difference]]*0.2146 -10 &gt; Table3[[#This Row],[Scoring Margin]], 1, 0)</f>
        <v>0</v>
      </c>
    </row>
    <row r="479" spans="2:33">
      <c r="B479" s="5">
        <v>1.9900000000000091</v>
      </c>
      <c r="C479" s="5">
        <v>7</v>
      </c>
      <c r="X479" s="5">
        <v>1.9900000000000091</v>
      </c>
      <c r="Y479" s="5">
        <v>7</v>
      </c>
      <c r="Z479" s="5">
        <f>IF(Table3[[#This Row],[Efficiency Difference]]*0.2146 &gt; Table3[[#This Row],[Scoring Margin]], 1, 0)</f>
        <v>0</v>
      </c>
      <c r="AA479" s="5">
        <f>IF(Table3[[#This Row],[Efficiency Difference]]*0.2146 + 7 &gt; Table3[[#This Row],[Scoring Margin]], 1, 0)</f>
        <v>1</v>
      </c>
      <c r="AB479" s="5">
        <f>IF(Table3[[#This Row],[Efficiency Difference]]*0.2146 + 14 &gt; Table3[[#This Row],[Scoring Margin]], 1, 0)</f>
        <v>1</v>
      </c>
      <c r="AC479" s="5">
        <f>IF(Table3[[#This Row],[Efficiency Difference]]*0.2146 + 21 &gt; Table3[[#This Row],[Scoring Margin]], 1, 0)</f>
        <v>1</v>
      </c>
      <c r="AD479" s="5">
        <f>IF(Table3[[#This Row],[Efficiency Difference]]*0.2146 -7 &gt; Table3[[#This Row],[Scoring Margin]], 1, 0)</f>
        <v>0</v>
      </c>
      <c r="AE479" s="5">
        <f>IF(Table3[[#This Row],[Efficiency Difference]]*0.2146 -3 &gt; Table3[[#This Row],[Scoring Margin]], 1, 0)</f>
        <v>0</v>
      </c>
      <c r="AF479" s="5">
        <f>IF(Table3[[#This Row],[Efficiency Difference]]*0.2146 -5 &gt; Table3[[#This Row],[Scoring Margin]], 1, 0)</f>
        <v>0</v>
      </c>
      <c r="AG479" s="5">
        <f>IF(Table3[[#This Row],[Efficiency Difference]]*0.2146 -10 &gt; Table3[[#This Row],[Scoring Margin]], 1, 0)</f>
        <v>0</v>
      </c>
    </row>
    <row r="480" spans="2:33">
      <c r="B480" s="5">
        <v>85.649999999999977</v>
      </c>
      <c r="C480" s="5">
        <v>25</v>
      </c>
      <c r="X480" s="5">
        <v>85.649999999999977</v>
      </c>
      <c r="Y480" s="5">
        <v>25</v>
      </c>
      <c r="Z480" s="5">
        <f>IF(Table3[[#This Row],[Efficiency Difference]]*0.2146 &gt; Table3[[#This Row],[Scoring Margin]], 1, 0)</f>
        <v>0</v>
      </c>
      <c r="AA480" s="5">
        <f>IF(Table3[[#This Row],[Efficiency Difference]]*0.2146 + 7 &gt; Table3[[#This Row],[Scoring Margin]], 1, 0)</f>
        <v>1</v>
      </c>
      <c r="AB480" s="5">
        <f>IF(Table3[[#This Row],[Efficiency Difference]]*0.2146 + 14 &gt; Table3[[#This Row],[Scoring Margin]], 1, 0)</f>
        <v>1</v>
      </c>
      <c r="AC480" s="5">
        <f>IF(Table3[[#This Row],[Efficiency Difference]]*0.2146 + 21 &gt; Table3[[#This Row],[Scoring Margin]], 1, 0)</f>
        <v>1</v>
      </c>
      <c r="AD480" s="5">
        <f>IF(Table3[[#This Row],[Efficiency Difference]]*0.2146 -7 &gt; Table3[[#This Row],[Scoring Margin]], 1, 0)</f>
        <v>0</v>
      </c>
      <c r="AE480" s="5">
        <f>IF(Table3[[#This Row],[Efficiency Difference]]*0.2146 -3 &gt; Table3[[#This Row],[Scoring Margin]], 1, 0)</f>
        <v>0</v>
      </c>
      <c r="AF480" s="5">
        <f>IF(Table3[[#This Row],[Efficiency Difference]]*0.2146 -5 &gt; Table3[[#This Row],[Scoring Margin]], 1, 0)</f>
        <v>0</v>
      </c>
      <c r="AG480" s="5">
        <f>IF(Table3[[#This Row],[Efficiency Difference]]*0.2146 -10 &gt; Table3[[#This Row],[Scoring Margin]], 1, 0)</f>
        <v>0</v>
      </c>
    </row>
    <row r="481" spans="2:33">
      <c r="B481" s="5">
        <v>38.860000000000014</v>
      </c>
      <c r="C481" s="5">
        <v>2</v>
      </c>
      <c r="X481" s="5">
        <v>38.860000000000014</v>
      </c>
      <c r="Y481" s="5">
        <v>2</v>
      </c>
      <c r="Z481" s="5">
        <f>IF(Table3[[#This Row],[Efficiency Difference]]*0.2146 &gt; Table3[[#This Row],[Scoring Margin]], 1, 0)</f>
        <v>1</v>
      </c>
      <c r="AA481" s="5">
        <f>IF(Table3[[#This Row],[Efficiency Difference]]*0.2146 + 7 &gt; Table3[[#This Row],[Scoring Margin]], 1, 0)</f>
        <v>1</v>
      </c>
      <c r="AB481" s="5">
        <f>IF(Table3[[#This Row],[Efficiency Difference]]*0.2146 + 14 &gt; Table3[[#This Row],[Scoring Margin]], 1, 0)</f>
        <v>1</v>
      </c>
      <c r="AC481" s="5">
        <f>IF(Table3[[#This Row],[Efficiency Difference]]*0.2146 + 21 &gt; Table3[[#This Row],[Scoring Margin]], 1, 0)</f>
        <v>1</v>
      </c>
      <c r="AD481" s="5">
        <f>IF(Table3[[#This Row],[Efficiency Difference]]*0.2146 -7 &gt; Table3[[#This Row],[Scoring Margin]], 1, 0)</f>
        <v>0</v>
      </c>
      <c r="AE481" s="5">
        <f>IF(Table3[[#This Row],[Efficiency Difference]]*0.2146 -3 &gt; Table3[[#This Row],[Scoring Margin]], 1, 0)</f>
        <v>1</v>
      </c>
      <c r="AF481" s="5">
        <f>IF(Table3[[#This Row],[Efficiency Difference]]*0.2146 -5 &gt; Table3[[#This Row],[Scoring Margin]], 1, 0)</f>
        <v>1</v>
      </c>
      <c r="AG481" s="5">
        <f>IF(Table3[[#This Row],[Efficiency Difference]]*0.2146 -10 &gt; Table3[[#This Row],[Scoring Margin]], 1, 0)</f>
        <v>0</v>
      </c>
    </row>
    <row r="482" spans="2:33">
      <c r="B482" s="5">
        <v>112.69</v>
      </c>
      <c r="C482" s="5">
        <v>25</v>
      </c>
      <c r="X482" s="5">
        <v>112.69</v>
      </c>
      <c r="Y482" s="5">
        <v>25</v>
      </c>
      <c r="Z482" s="5">
        <f>IF(Table3[[#This Row],[Efficiency Difference]]*0.2146 &gt; Table3[[#This Row],[Scoring Margin]], 1, 0)</f>
        <v>0</v>
      </c>
      <c r="AA482" s="5">
        <f>IF(Table3[[#This Row],[Efficiency Difference]]*0.2146 + 7 &gt; Table3[[#This Row],[Scoring Margin]], 1, 0)</f>
        <v>1</v>
      </c>
      <c r="AB482" s="5">
        <f>IF(Table3[[#This Row],[Efficiency Difference]]*0.2146 + 14 &gt; Table3[[#This Row],[Scoring Margin]], 1, 0)</f>
        <v>1</v>
      </c>
      <c r="AC482" s="5">
        <f>IF(Table3[[#This Row],[Efficiency Difference]]*0.2146 + 21 &gt; Table3[[#This Row],[Scoring Margin]], 1, 0)</f>
        <v>1</v>
      </c>
      <c r="AD482" s="5">
        <f>IF(Table3[[#This Row],[Efficiency Difference]]*0.2146 -7 &gt; Table3[[#This Row],[Scoring Margin]], 1, 0)</f>
        <v>0</v>
      </c>
      <c r="AE482" s="5">
        <f>IF(Table3[[#This Row],[Efficiency Difference]]*0.2146 -3 &gt; Table3[[#This Row],[Scoring Margin]], 1, 0)</f>
        <v>0</v>
      </c>
      <c r="AF482" s="5">
        <f>IF(Table3[[#This Row],[Efficiency Difference]]*0.2146 -5 &gt; Table3[[#This Row],[Scoring Margin]], 1, 0)</f>
        <v>0</v>
      </c>
      <c r="AG482" s="5">
        <f>IF(Table3[[#This Row],[Efficiency Difference]]*0.2146 -10 &gt; Table3[[#This Row],[Scoring Margin]], 1, 0)</f>
        <v>0</v>
      </c>
    </row>
    <row r="483" spans="2:33">
      <c r="B483" s="5">
        <v>181.8</v>
      </c>
      <c r="C483" s="5">
        <v>24</v>
      </c>
      <c r="X483" s="5">
        <v>181.8</v>
      </c>
      <c r="Y483" s="5">
        <v>24</v>
      </c>
      <c r="Z483" s="5">
        <f>IF(Table3[[#This Row],[Efficiency Difference]]*0.2146 &gt; Table3[[#This Row],[Scoring Margin]], 1, 0)</f>
        <v>1</v>
      </c>
      <c r="AA483" s="5">
        <f>IF(Table3[[#This Row],[Efficiency Difference]]*0.2146 + 7 &gt; Table3[[#This Row],[Scoring Margin]], 1, 0)</f>
        <v>1</v>
      </c>
      <c r="AB483" s="5">
        <f>IF(Table3[[#This Row],[Efficiency Difference]]*0.2146 + 14 &gt; Table3[[#This Row],[Scoring Margin]], 1, 0)</f>
        <v>1</v>
      </c>
      <c r="AC483" s="5">
        <f>IF(Table3[[#This Row],[Efficiency Difference]]*0.2146 + 21 &gt; Table3[[#This Row],[Scoring Margin]], 1, 0)</f>
        <v>1</v>
      </c>
      <c r="AD483" s="5">
        <f>IF(Table3[[#This Row],[Efficiency Difference]]*0.2146 -7 &gt; Table3[[#This Row],[Scoring Margin]], 1, 0)</f>
        <v>1</v>
      </c>
      <c r="AE483" s="5">
        <f>IF(Table3[[#This Row],[Efficiency Difference]]*0.2146 -3 &gt; Table3[[#This Row],[Scoring Margin]], 1, 0)</f>
        <v>1</v>
      </c>
      <c r="AF483" s="5">
        <f>IF(Table3[[#This Row],[Efficiency Difference]]*0.2146 -5 &gt; Table3[[#This Row],[Scoring Margin]], 1, 0)</f>
        <v>1</v>
      </c>
      <c r="AG483" s="5">
        <f>IF(Table3[[#This Row],[Efficiency Difference]]*0.2146 -10 &gt; Table3[[#This Row],[Scoring Margin]], 1, 0)</f>
        <v>1</v>
      </c>
    </row>
    <row r="484" spans="2:33">
      <c r="B484" s="5">
        <v>65.079999999999984</v>
      </c>
      <c r="C484" s="5">
        <v>22</v>
      </c>
      <c r="X484" s="5">
        <v>65.079999999999984</v>
      </c>
      <c r="Y484" s="5">
        <v>22</v>
      </c>
      <c r="Z484" s="5">
        <f>IF(Table3[[#This Row],[Efficiency Difference]]*0.2146 &gt; Table3[[#This Row],[Scoring Margin]], 1, 0)</f>
        <v>0</v>
      </c>
      <c r="AA484" s="5">
        <f>IF(Table3[[#This Row],[Efficiency Difference]]*0.2146 + 7 &gt; Table3[[#This Row],[Scoring Margin]], 1, 0)</f>
        <v>0</v>
      </c>
      <c r="AB484" s="5">
        <f>IF(Table3[[#This Row],[Efficiency Difference]]*0.2146 + 14 &gt; Table3[[#This Row],[Scoring Margin]], 1, 0)</f>
        <v>1</v>
      </c>
      <c r="AC484" s="5">
        <f>IF(Table3[[#This Row],[Efficiency Difference]]*0.2146 + 21 &gt; Table3[[#This Row],[Scoring Margin]], 1, 0)</f>
        <v>1</v>
      </c>
      <c r="AD484" s="5">
        <f>IF(Table3[[#This Row],[Efficiency Difference]]*0.2146 -7 &gt; Table3[[#This Row],[Scoring Margin]], 1, 0)</f>
        <v>0</v>
      </c>
      <c r="AE484" s="5">
        <f>IF(Table3[[#This Row],[Efficiency Difference]]*0.2146 -3 &gt; Table3[[#This Row],[Scoring Margin]], 1, 0)</f>
        <v>0</v>
      </c>
      <c r="AF484" s="5">
        <f>IF(Table3[[#This Row],[Efficiency Difference]]*0.2146 -5 &gt; Table3[[#This Row],[Scoring Margin]], 1, 0)</f>
        <v>0</v>
      </c>
      <c r="AG484" s="5">
        <f>IF(Table3[[#This Row],[Efficiency Difference]]*0.2146 -10 &gt; Table3[[#This Row],[Scoring Margin]], 1, 0)</f>
        <v>0</v>
      </c>
    </row>
    <row r="485" spans="2:33">
      <c r="B485" s="5">
        <v>15.740000000000009</v>
      </c>
      <c r="C485" s="5">
        <v>4</v>
      </c>
      <c r="X485" s="5">
        <v>15.740000000000009</v>
      </c>
      <c r="Y485" s="5">
        <v>4</v>
      </c>
      <c r="Z485" s="5">
        <f>IF(Table3[[#This Row],[Efficiency Difference]]*0.2146 &gt; Table3[[#This Row],[Scoring Margin]], 1, 0)</f>
        <v>0</v>
      </c>
      <c r="AA485" s="5">
        <f>IF(Table3[[#This Row],[Efficiency Difference]]*0.2146 + 7 &gt; Table3[[#This Row],[Scoring Margin]], 1, 0)</f>
        <v>1</v>
      </c>
      <c r="AB485" s="5">
        <f>IF(Table3[[#This Row],[Efficiency Difference]]*0.2146 + 14 &gt; Table3[[#This Row],[Scoring Margin]], 1, 0)</f>
        <v>1</v>
      </c>
      <c r="AC485" s="5">
        <f>IF(Table3[[#This Row],[Efficiency Difference]]*0.2146 + 21 &gt; Table3[[#This Row],[Scoring Margin]], 1, 0)</f>
        <v>1</v>
      </c>
      <c r="AD485" s="5">
        <f>IF(Table3[[#This Row],[Efficiency Difference]]*0.2146 -7 &gt; Table3[[#This Row],[Scoring Margin]], 1, 0)</f>
        <v>0</v>
      </c>
      <c r="AE485" s="5">
        <f>IF(Table3[[#This Row],[Efficiency Difference]]*0.2146 -3 &gt; Table3[[#This Row],[Scoring Margin]], 1, 0)</f>
        <v>0</v>
      </c>
      <c r="AF485" s="5">
        <f>IF(Table3[[#This Row],[Efficiency Difference]]*0.2146 -5 &gt; Table3[[#This Row],[Scoring Margin]], 1, 0)</f>
        <v>0</v>
      </c>
      <c r="AG485" s="5">
        <f>IF(Table3[[#This Row],[Efficiency Difference]]*0.2146 -10 &gt; Table3[[#This Row],[Scoring Margin]], 1, 0)</f>
        <v>0</v>
      </c>
    </row>
    <row r="486" spans="2:33">
      <c r="B486" s="5">
        <v>82.06</v>
      </c>
      <c r="C486" s="5">
        <v>18</v>
      </c>
      <c r="X486" s="5">
        <v>82.06</v>
      </c>
      <c r="Y486" s="5">
        <v>18</v>
      </c>
      <c r="Z486" s="5">
        <f>IF(Table3[[#This Row],[Efficiency Difference]]*0.2146 &gt; Table3[[#This Row],[Scoring Margin]], 1, 0)</f>
        <v>0</v>
      </c>
      <c r="AA486" s="5">
        <f>IF(Table3[[#This Row],[Efficiency Difference]]*0.2146 + 7 &gt; Table3[[#This Row],[Scoring Margin]], 1, 0)</f>
        <v>1</v>
      </c>
      <c r="AB486" s="5">
        <f>IF(Table3[[#This Row],[Efficiency Difference]]*0.2146 + 14 &gt; Table3[[#This Row],[Scoring Margin]], 1, 0)</f>
        <v>1</v>
      </c>
      <c r="AC486" s="5">
        <f>IF(Table3[[#This Row],[Efficiency Difference]]*0.2146 + 21 &gt; Table3[[#This Row],[Scoring Margin]], 1, 0)</f>
        <v>1</v>
      </c>
      <c r="AD486" s="5">
        <f>IF(Table3[[#This Row],[Efficiency Difference]]*0.2146 -7 &gt; Table3[[#This Row],[Scoring Margin]], 1, 0)</f>
        <v>0</v>
      </c>
      <c r="AE486" s="5">
        <f>IF(Table3[[#This Row],[Efficiency Difference]]*0.2146 -3 &gt; Table3[[#This Row],[Scoring Margin]], 1, 0)</f>
        <v>0</v>
      </c>
      <c r="AF486" s="5">
        <f>IF(Table3[[#This Row],[Efficiency Difference]]*0.2146 -5 &gt; Table3[[#This Row],[Scoring Margin]], 1, 0)</f>
        <v>0</v>
      </c>
      <c r="AG486" s="5">
        <f>IF(Table3[[#This Row],[Efficiency Difference]]*0.2146 -10 &gt; Table3[[#This Row],[Scoring Margin]], 1, 0)</f>
        <v>0</v>
      </c>
    </row>
    <row r="487" spans="2:33">
      <c r="B487" s="5">
        <v>111.88</v>
      </c>
      <c r="C487" s="5">
        <v>2</v>
      </c>
      <c r="X487" s="5">
        <v>111.88</v>
      </c>
      <c r="Y487" s="5">
        <v>2</v>
      </c>
      <c r="Z487" s="5">
        <f>IF(Table3[[#This Row],[Efficiency Difference]]*0.2146 &gt; Table3[[#This Row],[Scoring Margin]], 1, 0)</f>
        <v>1</v>
      </c>
      <c r="AA487" s="5">
        <f>IF(Table3[[#This Row],[Efficiency Difference]]*0.2146 + 7 &gt; Table3[[#This Row],[Scoring Margin]], 1, 0)</f>
        <v>1</v>
      </c>
      <c r="AB487" s="5">
        <f>IF(Table3[[#This Row],[Efficiency Difference]]*0.2146 + 14 &gt; Table3[[#This Row],[Scoring Margin]], 1, 0)</f>
        <v>1</v>
      </c>
      <c r="AC487" s="5">
        <f>IF(Table3[[#This Row],[Efficiency Difference]]*0.2146 + 21 &gt; Table3[[#This Row],[Scoring Margin]], 1, 0)</f>
        <v>1</v>
      </c>
      <c r="AD487" s="5">
        <f>IF(Table3[[#This Row],[Efficiency Difference]]*0.2146 -7 &gt; Table3[[#This Row],[Scoring Margin]], 1, 0)</f>
        <v>1</v>
      </c>
      <c r="AE487" s="5">
        <f>IF(Table3[[#This Row],[Efficiency Difference]]*0.2146 -3 &gt; Table3[[#This Row],[Scoring Margin]], 1, 0)</f>
        <v>1</v>
      </c>
      <c r="AF487" s="5">
        <f>IF(Table3[[#This Row],[Efficiency Difference]]*0.2146 -5 &gt; Table3[[#This Row],[Scoring Margin]], 1, 0)</f>
        <v>1</v>
      </c>
      <c r="AG487" s="5">
        <f>IF(Table3[[#This Row],[Efficiency Difference]]*0.2146 -10 &gt; Table3[[#This Row],[Scoring Margin]], 1, 0)</f>
        <v>1</v>
      </c>
    </row>
    <row r="488" spans="2:33">
      <c r="B488" s="5">
        <v>12.120000000000033</v>
      </c>
      <c r="C488" s="5">
        <v>12</v>
      </c>
      <c r="X488" s="5">
        <v>12.120000000000033</v>
      </c>
      <c r="Y488" s="5">
        <v>12</v>
      </c>
      <c r="Z488" s="5">
        <f>IF(Table3[[#This Row],[Efficiency Difference]]*0.2146 &gt; Table3[[#This Row],[Scoring Margin]], 1, 0)</f>
        <v>0</v>
      </c>
      <c r="AA488" s="5">
        <f>IF(Table3[[#This Row],[Efficiency Difference]]*0.2146 + 7 &gt; Table3[[#This Row],[Scoring Margin]], 1, 0)</f>
        <v>0</v>
      </c>
      <c r="AB488" s="5">
        <f>IF(Table3[[#This Row],[Efficiency Difference]]*0.2146 + 14 &gt; Table3[[#This Row],[Scoring Margin]], 1, 0)</f>
        <v>1</v>
      </c>
      <c r="AC488" s="5">
        <f>IF(Table3[[#This Row],[Efficiency Difference]]*0.2146 + 21 &gt; Table3[[#This Row],[Scoring Margin]], 1, 0)</f>
        <v>1</v>
      </c>
      <c r="AD488" s="5">
        <f>IF(Table3[[#This Row],[Efficiency Difference]]*0.2146 -7 &gt; Table3[[#This Row],[Scoring Margin]], 1, 0)</f>
        <v>0</v>
      </c>
      <c r="AE488" s="5">
        <f>IF(Table3[[#This Row],[Efficiency Difference]]*0.2146 -3 &gt; Table3[[#This Row],[Scoring Margin]], 1, 0)</f>
        <v>0</v>
      </c>
      <c r="AF488" s="5">
        <f>IF(Table3[[#This Row],[Efficiency Difference]]*0.2146 -5 &gt; Table3[[#This Row],[Scoring Margin]], 1, 0)</f>
        <v>0</v>
      </c>
      <c r="AG488" s="5">
        <f>IF(Table3[[#This Row],[Efficiency Difference]]*0.2146 -10 &gt; Table3[[#This Row],[Scoring Margin]], 1, 0)</f>
        <v>0</v>
      </c>
    </row>
    <row r="489" spans="2:33">
      <c r="B489" s="5">
        <v>68.809999999999988</v>
      </c>
      <c r="C489" s="5">
        <v>3</v>
      </c>
      <c r="X489" s="5">
        <v>68.809999999999988</v>
      </c>
      <c r="Y489" s="5">
        <v>3</v>
      </c>
      <c r="Z489" s="5">
        <f>IF(Table3[[#This Row],[Efficiency Difference]]*0.2146 &gt; Table3[[#This Row],[Scoring Margin]], 1, 0)</f>
        <v>1</v>
      </c>
      <c r="AA489" s="5">
        <f>IF(Table3[[#This Row],[Efficiency Difference]]*0.2146 + 7 &gt; Table3[[#This Row],[Scoring Margin]], 1, 0)</f>
        <v>1</v>
      </c>
      <c r="AB489" s="5">
        <f>IF(Table3[[#This Row],[Efficiency Difference]]*0.2146 + 14 &gt; Table3[[#This Row],[Scoring Margin]], 1, 0)</f>
        <v>1</v>
      </c>
      <c r="AC489" s="5">
        <f>IF(Table3[[#This Row],[Efficiency Difference]]*0.2146 + 21 &gt; Table3[[#This Row],[Scoring Margin]], 1, 0)</f>
        <v>1</v>
      </c>
      <c r="AD489" s="5">
        <f>IF(Table3[[#This Row],[Efficiency Difference]]*0.2146 -7 &gt; Table3[[#This Row],[Scoring Margin]], 1, 0)</f>
        <v>1</v>
      </c>
      <c r="AE489" s="5">
        <f>IF(Table3[[#This Row],[Efficiency Difference]]*0.2146 -3 &gt; Table3[[#This Row],[Scoring Margin]], 1, 0)</f>
        <v>1</v>
      </c>
      <c r="AF489" s="5">
        <f>IF(Table3[[#This Row],[Efficiency Difference]]*0.2146 -5 &gt; Table3[[#This Row],[Scoring Margin]], 1, 0)</f>
        <v>1</v>
      </c>
      <c r="AG489" s="5">
        <f>IF(Table3[[#This Row],[Efficiency Difference]]*0.2146 -10 &gt; Table3[[#This Row],[Scoring Margin]], 1, 0)</f>
        <v>1</v>
      </c>
    </row>
    <row r="490" spans="2:33">
      <c r="B490" s="5">
        <v>19.999999999999972</v>
      </c>
      <c r="C490" s="5">
        <v>24</v>
      </c>
      <c r="X490" s="5">
        <v>19.999999999999972</v>
      </c>
      <c r="Y490" s="5">
        <v>24</v>
      </c>
      <c r="Z490" s="5">
        <f>IF(Table3[[#This Row],[Efficiency Difference]]*0.2146 &gt; Table3[[#This Row],[Scoring Margin]], 1, 0)</f>
        <v>0</v>
      </c>
      <c r="AA490" s="5">
        <f>IF(Table3[[#This Row],[Efficiency Difference]]*0.2146 + 7 &gt; Table3[[#This Row],[Scoring Margin]], 1, 0)</f>
        <v>0</v>
      </c>
      <c r="AB490" s="5">
        <f>IF(Table3[[#This Row],[Efficiency Difference]]*0.2146 + 14 &gt; Table3[[#This Row],[Scoring Margin]], 1, 0)</f>
        <v>0</v>
      </c>
      <c r="AC490" s="5">
        <f>IF(Table3[[#This Row],[Efficiency Difference]]*0.2146 + 21 &gt; Table3[[#This Row],[Scoring Margin]], 1, 0)</f>
        <v>1</v>
      </c>
      <c r="AD490" s="5">
        <f>IF(Table3[[#This Row],[Efficiency Difference]]*0.2146 -7 &gt; Table3[[#This Row],[Scoring Margin]], 1, 0)</f>
        <v>0</v>
      </c>
      <c r="AE490" s="5">
        <f>IF(Table3[[#This Row],[Efficiency Difference]]*0.2146 -3 &gt; Table3[[#This Row],[Scoring Margin]], 1, 0)</f>
        <v>0</v>
      </c>
      <c r="AF490" s="5">
        <f>IF(Table3[[#This Row],[Efficiency Difference]]*0.2146 -5 &gt; Table3[[#This Row],[Scoring Margin]], 1, 0)</f>
        <v>0</v>
      </c>
      <c r="AG490" s="5">
        <f>IF(Table3[[#This Row],[Efficiency Difference]]*0.2146 -10 &gt; Table3[[#This Row],[Scoring Margin]], 1, 0)</f>
        <v>0</v>
      </c>
    </row>
    <row r="491" spans="2:33">
      <c r="B491" s="5">
        <v>74.799999999999983</v>
      </c>
      <c r="C491" s="5">
        <v>2</v>
      </c>
      <c r="X491" s="5">
        <v>74.799999999999983</v>
      </c>
      <c r="Y491" s="5">
        <v>2</v>
      </c>
      <c r="Z491" s="5">
        <f>IF(Table3[[#This Row],[Efficiency Difference]]*0.2146 &gt; Table3[[#This Row],[Scoring Margin]], 1, 0)</f>
        <v>1</v>
      </c>
      <c r="AA491" s="5">
        <f>IF(Table3[[#This Row],[Efficiency Difference]]*0.2146 + 7 &gt; Table3[[#This Row],[Scoring Margin]], 1, 0)</f>
        <v>1</v>
      </c>
      <c r="AB491" s="5">
        <f>IF(Table3[[#This Row],[Efficiency Difference]]*0.2146 + 14 &gt; Table3[[#This Row],[Scoring Margin]], 1, 0)</f>
        <v>1</v>
      </c>
      <c r="AC491" s="5">
        <f>IF(Table3[[#This Row],[Efficiency Difference]]*0.2146 + 21 &gt; Table3[[#This Row],[Scoring Margin]], 1, 0)</f>
        <v>1</v>
      </c>
      <c r="AD491" s="5">
        <f>IF(Table3[[#This Row],[Efficiency Difference]]*0.2146 -7 &gt; Table3[[#This Row],[Scoring Margin]], 1, 0)</f>
        <v>1</v>
      </c>
      <c r="AE491" s="5">
        <f>IF(Table3[[#This Row],[Efficiency Difference]]*0.2146 -3 &gt; Table3[[#This Row],[Scoring Margin]], 1, 0)</f>
        <v>1</v>
      </c>
      <c r="AF491" s="5">
        <f>IF(Table3[[#This Row],[Efficiency Difference]]*0.2146 -5 &gt; Table3[[#This Row],[Scoring Margin]], 1, 0)</f>
        <v>1</v>
      </c>
      <c r="AG491" s="5">
        <f>IF(Table3[[#This Row],[Efficiency Difference]]*0.2146 -10 &gt; Table3[[#This Row],[Scoring Margin]], 1, 0)</f>
        <v>1</v>
      </c>
    </row>
    <row r="492" spans="2:33">
      <c r="B492" s="5">
        <v>116.26000000000005</v>
      </c>
      <c r="C492" s="5">
        <v>15</v>
      </c>
      <c r="X492" s="5">
        <v>116.26000000000005</v>
      </c>
      <c r="Y492" s="5">
        <v>15</v>
      </c>
      <c r="Z492" s="5">
        <f>IF(Table3[[#This Row],[Efficiency Difference]]*0.2146 &gt; Table3[[#This Row],[Scoring Margin]], 1, 0)</f>
        <v>1</v>
      </c>
      <c r="AA492" s="5">
        <f>IF(Table3[[#This Row],[Efficiency Difference]]*0.2146 + 7 &gt; Table3[[#This Row],[Scoring Margin]], 1, 0)</f>
        <v>1</v>
      </c>
      <c r="AB492" s="5">
        <f>IF(Table3[[#This Row],[Efficiency Difference]]*0.2146 + 14 &gt; Table3[[#This Row],[Scoring Margin]], 1, 0)</f>
        <v>1</v>
      </c>
      <c r="AC492" s="5">
        <f>IF(Table3[[#This Row],[Efficiency Difference]]*0.2146 + 21 &gt; Table3[[#This Row],[Scoring Margin]], 1, 0)</f>
        <v>1</v>
      </c>
      <c r="AD492" s="5">
        <f>IF(Table3[[#This Row],[Efficiency Difference]]*0.2146 -7 &gt; Table3[[#This Row],[Scoring Margin]], 1, 0)</f>
        <v>1</v>
      </c>
      <c r="AE492" s="5">
        <f>IF(Table3[[#This Row],[Efficiency Difference]]*0.2146 -3 &gt; Table3[[#This Row],[Scoring Margin]], 1, 0)</f>
        <v>1</v>
      </c>
      <c r="AF492" s="5">
        <f>IF(Table3[[#This Row],[Efficiency Difference]]*0.2146 -5 &gt; Table3[[#This Row],[Scoring Margin]], 1, 0)</f>
        <v>1</v>
      </c>
      <c r="AG492" s="5">
        <f>IF(Table3[[#This Row],[Efficiency Difference]]*0.2146 -10 &gt; Table3[[#This Row],[Scoring Margin]], 1, 0)</f>
        <v>0</v>
      </c>
    </row>
    <row r="493" spans="2:33">
      <c r="B493" s="5">
        <v>110.85000000000002</v>
      </c>
      <c r="C493" s="5">
        <v>18</v>
      </c>
      <c r="X493" s="5">
        <v>110.85000000000002</v>
      </c>
      <c r="Y493" s="5">
        <v>18</v>
      </c>
      <c r="Z493" s="5">
        <f>IF(Table3[[#This Row],[Efficiency Difference]]*0.2146 &gt; Table3[[#This Row],[Scoring Margin]], 1, 0)</f>
        <v>1</v>
      </c>
      <c r="AA493" s="5">
        <f>IF(Table3[[#This Row],[Efficiency Difference]]*0.2146 + 7 &gt; Table3[[#This Row],[Scoring Margin]], 1, 0)</f>
        <v>1</v>
      </c>
      <c r="AB493" s="5">
        <f>IF(Table3[[#This Row],[Efficiency Difference]]*0.2146 + 14 &gt; Table3[[#This Row],[Scoring Margin]], 1, 0)</f>
        <v>1</v>
      </c>
      <c r="AC493" s="5">
        <f>IF(Table3[[#This Row],[Efficiency Difference]]*0.2146 + 21 &gt; Table3[[#This Row],[Scoring Margin]], 1, 0)</f>
        <v>1</v>
      </c>
      <c r="AD493" s="5">
        <f>IF(Table3[[#This Row],[Efficiency Difference]]*0.2146 -7 &gt; Table3[[#This Row],[Scoring Margin]], 1, 0)</f>
        <v>0</v>
      </c>
      <c r="AE493" s="5">
        <f>IF(Table3[[#This Row],[Efficiency Difference]]*0.2146 -3 &gt; Table3[[#This Row],[Scoring Margin]], 1, 0)</f>
        <v>1</v>
      </c>
      <c r="AF493" s="5">
        <f>IF(Table3[[#This Row],[Efficiency Difference]]*0.2146 -5 &gt; Table3[[#This Row],[Scoring Margin]], 1, 0)</f>
        <v>1</v>
      </c>
      <c r="AG493" s="5">
        <f>IF(Table3[[#This Row],[Efficiency Difference]]*0.2146 -10 &gt; Table3[[#This Row],[Scoring Margin]], 1, 0)</f>
        <v>0</v>
      </c>
    </row>
    <row r="494" spans="2:33">
      <c r="B494" s="5">
        <v>59.419999999999987</v>
      </c>
      <c r="C494" s="5">
        <v>21</v>
      </c>
      <c r="X494" s="5">
        <v>59.419999999999987</v>
      </c>
      <c r="Y494" s="5">
        <v>21</v>
      </c>
      <c r="Z494" s="5">
        <f>IF(Table3[[#This Row],[Efficiency Difference]]*0.2146 &gt; Table3[[#This Row],[Scoring Margin]], 1, 0)</f>
        <v>0</v>
      </c>
      <c r="AA494" s="5">
        <f>IF(Table3[[#This Row],[Efficiency Difference]]*0.2146 + 7 &gt; Table3[[#This Row],[Scoring Margin]], 1, 0)</f>
        <v>0</v>
      </c>
      <c r="AB494" s="5">
        <f>IF(Table3[[#This Row],[Efficiency Difference]]*0.2146 + 14 &gt; Table3[[#This Row],[Scoring Margin]], 1, 0)</f>
        <v>1</v>
      </c>
      <c r="AC494" s="5">
        <f>IF(Table3[[#This Row],[Efficiency Difference]]*0.2146 + 21 &gt; Table3[[#This Row],[Scoring Margin]], 1, 0)</f>
        <v>1</v>
      </c>
      <c r="AD494" s="5">
        <f>IF(Table3[[#This Row],[Efficiency Difference]]*0.2146 -7 &gt; Table3[[#This Row],[Scoring Margin]], 1, 0)</f>
        <v>0</v>
      </c>
      <c r="AE494" s="5">
        <f>IF(Table3[[#This Row],[Efficiency Difference]]*0.2146 -3 &gt; Table3[[#This Row],[Scoring Margin]], 1, 0)</f>
        <v>0</v>
      </c>
      <c r="AF494" s="5">
        <f>IF(Table3[[#This Row],[Efficiency Difference]]*0.2146 -5 &gt; Table3[[#This Row],[Scoring Margin]], 1, 0)</f>
        <v>0</v>
      </c>
      <c r="AG494" s="5">
        <f>IF(Table3[[#This Row],[Efficiency Difference]]*0.2146 -10 &gt; Table3[[#This Row],[Scoring Margin]], 1, 0)</f>
        <v>0</v>
      </c>
    </row>
    <row r="495" spans="2:33">
      <c r="B495" s="5">
        <v>88.129999999999981</v>
      </c>
      <c r="C495" s="5">
        <v>13</v>
      </c>
      <c r="X495" s="5">
        <v>88.129999999999981</v>
      </c>
      <c r="Y495" s="5">
        <v>13</v>
      </c>
      <c r="Z495" s="5">
        <f>IF(Table3[[#This Row],[Efficiency Difference]]*0.2146 &gt; Table3[[#This Row],[Scoring Margin]], 1, 0)</f>
        <v>1</v>
      </c>
      <c r="AA495" s="5">
        <f>IF(Table3[[#This Row],[Efficiency Difference]]*0.2146 + 7 &gt; Table3[[#This Row],[Scoring Margin]], 1, 0)</f>
        <v>1</v>
      </c>
      <c r="AB495" s="5">
        <f>IF(Table3[[#This Row],[Efficiency Difference]]*0.2146 + 14 &gt; Table3[[#This Row],[Scoring Margin]], 1, 0)</f>
        <v>1</v>
      </c>
      <c r="AC495" s="5">
        <f>IF(Table3[[#This Row],[Efficiency Difference]]*0.2146 + 21 &gt; Table3[[#This Row],[Scoring Margin]], 1, 0)</f>
        <v>1</v>
      </c>
      <c r="AD495" s="5">
        <f>IF(Table3[[#This Row],[Efficiency Difference]]*0.2146 -7 &gt; Table3[[#This Row],[Scoring Margin]], 1, 0)</f>
        <v>0</v>
      </c>
      <c r="AE495" s="5">
        <f>IF(Table3[[#This Row],[Efficiency Difference]]*0.2146 -3 &gt; Table3[[#This Row],[Scoring Margin]], 1, 0)</f>
        <v>1</v>
      </c>
      <c r="AF495" s="5">
        <f>IF(Table3[[#This Row],[Efficiency Difference]]*0.2146 -5 &gt; Table3[[#This Row],[Scoring Margin]], 1, 0)</f>
        <v>1</v>
      </c>
      <c r="AG495" s="5">
        <f>IF(Table3[[#This Row],[Efficiency Difference]]*0.2146 -10 &gt; Table3[[#This Row],[Scoring Margin]], 1, 0)</f>
        <v>0</v>
      </c>
    </row>
    <row r="496" spans="2:33">
      <c r="B496" s="5">
        <v>95.769999999999953</v>
      </c>
      <c r="C496" s="5">
        <v>14</v>
      </c>
      <c r="X496" s="5">
        <v>95.769999999999953</v>
      </c>
      <c r="Y496" s="5">
        <v>14</v>
      </c>
      <c r="Z496" s="5">
        <f>IF(Table3[[#This Row],[Efficiency Difference]]*0.2146 &gt; Table3[[#This Row],[Scoring Margin]], 1, 0)</f>
        <v>1</v>
      </c>
      <c r="AA496" s="5">
        <f>IF(Table3[[#This Row],[Efficiency Difference]]*0.2146 + 7 &gt; Table3[[#This Row],[Scoring Margin]], 1, 0)</f>
        <v>1</v>
      </c>
      <c r="AB496" s="5">
        <f>IF(Table3[[#This Row],[Efficiency Difference]]*0.2146 + 14 &gt; Table3[[#This Row],[Scoring Margin]], 1, 0)</f>
        <v>1</v>
      </c>
      <c r="AC496" s="5">
        <f>IF(Table3[[#This Row],[Efficiency Difference]]*0.2146 + 21 &gt; Table3[[#This Row],[Scoring Margin]], 1, 0)</f>
        <v>1</v>
      </c>
      <c r="AD496" s="5">
        <f>IF(Table3[[#This Row],[Efficiency Difference]]*0.2146 -7 &gt; Table3[[#This Row],[Scoring Margin]], 1, 0)</f>
        <v>0</v>
      </c>
      <c r="AE496" s="5">
        <f>IF(Table3[[#This Row],[Efficiency Difference]]*0.2146 -3 &gt; Table3[[#This Row],[Scoring Margin]], 1, 0)</f>
        <v>1</v>
      </c>
      <c r="AF496" s="5">
        <f>IF(Table3[[#This Row],[Efficiency Difference]]*0.2146 -5 &gt; Table3[[#This Row],[Scoring Margin]], 1, 0)</f>
        <v>1</v>
      </c>
      <c r="AG496" s="5">
        <f>IF(Table3[[#This Row],[Efficiency Difference]]*0.2146 -10 &gt; Table3[[#This Row],[Scoring Margin]], 1, 0)</f>
        <v>0</v>
      </c>
    </row>
    <row r="497" spans="2:33">
      <c r="B497" s="5">
        <v>145.4</v>
      </c>
      <c r="C497" s="5">
        <v>54</v>
      </c>
      <c r="X497" s="5">
        <v>145.4</v>
      </c>
      <c r="Y497" s="5">
        <v>54</v>
      </c>
      <c r="Z497" s="5">
        <f>IF(Table3[[#This Row],[Efficiency Difference]]*0.2146 &gt; Table3[[#This Row],[Scoring Margin]], 1, 0)</f>
        <v>0</v>
      </c>
      <c r="AA497" s="5">
        <f>IF(Table3[[#This Row],[Efficiency Difference]]*0.2146 + 7 &gt; Table3[[#This Row],[Scoring Margin]], 1, 0)</f>
        <v>0</v>
      </c>
      <c r="AB497" s="5">
        <f>IF(Table3[[#This Row],[Efficiency Difference]]*0.2146 + 14 &gt; Table3[[#This Row],[Scoring Margin]], 1, 0)</f>
        <v>0</v>
      </c>
      <c r="AC497" s="5">
        <f>IF(Table3[[#This Row],[Efficiency Difference]]*0.2146 + 21 &gt; Table3[[#This Row],[Scoring Margin]], 1, 0)</f>
        <v>0</v>
      </c>
      <c r="AD497" s="5">
        <f>IF(Table3[[#This Row],[Efficiency Difference]]*0.2146 -7 &gt; Table3[[#This Row],[Scoring Margin]], 1, 0)</f>
        <v>0</v>
      </c>
      <c r="AE497" s="5">
        <f>IF(Table3[[#This Row],[Efficiency Difference]]*0.2146 -3 &gt; Table3[[#This Row],[Scoring Margin]], 1, 0)</f>
        <v>0</v>
      </c>
      <c r="AF497" s="5">
        <f>IF(Table3[[#This Row],[Efficiency Difference]]*0.2146 -5 &gt; Table3[[#This Row],[Scoring Margin]], 1, 0)</f>
        <v>0</v>
      </c>
      <c r="AG497" s="5">
        <f>IF(Table3[[#This Row],[Efficiency Difference]]*0.2146 -10 &gt; Table3[[#This Row],[Scoring Margin]], 1, 0)</f>
        <v>0</v>
      </c>
    </row>
    <row r="498" spans="2:33">
      <c r="B498" s="5">
        <v>16.359999999999985</v>
      </c>
      <c r="C498" s="5">
        <v>10</v>
      </c>
      <c r="X498" s="5">
        <v>16.359999999999985</v>
      </c>
      <c r="Y498" s="5">
        <v>10</v>
      </c>
      <c r="Z498" s="5">
        <f>IF(Table3[[#This Row],[Efficiency Difference]]*0.2146 &gt; Table3[[#This Row],[Scoring Margin]], 1, 0)</f>
        <v>0</v>
      </c>
      <c r="AA498" s="5">
        <f>IF(Table3[[#This Row],[Efficiency Difference]]*0.2146 + 7 &gt; Table3[[#This Row],[Scoring Margin]], 1, 0)</f>
        <v>1</v>
      </c>
      <c r="AB498" s="5">
        <f>IF(Table3[[#This Row],[Efficiency Difference]]*0.2146 + 14 &gt; Table3[[#This Row],[Scoring Margin]], 1, 0)</f>
        <v>1</v>
      </c>
      <c r="AC498" s="5">
        <f>IF(Table3[[#This Row],[Efficiency Difference]]*0.2146 + 21 &gt; Table3[[#This Row],[Scoring Margin]], 1, 0)</f>
        <v>1</v>
      </c>
      <c r="AD498" s="5">
        <f>IF(Table3[[#This Row],[Efficiency Difference]]*0.2146 -7 &gt; Table3[[#This Row],[Scoring Margin]], 1, 0)</f>
        <v>0</v>
      </c>
      <c r="AE498" s="5">
        <f>IF(Table3[[#This Row],[Efficiency Difference]]*0.2146 -3 &gt; Table3[[#This Row],[Scoring Margin]], 1, 0)</f>
        <v>0</v>
      </c>
      <c r="AF498" s="5">
        <f>IF(Table3[[#This Row],[Efficiency Difference]]*0.2146 -5 &gt; Table3[[#This Row],[Scoring Margin]], 1, 0)</f>
        <v>0</v>
      </c>
      <c r="AG498" s="5">
        <f>IF(Table3[[#This Row],[Efficiency Difference]]*0.2146 -10 &gt; Table3[[#This Row],[Scoring Margin]], 1, 0)</f>
        <v>0</v>
      </c>
    </row>
    <row r="499" spans="2:33">
      <c r="B499" s="5">
        <v>6.6700000000000159</v>
      </c>
      <c r="C499" s="5">
        <v>3</v>
      </c>
      <c r="X499" s="5">
        <v>6.6700000000000159</v>
      </c>
      <c r="Y499" s="5">
        <v>3</v>
      </c>
      <c r="Z499" s="5">
        <f>IF(Table3[[#This Row],[Efficiency Difference]]*0.2146 &gt; Table3[[#This Row],[Scoring Margin]], 1, 0)</f>
        <v>0</v>
      </c>
      <c r="AA499" s="5">
        <f>IF(Table3[[#This Row],[Efficiency Difference]]*0.2146 + 7 &gt; Table3[[#This Row],[Scoring Margin]], 1, 0)</f>
        <v>1</v>
      </c>
      <c r="AB499" s="5">
        <f>IF(Table3[[#This Row],[Efficiency Difference]]*0.2146 + 14 &gt; Table3[[#This Row],[Scoring Margin]], 1, 0)</f>
        <v>1</v>
      </c>
      <c r="AC499" s="5">
        <f>IF(Table3[[#This Row],[Efficiency Difference]]*0.2146 + 21 &gt; Table3[[#This Row],[Scoring Margin]], 1, 0)</f>
        <v>1</v>
      </c>
      <c r="AD499" s="5">
        <f>IF(Table3[[#This Row],[Efficiency Difference]]*0.2146 -7 &gt; Table3[[#This Row],[Scoring Margin]], 1, 0)</f>
        <v>0</v>
      </c>
      <c r="AE499" s="5">
        <f>IF(Table3[[#This Row],[Efficiency Difference]]*0.2146 -3 &gt; Table3[[#This Row],[Scoring Margin]], 1, 0)</f>
        <v>0</v>
      </c>
      <c r="AF499" s="5">
        <f>IF(Table3[[#This Row],[Efficiency Difference]]*0.2146 -5 &gt; Table3[[#This Row],[Scoring Margin]], 1, 0)</f>
        <v>0</v>
      </c>
      <c r="AG499" s="5">
        <f>IF(Table3[[#This Row],[Efficiency Difference]]*0.2146 -10 &gt; Table3[[#This Row],[Scoring Margin]], 1, 0)</f>
        <v>0</v>
      </c>
    </row>
    <row r="500" spans="2:33">
      <c r="B500" s="5">
        <v>3.3199999999999932</v>
      </c>
      <c r="C500" s="5">
        <v>10</v>
      </c>
      <c r="X500" s="5">
        <v>3.3199999999999932</v>
      </c>
      <c r="Y500" s="5">
        <v>10</v>
      </c>
      <c r="Z500" s="5">
        <f>IF(Table3[[#This Row],[Efficiency Difference]]*0.2146 &gt; Table3[[#This Row],[Scoring Margin]], 1, 0)</f>
        <v>0</v>
      </c>
      <c r="AA500" s="5">
        <f>IF(Table3[[#This Row],[Efficiency Difference]]*0.2146 + 7 &gt; Table3[[#This Row],[Scoring Margin]], 1, 0)</f>
        <v>0</v>
      </c>
      <c r="AB500" s="5">
        <f>IF(Table3[[#This Row],[Efficiency Difference]]*0.2146 + 14 &gt; Table3[[#This Row],[Scoring Margin]], 1, 0)</f>
        <v>1</v>
      </c>
      <c r="AC500" s="5">
        <f>IF(Table3[[#This Row],[Efficiency Difference]]*0.2146 + 21 &gt; Table3[[#This Row],[Scoring Margin]], 1, 0)</f>
        <v>1</v>
      </c>
      <c r="AD500" s="5">
        <f>IF(Table3[[#This Row],[Efficiency Difference]]*0.2146 -7 &gt; Table3[[#This Row],[Scoring Margin]], 1, 0)</f>
        <v>0</v>
      </c>
      <c r="AE500" s="5">
        <f>IF(Table3[[#This Row],[Efficiency Difference]]*0.2146 -3 &gt; Table3[[#This Row],[Scoring Margin]], 1, 0)</f>
        <v>0</v>
      </c>
      <c r="AF500" s="5">
        <f>IF(Table3[[#This Row],[Efficiency Difference]]*0.2146 -5 &gt; Table3[[#This Row],[Scoring Margin]], 1, 0)</f>
        <v>0</v>
      </c>
      <c r="AG500" s="5">
        <f>IF(Table3[[#This Row],[Efficiency Difference]]*0.2146 -10 &gt; Table3[[#This Row],[Scoring Margin]], 1, 0)</f>
        <v>0</v>
      </c>
    </row>
    <row r="501" spans="2:33">
      <c r="B501" s="5">
        <v>16.230000000000018</v>
      </c>
      <c r="C501" s="5">
        <v>7</v>
      </c>
      <c r="X501" s="5">
        <v>16.230000000000018</v>
      </c>
      <c r="Y501" s="5">
        <v>7</v>
      </c>
      <c r="Z501" s="5">
        <f>IF(Table3[[#This Row],[Efficiency Difference]]*0.2146 &gt; Table3[[#This Row],[Scoring Margin]], 1, 0)</f>
        <v>0</v>
      </c>
      <c r="AA501" s="5">
        <f>IF(Table3[[#This Row],[Efficiency Difference]]*0.2146 + 7 &gt; Table3[[#This Row],[Scoring Margin]], 1, 0)</f>
        <v>1</v>
      </c>
      <c r="AB501" s="5">
        <f>IF(Table3[[#This Row],[Efficiency Difference]]*0.2146 + 14 &gt; Table3[[#This Row],[Scoring Margin]], 1, 0)</f>
        <v>1</v>
      </c>
      <c r="AC501" s="5">
        <f>IF(Table3[[#This Row],[Efficiency Difference]]*0.2146 + 21 &gt; Table3[[#This Row],[Scoring Margin]], 1, 0)</f>
        <v>1</v>
      </c>
      <c r="AD501" s="5">
        <f>IF(Table3[[#This Row],[Efficiency Difference]]*0.2146 -7 &gt; Table3[[#This Row],[Scoring Margin]], 1, 0)</f>
        <v>0</v>
      </c>
      <c r="AE501" s="5">
        <f>IF(Table3[[#This Row],[Efficiency Difference]]*0.2146 -3 &gt; Table3[[#This Row],[Scoring Margin]], 1, 0)</f>
        <v>0</v>
      </c>
      <c r="AF501" s="5">
        <f>IF(Table3[[#This Row],[Efficiency Difference]]*0.2146 -5 &gt; Table3[[#This Row],[Scoring Margin]], 1, 0)</f>
        <v>0</v>
      </c>
      <c r="AG501" s="5">
        <f>IF(Table3[[#This Row],[Efficiency Difference]]*0.2146 -10 &gt; Table3[[#This Row],[Scoring Margin]], 1, 0)</f>
        <v>0</v>
      </c>
    </row>
    <row r="502" spans="2:33">
      <c r="B502" s="5">
        <v>50.880000000000024</v>
      </c>
      <c r="C502" s="5">
        <v>13</v>
      </c>
      <c r="X502" s="5">
        <v>50.880000000000024</v>
      </c>
      <c r="Y502" s="5">
        <v>13</v>
      </c>
      <c r="Z502" s="5">
        <f>IF(Table3[[#This Row],[Efficiency Difference]]*0.2146 &gt; Table3[[#This Row],[Scoring Margin]], 1, 0)</f>
        <v>0</v>
      </c>
      <c r="AA502" s="5">
        <f>IF(Table3[[#This Row],[Efficiency Difference]]*0.2146 + 7 &gt; Table3[[#This Row],[Scoring Margin]], 1, 0)</f>
        <v>1</v>
      </c>
      <c r="AB502" s="5">
        <f>IF(Table3[[#This Row],[Efficiency Difference]]*0.2146 + 14 &gt; Table3[[#This Row],[Scoring Margin]], 1, 0)</f>
        <v>1</v>
      </c>
      <c r="AC502" s="5">
        <f>IF(Table3[[#This Row],[Efficiency Difference]]*0.2146 + 21 &gt; Table3[[#This Row],[Scoring Margin]], 1, 0)</f>
        <v>1</v>
      </c>
      <c r="AD502" s="5">
        <f>IF(Table3[[#This Row],[Efficiency Difference]]*0.2146 -7 &gt; Table3[[#This Row],[Scoring Margin]], 1, 0)</f>
        <v>0</v>
      </c>
      <c r="AE502" s="5">
        <f>IF(Table3[[#This Row],[Efficiency Difference]]*0.2146 -3 &gt; Table3[[#This Row],[Scoring Margin]], 1, 0)</f>
        <v>0</v>
      </c>
      <c r="AF502" s="5">
        <f>IF(Table3[[#This Row],[Efficiency Difference]]*0.2146 -5 &gt; Table3[[#This Row],[Scoring Margin]], 1, 0)</f>
        <v>0</v>
      </c>
      <c r="AG502" s="5">
        <f>IF(Table3[[#This Row],[Efficiency Difference]]*0.2146 -10 &gt; Table3[[#This Row],[Scoring Margin]], 1, 0)</f>
        <v>0</v>
      </c>
    </row>
    <row r="503" spans="2:33">
      <c r="B503" s="5">
        <v>102.84000000000003</v>
      </c>
      <c r="C503" s="5">
        <v>1</v>
      </c>
      <c r="X503" s="5">
        <v>102.84000000000003</v>
      </c>
      <c r="Y503" s="5">
        <v>1</v>
      </c>
      <c r="Z503" s="5">
        <f>IF(Table3[[#This Row],[Efficiency Difference]]*0.2146 &gt; Table3[[#This Row],[Scoring Margin]], 1, 0)</f>
        <v>1</v>
      </c>
      <c r="AA503" s="5">
        <f>IF(Table3[[#This Row],[Efficiency Difference]]*0.2146 + 7 &gt; Table3[[#This Row],[Scoring Margin]], 1, 0)</f>
        <v>1</v>
      </c>
      <c r="AB503" s="5">
        <f>IF(Table3[[#This Row],[Efficiency Difference]]*0.2146 + 14 &gt; Table3[[#This Row],[Scoring Margin]], 1, 0)</f>
        <v>1</v>
      </c>
      <c r="AC503" s="5">
        <f>IF(Table3[[#This Row],[Efficiency Difference]]*0.2146 + 21 &gt; Table3[[#This Row],[Scoring Margin]], 1, 0)</f>
        <v>1</v>
      </c>
      <c r="AD503" s="5">
        <f>IF(Table3[[#This Row],[Efficiency Difference]]*0.2146 -7 &gt; Table3[[#This Row],[Scoring Margin]], 1, 0)</f>
        <v>1</v>
      </c>
      <c r="AE503" s="5">
        <f>IF(Table3[[#This Row],[Efficiency Difference]]*0.2146 -3 &gt; Table3[[#This Row],[Scoring Margin]], 1, 0)</f>
        <v>1</v>
      </c>
      <c r="AF503" s="5">
        <f>IF(Table3[[#This Row],[Efficiency Difference]]*0.2146 -5 &gt; Table3[[#This Row],[Scoring Margin]], 1, 0)</f>
        <v>1</v>
      </c>
      <c r="AG503" s="5">
        <f>IF(Table3[[#This Row],[Efficiency Difference]]*0.2146 -10 &gt; Table3[[#This Row],[Scoring Margin]], 1, 0)</f>
        <v>1</v>
      </c>
    </row>
    <row r="504" spans="2:33">
      <c r="B504" s="5">
        <v>136.29</v>
      </c>
      <c r="C504" s="5">
        <v>32</v>
      </c>
      <c r="X504" s="5">
        <v>136.29</v>
      </c>
      <c r="Y504" s="5">
        <v>32</v>
      </c>
      <c r="Z504" s="5">
        <f>IF(Table3[[#This Row],[Efficiency Difference]]*0.2146 &gt; Table3[[#This Row],[Scoring Margin]], 1, 0)</f>
        <v>0</v>
      </c>
      <c r="AA504" s="5">
        <f>IF(Table3[[#This Row],[Efficiency Difference]]*0.2146 + 7 &gt; Table3[[#This Row],[Scoring Margin]], 1, 0)</f>
        <v>1</v>
      </c>
      <c r="AB504" s="5">
        <f>IF(Table3[[#This Row],[Efficiency Difference]]*0.2146 + 14 &gt; Table3[[#This Row],[Scoring Margin]], 1, 0)</f>
        <v>1</v>
      </c>
      <c r="AC504" s="5">
        <f>IF(Table3[[#This Row],[Efficiency Difference]]*0.2146 + 21 &gt; Table3[[#This Row],[Scoring Margin]], 1, 0)</f>
        <v>1</v>
      </c>
      <c r="AD504" s="5">
        <f>IF(Table3[[#This Row],[Efficiency Difference]]*0.2146 -7 &gt; Table3[[#This Row],[Scoring Margin]], 1, 0)</f>
        <v>0</v>
      </c>
      <c r="AE504" s="5">
        <f>IF(Table3[[#This Row],[Efficiency Difference]]*0.2146 -3 &gt; Table3[[#This Row],[Scoring Margin]], 1, 0)</f>
        <v>0</v>
      </c>
      <c r="AF504" s="5">
        <f>IF(Table3[[#This Row],[Efficiency Difference]]*0.2146 -5 &gt; Table3[[#This Row],[Scoring Margin]], 1, 0)</f>
        <v>0</v>
      </c>
      <c r="AG504" s="5">
        <f>IF(Table3[[#This Row],[Efficiency Difference]]*0.2146 -10 &gt; Table3[[#This Row],[Scoring Margin]], 1, 0)</f>
        <v>0</v>
      </c>
    </row>
    <row r="505" spans="2:33">
      <c r="B505" s="5">
        <v>107.71999999999997</v>
      </c>
      <c r="C505" s="5">
        <v>11</v>
      </c>
      <c r="X505" s="5">
        <v>107.71999999999997</v>
      </c>
      <c r="Y505" s="5">
        <v>11</v>
      </c>
      <c r="Z505" s="5">
        <f>IF(Table3[[#This Row],[Efficiency Difference]]*0.2146 &gt; Table3[[#This Row],[Scoring Margin]], 1, 0)</f>
        <v>1</v>
      </c>
      <c r="AA505" s="5">
        <f>IF(Table3[[#This Row],[Efficiency Difference]]*0.2146 + 7 &gt; Table3[[#This Row],[Scoring Margin]], 1, 0)</f>
        <v>1</v>
      </c>
      <c r="AB505" s="5">
        <f>IF(Table3[[#This Row],[Efficiency Difference]]*0.2146 + 14 &gt; Table3[[#This Row],[Scoring Margin]], 1, 0)</f>
        <v>1</v>
      </c>
      <c r="AC505" s="5">
        <f>IF(Table3[[#This Row],[Efficiency Difference]]*0.2146 + 21 &gt; Table3[[#This Row],[Scoring Margin]], 1, 0)</f>
        <v>1</v>
      </c>
      <c r="AD505" s="5">
        <f>IF(Table3[[#This Row],[Efficiency Difference]]*0.2146 -7 &gt; Table3[[#This Row],[Scoring Margin]], 1, 0)</f>
        <v>1</v>
      </c>
      <c r="AE505" s="5">
        <f>IF(Table3[[#This Row],[Efficiency Difference]]*0.2146 -3 &gt; Table3[[#This Row],[Scoring Margin]], 1, 0)</f>
        <v>1</v>
      </c>
      <c r="AF505" s="5">
        <f>IF(Table3[[#This Row],[Efficiency Difference]]*0.2146 -5 &gt; Table3[[#This Row],[Scoring Margin]], 1, 0)</f>
        <v>1</v>
      </c>
      <c r="AG505" s="5">
        <f>IF(Table3[[#This Row],[Efficiency Difference]]*0.2146 -10 &gt; Table3[[#This Row],[Scoring Margin]], 1, 0)</f>
        <v>1</v>
      </c>
    </row>
    <row r="506" spans="2:33">
      <c r="B506" s="5">
        <v>168.39000000000004</v>
      </c>
      <c r="C506" s="5">
        <v>42</v>
      </c>
      <c r="X506" s="5">
        <v>168.39000000000004</v>
      </c>
      <c r="Y506" s="5">
        <v>42</v>
      </c>
      <c r="Z506" s="5">
        <f>IF(Table3[[#This Row],[Efficiency Difference]]*0.2146 &gt; Table3[[#This Row],[Scoring Margin]], 1, 0)</f>
        <v>0</v>
      </c>
      <c r="AA506" s="5">
        <f>IF(Table3[[#This Row],[Efficiency Difference]]*0.2146 + 7 &gt; Table3[[#This Row],[Scoring Margin]], 1, 0)</f>
        <v>1</v>
      </c>
      <c r="AB506" s="5">
        <f>IF(Table3[[#This Row],[Efficiency Difference]]*0.2146 + 14 &gt; Table3[[#This Row],[Scoring Margin]], 1, 0)</f>
        <v>1</v>
      </c>
      <c r="AC506" s="5">
        <f>IF(Table3[[#This Row],[Efficiency Difference]]*0.2146 + 21 &gt; Table3[[#This Row],[Scoring Margin]], 1, 0)</f>
        <v>1</v>
      </c>
      <c r="AD506" s="5">
        <f>IF(Table3[[#This Row],[Efficiency Difference]]*0.2146 -7 &gt; Table3[[#This Row],[Scoring Margin]], 1, 0)</f>
        <v>0</v>
      </c>
      <c r="AE506" s="5">
        <f>IF(Table3[[#This Row],[Efficiency Difference]]*0.2146 -3 &gt; Table3[[#This Row],[Scoring Margin]], 1, 0)</f>
        <v>0</v>
      </c>
      <c r="AF506" s="5">
        <f>IF(Table3[[#This Row],[Efficiency Difference]]*0.2146 -5 &gt; Table3[[#This Row],[Scoring Margin]], 1, 0)</f>
        <v>0</v>
      </c>
      <c r="AG506" s="5">
        <f>IF(Table3[[#This Row],[Efficiency Difference]]*0.2146 -10 &gt; Table3[[#This Row],[Scoring Margin]], 1, 0)</f>
        <v>0</v>
      </c>
    </row>
    <row r="507" spans="2:33">
      <c r="B507" s="5">
        <v>17.860000000000014</v>
      </c>
      <c r="C507" s="5">
        <v>7</v>
      </c>
      <c r="X507" s="5">
        <v>17.860000000000014</v>
      </c>
      <c r="Y507" s="5">
        <v>7</v>
      </c>
      <c r="Z507" s="5">
        <f>IF(Table3[[#This Row],[Efficiency Difference]]*0.2146 &gt; Table3[[#This Row],[Scoring Margin]], 1, 0)</f>
        <v>0</v>
      </c>
      <c r="AA507" s="5">
        <f>IF(Table3[[#This Row],[Efficiency Difference]]*0.2146 + 7 &gt; Table3[[#This Row],[Scoring Margin]], 1, 0)</f>
        <v>1</v>
      </c>
      <c r="AB507" s="5">
        <f>IF(Table3[[#This Row],[Efficiency Difference]]*0.2146 + 14 &gt; Table3[[#This Row],[Scoring Margin]], 1, 0)</f>
        <v>1</v>
      </c>
      <c r="AC507" s="5">
        <f>IF(Table3[[#This Row],[Efficiency Difference]]*0.2146 + 21 &gt; Table3[[#This Row],[Scoring Margin]], 1, 0)</f>
        <v>1</v>
      </c>
      <c r="AD507" s="5">
        <f>IF(Table3[[#This Row],[Efficiency Difference]]*0.2146 -7 &gt; Table3[[#This Row],[Scoring Margin]], 1, 0)</f>
        <v>0</v>
      </c>
      <c r="AE507" s="5">
        <f>IF(Table3[[#This Row],[Efficiency Difference]]*0.2146 -3 &gt; Table3[[#This Row],[Scoring Margin]], 1, 0)</f>
        <v>0</v>
      </c>
      <c r="AF507" s="5">
        <f>IF(Table3[[#This Row],[Efficiency Difference]]*0.2146 -5 &gt; Table3[[#This Row],[Scoring Margin]], 1, 0)</f>
        <v>0</v>
      </c>
      <c r="AG507" s="5">
        <f>IF(Table3[[#This Row],[Efficiency Difference]]*0.2146 -10 &gt; Table3[[#This Row],[Scoring Margin]], 1, 0)</f>
        <v>0</v>
      </c>
    </row>
    <row r="508" spans="2:33">
      <c r="B508" s="5">
        <v>71.440000000000055</v>
      </c>
      <c r="C508" s="5">
        <v>21</v>
      </c>
      <c r="X508" s="5">
        <v>71.440000000000055</v>
      </c>
      <c r="Y508" s="5">
        <v>21</v>
      </c>
      <c r="Z508" s="5">
        <f>IF(Table3[[#This Row],[Efficiency Difference]]*0.2146 &gt; Table3[[#This Row],[Scoring Margin]], 1, 0)</f>
        <v>0</v>
      </c>
      <c r="AA508" s="5">
        <f>IF(Table3[[#This Row],[Efficiency Difference]]*0.2146 + 7 &gt; Table3[[#This Row],[Scoring Margin]], 1, 0)</f>
        <v>1</v>
      </c>
      <c r="AB508" s="5">
        <f>IF(Table3[[#This Row],[Efficiency Difference]]*0.2146 + 14 &gt; Table3[[#This Row],[Scoring Margin]], 1, 0)</f>
        <v>1</v>
      </c>
      <c r="AC508" s="5">
        <f>IF(Table3[[#This Row],[Efficiency Difference]]*0.2146 + 21 &gt; Table3[[#This Row],[Scoring Margin]], 1, 0)</f>
        <v>1</v>
      </c>
      <c r="AD508" s="5">
        <f>IF(Table3[[#This Row],[Efficiency Difference]]*0.2146 -7 &gt; Table3[[#This Row],[Scoring Margin]], 1, 0)</f>
        <v>0</v>
      </c>
      <c r="AE508" s="5">
        <f>IF(Table3[[#This Row],[Efficiency Difference]]*0.2146 -3 &gt; Table3[[#This Row],[Scoring Margin]], 1, 0)</f>
        <v>0</v>
      </c>
      <c r="AF508" s="5">
        <f>IF(Table3[[#This Row],[Efficiency Difference]]*0.2146 -5 &gt; Table3[[#This Row],[Scoring Margin]], 1, 0)</f>
        <v>0</v>
      </c>
      <c r="AG508" s="5">
        <f>IF(Table3[[#This Row],[Efficiency Difference]]*0.2146 -10 &gt; Table3[[#This Row],[Scoring Margin]], 1, 0)</f>
        <v>0</v>
      </c>
    </row>
    <row r="509" spans="2:33">
      <c r="B509" s="5">
        <v>4.660000000000025</v>
      </c>
      <c r="C509" s="5">
        <v>24</v>
      </c>
      <c r="X509" s="5">
        <v>4.660000000000025</v>
      </c>
      <c r="Y509" s="5">
        <v>24</v>
      </c>
      <c r="Z509" s="5">
        <f>IF(Table3[[#This Row],[Efficiency Difference]]*0.2146 &gt; Table3[[#This Row],[Scoring Margin]], 1, 0)</f>
        <v>0</v>
      </c>
      <c r="AA509" s="5">
        <f>IF(Table3[[#This Row],[Efficiency Difference]]*0.2146 + 7 &gt; Table3[[#This Row],[Scoring Margin]], 1, 0)</f>
        <v>0</v>
      </c>
      <c r="AB509" s="5">
        <f>IF(Table3[[#This Row],[Efficiency Difference]]*0.2146 + 14 &gt; Table3[[#This Row],[Scoring Margin]], 1, 0)</f>
        <v>0</v>
      </c>
      <c r="AC509" s="5">
        <f>IF(Table3[[#This Row],[Efficiency Difference]]*0.2146 + 21 &gt; Table3[[#This Row],[Scoring Margin]], 1, 0)</f>
        <v>0</v>
      </c>
      <c r="AD509" s="5">
        <f>IF(Table3[[#This Row],[Efficiency Difference]]*0.2146 -7 &gt; Table3[[#This Row],[Scoring Margin]], 1, 0)</f>
        <v>0</v>
      </c>
      <c r="AE509" s="5">
        <f>IF(Table3[[#This Row],[Efficiency Difference]]*0.2146 -3 &gt; Table3[[#This Row],[Scoring Margin]], 1, 0)</f>
        <v>0</v>
      </c>
      <c r="AF509" s="5">
        <f>IF(Table3[[#This Row],[Efficiency Difference]]*0.2146 -5 &gt; Table3[[#This Row],[Scoring Margin]], 1, 0)</f>
        <v>0</v>
      </c>
      <c r="AG509" s="5">
        <f>IF(Table3[[#This Row],[Efficiency Difference]]*0.2146 -10 &gt; Table3[[#This Row],[Scoring Margin]], 1, 0)</f>
        <v>0</v>
      </c>
    </row>
    <row r="510" spans="2:33">
      <c r="B510" s="5">
        <v>61.249999999999972</v>
      </c>
      <c r="C510" s="5">
        <v>19</v>
      </c>
      <c r="X510" s="5">
        <v>61.249999999999972</v>
      </c>
      <c r="Y510" s="5">
        <v>19</v>
      </c>
      <c r="Z510" s="5">
        <f>IF(Table3[[#This Row],[Efficiency Difference]]*0.2146 &gt; Table3[[#This Row],[Scoring Margin]], 1, 0)</f>
        <v>0</v>
      </c>
      <c r="AA510" s="5">
        <f>IF(Table3[[#This Row],[Efficiency Difference]]*0.2146 + 7 &gt; Table3[[#This Row],[Scoring Margin]], 1, 0)</f>
        <v>1</v>
      </c>
      <c r="AB510" s="5">
        <f>IF(Table3[[#This Row],[Efficiency Difference]]*0.2146 + 14 &gt; Table3[[#This Row],[Scoring Margin]], 1, 0)</f>
        <v>1</v>
      </c>
      <c r="AC510" s="5">
        <f>IF(Table3[[#This Row],[Efficiency Difference]]*0.2146 + 21 &gt; Table3[[#This Row],[Scoring Margin]], 1, 0)</f>
        <v>1</v>
      </c>
      <c r="AD510" s="5">
        <f>IF(Table3[[#This Row],[Efficiency Difference]]*0.2146 -7 &gt; Table3[[#This Row],[Scoring Margin]], 1, 0)</f>
        <v>0</v>
      </c>
      <c r="AE510" s="5">
        <f>IF(Table3[[#This Row],[Efficiency Difference]]*0.2146 -3 &gt; Table3[[#This Row],[Scoring Margin]], 1, 0)</f>
        <v>0</v>
      </c>
      <c r="AF510" s="5">
        <f>IF(Table3[[#This Row],[Efficiency Difference]]*0.2146 -5 &gt; Table3[[#This Row],[Scoring Margin]], 1, 0)</f>
        <v>0</v>
      </c>
      <c r="AG510" s="5">
        <f>IF(Table3[[#This Row],[Efficiency Difference]]*0.2146 -10 &gt; Table3[[#This Row],[Scoring Margin]], 1, 0)</f>
        <v>0</v>
      </c>
    </row>
    <row r="511" spans="2:33">
      <c r="B511" s="5">
        <v>16.5</v>
      </c>
      <c r="C511" s="5">
        <v>3</v>
      </c>
      <c r="X511" s="5">
        <v>16.5</v>
      </c>
      <c r="Y511" s="5">
        <v>3</v>
      </c>
      <c r="Z511" s="5">
        <f>IF(Table3[[#This Row],[Efficiency Difference]]*0.2146 &gt; Table3[[#This Row],[Scoring Margin]], 1, 0)</f>
        <v>1</v>
      </c>
      <c r="AA511" s="5">
        <f>IF(Table3[[#This Row],[Efficiency Difference]]*0.2146 + 7 &gt; Table3[[#This Row],[Scoring Margin]], 1, 0)</f>
        <v>1</v>
      </c>
      <c r="AB511" s="5">
        <f>IF(Table3[[#This Row],[Efficiency Difference]]*0.2146 + 14 &gt; Table3[[#This Row],[Scoring Margin]], 1, 0)</f>
        <v>1</v>
      </c>
      <c r="AC511" s="5">
        <f>IF(Table3[[#This Row],[Efficiency Difference]]*0.2146 + 21 &gt; Table3[[#This Row],[Scoring Margin]], 1, 0)</f>
        <v>1</v>
      </c>
      <c r="AD511" s="5">
        <f>IF(Table3[[#This Row],[Efficiency Difference]]*0.2146 -7 &gt; Table3[[#This Row],[Scoring Margin]], 1, 0)</f>
        <v>0</v>
      </c>
      <c r="AE511" s="5">
        <f>IF(Table3[[#This Row],[Efficiency Difference]]*0.2146 -3 &gt; Table3[[#This Row],[Scoring Margin]], 1, 0)</f>
        <v>0</v>
      </c>
      <c r="AF511" s="5">
        <f>IF(Table3[[#This Row],[Efficiency Difference]]*0.2146 -5 &gt; Table3[[#This Row],[Scoring Margin]], 1, 0)</f>
        <v>0</v>
      </c>
      <c r="AG511" s="5">
        <f>IF(Table3[[#This Row],[Efficiency Difference]]*0.2146 -10 &gt; Table3[[#This Row],[Scoring Margin]], 1, 0)</f>
        <v>0</v>
      </c>
    </row>
    <row r="512" spans="2:33">
      <c r="B512" s="5">
        <v>86.710000000000036</v>
      </c>
      <c r="C512" s="5">
        <v>18</v>
      </c>
      <c r="X512" s="5">
        <v>86.710000000000036</v>
      </c>
      <c r="Y512" s="5">
        <v>18</v>
      </c>
      <c r="Z512" s="5">
        <f>IF(Table3[[#This Row],[Efficiency Difference]]*0.2146 &gt; Table3[[#This Row],[Scoring Margin]], 1, 0)</f>
        <v>1</v>
      </c>
      <c r="AA512" s="5">
        <f>IF(Table3[[#This Row],[Efficiency Difference]]*0.2146 + 7 &gt; Table3[[#This Row],[Scoring Margin]], 1, 0)</f>
        <v>1</v>
      </c>
      <c r="AB512" s="5">
        <f>IF(Table3[[#This Row],[Efficiency Difference]]*0.2146 + 14 &gt; Table3[[#This Row],[Scoring Margin]], 1, 0)</f>
        <v>1</v>
      </c>
      <c r="AC512" s="5">
        <f>IF(Table3[[#This Row],[Efficiency Difference]]*0.2146 + 21 &gt; Table3[[#This Row],[Scoring Margin]], 1, 0)</f>
        <v>1</v>
      </c>
      <c r="AD512" s="5">
        <f>IF(Table3[[#This Row],[Efficiency Difference]]*0.2146 -7 &gt; Table3[[#This Row],[Scoring Margin]], 1, 0)</f>
        <v>0</v>
      </c>
      <c r="AE512" s="5">
        <f>IF(Table3[[#This Row],[Efficiency Difference]]*0.2146 -3 &gt; Table3[[#This Row],[Scoring Margin]], 1, 0)</f>
        <v>0</v>
      </c>
      <c r="AF512" s="5">
        <f>IF(Table3[[#This Row],[Efficiency Difference]]*0.2146 -5 &gt; Table3[[#This Row],[Scoring Margin]], 1, 0)</f>
        <v>0</v>
      </c>
      <c r="AG512" s="5">
        <f>IF(Table3[[#This Row],[Efficiency Difference]]*0.2146 -10 &gt; Table3[[#This Row],[Scoring Margin]], 1, 0)</f>
        <v>0</v>
      </c>
    </row>
    <row r="513" spans="2:33">
      <c r="B513" s="5">
        <v>27.319999999999965</v>
      </c>
      <c r="C513" s="5">
        <v>3</v>
      </c>
      <c r="X513" s="5">
        <v>27.319999999999965</v>
      </c>
      <c r="Y513" s="5">
        <v>3</v>
      </c>
      <c r="Z513" s="5">
        <f>IF(Table3[[#This Row],[Efficiency Difference]]*0.2146 &gt; Table3[[#This Row],[Scoring Margin]], 1, 0)</f>
        <v>1</v>
      </c>
      <c r="AA513" s="5">
        <f>IF(Table3[[#This Row],[Efficiency Difference]]*0.2146 + 7 &gt; Table3[[#This Row],[Scoring Margin]], 1, 0)</f>
        <v>1</v>
      </c>
      <c r="AB513" s="5">
        <f>IF(Table3[[#This Row],[Efficiency Difference]]*0.2146 + 14 &gt; Table3[[#This Row],[Scoring Margin]], 1, 0)</f>
        <v>1</v>
      </c>
      <c r="AC513" s="5">
        <f>IF(Table3[[#This Row],[Efficiency Difference]]*0.2146 + 21 &gt; Table3[[#This Row],[Scoring Margin]], 1, 0)</f>
        <v>1</v>
      </c>
      <c r="AD513" s="5">
        <f>IF(Table3[[#This Row],[Efficiency Difference]]*0.2146 -7 &gt; Table3[[#This Row],[Scoring Margin]], 1, 0)</f>
        <v>0</v>
      </c>
      <c r="AE513" s="5">
        <f>IF(Table3[[#This Row],[Efficiency Difference]]*0.2146 -3 &gt; Table3[[#This Row],[Scoring Margin]], 1, 0)</f>
        <v>0</v>
      </c>
      <c r="AF513" s="5">
        <f>IF(Table3[[#This Row],[Efficiency Difference]]*0.2146 -5 &gt; Table3[[#This Row],[Scoring Margin]], 1, 0)</f>
        <v>0</v>
      </c>
      <c r="AG513" s="5">
        <f>IF(Table3[[#This Row],[Efficiency Difference]]*0.2146 -10 &gt; Table3[[#This Row],[Scoring Margin]], 1, 0)</f>
        <v>0</v>
      </c>
    </row>
    <row r="514" spans="2:33">
      <c r="B514" s="5">
        <v>252.45</v>
      </c>
      <c r="C514" s="5">
        <v>51</v>
      </c>
      <c r="X514" s="5">
        <v>252.45</v>
      </c>
      <c r="Y514" s="5">
        <v>51</v>
      </c>
      <c r="Z514" s="5">
        <f>IF(Table3[[#This Row],[Efficiency Difference]]*0.2146 &gt; Table3[[#This Row],[Scoring Margin]], 1, 0)</f>
        <v>1</v>
      </c>
      <c r="AA514" s="5">
        <f>IF(Table3[[#This Row],[Efficiency Difference]]*0.2146 + 7 &gt; Table3[[#This Row],[Scoring Margin]], 1, 0)</f>
        <v>1</v>
      </c>
      <c r="AB514" s="5">
        <f>IF(Table3[[#This Row],[Efficiency Difference]]*0.2146 + 14 &gt; Table3[[#This Row],[Scoring Margin]], 1, 0)</f>
        <v>1</v>
      </c>
      <c r="AC514" s="5">
        <f>IF(Table3[[#This Row],[Efficiency Difference]]*0.2146 + 21 &gt; Table3[[#This Row],[Scoring Margin]], 1, 0)</f>
        <v>1</v>
      </c>
      <c r="AD514" s="5">
        <f>IF(Table3[[#This Row],[Efficiency Difference]]*0.2146 -7 &gt; Table3[[#This Row],[Scoring Margin]], 1, 0)</f>
        <v>0</v>
      </c>
      <c r="AE514" s="5">
        <f>IF(Table3[[#This Row],[Efficiency Difference]]*0.2146 -3 &gt; Table3[[#This Row],[Scoring Margin]], 1, 0)</f>
        <v>1</v>
      </c>
      <c r="AF514" s="5">
        <f>IF(Table3[[#This Row],[Efficiency Difference]]*0.2146 -5 &gt; Table3[[#This Row],[Scoring Margin]], 1, 0)</f>
        <v>0</v>
      </c>
      <c r="AG514" s="5">
        <f>IF(Table3[[#This Row],[Efficiency Difference]]*0.2146 -10 &gt; Table3[[#This Row],[Scoring Margin]], 1, 0)</f>
        <v>0</v>
      </c>
    </row>
    <row r="515" spans="2:33">
      <c r="B515" s="5">
        <v>14.230000000000018</v>
      </c>
      <c r="C515" s="5">
        <v>2</v>
      </c>
      <c r="X515" s="5">
        <v>14.230000000000018</v>
      </c>
      <c r="Y515" s="5">
        <v>2</v>
      </c>
      <c r="Z515" s="5">
        <f>IF(Table3[[#This Row],[Efficiency Difference]]*0.2146 &gt; Table3[[#This Row],[Scoring Margin]], 1, 0)</f>
        <v>1</v>
      </c>
      <c r="AA515" s="5">
        <f>IF(Table3[[#This Row],[Efficiency Difference]]*0.2146 + 7 &gt; Table3[[#This Row],[Scoring Margin]], 1, 0)</f>
        <v>1</v>
      </c>
      <c r="AB515" s="5">
        <f>IF(Table3[[#This Row],[Efficiency Difference]]*0.2146 + 14 &gt; Table3[[#This Row],[Scoring Margin]], 1, 0)</f>
        <v>1</v>
      </c>
      <c r="AC515" s="5">
        <f>IF(Table3[[#This Row],[Efficiency Difference]]*0.2146 + 21 &gt; Table3[[#This Row],[Scoring Margin]], 1, 0)</f>
        <v>1</v>
      </c>
      <c r="AD515" s="5">
        <f>IF(Table3[[#This Row],[Efficiency Difference]]*0.2146 -7 &gt; Table3[[#This Row],[Scoring Margin]], 1, 0)</f>
        <v>0</v>
      </c>
      <c r="AE515" s="5">
        <f>IF(Table3[[#This Row],[Efficiency Difference]]*0.2146 -3 &gt; Table3[[#This Row],[Scoring Margin]], 1, 0)</f>
        <v>0</v>
      </c>
      <c r="AF515" s="5">
        <f>IF(Table3[[#This Row],[Efficiency Difference]]*0.2146 -5 &gt; Table3[[#This Row],[Scoring Margin]], 1, 0)</f>
        <v>0</v>
      </c>
      <c r="AG515" s="5">
        <f>IF(Table3[[#This Row],[Efficiency Difference]]*0.2146 -10 &gt; Table3[[#This Row],[Scoring Margin]], 1, 0)</f>
        <v>0</v>
      </c>
    </row>
    <row r="516" spans="2:33">
      <c r="B516" s="5">
        <v>14.740000000000009</v>
      </c>
      <c r="C516" s="5">
        <v>3</v>
      </c>
      <c r="X516" s="5">
        <v>14.740000000000009</v>
      </c>
      <c r="Y516" s="5">
        <v>3</v>
      </c>
      <c r="Z516" s="5">
        <f>IF(Table3[[#This Row],[Efficiency Difference]]*0.2146 &gt; Table3[[#This Row],[Scoring Margin]], 1, 0)</f>
        <v>1</v>
      </c>
      <c r="AA516" s="5">
        <f>IF(Table3[[#This Row],[Efficiency Difference]]*0.2146 + 7 &gt; Table3[[#This Row],[Scoring Margin]], 1, 0)</f>
        <v>1</v>
      </c>
      <c r="AB516" s="5">
        <f>IF(Table3[[#This Row],[Efficiency Difference]]*0.2146 + 14 &gt; Table3[[#This Row],[Scoring Margin]], 1, 0)</f>
        <v>1</v>
      </c>
      <c r="AC516" s="5">
        <f>IF(Table3[[#This Row],[Efficiency Difference]]*0.2146 + 21 &gt; Table3[[#This Row],[Scoring Margin]], 1, 0)</f>
        <v>1</v>
      </c>
      <c r="AD516" s="5">
        <f>IF(Table3[[#This Row],[Efficiency Difference]]*0.2146 -7 &gt; Table3[[#This Row],[Scoring Margin]], 1, 0)</f>
        <v>0</v>
      </c>
      <c r="AE516" s="5">
        <f>IF(Table3[[#This Row],[Efficiency Difference]]*0.2146 -3 &gt; Table3[[#This Row],[Scoring Margin]], 1, 0)</f>
        <v>0</v>
      </c>
      <c r="AF516" s="5">
        <f>IF(Table3[[#This Row],[Efficiency Difference]]*0.2146 -5 &gt; Table3[[#This Row],[Scoring Margin]], 1, 0)</f>
        <v>0</v>
      </c>
      <c r="AG516" s="5">
        <f>IF(Table3[[#This Row],[Efficiency Difference]]*0.2146 -10 &gt; Table3[[#This Row],[Scoring Margin]], 1, 0)</f>
        <v>0</v>
      </c>
    </row>
    <row r="517" spans="2:33">
      <c r="B517" s="5">
        <v>68.160000000000025</v>
      </c>
      <c r="C517" s="5">
        <v>30</v>
      </c>
      <c r="X517" s="5">
        <v>68.160000000000025</v>
      </c>
      <c r="Y517" s="5">
        <v>30</v>
      </c>
      <c r="Z517" s="5">
        <f>IF(Table3[[#This Row],[Efficiency Difference]]*0.2146 &gt; Table3[[#This Row],[Scoring Margin]], 1, 0)</f>
        <v>0</v>
      </c>
      <c r="AA517" s="5">
        <f>IF(Table3[[#This Row],[Efficiency Difference]]*0.2146 + 7 &gt; Table3[[#This Row],[Scoring Margin]], 1, 0)</f>
        <v>0</v>
      </c>
      <c r="AB517" s="5">
        <f>IF(Table3[[#This Row],[Efficiency Difference]]*0.2146 + 14 &gt; Table3[[#This Row],[Scoring Margin]], 1, 0)</f>
        <v>0</v>
      </c>
      <c r="AC517" s="5">
        <f>IF(Table3[[#This Row],[Efficiency Difference]]*0.2146 + 21 &gt; Table3[[#This Row],[Scoring Margin]], 1, 0)</f>
        <v>1</v>
      </c>
      <c r="AD517" s="5">
        <f>IF(Table3[[#This Row],[Efficiency Difference]]*0.2146 -7 &gt; Table3[[#This Row],[Scoring Margin]], 1, 0)</f>
        <v>0</v>
      </c>
      <c r="AE517" s="5">
        <f>IF(Table3[[#This Row],[Efficiency Difference]]*0.2146 -3 &gt; Table3[[#This Row],[Scoring Margin]], 1, 0)</f>
        <v>0</v>
      </c>
      <c r="AF517" s="5">
        <f>IF(Table3[[#This Row],[Efficiency Difference]]*0.2146 -5 &gt; Table3[[#This Row],[Scoring Margin]], 1, 0)</f>
        <v>0</v>
      </c>
      <c r="AG517" s="5">
        <f>IF(Table3[[#This Row],[Efficiency Difference]]*0.2146 -10 &gt; Table3[[#This Row],[Scoring Margin]], 1, 0)</f>
        <v>0</v>
      </c>
    </row>
    <row r="518" spans="2:33">
      <c r="B518" s="5">
        <v>171.29</v>
      </c>
      <c r="C518" s="5">
        <v>28</v>
      </c>
      <c r="X518" s="5">
        <v>171.29</v>
      </c>
      <c r="Y518" s="5">
        <v>28</v>
      </c>
      <c r="Z518" s="5">
        <f>IF(Table3[[#This Row],[Efficiency Difference]]*0.2146 &gt; Table3[[#This Row],[Scoring Margin]], 1, 0)</f>
        <v>1</v>
      </c>
      <c r="AA518" s="5">
        <f>IF(Table3[[#This Row],[Efficiency Difference]]*0.2146 + 7 &gt; Table3[[#This Row],[Scoring Margin]], 1, 0)</f>
        <v>1</v>
      </c>
      <c r="AB518" s="5">
        <f>IF(Table3[[#This Row],[Efficiency Difference]]*0.2146 + 14 &gt; Table3[[#This Row],[Scoring Margin]], 1, 0)</f>
        <v>1</v>
      </c>
      <c r="AC518" s="5">
        <f>IF(Table3[[#This Row],[Efficiency Difference]]*0.2146 + 21 &gt; Table3[[#This Row],[Scoring Margin]], 1, 0)</f>
        <v>1</v>
      </c>
      <c r="AD518" s="5">
        <f>IF(Table3[[#This Row],[Efficiency Difference]]*0.2146 -7 &gt; Table3[[#This Row],[Scoring Margin]], 1, 0)</f>
        <v>1</v>
      </c>
      <c r="AE518" s="5">
        <f>IF(Table3[[#This Row],[Efficiency Difference]]*0.2146 -3 &gt; Table3[[#This Row],[Scoring Margin]], 1, 0)</f>
        <v>1</v>
      </c>
      <c r="AF518" s="5">
        <f>IF(Table3[[#This Row],[Efficiency Difference]]*0.2146 -5 &gt; Table3[[#This Row],[Scoring Margin]], 1, 0)</f>
        <v>1</v>
      </c>
      <c r="AG518" s="5">
        <f>IF(Table3[[#This Row],[Efficiency Difference]]*0.2146 -10 &gt; Table3[[#This Row],[Scoring Margin]], 1, 0)</f>
        <v>0</v>
      </c>
    </row>
    <row r="519" spans="2:33">
      <c r="B519" s="5">
        <v>35.659999999999997</v>
      </c>
      <c r="C519" s="5">
        <v>27</v>
      </c>
      <c r="X519" s="5">
        <v>35.659999999999997</v>
      </c>
      <c r="Y519" s="5">
        <v>27</v>
      </c>
      <c r="Z519" s="5">
        <f>IF(Table3[[#This Row],[Efficiency Difference]]*0.2146 &gt; Table3[[#This Row],[Scoring Margin]], 1, 0)</f>
        <v>0</v>
      </c>
      <c r="AA519" s="5">
        <f>IF(Table3[[#This Row],[Efficiency Difference]]*0.2146 + 7 &gt; Table3[[#This Row],[Scoring Margin]], 1, 0)</f>
        <v>0</v>
      </c>
      <c r="AB519" s="5">
        <f>IF(Table3[[#This Row],[Efficiency Difference]]*0.2146 + 14 &gt; Table3[[#This Row],[Scoring Margin]], 1, 0)</f>
        <v>0</v>
      </c>
      <c r="AC519" s="5">
        <f>IF(Table3[[#This Row],[Efficiency Difference]]*0.2146 + 21 &gt; Table3[[#This Row],[Scoring Margin]], 1, 0)</f>
        <v>1</v>
      </c>
      <c r="AD519" s="5">
        <f>IF(Table3[[#This Row],[Efficiency Difference]]*0.2146 -7 &gt; Table3[[#This Row],[Scoring Margin]], 1, 0)</f>
        <v>0</v>
      </c>
      <c r="AE519" s="5">
        <f>IF(Table3[[#This Row],[Efficiency Difference]]*0.2146 -3 &gt; Table3[[#This Row],[Scoring Margin]], 1, 0)</f>
        <v>0</v>
      </c>
      <c r="AF519" s="5">
        <f>IF(Table3[[#This Row],[Efficiency Difference]]*0.2146 -5 &gt; Table3[[#This Row],[Scoring Margin]], 1, 0)</f>
        <v>0</v>
      </c>
      <c r="AG519" s="5">
        <f>IF(Table3[[#This Row],[Efficiency Difference]]*0.2146 -10 &gt; Table3[[#This Row],[Scoring Margin]], 1, 0)</f>
        <v>0</v>
      </c>
    </row>
    <row r="520" spans="2:33">
      <c r="B520" s="5">
        <v>36.759999999999962</v>
      </c>
      <c r="C520" s="5">
        <v>6</v>
      </c>
      <c r="X520" s="5">
        <v>36.759999999999962</v>
      </c>
      <c r="Y520" s="5">
        <v>6</v>
      </c>
      <c r="Z520" s="5">
        <f>IF(Table3[[#This Row],[Efficiency Difference]]*0.2146 &gt; Table3[[#This Row],[Scoring Margin]], 1, 0)</f>
        <v>1</v>
      </c>
      <c r="AA520" s="5">
        <f>IF(Table3[[#This Row],[Efficiency Difference]]*0.2146 + 7 &gt; Table3[[#This Row],[Scoring Margin]], 1, 0)</f>
        <v>1</v>
      </c>
      <c r="AB520" s="5">
        <f>IF(Table3[[#This Row],[Efficiency Difference]]*0.2146 + 14 &gt; Table3[[#This Row],[Scoring Margin]], 1, 0)</f>
        <v>1</v>
      </c>
      <c r="AC520" s="5">
        <f>IF(Table3[[#This Row],[Efficiency Difference]]*0.2146 + 21 &gt; Table3[[#This Row],[Scoring Margin]], 1, 0)</f>
        <v>1</v>
      </c>
      <c r="AD520" s="5">
        <f>IF(Table3[[#This Row],[Efficiency Difference]]*0.2146 -7 &gt; Table3[[#This Row],[Scoring Margin]], 1, 0)</f>
        <v>0</v>
      </c>
      <c r="AE520" s="5">
        <f>IF(Table3[[#This Row],[Efficiency Difference]]*0.2146 -3 &gt; Table3[[#This Row],[Scoring Margin]], 1, 0)</f>
        <v>0</v>
      </c>
      <c r="AF520" s="5">
        <f>IF(Table3[[#This Row],[Efficiency Difference]]*0.2146 -5 &gt; Table3[[#This Row],[Scoring Margin]], 1, 0)</f>
        <v>0</v>
      </c>
      <c r="AG520" s="5">
        <f>IF(Table3[[#This Row],[Efficiency Difference]]*0.2146 -10 &gt; Table3[[#This Row],[Scoring Margin]], 1, 0)</f>
        <v>0</v>
      </c>
    </row>
    <row r="521" spans="2:33">
      <c r="B521" s="5">
        <v>43.239999999999981</v>
      </c>
      <c r="C521" s="5">
        <v>3</v>
      </c>
      <c r="X521" s="5">
        <v>43.239999999999981</v>
      </c>
      <c r="Y521" s="5">
        <v>3</v>
      </c>
      <c r="Z521" s="5">
        <f>IF(Table3[[#This Row],[Efficiency Difference]]*0.2146 &gt; Table3[[#This Row],[Scoring Margin]], 1, 0)</f>
        <v>1</v>
      </c>
      <c r="AA521" s="5">
        <f>IF(Table3[[#This Row],[Efficiency Difference]]*0.2146 + 7 &gt; Table3[[#This Row],[Scoring Margin]], 1, 0)</f>
        <v>1</v>
      </c>
      <c r="AB521" s="5">
        <f>IF(Table3[[#This Row],[Efficiency Difference]]*0.2146 + 14 &gt; Table3[[#This Row],[Scoring Margin]], 1, 0)</f>
        <v>1</v>
      </c>
      <c r="AC521" s="5">
        <f>IF(Table3[[#This Row],[Efficiency Difference]]*0.2146 + 21 &gt; Table3[[#This Row],[Scoring Margin]], 1, 0)</f>
        <v>1</v>
      </c>
      <c r="AD521" s="5">
        <f>IF(Table3[[#This Row],[Efficiency Difference]]*0.2146 -7 &gt; Table3[[#This Row],[Scoring Margin]], 1, 0)</f>
        <v>0</v>
      </c>
      <c r="AE521" s="5">
        <f>IF(Table3[[#This Row],[Efficiency Difference]]*0.2146 -3 &gt; Table3[[#This Row],[Scoring Margin]], 1, 0)</f>
        <v>1</v>
      </c>
      <c r="AF521" s="5">
        <f>IF(Table3[[#This Row],[Efficiency Difference]]*0.2146 -5 &gt; Table3[[#This Row],[Scoring Margin]], 1, 0)</f>
        <v>1</v>
      </c>
      <c r="AG521" s="5">
        <f>IF(Table3[[#This Row],[Efficiency Difference]]*0.2146 -10 &gt; Table3[[#This Row],[Scoring Margin]], 1, 0)</f>
        <v>0</v>
      </c>
    </row>
    <row r="522" spans="2:33">
      <c r="B522" s="5">
        <v>72.079999999999984</v>
      </c>
      <c r="C522" s="5">
        <v>10</v>
      </c>
      <c r="X522" s="5">
        <v>72.079999999999984</v>
      </c>
      <c r="Y522" s="5">
        <v>10</v>
      </c>
      <c r="Z522" s="5">
        <f>IF(Table3[[#This Row],[Efficiency Difference]]*0.2146 &gt; Table3[[#This Row],[Scoring Margin]], 1, 0)</f>
        <v>1</v>
      </c>
      <c r="AA522" s="5">
        <f>IF(Table3[[#This Row],[Efficiency Difference]]*0.2146 + 7 &gt; Table3[[#This Row],[Scoring Margin]], 1, 0)</f>
        <v>1</v>
      </c>
      <c r="AB522" s="5">
        <f>IF(Table3[[#This Row],[Efficiency Difference]]*0.2146 + 14 &gt; Table3[[#This Row],[Scoring Margin]], 1, 0)</f>
        <v>1</v>
      </c>
      <c r="AC522" s="5">
        <f>IF(Table3[[#This Row],[Efficiency Difference]]*0.2146 + 21 &gt; Table3[[#This Row],[Scoring Margin]], 1, 0)</f>
        <v>1</v>
      </c>
      <c r="AD522" s="5">
        <f>IF(Table3[[#This Row],[Efficiency Difference]]*0.2146 -7 &gt; Table3[[#This Row],[Scoring Margin]], 1, 0)</f>
        <v>0</v>
      </c>
      <c r="AE522" s="5">
        <f>IF(Table3[[#This Row],[Efficiency Difference]]*0.2146 -3 &gt; Table3[[#This Row],[Scoring Margin]], 1, 0)</f>
        <v>1</v>
      </c>
      <c r="AF522" s="5">
        <f>IF(Table3[[#This Row],[Efficiency Difference]]*0.2146 -5 &gt; Table3[[#This Row],[Scoring Margin]], 1, 0)</f>
        <v>1</v>
      </c>
      <c r="AG522" s="5">
        <f>IF(Table3[[#This Row],[Efficiency Difference]]*0.2146 -10 &gt; Table3[[#This Row],[Scoring Margin]], 1, 0)</f>
        <v>0</v>
      </c>
    </row>
    <row r="523" spans="2:33">
      <c r="B523" s="5">
        <v>0.61999999999997613</v>
      </c>
      <c r="C523" s="5">
        <v>2</v>
      </c>
      <c r="X523" s="5">
        <v>0.61999999999997613</v>
      </c>
      <c r="Y523" s="5">
        <v>2</v>
      </c>
      <c r="Z523" s="5">
        <f>IF(Table3[[#This Row],[Efficiency Difference]]*0.2146 &gt; Table3[[#This Row],[Scoring Margin]], 1, 0)</f>
        <v>0</v>
      </c>
      <c r="AA523" s="5">
        <f>IF(Table3[[#This Row],[Efficiency Difference]]*0.2146 + 7 &gt; Table3[[#This Row],[Scoring Margin]], 1, 0)</f>
        <v>1</v>
      </c>
      <c r="AB523" s="5">
        <f>IF(Table3[[#This Row],[Efficiency Difference]]*0.2146 + 14 &gt; Table3[[#This Row],[Scoring Margin]], 1, 0)</f>
        <v>1</v>
      </c>
      <c r="AC523" s="5">
        <f>IF(Table3[[#This Row],[Efficiency Difference]]*0.2146 + 21 &gt; Table3[[#This Row],[Scoring Margin]], 1, 0)</f>
        <v>1</v>
      </c>
      <c r="AD523" s="5">
        <f>IF(Table3[[#This Row],[Efficiency Difference]]*0.2146 -7 &gt; Table3[[#This Row],[Scoring Margin]], 1, 0)</f>
        <v>0</v>
      </c>
      <c r="AE523" s="5">
        <f>IF(Table3[[#This Row],[Efficiency Difference]]*0.2146 -3 &gt; Table3[[#This Row],[Scoring Margin]], 1, 0)</f>
        <v>0</v>
      </c>
      <c r="AF523" s="5">
        <f>IF(Table3[[#This Row],[Efficiency Difference]]*0.2146 -5 &gt; Table3[[#This Row],[Scoring Margin]], 1, 0)</f>
        <v>0</v>
      </c>
      <c r="AG523" s="5">
        <f>IF(Table3[[#This Row],[Efficiency Difference]]*0.2146 -10 &gt; Table3[[#This Row],[Scoring Margin]], 1, 0)</f>
        <v>0</v>
      </c>
    </row>
    <row r="524" spans="2:33">
      <c r="B524" s="5">
        <v>31.03</v>
      </c>
      <c r="C524" s="5">
        <v>9</v>
      </c>
      <c r="X524" s="5">
        <v>31.03</v>
      </c>
      <c r="Y524" s="5">
        <v>9</v>
      </c>
      <c r="Z524" s="5">
        <f>IF(Table3[[#This Row],[Efficiency Difference]]*0.2146 &gt; Table3[[#This Row],[Scoring Margin]], 1, 0)</f>
        <v>0</v>
      </c>
      <c r="AA524" s="5">
        <f>IF(Table3[[#This Row],[Efficiency Difference]]*0.2146 + 7 &gt; Table3[[#This Row],[Scoring Margin]], 1, 0)</f>
        <v>1</v>
      </c>
      <c r="AB524" s="5">
        <f>IF(Table3[[#This Row],[Efficiency Difference]]*0.2146 + 14 &gt; Table3[[#This Row],[Scoring Margin]], 1, 0)</f>
        <v>1</v>
      </c>
      <c r="AC524" s="5">
        <f>IF(Table3[[#This Row],[Efficiency Difference]]*0.2146 + 21 &gt; Table3[[#This Row],[Scoring Margin]], 1, 0)</f>
        <v>1</v>
      </c>
      <c r="AD524" s="5">
        <f>IF(Table3[[#This Row],[Efficiency Difference]]*0.2146 -7 &gt; Table3[[#This Row],[Scoring Margin]], 1, 0)</f>
        <v>0</v>
      </c>
      <c r="AE524" s="5">
        <f>IF(Table3[[#This Row],[Efficiency Difference]]*0.2146 -3 &gt; Table3[[#This Row],[Scoring Margin]], 1, 0)</f>
        <v>0</v>
      </c>
      <c r="AF524" s="5">
        <f>IF(Table3[[#This Row],[Efficiency Difference]]*0.2146 -5 &gt; Table3[[#This Row],[Scoring Margin]], 1, 0)</f>
        <v>0</v>
      </c>
      <c r="AG524" s="5">
        <f>IF(Table3[[#This Row],[Efficiency Difference]]*0.2146 -10 &gt; Table3[[#This Row],[Scoring Margin]], 1, 0)</f>
        <v>0</v>
      </c>
    </row>
    <row r="525" spans="2:33">
      <c r="B525" s="5">
        <v>64.929999999999978</v>
      </c>
      <c r="C525" s="5">
        <v>21</v>
      </c>
      <c r="X525" s="5">
        <v>64.929999999999978</v>
      </c>
      <c r="Y525" s="5">
        <v>21</v>
      </c>
      <c r="Z525" s="5">
        <f>IF(Table3[[#This Row],[Efficiency Difference]]*0.2146 &gt; Table3[[#This Row],[Scoring Margin]], 1, 0)</f>
        <v>0</v>
      </c>
      <c r="AA525" s="5">
        <f>IF(Table3[[#This Row],[Efficiency Difference]]*0.2146 + 7 &gt; Table3[[#This Row],[Scoring Margin]], 1, 0)</f>
        <v>0</v>
      </c>
      <c r="AB525" s="5">
        <f>IF(Table3[[#This Row],[Efficiency Difference]]*0.2146 + 14 &gt; Table3[[#This Row],[Scoring Margin]], 1, 0)</f>
        <v>1</v>
      </c>
      <c r="AC525" s="5">
        <f>IF(Table3[[#This Row],[Efficiency Difference]]*0.2146 + 21 &gt; Table3[[#This Row],[Scoring Margin]], 1, 0)</f>
        <v>1</v>
      </c>
      <c r="AD525" s="5">
        <f>IF(Table3[[#This Row],[Efficiency Difference]]*0.2146 -7 &gt; Table3[[#This Row],[Scoring Margin]], 1, 0)</f>
        <v>0</v>
      </c>
      <c r="AE525" s="5">
        <f>IF(Table3[[#This Row],[Efficiency Difference]]*0.2146 -3 &gt; Table3[[#This Row],[Scoring Margin]], 1, 0)</f>
        <v>0</v>
      </c>
      <c r="AF525" s="5">
        <f>IF(Table3[[#This Row],[Efficiency Difference]]*0.2146 -5 &gt; Table3[[#This Row],[Scoring Margin]], 1, 0)</f>
        <v>0</v>
      </c>
      <c r="AG525" s="5">
        <f>IF(Table3[[#This Row],[Efficiency Difference]]*0.2146 -10 &gt; Table3[[#This Row],[Scoring Margin]], 1, 0)</f>
        <v>0</v>
      </c>
    </row>
    <row r="526" spans="2:33">
      <c r="B526" s="5">
        <v>50.009999999999991</v>
      </c>
      <c r="C526" s="5">
        <v>21</v>
      </c>
      <c r="X526" s="5">
        <v>50.009999999999991</v>
      </c>
      <c r="Y526" s="5">
        <v>21</v>
      </c>
      <c r="Z526" s="5">
        <f>IF(Table3[[#This Row],[Efficiency Difference]]*0.2146 &gt; Table3[[#This Row],[Scoring Margin]], 1, 0)</f>
        <v>0</v>
      </c>
      <c r="AA526" s="5">
        <f>IF(Table3[[#This Row],[Efficiency Difference]]*0.2146 + 7 &gt; Table3[[#This Row],[Scoring Margin]], 1, 0)</f>
        <v>0</v>
      </c>
      <c r="AB526" s="5">
        <f>IF(Table3[[#This Row],[Efficiency Difference]]*0.2146 + 14 &gt; Table3[[#This Row],[Scoring Margin]], 1, 0)</f>
        <v>1</v>
      </c>
      <c r="AC526" s="5">
        <f>IF(Table3[[#This Row],[Efficiency Difference]]*0.2146 + 21 &gt; Table3[[#This Row],[Scoring Margin]], 1, 0)</f>
        <v>1</v>
      </c>
      <c r="AD526" s="5">
        <f>IF(Table3[[#This Row],[Efficiency Difference]]*0.2146 -7 &gt; Table3[[#This Row],[Scoring Margin]], 1, 0)</f>
        <v>0</v>
      </c>
      <c r="AE526" s="5">
        <f>IF(Table3[[#This Row],[Efficiency Difference]]*0.2146 -3 &gt; Table3[[#This Row],[Scoring Margin]], 1, 0)</f>
        <v>0</v>
      </c>
      <c r="AF526" s="5">
        <f>IF(Table3[[#This Row],[Efficiency Difference]]*0.2146 -5 &gt; Table3[[#This Row],[Scoring Margin]], 1, 0)</f>
        <v>0</v>
      </c>
      <c r="AG526" s="5">
        <f>IF(Table3[[#This Row],[Efficiency Difference]]*0.2146 -10 &gt; Table3[[#This Row],[Scoring Margin]], 1, 0)</f>
        <v>0</v>
      </c>
    </row>
    <row r="527" spans="2:33">
      <c r="B527" s="5">
        <v>52.09</v>
      </c>
      <c r="C527" s="5">
        <v>7</v>
      </c>
      <c r="X527" s="5">
        <v>52.09</v>
      </c>
      <c r="Y527" s="5">
        <v>7</v>
      </c>
      <c r="Z527" s="5">
        <f>IF(Table3[[#This Row],[Efficiency Difference]]*0.2146 &gt; Table3[[#This Row],[Scoring Margin]], 1, 0)</f>
        <v>1</v>
      </c>
      <c r="AA527" s="5">
        <f>IF(Table3[[#This Row],[Efficiency Difference]]*0.2146 + 7 &gt; Table3[[#This Row],[Scoring Margin]], 1, 0)</f>
        <v>1</v>
      </c>
      <c r="AB527" s="5">
        <f>IF(Table3[[#This Row],[Efficiency Difference]]*0.2146 + 14 &gt; Table3[[#This Row],[Scoring Margin]], 1, 0)</f>
        <v>1</v>
      </c>
      <c r="AC527" s="5">
        <f>IF(Table3[[#This Row],[Efficiency Difference]]*0.2146 + 21 &gt; Table3[[#This Row],[Scoring Margin]], 1, 0)</f>
        <v>1</v>
      </c>
      <c r="AD527" s="5">
        <f>IF(Table3[[#This Row],[Efficiency Difference]]*0.2146 -7 &gt; Table3[[#This Row],[Scoring Margin]], 1, 0)</f>
        <v>0</v>
      </c>
      <c r="AE527" s="5">
        <f>IF(Table3[[#This Row],[Efficiency Difference]]*0.2146 -3 &gt; Table3[[#This Row],[Scoring Margin]], 1, 0)</f>
        <v>1</v>
      </c>
      <c r="AF527" s="5">
        <f>IF(Table3[[#This Row],[Efficiency Difference]]*0.2146 -5 &gt; Table3[[#This Row],[Scoring Margin]], 1, 0)</f>
        <v>0</v>
      </c>
      <c r="AG527" s="5">
        <f>IF(Table3[[#This Row],[Efficiency Difference]]*0.2146 -10 &gt; Table3[[#This Row],[Scoring Margin]], 1, 0)</f>
        <v>0</v>
      </c>
    </row>
    <row r="528" spans="2:33">
      <c r="B528" s="5">
        <v>66.660000000000025</v>
      </c>
      <c r="C528" s="5">
        <v>21</v>
      </c>
      <c r="X528" s="5">
        <v>66.660000000000025</v>
      </c>
      <c r="Y528" s="5">
        <v>21</v>
      </c>
      <c r="Z528" s="5">
        <f>IF(Table3[[#This Row],[Efficiency Difference]]*0.2146 &gt; Table3[[#This Row],[Scoring Margin]], 1, 0)</f>
        <v>0</v>
      </c>
      <c r="AA528" s="5">
        <f>IF(Table3[[#This Row],[Efficiency Difference]]*0.2146 + 7 &gt; Table3[[#This Row],[Scoring Margin]], 1, 0)</f>
        <v>1</v>
      </c>
      <c r="AB528" s="5">
        <f>IF(Table3[[#This Row],[Efficiency Difference]]*0.2146 + 14 &gt; Table3[[#This Row],[Scoring Margin]], 1, 0)</f>
        <v>1</v>
      </c>
      <c r="AC528" s="5">
        <f>IF(Table3[[#This Row],[Efficiency Difference]]*0.2146 + 21 &gt; Table3[[#This Row],[Scoring Margin]], 1, 0)</f>
        <v>1</v>
      </c>
      <c r="AD528" s="5">
        <f>IF(Table3[[#This Row],[Efficiency Difference]]*0.2146 -7 &gt; Table3[[#This Row],[Scoring Margin]], 1, 0)</f>
        <v>0</v>
      </c>
      <c r="AE528" s="5">
        <f>IF(Table3[[#This Row],[Efficiency Difference]]*0.2146 -3 &gt; Table3[[#This Row],[Scoring Margin]], 1, 0)</f>
        <v>0</v>
      </c>
      <c r="AF528" s="5">
        <f>IF(Table3[[#This Row],[Efficiency Difference]]*0.2146 -5 &gt; Table3[[#This Row],[Scoring Margin]], 1, 0)</f>
        <v>0</v>
      </c>
      <c r="AG528" s="5">
        <f>IF(Table3[[#This Row],[Efficiency Difference]]*0.2146 -10 &gt; Table3[[#This Row],[Scoring Margin]], 1, 0)</f>
        <v>0</v>
      </c>
    </row>
    <row r="529" spans="2:33">
      <c r="B529" s="5">
        <v>172.18</v>
      </c>
      <c r="C529" s="5">
        <v>46</v>
      </c>
      <c r="X529" s="5">
        <v>172.18</v>
      </c>
      <c r="Y529" s="5">
        <v>46</v>
      </c>
      <c r="Z529" s="5">
        <f>IF(Table3[[#This Row],[Efficiency Difference]]*0.2146 &gt; Table3[[#This Row],[Scoring Margin]], 1, 0)</f>
        <v>0</v>
      </c>
      <c r="AA529" s="5">
        <f>IF(Table3[[#This Row],[Efficiency Difference]]*0.2146 + 7 &gt; Table3[[#This Row],[Scoring Margin]], 1, 0)</f>
        <v>0</v>
      </c>
      <c r="AB529" s="5">
        <f>IF(Table3[[#This Row],[Efficiency Difference]]*0.2146 + 14 &gt; Table3[[#This Row],[Scoring Margin]], 1, 0)</f>
        <v>1</v>
      </c>
      <c r="AC529" s="5">
        <f>IF(Table3[[#This Row],[Efficiency Difference]]*0.2146 + 21 &gt; Table3[[#This Row],[Scoring Margin]], 1, 0)</f>
        <v>1</v>
      </c>
      <c r="AD529" s="5">
        <f>IF(Table3[[#This Row],[Efficiency Difference]]*0.2146 -7 &gt; Table3[[#This Row],[Scoring Margin]], 1, 0)</f>
        <v>0</v>
      </c>
      <c r="AE529" s="5">
        <f>IF(Table3[[#This Row],[Efficiency Difference]]*0.2146 -3 &gt; Table3[[#This Row],[Scoring Margin]], 1, 0)</f>
        <v>0</v>
      </c>
      <c r="AF529" s="5">
        <f>IF(Table3[[#This Row],[Efficiency Difference]]*0.2146 -5 &gt; Table3[[#This Row],[Scoring Margin]], 1, 0)</f>
        <v>0</v>
      </c>
      <c r="AG529" s="5">
        <f>IF(Table3[[#This Row],[Efficiency Difference]]*0.2146 -10 &gt; Table3[[#This Row],[Scoring Margin]], 1, 0)</f>
        <v>0</v>
      </c>
    </row>
    <row r="530" spans="2:33">
      <c r="B530" s="5">
        <v>34.69</v>
      </c>
      <c r="C530" s="5">
        <v>2</v>
      </c>
      <c r="X530" s="5">
        <v>34.69</v>
      </c>
      <c r="Y530" s="5">
        <v>2</v>
      </c>
      <c r="Z530" s="5">
        <f>IF(Table3[[#This Row],[Efficiency Difference]]*0.2146 &gt; Table3[[#This Row],[Scoring Margin]], 1, 0)</f>
        <v>1</v>
      </c>
      <c r="AA530" s="5">
        <f>IF(Table3[[#This Row],[Efficiency Difference]]*0.2146 + 7 &gt; Table3[[#This Row],[Scoring Margin]], 1, 0)</f>
        <v>1</v>
      </c>
      <c r="AB530" s="5">
        <f>IF(Table3[[#This Row],[Efficiency Difference]]*0.2146 + 14 &gt; Table3[[#This Row],[Scoring Margin]], 1, 0)</f>
        <v>1</v>
      </c>
      <c r="AC530" s="5">
        <f>IF(Table3[[#This Row],[Efficiency Difference]]*0.2146 + 21 &gt; Table3[[#This Row],[Scoring Margin]], 1, 0)</f>
        <v>1</v>
      </c>
      <c r="AD530" s="5">
        <f>IF(Table3[[#This Row],[Efficiency Difference]]*0.2146 -7 &gt; Table3[[#This Row],[Scoring Margin]], 1, 0)</f>
        <v>0</v>
      </c>
      <c r="AE530" s="5">
        <f>IF(Table3[[#This Row],[Efficiency Difference]]*0.2146 -3 &gt; Table3[[#This Row],[Scoring Margin]], 1, 0)</f>
        <v>1</v>
      </c>
      <c r="AF530" s="5">
        <f>IF(Table3[[#This Row],[Efficiency Difference]]*0.2146 -5 &gt; Table3[[#This Row],[Scoring Margin]], 1, 0)</f>
        <v>1</v>
      </c>
      <c r="AG530" s="5">
        <f>IF(Table3[[#This Row],[Efficiency Difference]]*0.2146 -10 &gt; Table3[[#This Row],[Scoring Margin]], 1, 0)</f>
        <v>0</v>
      </c>
    </row>
    <row r="531" spans="2:33">
      <c r="B531" s="5">
        <v>57.839999999999989</v>
      </c>
      <c r="C531" s="5">
        <v>6</v>
      </c>
      <c r="X531" s="5">
        <v>57.839999999999989</v>
      </c>
      <c r="Y531" s="5">
        <v>6</v>
      </c>
      <c r="Z531" s="5">
        <f>IF(Table3[[#This Row],[Efficiency Difference]]*0.2146 &gt; Table3[[#This Row],[Scoring Margin]], 1, 0)</f>
        <v>1</v>
      </c>
      <c r="AA531" s="5">
        <f>IF(Table3[[#This Row],[Efficiency Difference]]*0.2146 + 7 &gt; Table3[[#This Row],[Scoring Margin]], 1, 0)</f>
        <v>1</v>
      </c>
      <c r="AB531" s="5">
        <f>IF(Table3[[#This Row],[Efficiency Difference]]*0.2146 + 14 &gt; Table3[[#This Row],[Scoring Margin]], 1, 0)</f>
        <v>1</v>
      </c>
      <c r="AC531" s="5">
        <f>IF(Table3[[#This Row],[Efficiency Difference]]*0.2146 + 21 &gt; Table3[[#This Row],[Scoring Margin]], 1, 0)</f>
        <v>1</v>
      </c>
      <c r="AD531" s="5">
        <f>IF(Table3[[#This Row],[Efficiency Difference]]*0.2146 -7 &gt; Table3[[#This Row],[Scoring Margin]], 1, 0)</f>
        <v>0</v>
      </c>
      <c r="AE531" s="5">
        <f>IF(Table3[[#This Row],[Efficiency Difference]]*0.2146 -3 &gt; Table3[[#This Row],[Scoring Margin]], 1, 0)</f>
        <v>1</v>
      </c>
      <c r="AF531" s="5">
        <f>IF(Table3[[#This Row],[Efficiency Difference]]*0.2146 -5 &gt; Table3[[#This Row],[Scoring Margin]], 1, 0)</f>
        <v>1</v>
      </c>
      <c r="AG531" s="5">
        <f>IF(Table3[[#This Row],[Efficiency Difference]]*0.2146 -10 &gt; Table3[[#This Row],[Scoring Margin]], 1, 0)</f>
        <v>0</v>
      </c>
    </row>
    <row r="532" spans="2:33">
      <c r="B532" s="5">
        <v>18.180000000000007</v>
      </c>
      <c r="C532" s="5">
        <v>6</v>
      </c>
      <c r="X532" s="5">
        <v>18.180000000000007</v>
      </c>
      <c r="Y532" s="5">
        <v>6</v>
      </c>
      <c r="Z532" s="5">
        <f>IF(Table3[[#This Row],[Efficiency Difference]]*0.2146 &gt; Table3[[#This Row],[Scoring Margin]], 1, 0)</f>
        <v>0</v>
      </c>
      <c r="AA532" s="5">
        <f>IF(Table3[[#This Row],[Efficiency Difference]]*0.2146 + 7 &gt; Table3[[#This Row],[Scoring Margin]], 1, 0)</f>
        <v>1</v>
      </c>
      <c r="AB532" s="5">
        <f>IF(Table3[[#This Row],[Efficiency Difference]]*0.2146 + 14 &gt; Table3[[#This Row],[Scoring Margin]], 1, 0)</f>
        <v>1</v>
      </c>
      <c r="AC532" s="5">
        <f>IF(Table3[[#This Row],[Efficiency Difference]]*0.2146 + 21 &gt; Table3[[#This Row],[Scoring Margin]], 1, 0)</f>
        <v>1</v>
      </c>
      <c r="AD532" s="5">
        <f>IF(Table3[[#This Row],[Efficiency Difference]]*0.2146 -7 &gt; Table3[[#This Row],[Scoring Margin]], 1, 0)</f>
        <v>0</v>
      </c>
      <c r="AE532" s="5">
        <f>IF(Table3[[#This Row],[Efficiency Difference]]*0.2146 -3 &gt; Table3[[#This Row],[Scoring Margin]], 1, 0)</f>
        <v>0</v>
      </c>
      <c r="AF532" s="5">
        <f>IF(Table3[[#This Row],[Efficiency Difference]]*0.2146 -5 &gt; Table3[[#This Row],[Scoring Margin]], 1, 0)</f>
        <v>0</v>
      </c>
      <c r="AG532" s="5">
        <f>IF(Table3[[#This Row],[Efficiency Difference]]*0.2146 -10 &gt; Table3[[#This Row],[Scoring Margin]], 1, 0)</f>
        <v>0</v>
      </c>
    </row>
    <row r="533" spans="2:33">
      <c r="B533" s="5">
        <v>181.79999999999995</v>
      </c>
      <c r="C533" s="5">
        <v>24</v>
      </c>
      <c r="X533" s="5">
        <v>181.79999999999995</v>
      </c>
      <c r="Y533" s="5">
        <v>24</v>
      </c>
      <c r="Z533" s="5">
        <f>IF(Table3[[#This Row],[Efficiency Difference]]*0.2146 &gt; Table3[[#This Row],[Scoring Margin]], 1, 0)</f>
        <v>1</v>
      </c>
      <c r="AA533" s="5">
        <f>IF(Table3[[#This Row],[Efficiency Difference]]*0.2146 + 7 &gt; Table3[[#This Row],[Scoring Margin]], 1, 0)</f>
        <v>1</v>
      </c>
      <c r="AB533" s="5">
        <f>IF(Table3[[#This Row],[Efficiency Difference]]*0.2146 + 14 &gt; Table3[[#This Row],[Scoring Margin]], 1, 0)</f>
        <v>1</v>
      </c>
      <c r="AC533" s="5">
        <f>IF(Table3[[#This Row],[Efficiency Difference]]*0.2146 + 21 &gt; Table3[[#This Row],[Scoring Margin]], 1, 0)</f>
        <v>1</v>
      </c>
      <c r="AD533" s="5">
        <f>IF(Table3[[#This Row],[Efficiency Difference]]*0.2146 -7 &gt; Table3[[#This Row],[Scoring Margin]], 1, 0)</f>
        <v>1</v>
      </c>
      <c r="AE533" s="5">
        <f>IF(Table3[[#This Row],[Efficiency Difference]]*0.2146 -3 &gt; Table3[[#This Row],[Scoring Margin]], 1, 0)</f>
        <v>1</v>
      </c>
      <c r="AF533" s="5">
        <f>IF(Table3[[#This Row],[Efficiency Difference]]*0.2146 -5 &gt; Table3[[#This Row],[Scoring Margin]], 1, 0)</f>
        <v>1</v>
      </c>
      <c r="AG533" s="5">
        <f>IF(Table3[[#This Row],[Efficiency Difference]]*0.2146 -10 &gt; Table3[[#This Row],[Scoring Margin]], 1, 0)</f>
        <v>1</v>
      </c>
    </row>
    <row r="534" spans="2:33">
      <c r="B534" s="5">
        <v>4.660000000000025</v>
      </c>
      <c r="C534" s="5">
        <v>24</v>
      </c>
      <c r="X534" s="5">
        <v>4.660000000000025</v>
      </c>
      <c r="Y534" s="5">
        <v>24</v>
      </c>
      <c r="Z534" s="5">
        <f>IF(Table3[[#This Row],[Efficiency Difference]]*0.2146 &gt; Table3[[#This Row],[Scoring Margin]], 1, 0)</f>
        <v>0</v>
      </c>
      <c r="AA534" s="5">
        <f>IF(Table3[[#This Row],[Efficiency Difference]]*0.2146 + 7 &gt; Table3[[#This Row],[Scoring Margin]], 1, 0)</f>
        <v>0</v>
      </c>
      <c r="AB534" s="5">
        <f>IF(Table3[[#This Row],[Efficiency Difference]]*0.2146 + 14 &gt; Table3[[#This Row],[Scoring Margin]], 1, 0)</f>
        <v>0</v>
      </c>
      <c r="AC534" s="5">
        <f>IF(Table3[[#This Row],[Efficiency Difference]]*0.2146 + 21 &gt; Table3[[#This Row],[Scoring Margin]], 1, 0)</f>
        <v>0</v>
      </c>
      <c r="AD534" s="5">
        <f>IF(Table3[[#This Row],[Efficiency Difference]]*0.2146 -7 &gt; Table3[[#This Row],[Scoring Margin]], 1, 0)</f>
        <v>0</v>
      </c>
      <c r="AE534" s="5">
        <f>IF(Table3[[#This Row],[Efficiency Difference]]*0.2146 -3 &gt; Table3[[#This Row],[Scoring Margin]], 1, 0)</f>
        <v>0</v>
      </c>
      <c r="AF534" s="5">
        <f>IF(Table3[[#This Row],[Efficiency Difference]]*0.2146 -5 &gt; Table3[[#This Row],[Scoring Margin]], 1, 0)</f>
        <v>0</v>
      </c>
      <c r="AG534" s="5">
        <f>IF(Table3[[#This Row],[Efficiency Difference]]*0.2146 -10 &gt; Table3[[#This Row],[Scoring Margin]], 1, 0)</f>
        <v>0</v>
      </c>
    </row>
    <row r="535" spans="2:33">
      <c r="B535" s="5">
        <v>34.240000000000009</v>
      </c>
      <c r="C535" s="5">
        <v>23</v>
      </c>
      <c r="X535" s="5">
        <v>34.240000000000009</v>
      </c>
      <c r="Y535" s="5">
        <v>23</v>
      </c>
      <c r="Z535" s="5">
        <f>IF(Table3[[#This Row],[Efficiency Difference]]*0.2146 &gt; Table3[[#This Row],[Scoring Margin]], 1, 0)</f>
        <v>0</v>
      </c>
      <c r="AA535" s="5">
        <f>IF(Table3[[#This Row],[Efficiency Difference]]*0.2146 + 7 &gt; Table3[[#This Row],[Scoring Margin]], 1, 0)</f>
        <v>0</v>
      </c>
      <c r="AB535" s="5">
        <f>IF(Table3[[#This Row],[Efficiency Difference]]*0.2146 + 14 &gt; Table3[[#This Row],[Scoring Margin]], 1, 0)</f>
        <v>0</v>
      </c>
      <c r="AC535" s="5">
        <f>IF(Table3[[#This Row],[Efficiency Difference]]*0.2146 + 21 &gt; Table3[[#This Row],[Scoring Margin]], 1, 0)</f>
        <v>1</v>
      </c>
      <c r="AD535" s="5">
        <f>IF(Table3[[#This Row],[Efficiency Difference]]*0.2146 -7 &gt; Table3[[#This Row],[Scoring Margin]], 1, 0)</f>
        <v>0</v>
      </c>
      <c r="AE535" s="5">
        <f>IF(Table3[[#This Row],[Efficiency Difference]]*0.2146 -3 &gt; Table3[[#This Row],[Scoring Margin]], 1, 0)</f>
        <v>0</v>
      </c>
      <c r="AF535" s="5">
        <f>IF(Table3[[#This Row],[Efficiency Difference]]*0.2146 -5 &gt; Table3[[#This Row],[Scoring Margin]], 1, 0)</f>
        <v>0</v>
      </c>
      <c r="AG535" s="5">
        <f>IF(Table3[[#This Row],[Efficiency Difference]]*0.2146 -10 &gt; Table3[[#This Row],[Scoring Margin]], 1, 0)</f>
        <v>0</v>
      </c>
    </row>
    <row r="536" spans="2:33">
      <c r="B536" s="5">
        <v>145.40000000000003</v>
      </c>
      <c r="C536" s="5">
        <v>54</v>
      </c>
      <c r="X536" s="5">
        <v>145.40000000000003</v>
      </c>
      <c r="Y536" s="5">
        <v>54</v>
      </c>
      <c r="Z536" s="5">
        <f>IF(Table3[[#This Row],[Efficiency Difference]]*0.2146 &gt; Table3[[#This Row],[Scoring Margin]], 1, 0)</f>
        <v>0</v>
      </c>
      <c r="AA536" s="5">
        <f>IF(Table3[[#This Row],[Efficiency Difference]]*0.2146 + 7 &gt; Table3[[#This Row],[Scoring Margin]], 1, 0)</f>
        <v>0</v>
      </c>
      <c r="AB536" s="5">
        <f>IF(Table3[[#This Row],[Efficiency Difference]]*0.2146 + 14 &gt; Table3[[#This Row],[Scoring Margin]], 1, 0)</f>
        <v>0</v>
      </c>
      <c r="AC536" s="5">
        <f>IF(Table3[[#This Row],[Efficiency Difference]]*0.2146 + 21 &gt; Table3[[#This Row],[Scoring Margin]], 1, 0)</f>
        <v>0</v>
      </c>
      <c r="AD536" s="5">
        <f>IF(Table3[[#This Row],[Efficiency Difference]]*0.2146 -7 &gt; Table3[[#This Row],[Scoring Margin]], 1, 0)</f>
        <v>0</v>
      </c>
      <c r="AE536" s="5">
        <f>IF(Table3[[#This Row],[Efficiency Difference]]*0.2146 -3 &gt; Table3[[#This Row],[Scoring Margin]], 1, 0)</f>
        <v>0</v>
      </c>
      <c r="AF536" s="5">
        <f>IF(Table3[[#This Row],[Efficiency Difference]]*0.2146 -5 &gt; Table3[[#This Row],[Scoring Margin]], 1, 0)</f>
        <v>0</v>
      </c>
      <c r="AG536" s="5">
        <f>IF(Table3[[#This Row],[Efficiency Difference]]*0.2146 -10 &gt; Table3[[#This Row],[Scoring Margin]], 1, 0)</f>
        <v>0</v>
      </c>
    </row>
    <row r="537" spans="2:33">
      <c r="B537" s="5">
        <v>171.88</v>
      </c>
      <c r="C537" s="5">
        <v>30</v>
      </c>
      <c r="X537" s="5">
        <v>171.88</v>
      </c>
      <c r="Y537" s="5">
        <v>30</v>
      </c>
      <c r="Z537" s="5">
        <f>IF(Table3[[#This Row],[Efficiency Difference]]*0.2146 &gt; Table3[[#This Row],[Scoring Margin]], 1, 0)</f>
        <v>1</v>
      </c>
      <c r="AA537" s="5">
        <f>IF(Table3[[#This Row],[Efficiency Difference]]*0.2146 + 7 &gt; Table3[[#This Row],[Scoring Margin]], 1, 0)</f>
        <v>1</v>
      </c>
      <c r="AB537" s="5">
        <f>IF(Table3[[#This Row],[Efficiency Difference]]*0.2146 + 14 &gt; Table3[[#This Row],[Scoring Margin]], 1, 0)</f>
        <v>1</v>
      </c>
      <c r="AC537" s="5">
        <f>IF(Table3[[#This Row],[Efficiency Difference]]*0.2146 + 21 &gt; Table3[[#This Row],[Scoring Margin]], 1, 0)</f>
        <v>1</v>
      </c>
      <c r="AD537" s="5">
        <f>IF(Table3[[#This Row],[Efficiency Difference]]*0.2146 -7 &gt; Table3[[#This Row],[Scoring Margin]], 1, 0)</f>
        <v>0</v>
      </c>
      <c r="AE537" s="5">
        <f>IF(Table3[[#This Row],[Efficiency Difference]]*0.2146 -3 &gt; Table3[[#This Row],[Scoring Margin]], 1, 0)</f>
        <v>1</v>
      </c>
      <c r="AF537" s="5">
        <f>IF(Table3[[#This Row],[Efficiency Difference]]*0.2146 -5 &gt; Table3[[#This Row],[Scoring Margin]], 1, 0)</f>
        <v>1</v>
      </c>
      <c r="AG537" s="5">
        <f>IF(Table3[[#This Row],[Efficiency Difference]]*0.2146 -10 &gt; Table3[[#This Row],[Scoring Margin]], 1, 0)</f>
        <v>0</v>
      </c>
    </row>
    <row r="538" spans="2:33">
      <c r="B538" s="5">
        <v>116.49000000000001</v>
      </c>
      <c r="C538" s="5">
        <v>27</v>
      </c>
      <c r="X538" s="5">
        <v>116.49000000000001</v>
      </c>
      <c r="Y538" s="5">
        <v>27</v>
      </c>
      <c r="Z538" s="5">
        <f>IF(Table3[[#This Row],[Efficiency Difference]]*0.2146 &gt; Table3[[#This Row],[Scoring Margin]], 1, 0)</f>
        <v>0</v>
      </c>
      <c r="AA538" s="5">
        <f>IF(Table3[[#This Row],[Efficiency Difference]]*0.2146 + 7 &gt; Table3[[#This Row],[Scoring Margin]], 1, 0)</f>
        <v>1</v>
      </c>
      <c r="AB538" s="5">
        <f>IF(Table3[[#This Row],[Efficiency Difference]]*0.2146 + 14 &gt; Table3[[#This Row],[Scoring Margin]], 1, 0)</f>
        <v>1</v>
      </c>
      <c r="AC538" s="5">
        <f>IF(Table3[[#This Row],[Efficiency Difference]]*0.2146 + 21 &gt; Table3[[#This Row],[Scoring Margin]], 1, 0)</f>
        <v>1</v>
      </c>
      <c r="AD538" s="5">
        <f>IF(Table3[[#This Row],[Efficiency Difference]]*0.2146 -7 &gt; Table3[[#This Row],[Scoring Margin]], 1, 0)</f>
        <v>0</v>
      </c>
      <c r="AE538" s="5">
        <f>IF(Table3[[#This Row],[Efficiency Difference]]*0.2146 -3 &gt; Table3[[#This Row],[Scoring Margin]], 1, 0)</f>
        <v>0</v>
      </c>
      <c r="AF538" s="5">
        <f>IF(Table3[[#This Row],[Efficiency Difference]]*0.2146 -5 &gt; Table3[[#This Row],[Scoring Margin]], 1, 0)</f>
        <v>0</v>
      </c>
      <c r="AG538" s="5">
        <f>IF(Table3[[#This Row],[Efficiency Difference]]*0.2146 -10 &gt; Table3[[#This Row],[Scoring Margin]], 1, 0)</f>
        <v>0</v>
      </c>
    </row>
    <row r="539" spans="2:33">
      <c r="B539" s="5">
        <v>79.499999999999972</v>
      </c>
      <c r="C539" s="5">
        <v>26</v>
      </c>
      <c r="X539" s="5">
        <v>79.499999999999972</v>
      </c>
      <c r="Y539" s="5">
        <v>26</v>
      </c>
      <c r="Z539" s="5">
        <f>IF(Table3[[#This Row],[Efficiency Difference]]*0.2146 &gt; Table3[[#This Row],[Scoring Margin]], 1, 0)</f>
        <v>0</v>
      </c>
      <c r="AA539" s="5">
        <f>IF(Table3[[#This Row],[Efficiency Difference]]*0.2146 + 7 &gt; Table3[[#This Row],[Scoring Margin]], 1, 0)</f>
        <v>0</v>
      </c>
      <c r="AB539" s="5">
        <f>IF(Table3[[#This Row],[Efficiency Difference]]*0.2146 + 14 &gt; Table3[[#This Row],[Scoring Margin]], 1, 0)</f>
        <v>1</v>
      </c>
      <c r="AC539" s="5">
        <f>IF(Table3[[#This Row],[Efficiency Difference]]*0.2146 + 21 &gt; Table3[[#This Row],[Scoring Margin]], 1, 0)</f>
        <v>1</v>
      </c>
      <c r="AD539" s="5">
        <f>IF(Table3[[#This Row],[Efficiency Difference]]*0.2146 -7 &gt; Table3[[#This Row],[Scoring Margin]], 1, 0)</f>
        <v>0</v>
      </c>
      <c r="AE539" s="5">
        <f>IF(Table3[[#This Row],[Efficiency Difference]]*0.2146 -3 &gt; Table3[[#This Row],[Scoring Margin]], 1, 0)</f>
        <v>0</v>
      </c>
      <c r="AF539" s="5">
        <f>IF(Table3[[#This Row],[Efficiency Difference]]*0.2146 -5 &gt; Table3[[#This Row],[Scoring Margin]], 1, 0)</f>
        <v>0</v>
      </c>
      <c r="AG539" s="5">
        <f>IF(Table3[[#This Row],[Efficiency Difference]]*0.2146 -10 &gt; Table3[[#This Row],[Scoring Margin]], 1, 0)</f>
        <v>0</v>
      </c>
    </row>
    <row r="540" spans="2:33">
      <c r="B540" s="5">
        <v>116.53000000000003</v>
      </c>
      <c r="C540" s="5">
        <v>41</v>
      </c>
      <c r="X540" s="5">
        <v>116.53000000000003</v>
      </c>
      <c r="Y540" s="5">
        <v>41</v>
      </c>
      <c r="Z540" s="5">
        <f>IF(Table3[[#This Row],[Efficiency Difference]]*0.2146 &gt; Table3[[#This Row],[Scoring Margin]], 1, 0)</f>
        <v>0</v>
      </c>
      <c r="AA540" s="5">
        <f>IF(Table3[[#This Row],[Efficiency Difference]]*0.2146 + 7 &gt; Table3[[#This Row],[Scoring Margin]], 1, 0)</f>
        <v>0</v>
      </c>
      <c r="AB540" s="5">
        <f>IF(Table3[[#This Row],[Efficiency Difference]]*0.2146 + 14 &gt; Table3[[#This Row],[Scoring Margin]], 1, 0)</f>
        <v>0</v>
      </c>
      <c r="AC540" s="5">
        <f>IF(Table3[[#This Row],[Efficiency Difference]]*0.2146 + 21 &gt; Table3[[#This Row],[Scoring Margin]], 1, 0)</f>
        <v>1</v>
      </c>
      <c r="AD540" s="5">
        <f>IF(Table3[[#This Row],[Efficiency Difference]]*0.2146 -7 &gt; Table3[[#This Row],[Scoring Margin]], 1, 0)</f>
        <v>0</v>
      </c>
      <c r="AE540" s="5">
        <f>IF(Table3[[#This Row],[Efficiency Difference]]*0.2146 -3 &gt; Table3[[#This Row],[Scoring Margin]], 1, 0)</f>
        <v>0</v>
      </c>
      <c r="AF540" s="5">
        <f>IF(Table3[[#This Row],[Efficiency Difference]]*0.2146 -5 &gt; Table3[[#This Row],[Scoring Margin]], 1, 0)</f>
        <v>0</v>
      </c>
      <c r="AG540" s="5">
        <f>IF(Table3[[#This Row],[Efficiency Difference]]*0.2146 -10 &gt; Table3[[#This Row],[Scoring Margin]], 1, 0)</f>
        <v>0</v>
      </c>
    </row>
    <row r="541" spans="2:33">
      <c r="B541" s="5">
        <v>95.07</v>
      </c>
      <c r="C541" s="5">
        <v>30</v>
      </c>
      <c r="X541" s="5">
        <v>95.07</v>
      </c>
      <c r="Y541" s="5">
        <v>30</v>
      </c>
      <c r="Z541" s="5">
        <f>IF(Table3[[#This Row],[Efficiency Difference]]*0.2146 &gt; Table3[[#This Row],[Scoring Margin]], 1, 0)</f>
        <v>0</v>
      </c>
      <c r="AA541" s="5">
        <f>IF(Table3[[#This Row],[Efficiency Difference]]*0.2146 + 7 &gt; Table3[[#This Row],[Scoring Margin]], 1, 0)</f>
        <v>0</v>
      </c>
      <c r="AB541" s="5">
        <f>IF(Table3[[#This Row],[Efficiency Difference]]*0.2146 + 14 &gt; Table3[[#This Row],[Scoring Margin]], 1, 0)</f>
        <v>1</v>
      </c>
      <c r="AC541" s="5">
        <f>IF(Table3[[#This Row],[Efficiency Difference]]*0.2146 + 21 &gt; Table3[[#This Row],[Scoring Margin]], 1, 0)</f>
        <v>1</v>
      </c>
      <c r="AD541" s="5">
        <f>IF(Table3[[#This Row],[Efficiency Difference]]*0.2146 -7 &gt; Table3[[#This Row],[Scoring Margin]], 1, 0)</f>
        <v>0</v>
      </c>
      <c r="AE541" s="5">
        <f>IF(Table3[[#This Row],[Efficiency Difference]]*0.2146 -3 &gt; Table3[[#This Row],[Scoring Margin]], 1, 0)</f>
        <v>0</v>
      </c>
      <c r="AF541" s="5">
        <f>IF(Table3[[#This Row],[Efficiency Difference]]*0.2146 -5 &gt; Table3[[#This Row],[Scoring Margin]], 1, 0)</f>
        <v>0</v>
      </c>
      <c r="AG541" s="5">
        <f>IF(Table3[[#This Row],[Efficiency Difference]]*0.2146 -10 &gt; Table3[[#This Row],[Scoring Margin]], 1, 0)</f>
        <v>0</v>
      </c>
    </row>
    <row r="542" spans="2:33">
      <c r="B542" s="5">
        <v>138.64000000000001</v>
      </c>
      <c r="C542" s="5">
        <v>44</v>
      </c>
      <c r="X542" s="5">
        <v>138.64000000000001</v>
      </c>
      <c r="Y542" s="5">
        <v>44</v>
      </c>
      <c r="Z542" s="5">
        <f>IF(Table3[[#This Row],[Efficiency Difference]]*0.2146 &gt; Table3[[#This Row],[Scoring Margin]], 1, 0)</f>
        <v>0</v>
      </c>
      <c r="AA542" s="5">
        <f>IF(Table3[[#This Row],[Efficiency Difference]]*0.2146 + 7 &gt; Table3[[#This Row],[Scoring Margin]], 1, 0)</f>
        <v>0</v>
      </c>
      <c r="AB542" s="5">
        <f>IF(Table3[[#This Row],[Efficiency Difference]]*0.2146 + 14 &gt; Table3[[#This Row],[Scoring Margin]], 1, 0)</f>
        <v>0</v>
      </c>
      <c r="AC542" s="5">
        <f>IF(Table3[[#This Row],[Efficiency Difference]]*0.2146 + 21 &gt; Table3[[#This Row],[Scoring Margin]], 1, 0)</f>
        <v>1</v>
      </c>
      <c r="AD542" s="5">
        <f>IF(Table3[[#This Row],[Efficiency Difference]]*0.2146 -7 &gt; Table3[[#This Row],[Scoring Margin]], 1, 0)</f>
        <v>0</v>
      </c>
      <c r="AE542" s="5">
        <f>IF(Table3[[#This Row],[Efficiency Difference]]*0.2146 -3 &gt; Table3[[#This Row],[Scoring Margin]], 1, 0)</f>
        <v>0</v>
      </c>
      <c r="AF542" s="5">
        <f>IF(Table3[[#This Row],[Efficiency Difference]]*0.2146 -5 &gt; Table3[[#This Row],[Scoring Margin]], 1, 0)</f>
        <v>0</v>
      </c>
      <c r="AG542" s="5">
        <f>IF(Table3[[#This Row],[Efficiency Difference]]*0.2146 -10 &gt; Table3[[#This Row],[Scoring Margin]], 1, 0)</f>
        <v>0</v>
      </c>
    </row>
    <row r="543" spans="2:33">
      <c r="B543" s="5">
        <v>85.039999999999992</v>
      </c>
      <c r="C543" s="5">
        <v>9</v>
      </c>
      <c r="X543" s="5">
        <v>85.039999999999992</v>
      </c>
      <c r="Y543" s="5">
        <v>9</v>
      </c>
      <c r="Z543" s="5">
        <f>IF(Table3[[#This Row],[Efficiency Difference]]*0.2146 &gt; Table3[[#This Row],[Scoring Margin]], 1, 0)</f>
        <v>1</v>
      </c>
      <c r="AA543" s="5">
        <f>IF(Table3[[#This Row],[Efficiency Difference]]*0.2146 + 7 &gt; Table3[[#This Row],[Scoring Margin]], 1, 0)</f>
        <v>1</v>
      </c>
      <c r="AB543" s="5">
        <f>IF(Table3[[#This Row],[Efficiency Difference]]*0.2146 + 14 &gt; Table3[[#This Row],[Scoring Margin]], 1, 0)</f>
        <v>1</v>
      </c>
      <c r="AC543" s="5">
        <f>IF(Table3[[#This Row],[Efficiency Difference]]*0.2146 + 21 &gt; Table3[[#This Row],[Scoring Margin]], 1, 0)</f>
        <v>1</v>
      </c>
      <c r="AD543" s="5">
        <f>IF(Table3[[#This Row],[Efficiency Difference]]*0.2146 -7 &gt; Table3[[#This Row],[Scoring Margin]], 1, 0)</f>
        <v>1</v>
      </c>
      <c r="AE543" s="5">
        <f>IF(Table3[[#This Row],[Efficiency Difference]]*0.2146 -3 &gt; Table3[[#This Row],[Scoring Margin]], 1, 0)</f>
        <v>1</v>
      </c>
      <c r="AF543" s="5">
        <f>IF(Table3[[#This Row],[Efficiency Difference]]*0.2146 -5 &gt; Table3[[#This Row],[Scoring Margin]], 1, 0)</f>
        <v>1</v>
      </c>
      <c r="AG543" s="5">
        <f>IF(Table3[[#This Row],[Efficiency Difference]]*0.2146 -10 &gt; Table3[[#This Row],[Scoring Margin]], 1, 0)</f>
        <v>0</v>
      </c>
    </row>
    <row r="544" spans="2:33">
      <c r="B544" s="5">
        <v>67.03</v>
      </c>
      <c r="C544" s="5">
        <v>7</v>
      </c>
      <c r="X544" s="5">
        <v>67.03</v>
      </c>
      <c r="Y544" s="5">
        <v>7</v>
      </c>
      <c r="Z544" s="5">
        <f>IF(Table3[[#This Row],[Efficiency Difference]]*0.2146 &gt; Table3[[#This Row],[Scoring Margin]], 1, 0)</f>
        <v>1</v>
      </c>
      <c r="AA544" s="5">
        <f>IF(Table3[[#This Row],[Efficiency Difference]]*0.2146 + 7 &gt; Table3[[#This Row],[Scoring Margin]], 1, 0)</f>
        <v>1</v>
      </c>
      <c r="AB544" s="5">
        <f>IF(Table3[[#This Row],[Efficiency Difference]]*0.2146 + 14 &gt; Table3[[#This Row],[Scoring Margin]], 1, 0)</f>
        <v>1</v>
      </c>
      <c r="AC544" s="5">
        <f>IF(Table3[[#This Row],[Efficiency Difference]]*0.2146 + 21 &gt; Table3[[#This Row],[Scoring Margin]], 1, 0)</f>
        <v>1</v>
      </c>
      <c r="AD544" s="5">
        <f>IF(Table3[[#This Row],[Efficiency Difference]]*0.2146 -7 &gt; Table3[[#This Row],[Scoring Margin]], 1, 0)</f>
        <v>1</v>
      </c>
      <c r="AE544" s="5">
        <f>IF(Table3[[#This Row],[Efficiency Difference]]*0.2146 -3 &gt; Table3[[#This Row],[Scoring Margin]], 1, 0)</f>
        <v>1</v>
      </c>
      <c r="AF544" s="5">
        <f>IF(Table3[[#This Row],[Efficiency Difference]]*0.2146 -5 &gt; Table3[[#This Row],[Scoring Margin]], 1, 0)</f>
        <v>1</v>
      </c>
      <c r="AG544" s="5">
        <f>IF(Table3[[#This Row],[Efficiency Difference]]*0.2146 -10 &gt; Table3[[#This Row],[Scoring Margin]], 1, 0)</f>
        <v>0</v>
      </c>
    </row>
    <row r="545" spans="2:33">
      <c r="B545" s="5">
        <v>64.929999999999978</v>
      </c>
      <c r="C545" s="5">
        <v>21</v>
      </c>
      <c r="X545" s="5">
        <v>64.929999999999978</v>
      </c>
      <c r="Y545" s="5">
        <v>21</v>
      </c>
      <c r="Z545" s="5">
        <f>IF(Table3[[#This Row],[Efficiency Difference]]*0.2146 &gt; Table3[[#This Row],[Scoring Margin]], 1, 0)</f>
        <v>0</v>
      </c>
      <c r="AA545" s="5">
        <f>IF(Table3[[#This Row],[Efficiency Difference]]*0.2146 + 7 &gt; Table3[[#This Row],[Scoring Margin]], 1, 0)</f>
        <v>0</v>
      </c>
      <c r="AB545" s="5">
        <f>IF(Table3[[#This Row],[Efficiency Difference]]*0.2146 + 14 &gt; Table3[[#This Row],[Scoring Margin]], 1, 0)</f>
        <v>1</v>
      </c>
      <c r="AC545" s="5">
        <f>IF(Table3[[#This Row],[Efficiency Difference]]*0.2146 + 21 &gt; Table3[[#This Row],[Scoring Margin]], 1, 0)</f>
        <v>1</v>
      </c>
      <c r="AD545" s="5">
        <f>IF(Table3[[#This Row],[Efficiency Difference]]*0.2146 -7 &gt; Table3[[#This Row],[Scoring Margin]], 1, 0)</f>
        <v>0</v>
      </c>
      <c r="AE545" s="5">
        <f>IF(Table3[[#This Row],[Efficiency Difference]]*0.2146 -3 &gt; Table3[[#This Row],[Scoring Margin]], 1, 0)</f>
        <v>0</v>
      </c>
      <c r="AF545" s="5">
        <f>IF(Table3[[#This Row],[Efficiency Difference]]*0.2146 -5 &gt; Table3[[#This Row],[Scoring Margin]], 1, 0)</f>
        <v>0</v>
      </c>
      <c r="AG545" s="5">
        <f>IF(Table3[[#This Row],[Efficiency Difference]]*0.2146 -10 &gt; Table3[[#This Row],[Scoring Margin]], 1, 0)</f>
        <v>0</v>
      </c>
    </row>
    <row r="546" spans="2:33">
      <c r="B546" s="5">
        <v>8.6900000000000261</v>
      </c>
      <c r="C546" s="5">
        <v>3</v>
      </c>
      <c r="X546" s="5">
        <v>8.6900000000000261</v>
      </c>
      <c r="Y546" s="5">
        <v>3</v>
      </c>
      <c r="Z546" s="5">
        <f>IF(Table3[[#This Row],[Efficiency Difference]]*0.2146 &gt; Table3[[#This Row],[Scoring Margin]], 1, 0)</f>
        <v>0</v>
      </c>
      <c r="AA546" s="5">
        <f>IF(Table3[[#This Row],[Efficiency Difference]]*0.2146 + 7 &gt; Table3[[#This Row],[Scoring Margin]], 1, 0)</f>
        <v>1</v>
      </c>
      <c r="AB546" s="5">
        <f>IF(Table3[[#This Row],[Efficiency Difference]]*0.2146 + 14 &gt; Table3[[#This Row],[Scoring Margin]], 1, 0)</f>
        <v>1</v>
      </c>
      <c r="AC546" s="5">
        <f>IF(Table3[[#This Row],[Efficiency Difference]]*0.2146 + 21 &gt; Table3[[#This Row],[Scoring Margin]], 1, 0)</f>
        <v>1</v>
      </c>
      <c r="AD546" s="5">
        <f>IF(Table3[[#This Row],[Efficiency Difference]]*0.2146 -7 &gt; Table3[[#This Row],[Scoring Margin]], 1, 0)</f>
        <v>0</v>
      </c>
      <c r="AE546" s="5">
        <f>IF(Table3[[#This Row],[Efficiency Difference]]*0.2146 -3 &gt; Table3[[#This Row],[Scoring Margin]], 1, 0)</f>
        <v>0</v>
      </c>
      <c r="AF546" s="5">
        <f>IF(Table3[[#This Row],[Efficiency Difference]]*0.2146 -5 &gt; Table3[[#This Row],[Scoring Margin]], 1, 0)</f>
        <v>0</v>
      </c>
      <c r="AG546" s="5">
        <f>IF(Table3[[#This Row],[Efficiency Difference]]*0.2146 -10 &gt; Table3[[#This Row],[Scoring Margin]], 1, 0)</f>
        <v>0</v>
      </c>
    </row>
    <row r="547" spans="2:33">
      <c r="B547" s="5">
        <v>68.810000000000016</v>
      </c>
      <c r="C547" s="5">
        <v>3</v>
      </c>
      <c r="X547" s="5">
        <v>68.810000000000016</v>
      </c>
      <c r="Y547" s="5">
        <v>3</v>
      </c>
      <c r="Z547" s="5">
        <f>IF(Table3[[#This Row],[Efficiency Difference]]*0.2146 &gt; Table3[[#This Row],[Scoring Margin]], 1, 0)</f>
        <v>1</v>
      </c>
      <c r="AA547" s="5">
        <f>IF(Table3[[#This Row],[Efficiency Difference]]*0.2146 + 7 &gt; Table3[[#This Row],[Scoring Margin]], 1, 0)</f>
        <v>1</v>
      </c>
      <c r="AB547" s="5">
        <f>IF(Table3[[#This Row],[Efficiency Difference]]*0.2146 + 14 &gt; Table3[[#This Row],[Scoring Margin]], 1, 0)</f>
        <v>1</v>
      </c>
      <c r="AC547" s="5">
        <f>IF(Table3[[#This Row],[Efficiency Difference]]*0.2146 + 21 &gt; Table3[[#This Row],[Scoring Margin]], 1, 0)</f>
        <v>1</v>
      </c>
      <c r="AD547" s="5">
        <f>IF(Table3[[#This Row],[Efficiency Difference]]*0.2146 -7 &gt; Table3[[#This Row],[Scoring Margin]], 1, 0)</f>
        <v>1</v>
      </c>
      <c r="AE547" s="5">
        <f>IF(Table3[[#This Row],[Efficiency Difference]]*0.2146 -3 &gt; Table3[[#This Row],[Scoring Margin]], 1, 0)</f>
        <v>1</v>
      </c>
      <c r="AF547" s="5">
        <f>IF(Table3[[#This Row],[Efficiency Difference]]*0.2146 -5 &gt; Table3[[#This Row],[Scoring Margin]], 1, 0)</f>
        <v>1</v>
      </c>
      <c r="AG547" s="5">
        <f>IF(Table3[[#This Row],[Efficiency Difference]]*0.2146 -10 &gt; Table3[[#This Row],[Scoring Margin]], 1, 0)</f>
        <v>1</v>
      </c>
    </row>
    <row r="548" spans="2:33">
      <c r="B548" s="5">
        <v>40.669999999999987</v>
      </c>
      <c r="C548" s="5">
        <v>3</v>
      </c>
      <c r="X548" s="5">
        <v>40.669999999999987</v>
      </c>
      <c r="Y548" s="5">
        <v>3</v>
      </c>
      <c r="Z548" s="5">
        <f>IF(Table3[[#This Row],[Efficiency Difference]]*0.2146 &gt; Table3[[#This Row],[Scoring Margin]], 1, 0)</f>
        <v>1</v>
      </c>
      <c r="AA548" s="5">
        <f>IF(Table3[[#This Row],[Efficiency Difference]]*0.2146 + 7 &gt; Table3[[#This Row],[Scoring Margin]], 1, 0)</f>
        <v>1</v>
      </c>
      <c r="AB548" s="5">
        <f>IF(Table3[[#This Row],[Efficiency Difference]]*0.2146 + 14 &gt; Table3[[#This Row],[Scoring Margin]], 1, 0)</f>
        <v>1</v>
      </c>
      <c r="AC548" s="5">
        <f>IF(Table3[[#This Row],[Efficiency Difference]]*0.2146 + 21 &gt; Table3[[#This Row],[Scoring Margin]], 1, 0)</f>
        <v>1</v>
      </c>
      <c r="AD548" s="5">
        <f>IF(Table3[[#This Row],[Efficiency Difference]]*0.2146 -7 &gt; Table3[[#This Row],[Scoring Margin]], 1, 0)</f>
        <v>0</v>
      </c>
      <c r="AE548" s="5">
        <f>IF(Table3[[#This Row],[Efficiency Difference]]*0.2146 -3 &gt; Table3[[#This Row],[Scoring Margin]], 1, 0)</f>
        <v>1</v>
      </c>
      <c r="AF548" s="5">
        <f>IF(Table3[[#This Row],[Efficiency Difference]]*0.2146 -5 &gt; Table3[[#This Row],[Scoring Margin]], 1, 0)</f>
        <v>1</v>
      </c>
      <c r="AG548" s="5">
        <f>IF(Table3[[#This Row],[Efficiency Difference]]*0.2146 -10 &gt; Table3[[#This Row],[Scoring Margin]], 1, 0)</f>
        <v>0</v>
      </c>
    </row>
    <row r="549" spans="2:33">
      <c r="B549" s="5">
        <v>82.080000000000013</v>
      </c>
      <c r="C549" s="5">
        <v>26</v>
      </c>
      <c r="X549" s="5">
        <v>82.080000000000013</v>
      </c>
      <c r="Y549" s="5">
        <v>26</v>
      </c>
      <c r="Z549" s="5">
        <f>IF(Table3[[#This Row],[Efficiency Difference]]*0.2146 &gt; Table3[[#This Row],[Scoring Margin]], 1, 0)</f>
        <v>0</v>
      </c>
      <c r="AA549" s="5">
        <f>IF(Table3[[#This Row],[Efficiency Difference]]*0.2146 + 7 &gt; Table3[[#This Row],[Scoring Margin]], 1, 0)</f>
        <v>0</v>
      </c>
      <c r="AB549" s="5">
        <f>IF(Table3[[#This Row],[Efficiency Difference]]*0.2146 + 14 &gt; Table3[[#This Row],[Scoring Margin]], 1, 0)</f>
        <v>1</v>
      </c>
      <c r="AC549" s="5">
        <f>IF(Table3[[#This Row],[Efficiency Difference]]*0.2146 + 21 &gt; Table3[[#This Row],[Scoring Margin]], 1, 0)</f>
        <v>1</v>
      </c>
      <c r="AD549" s="5">
        <f>IF(Table3[[#This Row],[Efficiency Difference]]*0.2146 -7 &gt; Table3[[#This Row],[Scoring Margin]], 1, 0)</f>
        <v>0</v>
      </c>
      <c r="AE549" s="5">
        <f>IF(Table3[[#This Row],[Efficiency Difference]]*0.2146 -3 &gt; Table3[[#This Row],[Scoring Margin]], 1, 0)</f>
        <v>0</v>
      </c>
      <c r="AF549" s="5">
        <f>IF(Table3[[#This Row],[Efficiency Difference]]*0.2146 -5 &gt; Table3[[#This Row],[Scoring Margin]], 1, 0)</f>
        <v>0</v>
      </c>
      <c r="AG549" s="5">
        <f>IF(Table3[[#This Row],[Efficiency Difference]]*0.2146 -10 &gt; Table3[[#This Row],[Scoring Margin]], 1, 0)</f>
        <v>0</v>
      </c>
    </row>
    <row r="550" spans="2:33">
      <c r="B550" s="5">
        <v>37.289999999999964</v>
      </c>
      <c r="C550" s="5">
        <v>2</v>
      </c>
      <c r="X550" s="5">
        <v>37.289999999999964</v>
      </c>
      <c r="Y550" s="5">
        <v>2</v>
      </c>
      <c r="Z550" s="5">
        <f>IF(Table3[[#This Row],[Efficiency Difference]]*0.2146 &gt; Table3[[#This Row],[Scoring Margin]], 1, 0)</f>
        <v>1</v>
      </c>
      <c r="AA550" s="5">
        <f>IF(Table3[[#This Row],[Efficiency Difference]]*0.2146 + 7 &gt; Table3[[#This Row],[Scoring Margin]], 1, 0)</f>
        <v>1</v>
      </c>
      <c r="AB550" s="5">
        <f>IF(Table3[[#This Row],[Efficiency Difference]]*0.2146 + 14 &gt; Table3[[#This Row],[Scoring Margin]], 1, 0)</f>
        <v>1</v>
      </c>
      <c r="AC550" s="5">
        <f>IF(Table3[[#This Row],[Efficiency Difference]]*0.2146 + 21 &gt; Table3[[#This Row],[Scoring Margin]], 1, 0)</f>
        <v>1</v>
      </c>
      <c r="AD550" s="5">
        <f>IF(Table3[[#This Row],[Efficiency Difference]]*0.2146 -7 &gt; Table3[[#This Row],[Scoring Margin]], 1, 0)</f>
        <v>0</v>
      </c>
      <c r="AE550" s="5">
        <f>IF(Table3[[#This Row],[Efficiency Difference]]*0.2146 -3 &gt; Table3[[#This Row],[Scoring Margin]], 1, 0)</f>
        <v>1</v>
      </c>
      <c r="AF550" s="5">
        <f>IF(Table3[[#This Row],[Efficiency Difference]]*0.2146 -5 &gt; Table3[[#This Row],[Scoring Margin]], 1, 0)</f>
        <v>1</v>
      </c>
      <c r="AG550" s="5">
        <f>IF(Table3[[#This Row],[Efficiency Difference]]*0.2146 -10 &gt; Table3[[#This Row],[Scoring Margin]], 1, 0)</f>
        <v>0</v>
      </c>
    </row>
    <row r="551" spans="2:33">
      <c r="B551" s="5">
        <v>16.370000000000005</v>
      </c>
      <c r="C551" s="5">
        <v>16</v>
      </c>
      <c r="X551" s="5">
        <v>16.370000000000005</v>
      </c>
      <c r="Y551" s="5">
        <v>16</v>
      </c>
      <c r="Z551" s="5">
        <f>IF(Table3[[#This Row],[Efficiency Difference]]*0.2146 &gt; Table3[[#This Row],[Scoring Margin]], 1, 0)</f>
        <v>0</v>
      </c>
      <c r="AA551" s="5">
        <f>IF(Table3[[#This Row],[Efficiency Difference]]*0.2146 + 7 &gt; Table3[[#This Row],[Scoring Margin]], 1, 0)</f>
        <v>0</v>
      </c>
      <c r="AB551" s="5">
        <f>IF(Table3[[#This Row],[Efficiency Difference]]*0.2146 + 14 &gt; Table3[[#This Row],[Scoring Margin]], 1, 0)</f>
        <v>1</v>
      </c>
      <c r="AC551" s="5">
        <f>IF(Table3[[#This Row],[Efficiency Difference]]*0.2146 + 21 &gt; Table3[[#This Row],[Scoring Margin]], 1, 0)</f>
        <v>1</v>
      </c>
      <c r="AD551" s="5">
        <f>IF(Table3[[#This Row],[Efficiency Difference]]*0.2146 -7 &gt; Table3[[#This Row],[Scoring Margin]], 1, 0)</f>
        <v>0</v>
      </c>
      <c r="AE551" s="5">
        <f>IF(Table3[[#This Row],[Efficiency Difference]]*0.2146 -3 &gt; Table3[[#This Row],[Scoring Margin]], 1, 0)</f>
        <v>0</v>
      </c>
      <c r="AF551" s="5">
        <f>IF(Table3[[#This Row],[Efficiency Difference]]*0.2146 -5 &gt; Table3[[#This Row],[Scoring Margin]], 1, 0)</f>
        <v>0</v>
      </c>
      <c r="AG551" s="5">
        <f>IF(Table3[[#This Row],[Efficiency Difference]]*0.2146 -10 &gt; Table3[[#This Row],[Scoring Margin]], 1, 0)</f>
        <v>0</v>
      </c>
    </row>
    <row r="552" spans="2:33">
      <c r="B552" s="5">
        <v>55.539999999999992</v>
      </c>
      <c r="C552" s="5">
        <v>21</v>
      </c>
      <c r="X552" s="5">
        <v>55.539999999999992</v>
      </c>
      <c r="Y552" s="5">
        <v>21</v>
      </c>
      <c r="Z552" s="5">
        <f>IF(Table3[[#This Row],[Efficiency Difference]]*0.2146 &gt; Table3[[#This Row],[Scoring Margin]], 1, 0)</f>
        <v>0</v>
      </c>
      <c r="AA552" s="5">
        <f>IF(Table3[[#This Row],[Efficiency Difference]]*0.2146 + 7 &gt; Table3[[#This Row],[Scoring Margin]], 1, 0)</f>
        <v>0</v>
      </c>
      <c r="AB552" s="5">
        <f>IF(Table3[[#This Row],[Efficiency Difference]]*0.2146 + 14 &gt; Table3[[#This Row],[Scoring Margin]], 1, 0)</f>
        <v>1</v>
      </c>
      <c r="AC552" s="5">
        <f>IF(Table3[[#This Row],[Efficiency Difference]]*0.2146 + 21 &gt; Table3[[#This Row],[Scoring Margin]], 1, 0)</f>
        <v>1</v>
      </c>
      <c r="AD552" s="5">
        <f>IF(Table3[[#This Row],[Efficiency Difference]]*0.2146 -7 &gt; Table3[[#This Row],[Scoring Margin]], 1, 0)</f>
        <v>0</v>
      </c>
      <c r="AE552" s="5">
        <f>IF(Table3[[#This Row],[Efficiency Difference]]*0.2146 -3 &gt; Table3[[#This Row],[Scoring Margin]], 1, 0)</f>
        <v>0</v>
      </c>
      <c r="AF552" s="5">
        <f>IF(Table3[[#This Row],[Efficiency Difference]]*0.2146 -5 &gt; Table3[[#This Row],[Scoring Margin]], 1, 0)</f>
        <v>0</v>
      </c>
      <c r="AG552" s="5">
        <f>IF(Table3[[#This Row],[Efficiency Difference]]*0.2146 -10 &gt; Table3[[#This Row],[Scoring Margin]], 1, 0)</f>
        <v>0</v>
      </c>
    </row>
    <row r="553" spans="2:33">
      <c r="B553" s="5">
        <v>17.860000000000014</v>
      </c>
      <c r="C553" s="5">
        <v>7</v>
      </c>
      <c r="X553" s="5">
        <v>17.860000000000014</v>
      </c>
      <c r="Y553" s="5">
        <v>7</v>
      </c>
      <c r="Z553" s="5">
        <f>IF(Table3[[#This Row],[Efficiency Difference]]*0.2146 &gt; Table3[[#This Row],[Scoring Margin]], 1, 0)</f>
        <v>0</v>
      </c>
      <c r="AA553" s="5">
        <f>IF(Table3[[#This Row],[Efficiency Difference]]*0.2146 + 7 &gt; Table3[[#This Row],[Scoring Margin]], 1, 0)</f>
        <v>1</v>
      </c>
      <c r="AB553" s="5">
        <f>IF(Table3[[#This Row],[Efficiency Difference]]*0.2146 + 14 &gt; Table3[[#This Row],[Scoring Margin]], 1, 0)</f>
        <v>1</v>
      </c>
      <c r="AC553" s="5">
        <f>IF(Table3[[#This Row],[Efficiency Difference]]*0.2146 + 21 &gt; Table3[[#This Row],[Scoring Margin]], 1, 0)</f>
        <v>1</v>
      </c>
      <c r="AD553" s="5">
        <f>IF(Table3[[#This Row],[Efficiency Difference]]*0.2146 -7 &gt; Table3[[#This Row],[Scoring Margin]], 1, 0)</f>
        <v>0</v>
      </c>
      <c r="AE553" s="5">
        <f>IF(Table3[[#This Row],[Efficiency Difference]]*0.2146 -3 &gt; Table3[[#This Row],[Scoring Margin]], 1, 0)</f>
        <v>0</v>
      </c>
      <c r="AF553" s="5">
        <f>IF(Table3[[#This Row],[Efficiency Difference]]*0.2146 -5 &gt; Table3[[#This Row],[Scoring Margin]], 1, 0)</f>
        <v>0</v>
      </c>
      <c r="AG553" s="5">
        <f>IF(Table3[[#This Row],[Efficiency Difference]]*0.2146 -10 &gt; Table3[[#This Row],[Scoring Margin]], 1, 0)</f>
        <v>0</v>
      </c>
    </row>
    <row r="554" spans="2:33">
      <c r="B554" s="5">
        <v>88.13</v>
      </c>
      <c r="C554" s="5">
        <v>13</v>
      </c>
      <c r="X554" s="5">
        <v>88.13</v>
      </c>
      <c r="Y554" s="5">
        <v>13</v>
      </c>
      <c r="Z554" s="5">
        <f>IF(Table3[[#This Row],[Efficiency Difference]]*0.2146 &gt; Table3[[#This Row],[Scoring Margin]], 1, 0)</f>
        <v>1</v>
      </c>
      <c r="AA554" s="5">
        <f>IF(Table3[[#This Row],[Efficiency Difference]]*0.2146 + 7 &gt; Table3[[#This Row],[Scoring Margin]], 1, 0)</f>
        <v>1</v>
      </c>
      <c r="AB554" s="5">
        <f>IF(Table3[[#This Row],[Efficiency Difference]]*0.2146 + 14 &gt; Table3[[#This Row],[Scoring Margin]], 1, 0)</f>
        <v>1</v>
      </c>
      <c r="AC554" s="5">
        <f>IF(Table3[[#This Row],[Efficiency Difference]]*0.2146 + 21 &gt; Table3[[#This Row],[Scoring Margin]], 1, 0)</f>
        <v>1</v>
      </c>
      <c r="AD554" s="5">
        <f>IF(Table3[[#This Row],[Efficiency Difference]]*0.2146 -7 &gt; Table3[[#This Row],[Scoring Margin]], 1, 0)</f>
        <v>0</v>
      </c>
      <c r="AE554" s="5">
        <f>IF(Table3[[#This Row],[Efficiency Difference]]*0.2146 -3 &gt; Table3[[#This Row],[Scoring Margin]], 1, 0)</f>
        <v>1</v>
      </c>
      <c r="AF554" s="5">
        <f>IF(Table3[[#This Row],[Efficiency Difference]]*0.2146 -5 &gt; Table3[[#This Row],[Scoring Margin]], 1, 0)</f>
        <v>1</v>
      </c>
      <c r="AG554" s="5">
        <f>IF(Table3[[#This Row],[Efficiency Difference]]*0.2146 -10 &gt; Table3[[#This Row],[Scoring Margin]], 1, 0)</f>
        <v>0</v>
      </c>
    </row>
    <row r="555" spans="2:33">
      <c r="B555" s="5">
        <v>133.65999999999997</v>
      </c>
      <c r="C555" s="5">
        <v>38</v>
      </c>
      <c r="X555" s="5">
        <v>133.65999999999997</v>
      </c>
      <c r="Y555" s="5">
        <v>38</v>
      </c>
      <c r="Z555" s="5">
        <f>IF(Table3[[#This Row],[Efficiency Difference]]*0.2146 &gt; Table3[[#This Row],[Scoring Margin]], 1, 0)</f>
        <v>0</v>
      </c>
      <c r="AA555" s="5">
        <f>IF(Table3[[#This Row],[Efficiency Difference]]*0.2146 + 7 &gt; Table3[[#This Row],[Scoring Margin]], 1, 0)</f>
        <v>0</v>
      </c>
      <c r="AB555" s="5">
        <f>IF(Table3[[#This Row],[Efficiency Difference]]*0.2146 + 14 &gt; Table3[[#This Row],[Scoring Margin]], 1, 0)</f>
        <v>1</v>
      </c>
      <c r="AC555" s="5">
        <f>IF(Table3[[#This Row],[Efficiency Difference]]*0.2146 + 21 &gt; Table3[[#This Row],[Scoring Margin]], 1, 0)</f>
        <v>1</v>
      </c>
      <c r="AD555" s="5">
        <f>IF(Table3[[#This Row],[Efficiency Difference]]*0.2146 -7 &gt; Table3[[#This Row],[Scoring Margin]], 1, 0)</f>
        <v>0</v>
      </c>
      <c r="AE555" s="5">
        <f>IF(Table3[[#This Row],[Efficiency Difference]]*0.2146 -3 &gt; Table3[[#This Row],[Scoring Margin]], 1, 0)</f>
        <v>0</v>
      </c>
      <c r="AF555" s="5">
        <f>IF(Table3[[#This Row],[Efficiency Difference]]*0.2146 -5 &gt; Table3[[#This Row],[Scoring Margin]], 1, 0)</f>
        <v>0</v>
      </c>
      <c r="AG555" s="5">
        <f>IF(Table3[[#This Row],[Efficiency Difference]]*0.2146 -10 &gt; Table3[[#This Row],[Scoring Margin]], 1, 0)</f>
        <v>0</v>
      </c>
    </row>
    <row r="556" spans="2:33">
      <c r="B556" s="5">
        <v>53.190000000000026</v>
      </c>
      <c r="C556" s="5">
        <v>4</v>
      </c>
      <c r="X556" s="5">
        <v>53.190000000000026</v>
      </c>
      <c r="Y556" s="5">
        <v>4</v>
      </c>
      <c r="Z556" s="5">
        <f>IF(Table3[[#This Row],[Efficiency Difference]]*0.2146 &gt; Table3[[#This Row],[Scoring Margin]], 1, 0)</f>
        <v>1</v>
      </c>
      <c r="AA556" s="5">
        <f>IF(Table3[[#This Row],[Efficiency Difference]]*0.2146 + 7 &gt; Table3[[#This Row],[Scoring Margin]], 1, 0)</f>
        <v>1</v>
      </c>
      <c r="AB556" s="5">
        <f>IF(Table3[[#This Row],[Efficiency Difference]]*0.2146 + 14 &gt; Table3[[#This Row],[Scoring Margin]], 1, 0)</f>
        <v>1</v>
      </c>
      <c r="AC556" s="5">
        <f>IF(Table3[[#This Row],[Efficiency Difference]]*0.2146 + 21 &gt; Table3[[#This Row],[Scoring Margin]], 1, 0)</f>
        <v>1</v>
      </c>
      <c r="AD556" s="5">
        <f>IF(Table3[[#This Row],[Efficiency Difference]]*0.2146 -7 &gt; Table3[[#This Row],[Scoring Margin]], 1, 0)</f>
        <v>1</v>
      </c>
      <c r="AE556" s="5">
        <f>IF(Table3[[#This Row],[Efficiency Difference]]*0.2146 -3 &gt; Table3[[#This Row],[Scoring Margin]], 1, 0)</f>
        <v>1</v>
      </c>
      <c r="AF556" s="5">
        <f>IF(Table3[[#This Row],[Efficiency Difference]]*0.2146 -5 &gt; Table3[[#This Row],[Scoring Margin]], 1, 0)</f>
        <v>1</v>
      </c>
      <c r="AG556" s="5">
        <f>IF(Table3[[#This Row],[Efficiency Difference]]*0.2146 -10 &gt; Table3[[#This Row],[Scoring Margin]], 1, 0)</f>
        <v>0</v>
      </c>
    </row>
    <row r="557" spans="2:33">
      <c r="B557" s="5">
        <v>122.94999999999999</v>
      </c>
      <c r="C557" s="5">
        <v>23</v>
      </c>
      <c r="X557" s="5">
        <v>122.94999999999999</v>
      </c>
      <c r="Y557" s="5">
        <v>23</v>
      </c>
      <c r="Z557" s="5">
        <f>IF(Table3[[#This Row],[Efficiency Difference]]*0.2146 &gt; Table3[[#This Row],[Scoring Margin]], 1, 0)</f>
        <v>1</v>
      </c>
      <c r="AA557" s="5">
        <f>IF(Table3[[#This Row],[Efficiency Difference]]*0.2146 + 7 &gt; Table3[[#This Row],[Scoring Margin]], 1, 0)</f>
        <v>1</v>
      </c>
      <c r="AB557" s="5">
        <f>IF(Table3[[#This Row],[Efficiency Difference]]*0.2146 + 14 &gt; Table3[[#This Row],[Scoring Margin]], 1, 0)</f>
        <v>1</v>
      </c>
      <c r="AC557" s="5">
        <f>IF(Table3[[#This Row],[Efficiency Difference]]*0.2146 + 21 &gt; Table3[[#This Row],[Scoring Margin]], 1, 0)</f>
        <v>1</v>
      </c>
      <c r="AD557" s="5">
        <f>IF(Table3[[#This Row],[Efficiency Difference]]*0.2146 -7 &gt; Table3[[#This Row],[Scoring Margin]], 1, 0)</f>
        <v>0</v>
      </c>
      <c r="AE557" s="5">
        <f>IF(Table3[[#This Row],[Efficiency Difference]]*0.2146 -3 &gt; Table3[[#This Row],[Scoring Margin]], 1, 0)</f>
        <v>1</v>
      </c>
      <c r="AF557" s="5">
        <f>IF(Table3[[#This Row],[Efficiency Difference]]*0.2146 -5 &gt; Table3[[#This Row],[Scoring Margin]], 1, 0)</f>
        <v>0</v>
      </c>
      <c r="AG557" s="5">
        <f>IF(Table3[[#This Row],[Efficiency Difference]]*0.2146 -10 &gt; Table3[[#This Row],[Scoring Margin]], 1, 0)</f>
        <v>0</v>
      </c>
    </row>
    <row r="558" spans="2:33">
      <c r="B558" s="5">
        <v>34.999999999999943</v>
      </c>
      <c r="C558" s="5">
        <v>22</v>
      </c>
      <c r="X558" s="5">
        <v>34.999999999999943</v>
      </c>
      <c r="Y558" s="5">
        <v>22</v>
      </c>
      <c r="Z558" s="5">
        <f>IF(Table3[[#This Row],[Efficiency Difference]]*0.2146 &gt; Table3[[#This Row],[Scoring Margin]], 1, 0)</f>
        <v>0</v>
      </c>
      <c r="AA558" s="5">
        <f>IF(Table3[[#This Row],[Efficiency Difference]]*0.2146 + 7 &gt; Table3[[#This Row],[Scoring Margin]], 1, 0)</f>
        <v>0</v>
      </c>
      <c r="AB558" s="5">
        <f>IF(Table3[[#This Row],[Efficiency Difference]]*0.2146 + 14 &gt; Table3[[#This Row],[Scoring Margin]], 1, 0)</f>
        <v>0</v>
      </c>
      <c r="AC558" s="5">
        <f>IF(Table3[[#This Row],[Efficiency Difference]]*0.2146 + 21 &gt; Table3[[#This Row],[Scoring Margin]], 1, 0)</f>
        <v>1</v>
      </c>
      <c r="AD558" s="5">
        <f>IF(Table3[[#This Row],[Efficiency Difference]]*0.2146 -7 &gt; Table3[[#This Row],[Scoring Margin]], 1, 0)</f>
        <v>0</v>
      </c>
      <c r="AE558" s="5">
        <f>IF(Table3[[#This Row],[Efficiency Difference]]*0.2146 -3 &gt; Table3[[#This Row],[Scoring Margin]], 1, 0)</f>
        <v>0</v>
      </c>
      <c r="AF558" s="5">
        <f>IF(Table3[[#This Row],[Efficiency Difference]]*0.2146 -5 &gt; Table3[[#This Row],[Scoring Margin]], 1, 0)</f>
        <v>0</v>
      </c>
      <c r="AG558" s="5">
        <f>IF(Table3[[#This Row],[Efficiency Difference]]*0.2146 -10 &gt; Table3[[#This Row],[Scoring Margin]], 1, 0)</f>
        <v>0</v>
      </c>
    </row>
    <row r="559" spans="2:33">
      <c r="B559" s="5">
        <v>124.55</v>
      </c>
      <c r="C559" s="5">
        <v>10</v>
      </c>
      <c r="X559" s="5">
        <v>124.55</v>
      </c>
      <c r="Y559" s="5">
        <v>10</v>
      </c>
      <c r="Z559" s="5">
        <f>IF(Table3[[#This Row],[Efficiency Difference]]*0.2146 &gt; Table3[[#This Row],[Scoring Margin]], 1, 0)</f>
        <v>1</v>
      </c>
      <c r="AA559" s="5">
        <f>IF(Table3[[#This Row],[Efficiency Difference]]*0.2146 + 7 &gt; Table3[[#This Row],[Scoring Margin]], 1, 0)</f>
        <v>1</v>
      </c>
      <c r="AB559" s="5">
        <f>IF(Table3[[#This Row],[Efficiency Difference]]*0.2146 + 14 &gt; Table3[[#This Row],[Scoring Margin]], 1, 0)</f>
        <v>1</v>
      </c>
      <c r="AC559" s="5">
        <f>IF(Table3[[#This Row],[Efficiency Difference]]*0.2146 + 21 &gt; Table3[[#This Row],[Scoring Margin]], 1, 0)</f>
        <v>1</v>
      </c>
      <c r="AD559" s="5">
        <f>IF(Table3[[#This Row],[Efficiency Difference]]*0.2146 -7 &gt; Table3[[#This Row],[Scoring Margin]], 1, 0)</f>
        <v>1</v>
      </c>
      <c r="AE559" s="5">
        <f>IF(Table3[[#This Row],[Efficiency Difference]]*0.2146 -3 &gt; Table3[[#This Row],[Scoring Margin]], 1, 0)</f>
        <v>1</v>
      </c>
      <c r="AF559" s="5">
        <f>IF(Table3[[#This Row],[Efficiency Difference]]*0.2146 -5 &gt; Table3[[#This Row],[Scoring Margin]], 1, 0)</f>
        <v>1</v>
      </c>
      <c r="AG559" s="5">
        <f>IF(Table3[[#This Row],[Efficiency Difference]]*0.2146 -10 &gt; Table3[[#This Row],[Scoring Margin]], 1, 0)</f>
        <v>1</v>
      </c>
    </row>
    <row r="560" spans="2:33">
      <c r="B560" s="5">
        <v>59.360000000000014</v>
      </c>
      <c r="C560" s="5">
        <v>31</v>
      </c>
      <c r="X560" s="5">
        <v>59.360000000000014</v>
      </c>
      <c r="Y560" s="5">
        <v>31</v>
      </c>
      <c r="Z560" s="5">
        <f>IF(Table3[[#This Row],[Efficiency Difference]]*0.2146 &gt; Table3[[#This Row],[Scoring Margin]], 1, 0)</f>
        <v>0</v>
      </c>
      <c r="AA560" s="5">
        <f>IF(Table3[[#This Row],[Efficiency Difference]]*0.2146 + 7 &gt; Table3[[#This Row],[Scoring Margin]], 1, 0)</f>
        <v>0</v>
      </c>
      <c r="AB560" s="5">
        <f>IF(Table3[[#This Row],[Efficiency Difference]]*0.2146 + 14 &gt; Table3[[#This Row],[Scoring Margin]], 1, 0)</f>
        <v>0</v>
      </c>
      <c r="AC560" s="5">
        <f>IF(Table3[[#This Row],[Efficiency Difference]]*0.2146 + 21 &gt; Table3[[#This Row],[Scoring Margin]], 1, 0)</f>
        <v>1</v>
      </c>
      <c r="AD560" s="5">
        <f>IF(Table3[[#This Row],[Efficiency Difference]]*0.2146 -7 &gt; Table3[[#This Row],[Scoring Margin]], 1, 0)</f>
        <v>0</v>
      </c>
      <c r="AE560" s="5">
        <f>IF(Table3[[#This Row],[Efficiency Difference]]*0.2146 -3 &gt; Table3[[#This Row],[Scoring Margin]], 1, 0)</f>
        <v>0</v>
      </c>
      <c r="AF560" s="5">
        <f>IF(Table3[[#This Row],[Efficiency Difference]]*0.2146 -5 &gt; Table3[[#This Row],[Scoring Margin]], 1, 0)</f>
        <v>0</v>
      </c>
      <c r="AG560" s="5">
        <f>IF(Table3[[#This Row],[Efficiency Difference]]*0.2146 -10 &gt; Table3[[#This Row],[Scoring Margin]], 1, 0)</f>
        <v>0</v>
      </c>
    </row>
    <row r="561" spans="2:33">
      <c r="B561" s="5">
        <v>122.39999999999999</v>
      </c>
      <c r="C561" s="5">
        <v>8</v>
      </c>
      <c r="X561" s="5">
        <v>122.39999999999999</v>
      </c>
      <c r="Y561" s="5">
        <v>8</v>
      </c>
      <c r="Z561" s="5">
        <f>IF(Table3[[#This Row],[Efficiency Difference]]*0.2146 &gt; Table3[[#This Row],[Scoring Margin]], 1, 0)</f>
        <v>1</v>
      </c>
      <c r="AA561" s="5">
        <f>IF(Table3[[#This Row],[Efficiency Difference]]*0.2146 + 7 &gt; Table3[[#This Row],[Scoring Margin]], 1, 0)</f>
        <v>1</v>
      </c>
      <c r="AB561" s="5">
        <f>IF(Table3[[#This Row],[Efficiency Difference]]*0.2146 + 14 &gt; Table3[[#This Row],[Scoring Margin]], 1, 0)</f>
        <v>1</v>
      </c>
      <c r="AC561" s="5">
        <f>IF(Table3[[#This Row],[Efficiency Difference]]*0.2146 + 21 &gt; Table3[[#This Row],[Scoring Margin]], 1, 0)</f>
        <v>1</v>
      </c>
      <c r="AD561" s="5">
        <f>IF(Table3[[#This Row],[Efficiency Difference]]*0.2146 -7 &gt; Table3[[#This Row],[Scoring Margin]], 1, 0)</f>
        <v>1</v>
      </c>
      <c r="AE561" s="5">
        <f>IF(Table3[[#This Row],[Efficiency Difference]]*0.2146 -3 &gt; Table3[[#This Row],[Scoring Margin]], 1, 0)</f>
        <v>1</v>
      </c>
      <c r="AF561" s="5">
        <f>IF(Table3[[#This Row],[Efficiency Difference]]*0.2146 -5 &gt; Table3[[#This Row],[Scoring Margin]], 1, 0)</f>
        <v>1</v>
      </c>
      <c r="AG561" s="5">
        <f>IF(Table3[[#This Row],[Efficiency Difference]]*0.2146 -10 &gt; Table3[[#This Row],[Scoring Margin]], 1, 0)</f>
        <v>1</v>
      </c>
    </row>
    <row r="562" spans="2:33">
      <c r="B562" s="5">
        <v>121.77000000000001</v>
      </c>
      <c r="C562" s="5">
        <v>31</v>
      </c>
      <c r="X562" s="5">
        <v>121.77000000000001</v>
      </c>
      <c r="Y562" s="5">
        <v>31</v>
      </c>
      <c r="Z562" s="5">
        <f>IF(Table3[[#This Row],[Efficiency Difference]]*0.2146 &gt; Table3[[#This Row],[Scoring Margin]], 1, 0)</f>
        <v>0</v>
      </c>
      <c r="AA562" s="5">
        <f>IF(Table3[[#This Row],[Efficiency Difference]]*0.2146 + 7 &gt; Table3[[#This Row],[Scoring Margin]], 1, 0)</f>
        <v>1</v>
      </c>
      <c r="AB562" s="5">
        <f>IF(Table3[[#This Row],[Efficiency Difference]]*0.2146 + 14 &gt; Table3[[#This Row],[Scoring Margin]], 1, 0)</f>
        <v>1</v>
      </c>
      <c r="AC562" s="5">
        <f>IF(Table3[[#This Row],[Efficiency Difference]]*0.2146 + 21 &gt; Table3[[#This Row],[Scoring Margin]], 1, 0)</f>
        <v>1</v>
      </c>
      <c r="AD562" s="5">
        <f>IF(Table3[[#This Row],[Efficiency Difference]]*0.2146 -7 &gt; Table3[[#This Row],[Scoring Margin]], 1, 0)</f>
        <v>0</v>
      </c>
      <c r="AE562" s="5">
        <f>IF(Table3[[#This Row],[Efficiency Difference]]*0.2146 -3 &gt; Table3[[#This Row],[Scoring Margin]], 1, 0)</f>
        <v>0</v>
      </c>
      <c r="AF562" s="5">
        <f>IF(Table3[[#This Row],[Efficiency Difference]]*0.2146 -5 &gt; Table3[[#This Row],[Scoring Margin]], 1, 0)</f>
        <v>0</v>
      </c>
      <c r="AG562" s="5">
        <f>IF(Table3[[#This Row],[Efficiency Difference]]*0.2146 -10 &gt; Table3[[#This Row],[Scoring Margin]], 1, 0)</f>
        <v>0</v>
      </c>
    </row>
    <row r="563" spans="2:33">
      <c r="B563" s="5">
        <v>105.56000000000002</v>
      </c>
      <c r="C563" s="5">
        <v>31</v>
      </c>
      <c r="X563" s="5">
        <v>105.56000000000002</v>
      </c>
      <c r="Y563" s="5">
        <v>31</v>
      </c>
      <c r="Z563" s="5">
        <f>IF(Table3[[#This Row],[Efficiency Difference]]*0.2146 &gt; Table3[[#This Row],[Scoring Margin]], 1, 0)</f>
        <v>0</v>
      </c>
      <c r="AA563" s="5">
        <f>IF(Table3[[#This Row],[Efficiency Difference]]*0.2146 + 7 &gt; Table3[[#This Row],[Scoring Margin]], 1, 0)</f>
        <v>0</v>
      </c>
      <c r="AB563" s="5">
        <f>IF(Table3[[#This Row],[Efficiency Difference]]*0.2146 + 14 &gt; Table3[[#This Row],[Scoring Margin]], 1, 0)</f>
        <v>1</v>
      </c>
      <c r="AC563" s="5">
        <f>IF(Table3[[#This Row],[Efficiency Difference]]*0.2146 + 21 &gt; Table3[[#This Row],[Scoring Margin]], 1, 0)</f>
        <v>1</v>
      </c>
      <c r="AD563" s="5">
        <f>IF(Table3[[#This Row],[Efficiency Difference]]*0.2146 -7 &gt; Table3[[#This Row],[Scoring Margin]], 1, 0)</f>
        <v>0</v>
      </c>
      <c r="AE563" s="5">
        <f>IF(Table3[[#This Row],[Efficiency Difference]]*0.2146 -3 &gt; Table3[[#This Row],[Scoring Margin]], 1, 0)</f>
        <v>0</v>
      </c>
      <c r="AF563" s="5">
        <f>IF(Table3[[#This Row],[Efficiency Difference]]*0.2146 -5 &gt; Table3[[#This Row],[Scoring Margin]], 1, 0)</f>
        <v>0</v>
      </c>
      <c r="AG563" s="5">
        <f>IF(Table3[[#This Row],[Efficiency Difference]]*0.2146 -10 &gt; Table3[[#This Row],[Scoring Margin]], 1, 0)</f>
        <v>0</v>
      </c>
    </row>
    <row r="564" spans="2:33">
      <c r="B564" s="5">
        <v>85.65</v>
      </c>
      <c r="C564" s="5">
        <v>25</v>
      </c>
      <c r="X564" s="5">
        <v>85.65</v>
      </c>
      <c r="Y564" s="5">
        <v>25</v>
      </c>
      <c r="Z564" s="5">
        <f>IF(Table3[[#This Row],[Efficiency Difference]]*0.2146 &gt; Table3[[#This Row],[Scoring Margin]], 1, 0)</f>
        <v>0</v>
      </c>
      <c r="AA564" s="5">
        <f>IF(Table3[[#This Row],[Efficiency Difference]]*0.2146 + 7 &gt; Table3[[#This Row],[Scoring Margin]], 1, 0)</f>
        <v>1</v>
      </c>
      <c r="AB564" s="5">
        <f>IF(Table3[[#This Row],[Efficiency Difference]]*0.2146 + 14 &gt; Table3[[#This Row],[Scoring Margin]], 1, 0)</f>
        <v>1</v>
      </c>
      <c r="AC564" s="5">
        <f>IF(Table3[[#This Row],[Efficiency Difference]]*0.2146 + 21 &gt; Table3[[#This Row],[Scoring Margin]], 1, 0)</f>
        <v>1</v>
      </c>
      <c r="AD564" s="5">
        <f>IF(Table3[[#This Row],[Efficiency Difference]]*0.2146 -7 &gt; Table3[[#This Row],[Scoring Margin]], 1, 0)</f>
        <v>0</v>
      </c>
      <c r="AE564" s="5">
        <f>IF(Table3[[#This Row],[Efficiency Difference]]*0.2146 -3 &gt; Table3[[#This Row],[Scoring Margin]], 1, 0)</f>
        <v>0</v>
      </c>
      <c r="AF564" s="5">
        <f>IF(Table3[[#This Row],[Efficiency Difference]]*0.2146 -5 &gt; Table3[[#This Row],[Scoring Margin]], 1, 0)</f>
        <v>0</v>
      </c>
      <c r="AG564" s="5">
        <f>IF(Table3[[#This Row],[Efficiency Difference]]*0.2146 -10 &gt; Table3[[#This Row],[Scoring Margin]], 1, 0)</f>
        <v>0</v>
      </c>
    </row>
    <row r="565" spans="2:33">
      <c r="B565" s="5">
        <v>43.099999999999966</v>
      </c>
      <c r="C565" s="5">
        <v>1</v>
      </c>
      <c r="X565" s="5">
        <v>43.099999999999966</v>
      </c>
      <c r="Y565" s="5">
        <v>1</v>
      </c>
      <c r="Z565" s="5">
        <f>IF(Table3[[#This Row],[Efficiency Difference]]*0.2146 &gt; Table3[[#This Row],[Scoring Margin]], 1, 0)</f>
        <v>1</v>
      </c>
      <c r="AA565" s="5">
        <f>IF(Table3[[#This Row],[Efficiency Difference]]*0.2146 + 7 &gt; Table3[[#This Row],[Scoring Margin]], 1, 0)</f>
        <v>1</v>
      </c>
      <c r="AB565" s="5">
        <f>IF(Table3[[#This Row],[Efficiency Difference]]*0.2146 + 14 &gt; Table3[[#This Row],[Scoring Margin]], 1, 0)</f>
        <v>1</v>
      </c>
      <c r="AC565" s="5">
        <f>IF(Table3[[#This Row],[Efficiency Difference]]*0.2146 + 21 &gt; Table3[[#This Row],[Scoring Margin]], 1, 0)</f>
        <v>1</v>
      </c>
      <c r="AD565" s="5">
        <f>IF(Table3[[#This Row],[Efficiency Difference]]*0.2146 -7 &gt; Table3[[#This Row],[Scoring Margin]], 1, 0)</f>
        <v>1</v>
      </c>
      <c r="AE565" s="5">
        <f>IF(Table3[[#This Row],[Efficiency Difference]]*0.2146 -3 &gt; Table3[[#This Row],[Scoring Margin]], 1, 0)</f>
        <v>1</v>
      </c>
      <c r="AF565" s="5">
        <f>IF(Table3[[#This Row],[Efficiency Difference]]*0.2146 -5 &gt; Table3[[#This Row],[Scoring Margin]], 1, 0)</f>
        <v>1</v>
      </c>
      <c r="AG565" s="5">
        <f>IF(Table3[[#This Row],[Efficiency Difference]]*0.2146 -10 &gt; Table3[[#This Row],[Scoring Margin]], 1, 0)</f>
        <v>0</v>
      </c>
    </row>
    <row r="566" spans="2:33">
      <c r="B566" s="5">
        <v>149.08000000000004</v>
      </c>
      <c r="C566" s="5">
        <v>29</v>
      </c>
      <c r="X566" s="5">
        <v>149.08000000000004</v>
      </c>
      <c r="Y566" s="5">
        <v>29</v>
      </c>
      <c r="Z566" s="5">
        <f>IF(Table3[[#This Row],[Efficiency Difference]]*0.2146 &gt; Table3[[#This Row],[Scoring Margin]], 1, 0)</f>
        <v>1</v>
      </c>
      <c r="AA566" s="5">
        <f>IF(Table3[[#This Row],[Efficiency Difference]]*0.2146 + 7 &gt; Table3[[#This Row],[Scoring Margin]], 1, 0)</f>
        <v>1</v>
      </c>
      <c r="AB566" s="5">
        <f>IF(Table3[[#This Row],[Efficiency Difference]]*0.2146 + 14 &gt; Table3[[#This Row],[Scoring Margin]], 1, 0)</f>
        <v>1</v>
      </c>
      <c r="AC566" s="5">
        <f>IF(Table3[[#This Row],[Efficiency Difference]]*0.2146 + 21 &gt; Table3[[#This Row],[Scoring Margin]], 1, 0)</f>
        <v>1</v>
      </c>
      <c r="AD566" s="5">
        <f>IF(Table3[[#This Row],[Efficiency Difference]]*0.2146 -7 &gt; Table3[[#This Row],[Scoring Margin]], 1, 0)</f>
        <v>0</v>
      </c>
      <c r="AE566" s="5">
        <f>IF(Table3[[#This Row],[Efficiency Difference]]*0.2146 -3 &gt; Table3[[#This Row],[Scoring Margin]], 1, 0)</f>
        <v>0</v>
      </c>
      <c r="AF566" s="5">
        <f>IF(Table3[[#This Row],[Efficiency Difference]]*0.2146 -5 &gt; Table3[[#This Row],[Scoring Margin]], 1, 0)</f>
        <v>0</v>
      </c>
      <c r="AG566" s="5">
        <f>IF(Table3[[#This Row],[Efficiency Difference]]*0.2146 -10 &gt; Table3[[#This Row],[Scoring Margin]], 1, 0)</f>
        <v>0</v>
      </c>
    </row>
    <row r="567" spans="2:33">
      <c r="B567" s="5">
        <v>70.889999999999986</v>
      </c>
      <c r="C567" s="5">
        <v>23</v>
      </c>
      <c r="X567" s="5">
        <v>70.889999999999986</v>
      </c>
      <c r="Y567" s="5">
        <v>23</v>
      </c>
      <c r="Z567" s="5">
        <f>IF(Table3[[#This Row],[Efficiency Difference]]*0.2146 &gt; Table3[[#This Row],[Scoring Margin]], 1, 0)</f>
        <v>0</v>
      </c>
      <c r="AA567" s="5">
        <f>IF(Table3[[#This Row],[Efficiency Difference]]*0.2146 + 7 &gt; Table3[[#This Row],[Scoring Margin]], 1, 0)</f>
        <v>0</v>
      </c>
      <c r="AB567" s="5">
        <f>IF(Table3[[#This Row],[Efficiency Difference]]*0.2146 + 14 &gt; Table3[[#This Row],[Scoring Margin]], 1, 0)</f>
        <v>1</v>
      </c>
      <c r="AC567" s="5">
        <f>IF(Table3[[#This Row],[Efficiency Difference]]*0.2146 + 21 &gt; Table3[[#This Row],[Scoring Margin]], 1, 0)</f>
        <v>1</v>
      </c>
      <c r="AD567" s="5">
        <f>IF(Table3[[#This Row],[Efficiency Difference]]*0.2146 -7 &gt; Table3[[#This Row],[Scoring Margin]], 1, 0)</f>
        <v>0</v>
      </c>
      <c r="AE567" s="5">
        <f>IF(Table3[[#This Row],[Efficiency Difference]]*0.2146 -3 &gt; Table3[[#This Row],[Scoring Margin]], 1, 0)</f>
        <v>0</v>
      </c>
      <c r="AF567" s="5">
        <f>IF(Table3[[#This Row],[Efficiency Difference]]*0.2146 -5 &gt; Table3[[#This Row],[Scoring Margin]], 1, 0)</f>
        <v>0</v>
      </c>
      <c r="AG567" s="5">
        <f>IF(Table3[[#This Row],[Efficiency Difference]]*0.2146 -10 &gt; Table3[[#This Row],[Scoring Margin]], 1, 0)</f>
        <v>0</v>
      </c>
    </row>
    <row r="568" spans="2:33">
      <c r="B568" s="5">
        <v>128.47000000000003</v>
      </c>
      <c r="C568" s="5">
        <v>38</v>
      </c>
      <c r="X568" s="5">
        <v>128.47000000000003</v>
      </c>
      <c r="Y568" s="5">
        <v>38</v>
      </c>
      <c r="Z568" s="5">
        <f>IF(Table3[[#This Row],[Efficiency Difference]]*0.2146 &gt; Table3[[#This Row],[Scoring Margin]], 1, 0)</f>
        <v>0</v>
      </c>
      <c r="AA568" s="5">
        <f>IF(Table3[[#This Row],[Efficiency Difference]]*0.2146 + 7 &gt; Table3[[#This Row],[Scoring Margin]], 1, 0)</f>
        <v>0</v>
      </c>
      <c r="AB568" s="5">
        <f>IF(Table3[[#This Row],[Efficiency Difference]]*0.2146 + 14 &gt; Table3[[#This Row],[Scoring Margin]], 1, 0)</f>
        <v>1</v>
      </c>
      <c r="AC568" s="5">
        <f>IF(Table3[[#This Row],[Efficiency Difference]]*0.2146 + 21 &gt; Table3[[#This Row],[Scoring Margin]], 1, 0)</f>
        <v>1</v>
      </c>
      <c r="AD568" s="5">
        <f>IF(Table3[[#This Row],[Efficiency Difference]]*0.2146 -7 &gt; Table3[[#This Row],[Scoring Margin]], 1, 0)</f>
        <v>0</v>
      </c>
      <c r="AE568" s="5">
        <f>IF(Table3[[#This Row],[Efficiency Difference]]*0.2146 -3 &gt; Table3[[#This Row],[Scoring Margin]], 1, 0)</f>
        <v>0</v>
      </c>
      <c r="AF568" s="5">
        <f>IF(Table3[[#This Row],[Efficiency Difference]]*0.2146 -5 &gt; Table3[[#This Row],[Scoring Margin]], 1, 0)</f>
        <v>0</v>
      </c>
      <c r="AG568" s="5">
        <f>IF(Table3[[#This Row],[Efficiency Difference]]*0.2146 -10 &gt; Table3[[#This Row],[Scoring Margin]], 1, 0)</f>
        <v>0</v>
      </c>
    </row>
    <row r="569" spans="2:33">
      <c r="B569" s="5">
        <v>99.550000000000011</v>
      </c>
      <c r="C569" s="5">
        <v>12</v>
      </c>
      <c r="X569" s="5">
        <v>99.550000000000011</v>
      </c>
      <c r="Y569" s="5">
        <v>12</v>
      </c>
      <c r="Z569" s="5">
        <f>IF(Table3[[#This Row],[Efficiency Difference]]*0.2146 &gt; Table3[[#This Row],[Scoring Margin]], 1, 0)</f>
        <v>1</v>
      </c>
      <c r="AA569" s="5">
        <f>IF(Table3[[#This Row],[Efficiency Difference]]*0.2146 + 7 &gt; Table3[[#This Row],[Scoring Margin]], 1, 0)</f>
        <v>1</v>
      </c>
      <c r="AB569" s="5">
        <f>IF(Table3[[#This Row],[Efficiency Difference]]*0.2146 + 14 &gt; Table3[[#This Row],[Scoring Margin]], 1, 0)</f>
        <v>1</v>
      </c>
      <c r="AC569" s="5">
        <f>IF(Table3[[#This Row],[Efficiency Difference]]*0.2146 + 21 &gt; Table3[[#This Row],[Scoring Margin]], 1, 0)</f>
        <v>1</v>
      </c>
      <c r="AD569" s="5">
        <f>IF(Table3[[#This Row],[Efficiency Difference]]*0.2146 -7 &gt; Table3[[#This Row],[Scoring Margin]], 1, 0)</f>
        <v>1</v>
      </c>
      <c r="AE569" s="5">
        <f>IF(Table3[[#This Row],[Efficiency Difference]]*0.2146 -3 &gt; Table3[[#This Row],[Scoring Margin]], 1, 0)</f>
        <v>1</v>
      </c>
      <c r="AF569" s="5">
        <f>IF(Table3[[#This Row],[Efficiency Difference]]*0.2146 -5 &gt; Table3[[#This Row],[Scoring Margin]], 1, 0)</f>
        <v>1</v>
      </c>
      <c r="AG569" s="5">
        <f>IF(Table3[[#This Row],[Efficiency Difference]]*0.2146 -10 &gt; Table3[[#This Row],[Scoring Margin]], 1, 0)</f>
        <v>0</v>
      </c>
    </row>
    <row r="570" spans="2:33">
      <c r="B570" s="5">
        <v>136.29</v>
      </c>
      <c r="C570" s="5">
        <v>32</v>
      </c>
      <c r="X570" s="5">
        <v>136.29</v>
      </c>
      <c r="Y570" s="5">
        <v>32</v>
      </c>
      <c r="Z570" s="5">
        <f>IF(Table3[[#This Row],[Efficiency Difference]]*0.2146 &gt; Table3[[#This Row],[Scoring Margin]], 1, 0)</f>
        <v>0</v>
      </c>
      <c r="AA570" s="5">
        <f>IF(Table3[[#This Row],[Efficiency Difference]]*0.2146 + 7 &gt; Table3[[#This Row],[Scoring Margin]], 1, 0)</f>
        <v>1</v>
      </c>
      <c r="AB570" s="5">
        <f>IF(Table3[[#This Row],[Efficiency Difference]]*0.2146 + 14 &gt; Table3[[#This Row],[Scoring Margin]], 1, 0)</f>
        <v>1</v>
      </c>
      <c r="AC570" s="5">
        <f>IF(Table3[[#This Row],[Efficiency Difference]]*0.2146 + 21 &gt; Table3[[#This Row],[Scoring Margin]], 1, 0)</f>
        <v>1</v>
      </c>
      <c r="AD570" s="5">
        <f>IF(Table3[[#This Row],[Efficiency Difference]]*0.2146 -7 &gt; Table3[[#This Row],[Scoring Margin]], 1, 0)</f>
        <v>0</v>
      </c>
      <c r="AE570" s="5">
        <f>IF(Table3[[#This Row],[Efficiency Difference]]*0.2146 -3 &gt; Table3[[#This Row],[Scoring Margin]], 1, 0)</f>
        <v>0</v>
      </c>
      <c r="AF570" s="5">
        <f>IF(Table3[[#This Row],[Efficiency Difference]]*0.2146 -5 &gt; Table3[[#This Row],[Scoring Margin]], 1, 0)</f>
        <v>0</v>
      </c>
      <c r="AG570" s="5">
        <f>IF(Table3[[#This Row],[Efficiency Difference]]*0.2146 -10 &gt; Table3[[#This Row],[Scoring Margin]], 1, 0)</f>
        <v>0</v>
      </c>
    </row>
    <row r="571" spans="2:33">
      <c r="B571" s="5">
        <v>69.81</v>
      </c>
      <c r="C571" s="5">
        <v>30</v>
      </c>
      <c r="X571" s="5">
        <v>69.81</v>
      </c>
      <c r="Y571" s="5">
        <v>30</v>
      </c>
      <c r="Z571" s="5">
        <f>IF(Table3[[#This Row],[Efficiency Difference]]*0.2146 &gt; Table3[[#This Row],[Scoring Margin]], 1, 0)</f>
        <v>0</v>
      </c>
      <c r="AA571" s="5">
        <f>IF(Table3[[#This Row],[Efficiency Difference]]*0.2146 + 7 &gt; Table3[[#This Row],[Scoring Margin]], 1, 0)</f>
        <v>0</v>
      </c>
      <c r="AB571" s="5">
        <f>IF(Table3[[#This Row],[Efficiency Difference]]*0.2146 + 14 &gt; Table3[[#This Row],[Scoring Margin]], 1, 0)</f>
        <v>0</v>
      </c>
      <c r="AC571" s="5">
        <f>IF(Table3[[#This Row],[Efficiency Difference]]*0.2146 + 21 &gt; Table3[[#This Row],[Scoring Margin]], 1, 0)</f>
        <v>1</v>
      </c>
      <c r="AD571" s="5">
        <f>IF(Table3[[#This Row],[Efficiency Difference]]*0.2146 -7 &gt; Table3[[#This Row],[Scoring Margin]], 1, 0)</f>
        <v>0</v>
      </c>
      <c r="AE571" s="5">
        <f>IF(Table3[[#This Row],[Efficiency Difference]]*0.2146 -3 &gt; Table3[[#This Row],[Scoring Margin]], 1, 0)</f>
        <v>0</v>
      </c>
      <c r="AF571" s="5">
        <f>IF(Table3[[#This Row],[Efficiency Difference]]*0.2146 -5 &gt; Table3[[#This Row],[Scoring Margin]], 1, 0)</f>
        <v>0</v>
      </c>
      <c r="AG571" s="5">
        <f>IF(Table3[[#This Row],[Efficiency Difference]]*0.2146 -10 &gt; Table3[[#This Row],[Scoring Margin]], 1, 0)</f>
        <v>0</v>
      </c>
    </row>
    <row r="572" spans="2:33">
      <c r="B572" s="5">
        <v>66.94999999999996</v>
      </c>
      <c r="C572" s="5">
        <v>1</v>
      </c>
      <c r="X572" s="5">
        <v>66.94999999999996</v>
      </c>
      <c r="Y572" s="5">
        <v>1</v>
      </c>
      <c r="Z572" s="5">
        <f>IF(Table3[[#This Row],[Efficiency Difference]]*0.2146 &gt; Table3[[#This Row],[Scoring Margin]], 1, 0)</f>
        <v>1</v>
      </c>
      <c r="AA572" s="5">
        <f>IF(Table3[[#This Row],[Efficiency Difference]]*0.2146 + 7 &gt; Table3[[#This Row],[Scoring Margin]], 1, 0)</f>
        <v>1</v>
      </c>
      <c r="AB572" s="5">
        <f>IF(Table3[[#This Row],[Efficiency Difference]]*0.2146 + 14 &gt; Table3[[#This Row],[Scoring Margin]], 1, 0)</f>
        <v>1</v>
      </c>
      <c r="AC572" s="5">
        <f>IF(Table3[[#This Row],[Efficiency Difference]]*0.2146 + 21 &gt; Table3[[#This Row],[Scoring Margin]], 1, 0)</f>
        <v>1</v>
      </c>
      <c r="AD572" s="5">
        <f>IF(Table3[[#This Row],[Efficiency Difference]]*0.2146 -7 &gt; Table3[[#This Row],[Scoring Margin]], 1, 0)</f>
        <v>1</v>
      </c>
      <c r="AE572" s="5">
        <f>IF(Table3[[#This Row],[Efficiency Difference]]*0.2146 -3 &gt; Table3[[#This Row],[Scoring Margin]], 1, 0)</f>
        <v>1</v>
      </c>
      <c r="AF572" s="5">
        <f>IF(Table3[[#This Row],[Efficiency Difference]]*0.2146 -5 &gt; Table3[[#This Row],[Scoring Margin]], 1, 0)</f>
        <v>1</v>
      </c>
      <c r="AG572" s="5">
        <f>IF(Table3[[#This Row],[Efficiency Difference]]*0.2146 -10 &gt; Table3[[#This Row],[Scoring Margin]], 1, 0)</f>
        <v>1</v>
      </c>
    </row>
    <row r="573" spans="2:33">
      <c r="B573" s="5">
        <v>86.28000000000003</v>
      </c>
      <c r="C573" s="5">
        <v>4</v>
      </c>
      <c r="X573" s="5">
        <v>86.28000000000003</v>
      </c>
      <c r="Y573" s="5">
        <v>4</v>
      </c>
      <c r="Z573" s="5">
        <f>IF(Table3[[#This Row],[Efficiency Difference]]*0.2146 &gt; Table3[[#This Row],[Scoring Margin]], 1, 0)</f>
        <v>1</v>
      </c>
      <c r="AA573" s="5">
        <f>IF(Table3[[#This Row],[Efficiency Difference]]*0.2146 + 7 &gt; Table3[[#This Row],[Scoring Margin]], 1, 0)</f>
        <v>1</v>
      </c>
      <c r="AB573" s="5">
        <f>IF(Table3[[#This Row],[Efficiency Difference]]*0.2146 + 14 &gt; Table3[[#This Row],[Scoring Margin]], 1, 0)</f>
        <v>1</v>
      </c>
      <c r="AC573" s="5">
        <f>IF(Table3[[#This Row],[Efficiency Difference]]*0.2146 + 21 &gt; Table3[[#This Row],[Scoring Margin]], 1, 0)</f>
        <v>1</v>
      </c>
      <c r="AD573" s="5">
        <f>IF(Table3[[#This Row],[Efficiency Difference]]*0.2146 -7 &gt; Table3[[#This Row],[Scoring Margin]], 1, 0)</f>
        <v>1</v>
      </c>
      <c r="AE573" s="5">
        <f>IF(Table3[[#This Row],[Efficiency Difference]]*0.2146 -3 &gt; Table3[[#This Row],[Scoring Margin]], 1, 0)</f>
        <v>1</v>
      </c>
      <c r="AF573" s="5">
        <f>IF(Table3[[#This Row],[Efficiency Difference]]*0.2146 -5 &gt; Table3[[#This Row],[Scoring Margin]], 1, 0)</f>
        <v>1</v>
      </c>
      <c r="AG573" s="5">
        <f>IF(Table3[[#This Row],[Efficiency Difference]]*0.2146 -10 &gt; Table3[[#This Row],[Scoring Margin]], 1, 0)</f>
        <v>1</v>
      </c>
    </row>
    <row r="574" spans="2:33">
      <c r="B574" s="5">
        <v>35.010000000000019</v>
      </c>
      <c r="C574" s="5">
        <v>5</v>
      </c>
      <c r="X574" s="5">
        <v>35.010000000000019</v>
      </c>
      <c r="Y574" s="5">
        <v>5</v>
      </c>
      <c r="Z574" s="5">
        <f>IF(Table3[[#This Row],[Efficiency Difference]]*0.2146 &gt; Table3[[#This Row],[Scoring Margin]], 1, 0)</f>
        <v>1</v>
      </c>
      <c r="AA574" s="5">
        <f>IF(Table3[[#This Row],[Efficiency Difference]]*0.2146 + 7 &gt; Table3[[#This Row],[Scoring Margin]], 1, 0)</f>
        <v>1</v>
      </c>
      <c r="AB574" s="5">
        <f>IF(Table3[[#This Row],[Efficiency Difference]]*0.2146 + 14 &gt; Table3[[#This Row],[Scoring Margin]], 1, 0)</f>
        <v>1</v>
      </c>
      <c r="AC574" s="5">
        <f>IF(Table3[[#This Row],[Efficiency Difference]]*0.2146 + 21 &gt; Table3[[#This Row],[Scoring Margin]], 1, 0)</f>
        <v>1</v>
      </c>
      <c r="AD574" s="5">
        <f>IF(Table3[[#This Row],[Efficiency Difference]]*0.2146 -7 &gt; Table3[[#This Row],[Scoring Margin]], 1, 0)</f>
        <v>0</v>
      </c>
      <c r="AE574" s="5">
        <f>IF(Table3[[#This Row],[Efficiency Difference]]*0.2146 -3 &gt; Table3[[#This Row],[Scoring Margin]], 1, 0)</f>
        <v>0</v>
      </c>
      <c r="AF574" s="5">
        <f>IF(Table3[[#This Row],[Efficiency Difference]]*0.2146 -5 &gt; Table3[[#This Row],[Scoring Margin]], 1, 0)</f>
        <v>0</v>
      </c>
      <c r="AG574" s="5">
        <f>IF(Table3[[#This Row],[Efficiency Difference]]*0.2146 -10 &gt; Table3[[#This Row],[Scoring Margin]], 1, 0)</f>
        <v>0</v>
      </c>
    </row>
    <row r="575" spans="2:33">
      <c r="B575" s="5">
        <v>106.97</v>
      </c>
      <c r="C575" s="5">
        <v>27</v>
      </c>
      <c r="X575" s="5">
        <v>106.97</v>
      </c>
      <c r="Y575" s="5">
        <v>27</v>
      </c>
      <c r="Z575" s="5">
        <f>IF(Table3[[#This Row],[Efficiency Difference]]*0.2146 &gt; Table3[[#This Row],[Scoring Margin]], 1, 0)</f>
        <v>0</v>
      </c>
      <c r="AA575" s="5">
        <f>IF(Table3[[#This Row],[Efficiency Difference]]*0.2146 + 7 &gt; Table3[[#This Row],[Scoring Margin]], 1, 0)</f>
        <v>1</v>
      </c>
      <c r="AB575" s="5">
        <f>IF(Table3[[#This Row],[Efficiency Difference]]*0.2146 + 14 &gt; Table3[[#This Row],[Scoring Margin]], 1, 0)</f>
        <v>1</v>
      </c>
      <c r="AC575" s="5">
        <f>IF(Table3[[#This Row],[Efficiency Difference]]*0.2146 + 21 &gt; Table3[[#This Row],[Scoring Margin]], 1, 0)</f>
        <v>1</v>
      </c>
      <c r="AD575" s="5">
        <f>IF(Table3[[#This Row],[Efficiency Difference]]*0.2146 -7 &gt; Table3[[#This Row],[Scoring Margin]], 1, 0)</f>
        <v>0</v>
      </c>
      <c r="AE575" s="5">
        <f>IF(Table3[[#This Row],[Efficiency Difference]]*0.2146 -3 &gt; Table3[[#This Row],[Scoring Margin]], 1, 0)</f>
        <v>0</v>
      </c>
      <c r="AF575" s="5">
        <f>IF(Table3[[#This Row],[Efficiency Difference]]*0.2146 -5 &gt; Table3[[#This Row],[Scoring Margin]], 1, 0)</f>
        <v>0</v>
      </c>
      <c r="AG575" s="5">
        <f>IF(Table3[[#This Row],[Efficiency Difference]]*0.2146 -10 &gt; Table3[[#This Row],[Scoring Margin]], 1, 0)</f>
        <v>0</v>
      </c>
    </row>
    <row r="576" spans="2:33">
      <c r="B576" s="5">
        <v>60.850000000000023</v>
      </c>
      <c r="C576" s="5">
        <v>16</v>
      </c>
      <c r="X576" s="5">
        <v>60.850000000000023</v>
      </c>
      <c r="Y576" s="5">
        <v>16</v>
      </c>
      <c r="Z576" s="5">
        <f>IF(Table3[[#This Row],[Efficiency Difference]]*0.2146 &gt; Table3[[#This Row],[Scoring Margin]], 1, 0)</f>
        <v>0</v>
      </c>
      <c r="AA576" s="5">
        <f>IF(Table3[[#This Row],[Efficiency Difference]]*0.2146 + 7 &gt; Table3[[#This Row],[Scoring Margin]], 1, 0)</f>
        <v>1</v>
      </c>
      <c r="AB576" s="5">
        <f>IF(Table3[[#This Row],[Efficiency Difference]]*0.2146 + 14 &gt; Table3[[#This Row],[Scoring Margin]], 1, 0)</f>
        <v>1</v>
      </c>
      <c r="AC576" s="5">
        <f>IF(Table3[[#This Row],[Efficiency Difference]]*0.2146 + 21 &gt; Table3[[#This Row],[Scoring Margin]], 1, 0)</f>
        <v>1</v>
      </c>
      <c r="AD576" s="5">
        <f>IF(Table3[[#This Row],[Efficiency Difference]]*0.2146 -7 &gt; Table3[[#This Row],[Scoring Margin]], 1, 0)</f>
        <v>0</v>
      </c>
      <c r="AE576" s="5">
        <f>IF(Table3[[#This Row],[Efficiency Difference]]*0.2146 -3 &gt; Table3[[#This Row],[Scoring Margin]], 1, 0)</f>
        <v>0</v>
      </c>
      <c r="AF576" s="5">
        <f>IF(Table3[[#This Row],[Efficiency Difference]]*0.2146 -5 &gt; Table3[[#This Row],[Scoring Margin]], 1, 0)</f>
        <v>0</v>
      </c>
      <c r="AG576" s="5">
        <f>IF(Table3[[#This Row],[Efficiency Difference]]*0.2146 -10 &gt; Table3[[#This Row],[Scoring Margin]], 1, 0)</f>
        <v>0</v>
      </c>
    </row>
    <row r="577" spans="2:33">
      <c r="B577" s="5">
        <v>85.099999999999966</v>
      </c>
      <c r="C577" s="5">
        <v>40</v>
      </c>
      <c r="X577" s="5">
        <v>85.099999999999966</v>
      </c>
      <c r="Y577" s="5">
        <v>40</v>
      </c>
      <c r="Z577" s="5">
        <f>IF(Table3[[#This Row],[Efficiency Difference]]*0.2146 &gt; Table3[[#This Row],[Scoring Margin]], 1, 0)</f>
        <v>0</v>
      </c>
      <c r="AA577" s="5">
        <f>IF(Table3[[#This Row],[Efficiency Difference]]*0.2146 + 7 &gt; Table3[[#This Row],[Scoring Margin]], 1, 0)</f>
        <v>0</v>
      </c>
      <c r="AB577" s="5">
        <f>IF(Table3[[#This Row],[Efficiency Difference]]*0.2146 + 14 &gt; Table3[[#This Row],[Scoring Margin]], 1, 0)</f>
        <v>0</v>
      </c>
      <c r="AC577" s="5">
        <f>IF(Table3[[#This Row],[Efficiency Difference]]*0.2146 + 21 &gt; Table3[[#This Row],[Scoring Margin]], 1, 0)</f>
        <v>0</v>
      </c>
      <c r="AD577" s="5">
        <f>IF(Table3[[#This Row],[Efficiency Difference]]*0.2146 -7 &gt; Table3[[#This Row],[Scoring Margin]], 1, 0)</f>
        <v>0</v>
      </c>
      <c r="AE577" s="5">
        <f>IF(Table3[[#This Row],[Efficiency Difference]]*0.2146 -3 &gt; Table3[[#This Row],[Scoring Margin]], 1, 0)</f>
        <v>0</v>
      </c>
      <c r="AF577" s="5">
        <f>IF(Table3[[#This Row],[Efficiency Difference]]*0.2146 -5 &gt; Table3[[#This Row],[Scoring Margin]], 1, 0)</f>
        <v>0</v>
      </c>
      <c r="AG577" s="5">
        <f>IF(Table3[[#This Row],[Efficiency Difference]]*0.2146 -10 &gt; Table3[[#This Row],[Scoring Margin]], 1, 0)</f>
        <v>0</v>
      </c>
    </row>
    <row r="578" spans="2:33">
      <c r="B578" s="5">
        <v>170.08000000000004</v>
      </c>
      <c r="C578" s="5">
        <v>35</v>
      </c>
      <c r="X578" s="5">
        <v>170.08000000000004</v>
      </c>
      <c r="Y578" s="5">
        <v>35</v>
      </c>
      <c r="Z578" s="5">
        <f>IF(Table3[[#This Row],[Efficiency Difference]]*0.2146 &gt; Table3[[#This Row],[Scoring Margin]], 1, 0)</f>
        <v>1</v>
      </c>
      <c r="AA578" s="5">
        <f>IF(Table3[[#This Row],[Efficiency Difference]]*0.2146 + 7 &gt; Table3[[#This Row],[Scoring Margin]], 1, 0)</f>
        <v>1</v>
      </c>
      <c r="AB578" s="5">
        <f>IF(Table3[[#This Row],[Efficiency Difference]]*0.2146 + 14 &gt; Table3[[#This Row],[Scoring Margin]], 1, 0)</f>
        <v>1</v>
      </c>
      <c r="AC578" s="5">
        <f>IF(Table3[[#This Row],[Efficiency Difference]]*0.2146 + 21 &gt; Table3[[#This Row],[Scoring Margin]], 1, 0)</f>
        <v>1</v>
      </c>
      <c r="AD578" s="5">
        <f>IF(Table3[[#This Row],[Efficiency Difference]]*0.2146 -7 &gt; Table3[[#This Row],[Scoring Margin]], 1, 0)</f>
        <v>0</v>
      </c>
      <c r="AE578" s="5">
        <f>IF(Table3[[#This Row],[Efficiency Difference]]*0.2146 -3 &gt; Table3[[#This Row],[Scoring Margin]], 1, 0)</f>
        <v>0</v>
      </c>
      <c r="AF578" s="5">
        <f>IF(Table3[[#This Row],[Efficiency Difference]]*0.2146 -5 &gt; Table3[[#This Row],[Scoring Margin]], 1, 0)</f>
        <v>0</v>
      </c>
      <c r="AG578" s="5">
        <f>IF(Table3[[#This Row],[Efficiency Difference]]*0.2146 -10 &gt; Table3[[#This Row],[Scoring Margin]], 1, 0)</f>
        <v>0</v>
      </c>
    </row>
    <row r="579" spans="2:33">
      <c r="B579" s="5">
        <v>85.039999999999992</v>
      </c>
      <c r="C579" s="5">
        <v>9</v>
      </c>
      <c r="X579" s="5">
        <v>85.039999999999992</v>
      </c>
      <c r="Y579" s="5">
        <v>9</v>
      </c>
      <c r="Z579" s="5">
        <f>IF(Table3[[#This Row],[Efficiency Difference]]*0.2146 &gt; Table3[[#This Row],[Scoring Margin]], 1, 0)</f>
        <v>1</v>
      </c>
      <c r="AA579" s="5">
        <f>IF(Table3[[#This Row],[Efficiency Difference]]*0.2146 + 7 &gt; Table3[[#This Row],[Scoring Margin]], 1, 0)</f>
        <v>1</v>
      </c>
      <c r="AB579" s="5">
        <f>IF(Table3[[#This Row],[Efficiency Difference]]*0.2146 + 14 &gt; Table3[[#This Row],[Scoring Margin]], 1, 0)</f>
        <v>1</v>
      </c>
      <c r="AC579" s="5">
        <f>IF(Table3[[#This Row],[Efficiency Difference]]*0.2146 + 21 &gt; Table3[[#This Row],[Scoring Margin]], 1, 0)</f>
        <v>1</v>
      </c>
      <c r="AD579" s="5">
        <f>IF(Table3[[#This Row],[Efficiency Difference]]*0.2146 -7 &gt; Table3[[#This Row],[Scoring Margin]], 1, 0)</f>
        <v>1</v>
      </c>
      <c r="AE579" s="5">
        <f>IF(Table3[[#This Row],[Efficiency Difference]]*0.2146 -3 &gt; Table3[[#This Row],[Scoring Margin]], 1, 0)</f>
        <v>1</v>
      </c>
      <c r="AF579" s="5">
        <f>IF(Table3[[#This Row],[Efficiency Difference]]*0.2146 -5 &gt; Table3[[#This Row],[Scoring Margin]], 1, 0)</f>
        <v>1</v>
      </c>
      <c r="AG579" s="5">
        <f>IF(Table3[[#This Row],[Efficiency Difference]]*0.2146 -10 &gt; Table3[[#This Row],[Scoring Margin]], 1, 0)</f>
        <v>0</v>
      </c>
    </row>
    <row r="580" spans="2:33">
      <c r="B580" s="5">
        <v>72.079999999999984</v>
      </c>
      <c r="C580" s="5">
        <v>10</v>
      </c>
      <c r="X580" s="5">
        <v>72.079999999999984</v>
      </c>
      <c r="Y580" s="5">
        <v>10</v>
      </c>
      <c r="Z580" s="5">
        <f>IF(Table3[[#This Row],[Efficiency Difference]]*0.2146 &gt; Table3[[#This Row],[Scoring Margin]], 1, 0)</f>
        <v>1</v>
      </c>
      <c r="AA580" s="5">
        <f>IF(Table3[[#This Row],[Efficiency Difference]]*0.2146 + 7 &gt; Table3[[#This Row],[Scoring Margin]], 1, 0)</f>
        <v>1</v>
      </c>
      <c r="AB580" s="5">
        <f>IF(Table3[[#This Row],[Efficiency Difference]]*0.2146 + 14 &gt; Table3[[#This Row],[Scoring Margin]], 1, 0)</f>
        <v>1</v>
      </c>
      <c r="AC580" s="5">
        <f>IF(Table3[[#This Row],[Efficiency Difference]]*0.2146 + 21 &gt; Table3[[#This Row],[Scoring Margin]], 1, 0)</f>
        <v>1</v>
      </c>
      <c r="AD580" s="5">
        <f>IF(Table3[[#This Row],[Efficiency Difference]]*0.2146 -7 &gt; Table3[[#This Row],[Scoring Margin]], 1, 0)</f>
        <v>0</v>
      </c>
      <c r="AE580" s="5">
        <f>IF(Table3[[#This Row],[Efficiency Difference]]*0.2146 -3 &gt; Table3[[#This Row],[Scoring Margin]], 1, 0)</f>
        <v>1</v>
      </c>
      <c r="AF580" s="5">
        <f>IF(Table3[[#This Row],[Efficiency Difference]]*0.2146 -5 &gt; Table3[[#This Row],[Scoring Margin]], 1, 0)</f>
        <v>1</v>
      </c>
      <c r="AG580" s="5">
        <f>IF(Table3[[#This Row],[Efficiency Difference]]*0.2146 -10 &gt; Table3[[#This Row],[Scoring Margin]], 1, 0)</f>
        <v>0</v>
      </c>
    </row>
    <row r="581" spans="2:33">
      <c r="B581" s="5">
        <v>85.1</v>
      </c>
      <c r="C581" s="5">
        <v>40</v>
      </c>
      <c r="X581" s="5">
        <v>85.1</v>
      </c>
      <c r="Y581" s="5">
        <v>40</v>
      </c>
      <c r="Z581" s="5">
        <f>IF(Table3[[#This Row],[Efficiency Difference]]*0.2146 &gt; Table3[[#This Row],[Scoring Margin]], 1, 0)</f>
        <v>0</v>
      </c>
      <c r="AA581" s="5">
        <f>IF(Table3[[#This Row],[Efficiency Difference]]*0.2146 + 7 &gt; Table3[[#This Row],[Scoring Margin]], 1, 0)</f>
        <v>0</v>
      </c>
      <c r="AB581" s="5">
        <f>IF(Table3[[#This Row],[Efficiency Difference]]*0.2146 + 14 &gt; Table3[[#This Row],[Scoring Margin]], 1, 0)</f>
        <v>0</v>
      </c>
      <c r="AC581" s="5">
        <f>IF(Table3[[#This Row],[Efficiency Difference]]*0.2146 + 21 &gt; Table3[[#This Row],[Scoring Margin]], 1, 0)</f>
        <v>0</v>
      </c>
      <c r="AD581" s="5">
        <f>IF(Table3[[#This Row],[Efficiency Difference]]*0.2146 -7 &gt; Table3[[#This Row],[Scoring Margin]], 1, 0)</f>
        <v>0</v>
      </c>
      <c r="AE581" s="5">
        <f>IF(Table3[[#This Row],[Efficiency Difference]]*0.2146 -3 &gt; Table3[[#This Row],[Scoring Margin]], 1, 0)</f>
        <v>0</v>
      </c>
      <c r="AF581" s="5">
        <f>IF(Table3[[#This Row],[Efficiency Difference]]*0.2146 -5 &gt; Table3[[#This Row],[Scoring Margin]], 1, 0)</f>
        <v>0</v>
      </c>
      <c r="AG581" s="5">
        <f>IF(Table3[[#This Row],[Efficiency Difference]]*0.2146 -10 &gt; Table3[[#This Row],[Scoring Margin]], 1, 0)</f>
        <v>0</v>
      </c>
    </row>
    <row r="582" spans="2:33">
      <c r="B582" s="5">
        <v>151.43</v>
      </c>
      <c r="C582" s="5">
        <v>46</v>
      </c>
      <c r="X582" s="5">
        <v>151.43</v>
      </c>
      <c r="Y582" s="5">
        <v>46</v>
      </c>
      <c r="Z582" s="5">
        <f>IF(Table3[[#This Row],[Efficiency Difference]]*0.2146 &gt; Table3[[#This Row],[Scoring Margin]], 1, 0)</f>
        <v>0</v>
      </c>
      <c r="AA582" s="5">
        <f>IF(Table3[[#This Row],[Efficiency Difference]]*0.2146 + 7 &gt; Table3[[#This Row],[Scoring Margin]], 1, 0)</f>
        <v>0</v>
      </c>
      <c r="AB582" s="5">
        <f>IF(Table3[[#This Row],[Efficiency Difference]]*0.2146 + 14 &gt; Table3[[#This Row],[Scoring Margin]], 1, 0)</f>
        <v>1</v>
      </c>
      <c r="AC582" s="5">
        <f>IF(Table3[[#This Row],[Efficiency Difference]]*0.2146 + 21 &gt; Table3[[#This Row],[Scoring Margin]], 1, 0)</f>
        <v>1</v>
      </c>
      <c r="AD582" s="5">
        <f>IF(Table3[[#This Row],[Efficiency Difference]]*0.2146 -7 &gt; Table3[[#This Row],[Scoring Margin]], 1, 0)</f>
        <v>0</v>
      </c>
      <c r="AE582" s="5">
        <f>IF(Table3[[#This Row],[Efficiency Difference]]*0.2146 -3 &gt; Table3[[#This Row],[Scoring Margin]], 1, 0)</f>
        <v>0</v>
      </c>
      <c r="AF582" s="5">
        <f>IF(Table3[[#This Row],[Efficiency Difference]]*0.2146 -5 &gt; Table3[[#This Row],[Scoring Margin]], 1, 0)</f>
        <v>0</v>
      </c>
      <c r="AG582" s="5">
        <f>IF(Table3[[#This Row],[Efficiency Difference]]*0.2146 -10 &gt; Table3[[#This Row],[Scoring Margin]], 1, 0)</f>
        <v>0</v>
      </c>
    </row>
    <row r="583" spans="2:33">
      <c r="B583" s="5">
        <v>41.949999999999989</v>
      </c>
      <c r="C583" s="5">
        <v>1</v>
      </c>
      <c r="X583" s="5">
        <v>41.949999999999989</v>
      </c>
      <c r="Y583" s="5">
        <v>1</v>
      </c>
      <c r="Z583" s="5">
        <f>IF(Table3[[#This Row],[Efficiency Difference]]*0.2146 &gt; Table3[[#This Row],[Scoring Margin]], 1, 0)</f>
        <v>1</v>
      </c>
      <c r="AA583" s="5">
        <f>IF(Table3[[#This Row],[Efficiency Difference]]*0.2146 + 7 &gt; Table3[[#This Row],[Scoring Margin]], 1, 0)</f>
        <v>1</v>
      </c>
      <c r="AB583" s="5">
        <f>IF(Table3[[#This Row],[Efficiency Difference]]*0.2146 + 14 &gt; Table3[[#This Row],[Scoring Margin]], 1, 0)</f>
        <v>1</v>
      </c>
      <c r="AC583" s="5">
        <f>IF(Table3[[#This Row],[Efficiency Difference]]*0.2146 + 21 &gt; Table3[[#This Row],[Scoring Margin]], 1, 0)</f>
        <v>1</v>
      </c>
      <c r="AD583" s="5">
        <f>IF(Table3[[#This Row],[Efficiency Difference]]*0.2146 -7 &gt; Table3[[#This Row],[Scoring Margin]], 1, 0)</f>
        <v>1</v>
      </c>
      <c r="AE583" s="5">
        <f>IF(Table3[[#This Row],[Efficiency Difference]]*0.2146 -3 &gt; Table3[[#This Row],[Scoring Margin]], 1, 0)</f>
        <v>1</v>
      </c>
      <c r="AF583" s="5">
        <f>IF(Table3[[#This Row],[Efficiency Difference]]*0.2146 -5 &gt; Table3[[#This Row],[Scoring Margin]], 1, 0)</f>
        <v>1</v>
      </c>
      <c r="AG583" s="5">
        <f>IF(Table3[[#This Row],[Efficiency Difference]]*0.2146 -10 &gt; Table3[[#This Row],[Scoring Margin]], 1, 0)</f>
        <v>0</v>
      </c>
    </row>
    <row r="584" spans="2:33">
      <c r="B584" s="5">
        <v>4.1599999999999682</v>
      </c>
      <c r="C584" s="5">
        <v>11</v>
      </c>
      <c r="X584" s="5">
        <v>4.1599999999999682</v>
      </c>
      <c r="Y584" s="5">
        <v>11</v>
      </c>
      <c r="Z584" s="5">
        <f>IF(Table3[[#This Row],[Efficiency Difference]]*0.2146 &gt; Table3[[#This Row],[Scoring Margin]], 1, 0)</f>
        <v>0</v>
      </c>
      <c r="AA584" s="5">
        <f>IF(Table3[[#This Row],[Efficiency Difference]]*0.2146 + 7 &gt; Table3[[#This Row],[Scoring Margin]], 1, 0)</f>
        <v>0</v>
      </c>
      <c r="AB584" s="5">
        <f>IF(Table3[[#This Row],[Efficiency Difference]]*0.2146 + 14 &gt; Table3[[#This Row],[Scoring Margin]], 1, 0)</f>
        <v>1</v>
      </c>
      <c r="AC584" s="5">
        <f>IF(Table3[[#This Row],[Efficiency Difference]]*0.2146 + 21 &gt; Table3[[#This Row],[Scoring Margin]], 1, 0)</f>
        <v>1</v>
      </c>
      <c r="AD584" s="5">
        <f>IF(Table3[[#This Row],[Efficiency Difference]]*0.2146 -7 &gt; Table3[[#This Row],[Scoring Margin]], 1, 0)</f>
        <v>0</v>
      </c>
      <c r="AE584" s="5">
        <f>IF(Table3[[#This Row],[Efficiency Difference]]*0.2146 -3 &gt; Table3[[#This Row],[Scoring Margin]], 1, 0)</f>
        <v>0</v>
      </c>
      <c r="AF584" s="5">
        <f>IF(Table3[[#This Row],[Efficiency Difference]]*0.2146 -5 &gt; Table3[[#This Row],[Scoring Margin]], 1, 0)</f>
        <v>0</v>
      </c>
      <c r="AG584" s="5">
        <f>IF(Table3[[#This Row],[Efficiency Difference]]*0.2146 -10 &gt; Table3[[#This Row],[Scoring Margin]], 1, 0)</f>
        <v>0</v>
      </c>
    </row>
    <row r="585" spans="2:33">
      <c r="B585" s="5">
        <v>35.010000000000019</v>
      </c>
      <c r="C585" s="5">
        <v>5</v>
      </c>
      <c r="X585" s="5">
        <v>35.010000000000019</v>
      </c>
      <c r="Y585" s="5">
        <v>5</v>
      </c>
      <c r="Z585" s="5">
        <f>IF(Table3[[#This Row],[Efficiency Difference]]*0.2146 &gt; Table3[[#This Row],[Scoring Margin]], 1, 0)</f>
        <v>1</v>
      </c>
      <c r="AA585" s="5">
        <f>IF(Table3[[#This Row],[Efficiency Difference]]*0.2146 + 7 &gt; Table3[[#This Row],[Scoring Margin]], 1, 0)</f>
        <v>1</v>
      </c>
      <c r="AB585" s="5">
        <f>IF(Table3[[#This Row],[Efficiency Difference]]*0.2146 + 14 &gt; Table3[[#This Row],[Scoring Margin]], 1, 0)</f>
        <v>1</v>
      </c>
      <c r="AC585" s="5">
        <f>IF(Table3[[#This Row],[Efficiency Difference]]*0.2146 + 21 &gt; Table3[[#This Row],[Scoring Margin]], 1, 0)</f>
        <v>1</v>
      </c>
      <c r="AD585" s="5">
        <f>IF(Table3[[#This Row],[Efficiency Difference]]*0.2146 -7 &gt; Table3[[#This Row],[Scoring Margin]], 1, 0)</f>
        <v>0</v>
      </c>
      <c r="AE585" s="5">
        <f>IF(Table3[[#This Row],[Efficiency Difference]]*0.2146 -3 &gt; Table3[[#This Row],[Scoring Margin]], 1, 0)</f>
        <v>0</v>
      </c>
      <c r="AF585" s="5">
        <f>IF(Table3[[#This Row],[Efficiency Difference]]*0.2146 -5 &gt; Table3[[#This Row],[Scoring Margin]], 1, 0)</f>
        <v>0</v>
      </c>
      <c r="AG585" s="5">
        <f>IF(Table3[[#This Row],[Efficiency Difference]]*0.2146 -10 &gt; Table3[[#This Row],[Scoring Margin]], 1, 0)</f>
        <v>0</v>
      </c>
    </row>
    <row r="586" spans="2:33">
      <c r="B586" s="5">
        <v>39.610000000000014</v>
      </c>
      <c r="C586" s="5">
        <v>7</v>
      </c>
      <c r="X586" s="5">
        <v>39.610000000000014</v>
      </c>
      <c r="Y586" s="5">
        <v>7</v>
      </c>
      <c r="Z586" s="5">
        <f>IF(Table3[[#This Row],[Efficiency Difference]]*0.2146 &gt; Table3[[#This Row],[Scoring Margin]], 1, 0)</f>
        <v>1</v>
      </c>
      <c r="AA586" s="5">
        <f>IF(Table3[[#This Row],[Efficiency Difference]]*0.2146 + 7 &gt; Table3[[#This Row],[Scoring Margin]], 1, 0)</f>
        <v>1</v>
      </c>
      <c r="AB586" s="5">
        <f>IF(Table3[[#This Row],[Efficiency Difference]]*0.2146 + 14 &gt; Table3[[#This Row],[Scoring Margin]], 1, 0)</f>
        <v>1</v>
      </c>
      <c r="AC586" s="5">
        <f>IF(Table3[[#This Row],[Efficiency Difference]]*0.2146 + 21 &gt; Table3[[#This Row],[Scoring Margin]], 1, 0)</f>
        <v>1</v>
      </c>
      <c r="AD586" s="5">
        <f>IF(Table3[[#This Row],[Efficiency Difference]]*0.2146 -7 &gt; Table3[[#This Row],[Scoring Margin]], 1, 0)</f>
        <v>0</v>
      </c>
      <c r="AE586" s="5">
        <f>IF(Table3[[#This Row],[Efficiency Difference]]*0.2146 -3 &gt; Table3[[#This Row],[Scoring Margin]], 1, 0)</f>
        <v>0</v>
      </c>
      <c r="AF586" s="5">
        <f>IF(Table3[[#This Row],[Efficiency Difference]]*0.2146 -5 &gt; Table3[[#This Row],[Scoring Margin]], 1, 0)</f>
        <v>0</v>
      </c>
      <c r="AG586" s="5">
        <f>IF(Table3[[#This Row],[Efficiency Difference]]*0.2146 -10 &gt; Table3[[#This Row],[Scoring Margin]], 1, 0)</f>
        <v>0</v>
      </c>
    </row>
    <row r="587" spans="2:33">
      <c r="B587" s="5">
        <v>16.439999999999998</v>
      </c>
      <c r="C587" s="5">
        <v>3</v>
      </c>
      <c r="X587" s="5">
        <v>16.439999999999998</v>
      </c>
      <c r="Y587" s="5">
        <v>3</v>
      </c>
      <c r="Z587" s="5">
        <f>IF(Table3[[#This Row],[Efficiency Difference]]*0.2146 &gt; Table3[[#This Row],[Scoring Margin]], 1, 0)</f>
        <v>1</v>
      </c>
      <c r="AA587" s="5">
        <f>IF(Table3[[#This Row],[Efficiency Difference]]*0.2146 + 7 &gt; Table3[[#This Row],[Scoring Margin]], 1, 0)</f>
        <v>1</v>
      </c>
      <c r="AB587" s="5">
        <f>IF(Table3[[#This Row],[Efficiency Difference]]*0.2146 + 14 &gt; Table3[[#This Row],[Scoring Margin]], 1, 0)</f>
        <v>1</v>
      </c>
      <c r="AC587" s="5">
        <f>IF(Table3[[#This Row],[Efficiency Difference]]*0.2146 + 21 &gt; Table3[[#This Row],[Scoring Margin]], 1, 0)</f>
        <v>1</v>
      </c>
      <c r="AD587" s="5">
        <f>IF(Table3[[#This Row],[Efficiency Difference]]*0.2146 -7 &gt; Table3[[#This Row],[Scoring Margin]], 1, 0)</f>
        <v>0</v>
      </c>
      <c r="AE587" s="5">
        <f>IF(Table3[[#This Row],[Efficiency Difference]]*0.2146 -3 &gt; Table3[[#This Row],[Scoring Margin]], 1, 0)</f>
        <v>0</v>
      </c>
      <c r="AF587" s="5">
        <f>IF(Table3[[#This Row],[Efficiency Difference]]*0.2146 -5 &gt; Table3[[#This Row],[Scoring Margin]], 1, 0)</f>
        <v>0</v>
      </c>
      <c r="AG587" s="5">
        <f>IF(Table3[[#This Row],[Efficiency Difference]]*0.2146 -10 &gt; Table3[[#This Row],[Scoring Margin]], 1, 0)</f>
        <v>0</v>
      </c>
    </row>
    <row r="588" spans="2:33">
      <c r="B588" s="5">
        <v>40.629999999999995</v>
      </c>
      <c r="C588" s="5">
        <v>5</v>
      </c>
      <c r="X588" s="5">
        <v>40.629999999999995</v>
      </c>
      <c r="Y588" s="5">
        <v>5</v>
      </c>
      <c r="Z588" s="5">
        <f>IF(Table3[[#This Row],[Efficiency Difference]]*0.2146 &gt; Table3[[#This Row],[Scoring Margin]], 1, 0)</f>
        <v>1</v>
      </c>
      <c r="AA588" s="5">
        <f>IF(Table3[[#This Row],[Efficiency Difference]]*0.2146 + 7 &gt; Table3[[#This Row],[Scoring Margin]], 1, 0)</f>
        <v>1</v>
      </c>
      <c r="AB588" s="5">
        <f>IF(Table3[[#This Row],[Efficiency Difference]]*0.2146 + 14 &gt; Table3[[#This Row],[Scoring Margin]], 1, 0)</f>
        <v>1</v>
      </c>
      <c r="AC588" s="5">
        <f>IF(Table3[[#This Row],[Efficiency Difference]]*0.2146 + 21 &gt; Table3[[#This Row],[Scoring Margin]], 1, 0)</f>
        <v>1</v>
      </c>
      <c r="AD588" s="5">
        <f>IF(Table3[[#This Row],[Efficiency Difference]]*0.2146 -7 &gt; Table3[[#This Row],[Scoring Margin]], 1, 0)</f>
        <v>0</v>
      </c>
      <c r="AE588" s="5">
        <f>IF(Table3[[#This Row],[Efficiency Difference]]*0.2146 -3 &gt; Table3[[#This Row],[Scoring Margin]], 1, 0)</f>
        <v>1</v>
      </c>
      <c r="AF588" s="5">
        <f>IF(Table3[[#This Row],[Efficiency Difference]]*0.2146 -5 &gt; Table3[[#This Row],[Scoring Margin]], 1, 0)</f>
        <v>0</v>
      </c>
      <c r="AG588" s="5">
        <f>IF(Table3[[#This Row],[Efficiency Difference]]*0.2146 -10 &gt; Table3[[#This Row],[Scoring Margin]], 1, 0)</f>
        <v>0</v>
      </c>
    </row>
    <row r="589" spans="2:33">
      <c r="B589" s="5">
        <v>87.38</v>
      </c>
      <c r="C589" s="5">
        <v>25</v>
      </c>
      <c r="X589" s="5">
        <v>87.38</v>
      </c>
      <c r="Y589" s="5">
        <v>25</v>
      </c>
      <c r="Z589" s="5">
        <f>IF(Table3[[#This Row],[Efficiency Difference]]*0.2146 &gt; Table3[[#This Row],[Scoring Margin]], 1, 0)</f>
        <v>0</v>
      </c>
      <c r="AA589" s="5">
        <f>IF(Table3[[#This Row],[Efficiency Difference]]*0.2146 + 7 &gt; Table3[[#This Row],[Scoring Margin]], 1, 0)</f>
        <v>1</v>
      </c>
      <c r="AB589" s="5">
        <f>IF(Table3[[#This Row],[Efficiency Difference]]*0.2146 + 14 &gt; Table3[[#This Row],[Scoring Margin]], 1, 0)</f>
        <v>1</v>
      </c>
      <c r="AC589" s="5">
        <f>IF(Table3[[#This Row],[Efficiency Difference]]*0.2146 + 21 &gt; Table3[[#This Row],[Scoring Margin]], 1, 0)</f>
        <v>1</v>
      </c>
      <c r="AD589" s="5">
        <f>IF(Table3[[#This Row],[Efficiency Difference]]*0.2146 -7 &gt; Table3[[#This Row],[Scoring Margin]], 1, 0)</f>
        <v>0</v>
      </c>
      <c r="AE589" s="5">
        <f>IF(Table3[[#This Row],[Efficiency Difference]]*0.2146 -3 &gt; Table3[[#This Row],[Scoring Margin]], 1, 0)</f>
        <v>0</v>
      </c>
      <c r="AF589" s="5">
        <f>IF(Table3[[#This Row],[Efficiency Difference]]*0.2146 -5 &gt; Table3[[#This Row],[Scoring Margin]], 1, 0)</f>
        <v>0</v>
      </c>
      <c r="AG589" s="5">
        <f>IF(Table3[[#This Row],[Efficiency Difference]]*0.2146 -10 &gt; Table3[[#This Row],[Scoring Margin]], 1, 0)</f>
        <v>0</v>
      </c>
    </row>
    <row r="590" spans="2:33">
      <c r="B590" s="5">
        <v>8.6900000000000261</v>
      </c>
      <c r="C590" s="5">
        <v>3</v>
      </c>
      <c r="X590" s="5">
        <v>8.6900000000000261</v>
      </c>
      <c r="Y590" s="5">
        <v>3</v>
      </c>
      <c r="Z590" s="5">
        <f>IF(Table3[[#This Row],[Efficiency Difference]]*0.2146 &gt; Table3[[#This Row],[Scoring Margin]], 1, 0)</f>
        <v>0</v>
      </c>
      <c r="AA590" s="5">
        <f>IF(Table3[[#This Row],[Efficiency Difference]]*0.2146 + 7 &gt; Table3[[#This Row],[Scoring Margin]], 1, 0)</f>
        <v>1</v>
      </c>
      <c r="AB590" s="5">
        <f>IF(Table3[[#This Row],[Efficiency Difference]]*0.2146 + 14 &gt; Table3[[#This Row],[Scoring Margin]], 1, 0)</f>
        <v>1</v>
      </c>
      <c r="AC590" s="5">
        <f>IF(Table3[[#This Row],[Efficiency Difference]]*0.2146 + 21 &gt; Table3[[#This Row],[Scoring Margin]], 1, 0)</f>
        <v>1</v>
      </c>
      <c r="AD590" s="5">
        <f>IF(Table3[[#This Row],[Efficiency Difference]]*0.2146 -7 &gt; Table3[[#This Row],[Scoring Margin]], 1, 0)</f>
        <v>0</v>
      </c>
      <c r="AE590" s="5">
        <f>IF(Table3[[#This Row],[Efficiency Difference]]*0.2146 -3 &gt; Table3[[#This Row],[Scoring Margin]], 1, 0)</f>
        <v>0</v>
      </c>
      <c r="AF590" s="5">
        <f>IF(Table3[[#This Row],[Efficiency Difference]]*0.2146 -5 &gt; Table3[[#This Row],[Scoring Margin]], 1, 0)</f>
        <v>0</v>
      </c>
      <c r="AG590" s="5">
        <f>IF(Table3[[#This Row],[Efficiency Difference]]*0.2146 -10 &gt; Table3[[#This Row],[Scoring Margin]], 1, 0)</f>
        <v>0</v>
      </c>
    </row>
    <row r="591" spans="2:33">
      <c r="B591" s="5">
        <v>122.94999999999999</v>
      </c>
      <c r="C591" s="5">
        <v>23</v>
      </c>
      <c r="X591" s="5">
        <v>122.94999999999999</v>
      </c>
      <c r="Y591" s="5">
        <v>23</v>
      </c>
      <c r="Z591" s="5">
        <f>IF(Table3[[#This Row],[Efficiency Difference]]*0.2146 &gt; Table3[[#This Row],[Scoring Margin]], 1, 0)</f>
        <v>1</v>
      </c>
      <c r="AA591" s="5">
        <f>IF(Table3[[#This Row],[Efficiency Difference]]*0.2146 + 7 &gt; Table3[[#This Row],[Scoring Margin]], 1, 0)</f>
        <v>1</v>
      </c>
      <c r="AB591" s="5">
        <f>IF(Table3[[#This Row],[Efficiency Difference]]*0.2146 + 14 &gt; Table3[[#This Row],[Scoring Margin]], 1, 0)</f>
        <v>1</v>
      </c>
      <c r="AC591" s="5">
        <f>IF(Table3[[#This Row],[Efficiency Difference]]*0.2146 + 21 &gt; Table3[[#This Row],[Scoring Margin]], 1, 0)</f>
        <v>1</v>
      </c>
      <c r="AD591" s="5">
        <f>IF(Table3[[#This Row],[Efficiency Difference]]*0.2146 -7 &gt; Table3[[#This Row],[Scoring Margin]], 1, 0)</f>
        <v>0</v>
      </c>
      <c r="AE591" s="5">
        <f>IF(Table3[[#This Row],[Efficiency Difference]]*0.2146 -3 &gt; Table3[[#This Row],[Scoring Margin]], 1, 0)</f>
        <v>1</v>
      </c>
      <c r="AF591" s="5">
        <f>IF(Table3[[#This Row],[Efficiency Difference]]*0.2146 -5 &gt; Table3[[#This Row],[Scoring Margin]], 1, 0)</f>
        <v>0</v>
      </c>
      <c r="AG591" s="5">
        <f>IF(Table3[[#This Row],[Efficiency Difference]]*0.2146 -10 &gt; Table3[[#This Row],[Scoring Margin]], 1, 0)</f>
        <v>0</v>
      </c>
    </row>
    <row r="592" spans="2:33">
      <c r="B592" s="5">
        <v>162.44999999999999</v>
      </c>
      <c r="C592" s="5">
        <v>38</v>
      </c>
      <c r="X592" s="5">
        <v>162.44999999999999</v>
      </c>
      <c r="Y592" s="5">
        <v>38</v>
      </c>
      <c r="Z592" s="5">
        <f>IF(Table3[[#This Row],[Efficiency Difference]]*0.2146 &gt; Table3[[#This Row],[Scoring Margin]], 1, 0)</f>
        <v>0</v>
      </c>
      <c r="AA592" s="5">
        <f>IF(Table3[[#This Row],[Efficiency Difference]]*0.2146 + 7 &gt; Table3[[#This Row],[Scoring Margin]], 1, 0)</f>
        <v>1</v>
      </c>
      <c r="AB592" s="5">
        <f>IF(Table3[[#This Row],[Efficiency Difference]]*0.2146 + 14 &gt; Table3[[#This Row],[Scoring Margin]], 1, 0)</f>
        <v>1</v>
      </c>
      <c r="AC592" s="5">
        <f>IF(Table3[[#This Row],[Efficiency Difference]]*0.2146 + 21 &gt; Table3[[#This Row],[Scoring Margin]], 1, 0)</f>
        <v>1</v>
      </c>
      <c r="AD592" s="5">
        <f>IF(Table3[[#This Row],[Efficiency Difference]]*0.2146 -7 &gt; Table3[[#This Row],[Scoring Margin]], 1, 0)</f>
        <v>0</v>
      </c>
      <c r="AE592" s="5">
        <f>IF(Table3[[#This Row],[Efficiency Difference]]*0.2146 -3 &gt; Table3[[#This Row],[Scoring Margin]], 1, 0)</f>
        <v>0</v>
      </c>
      <c r="AF592" s="5">
        <f>IF(Table3[[#This Row],[Efficiency Difference]]*0.2146 -5 &gt; Table3[[#This Row],[Scoring Margin]], 1, 0)</f>
        <v>0</v>
      </c>
      <c r="AG592" s="5">
        <f>IF(Table3[[#This Row],[Efficiency Difference]]*0.2146 -10 &gt; Table3[[#This Row],[Scoring Margin]], 1, 0)</f>
        <v>0</v>
      </c>
    </row>
    <row r="593" spans="2:33">
      <c r="B593" s="5">
        <v>89.269999999999982</v>
      </c>
      <c r="C593" s="5">
        <v>7</v>
      </c>
      <c r="X593" s="5">
        <v>89.269999999999982</v>
      </c>
      <c r="Y593" s="5">
        <v>7</v>
      </c>
      <c r="Z593" s="5">
        <f>IF(Table3[[#This Row],[Efficiency Difference]]*0.2146 &gt; Table3[[#This Row],[Scoring Margin]], 1, 0)</f>
        <v>1</v>
      </c>
      <c r="AA593" s="5">
        <f>IF(Table3[[#This Row],[Efficiency Difference]]*0.2146 + 7 &gt; Table3[[#This Row],[Scoring Margin]], 1, 0)</f>
        <v>1</v>
      </c>
      <c r="AB593" s="5">
        <f>IF(Table3[[#This Row],[Efficiency Difference]]*0.2146 + 14 &gt; Table3[[#This Row],[Scoring Margin]], 1, 0)</f>
        <v>1</v>
      </c>
      <c r="AC593" s="5">
        <f>IF(Table3[[#This Row],[Efficiency Difference]]*0.2146 + 21 &gt; Table3[[#This Row],[Scoring Margin]], 1, 0)</f>
        <v>1</v>
      </c>
      <c r="AD593" s="5">
        <f>IF(Table3[[#This Row],[Efficiency Difference]]*0.2146 -7 &gt; Table3[[#This Row],[Scoring Margin]], 1, 0)</f>
        <v>1</v>
      </c>
      <c r="AE593" s="5">
        <f>IF(Table3[[#This Row],[Efficiency Difference]]*0.2146 -3 &gt; Table3[[#This Row],[Scoring Margin]], 1, 0)</f>
        <v>1</v>
      </c>
      <c r="AF593" s="5">
        <f>IF(Table3[[#This Row],[Efficiency Difference]]*0.2146 -5 &gt; Table3[[#This Row],[Scoring Margin]], 1, 0)</f>
        <v>1</v>
      </c>
      <c r="AG593" s="5">
        <f>IF(Table3[[#This Row],[Efficiency Difference]]*0.2146 -10 &gt; Table3[[#This Row],[Scoring Margin]], 1, 0)</f>
        <v>1</v>
      </c>
    </row>
    <row r="594" spans="2:33">
      <c r="B594" s="5">
        <v>151.51</v>
      </c>
      <c r="C594" s="5">
        <v>21</v>
      </c>
      <c r="X594" s="5">
        <v>151.51</v>
      </c>
      <c r="Y594" s="5">
        <v>21</v>
      </c>
      <c r="Z594" s="5">
        <f>IF(Table3[[#This Row],[Efficiency Difference]]*0.2146 &gt; Table3[[#This Row],[Scoring Margin]], 1, 0)</f>
        <v>1</v>
      </c>
      <c r="AA594" s="5">
        <f>IF(Table3[[#This Row],[Efficiency Difference]]*0.2146 + 7 &gt; Table3[[#This Row],[Scoring Margin]], 1, 0)</f>
        <v>1</v>
      </c>
      <c r="AB594" s="5">
        <f>IF(Table3[[#This Row],[Efficiency Difference]]*0.2146 + 14 &gt; Table3[[#This Row],[Scoring Margin]], 1, 0)</f>
        <v>1</v>
      </c>
      <c r="AC594" s="5">
        <f>IF(Table3[[#This Row],[Efficiency Difference]]*0.2146 + 21 &gt; Table3[[#This Row],[Scoring Margin]], 1, 0)</f>
        <v>1</v>
      </c>
      <c r="AD594" s="5">
        <f>IF(Table3[[#This Row],[Efficiency Difference]]*0.2146 -7 &gt; Table3[[#This Row],[Scoring Margin]], 1, 0)</f>
        <v>1</v>
      </c>
      <c r="AE594" s="5">
        <f>IF(Table3[[#This Row],[Efficiency Difference]]*0.2146 -3 &gt; Table3[[#This Row],[Scoring Margin]], 1, 0)</f>
        <v>1</v>
      </c>
      <c r="AF594" s="5">
        <f>IF(Table3[[#This Row],[Efficiency Difference]]*0.2146 -5 &gt; Table3[[#This Row],[Scoring Margin]], 1, 0)</f>
        <v>1</v>
      </c>
      <c r="AG594" s="5">
        <f>IF(Table3[[#This Row],[Efficiency Difference]]*0.2146 -10 &gt; Table3[[#This Row],[Scoring Margin]], 1, 0)</f>
        <v>1</v>
      </c>
    </row>
    <row r="595" spans="2:33">
      <c r="B595" s="5">
        <v>67.509999999999991</v>
      </c>
      <c r="C595" s="5">
        <v>24</v>
      </c>
      <c r="X595" s="5">
        <v>67.509999999999991</v>
      </c>
      <c r="Y595" s="5">
        <v>24</v>
      </c>
      <c r="Z595" s="5">
        <f>IF(Table3[[#This Row],[Efficiency Difference]]*0.2146 &gt; Table3[[#This Row],[Scoring Margin]], 1, 0)</f>
        <v>0</v>
      </c>
      <c r="AA595" s="5">
        <f>IF(Table3[[#This Row],[Efficiency Difference]]*0.2146 + 7 &gt; Table3[[#This Row],[Scoring Margin]], 1, 0)</f>
        <v>0</v>
      </c>
      <c r="AB595" s="5">
        <f>IF(Table3[[#This Row],[Efficiency Difference]]*0.2146 + 14 &gt; Table3[[#This Row],[Scoring Margin]], 1, 0)</f>
        <v>1</v>
      </c>
      <c r="AC595" s="5">
        <f>IF(Table3[[#This Row],[Efficiency Difference]]*0.2146 + 21 &gt; Table3[[#This Row],[Scoring Margin]], 1, 0)</f>
        <v>1</v>
      </c>
      <c r="AD595" s="5">
        <f>IF(Table3[[#This Row],[Efficiency Difference]]*0.2146 -7 &gt; Table3[[#This Row],[Scoring Margin]], 1, 0)</f>
        <v>0</v>
      </c>
      <c r="AE595" s="5">
        <f>IF(Table3[[#This Row],[Efficiency Difference]]*0.2146 -3 &gt; Table3[[#This Row],[Scoring Margin]], 1, 0)</f>
        <v>0</v>
      </c>
      <c r="AF595" s="5">
        <f>IF(Table3[[#This Row],[Efficiency Difference]]*0.2146 -5 &gt; Table3[[#This Row],[Scoring Margin]], 1, 0)</f>
        <v>0</v>
      </c>
      <c r="AG595" s="5">
        <f>IF(Table3[[#This Row],[Efficiency Difference]]*0.2146 -10 &gt; Table3[[#This Row],[Scoring Margin]], 1, 0)</f>
        <v>0</v>
      </c>
    </row>
    <row r="596" spans="2:33">
      <c r="B596" s="5">
        <v>4.3599999999999852</v>
      </c>
      <c r="C596" s="5">
        <v>10</v>
      </c>
      <c r="X596" s="5">
        <v>4.3599999999999852</v>
      </c>
      <c r="Y596" s="5">
        <v>10</v>
      </c>
      <c r="Z596" s="5">
        <f>IF(Table3[[#This Row],[Efficiency Difference]]*0.2146 &gt; Table3[[#This Row],[Scoring Margin]], 1, 0)</f>
        <v>0</v>
      </c>
      <c r="AA596" s="5">
        <f>IF(Table3[[#This Row],[Efficiency Difference]]*0.2146 + 7 &gt; Table3[[#This Row],[Scoring Margin]], 1, 0)</f>
        <v>0</v>
      </c>
      <c r="AB596" s="5">
        <f>IF(Table3[[#This Row],[Efficiency Difference]]*0.2146 + 14 &gt; Table3[[#This Row],[Scoring Margin]], 1, 0)</f>
        <v>1</v>
      </c>
      <c r="AC596" s="5">
        <f>IF(Table3[[#This Row],[Efficiency Difference]]*0.2146 + 21 &gt; Table3[[#This Row],[Scoring Margin]], 1, 0)</f>
        <v>1</v>
      </c>
      <c r="AD596" s="5">
        <f>IF(Table3[[#This Row],[Efficiency Difference]]*0.2146 -7 &gt; Table3[[#This Row],[Scoring Margin]], 1, 0)</f>
        <v>0</v>
      </c>
      <c r="AE596" s="5">
        <f>IF(Table3[[#This Row],[Efficiency Difference]]*0.2146 -3 &gt; Table3[[#This Row],[Scoring Margin]], 1, 0)</f>
        <v>0</v>
      </c>
      <c r="AF596" s="5">
        <f>IF(Table3[[#This Row],[Efficiency Difference]]*0.2146 -5 &gt; Table3[[#This Row],[Scoring Margin]], 1, 0)</f>
        <v>0</v>
      </c>
      <c r="AG596" s="5">
        <f>IF(Table3[[#This Row],[Efficiency Difference]]*0.2146 -10 &gt; Table3[[#This Row],[Scoring Margin]], 1, 0)</f>
        <v>0</v>
      </c>
    </row>
    <row r="597" spans="2:33">
      <c r="B597" s="5">
        <v>6.1500000000000057</v>
      </c>
      <c r="C597" s="5">
        <v>3</v>
      </c>
      <c r="X597" s="5">
        <v>6.1500000000000057</v>
      </c>
      <c r="Y597" s="5">
        <v>3</v>
      </c>
      <c r="Z597" s="5">
        <f>IF(Table3[[#This Row],[Efficiency Difference]]*0.2146 &gt; Table3[[#This Row],[Scoring Margin]], 1, 0)</f>
        <v>0</v>
      </c>
      <c r="AA597" s="5">
        <f>IF(Table3[[#This Row],[Efficiency Difference]]*0.2146 + 7 &gt; Table3[[#This Row],[Scoring Margin]], 1, 0)</f>
        <v>1</v>
      </c>
      <c r="AB597" s="5">
        <f>IF(Table3[[#This Row],[Efficiency Difference]]*0.2146 + 14 &gt; Table3[[#This Row],[Scoring Margin]], 1, 0)</f>
        <v>1</v>
      </c>
      <c r="AC597" s="5">
        <f>IF(Table3[[#This Row],[Efficiency Difference]]*0.2146 + 21 &gt; Table3[[#This Row],[Scoring Margin]], 1, 0)</f>
        <v>1</v>
      </c>
      <c r="AD597" s="5">
        <f>IF(Table3[[#This Row],[Efficiency Difference]]*0.2146 -7 &gt; Table3[[#This Row],[Scoring Margin]], 1, 0)</f>
        <v>0</v>
      </c>
      <c r="AE597" s="5">
        <f>IF(Table3[[#This Row],[Efficiency Difference]]*0.2146 -3 &gt; Table3[[#This Row],[Scoring Margin]], 1, 0)</f>
        <v>0</v>
      </c>
      <c r="AF597" s="5">
        <f>IF(Table3[[#This Row],[Efficiency Difference]]*0.2146 -5 &gt; Table3[[#This Row],[Scoring Margin]], 1, 0)</f>
        <v>0</v>
      </c>
      <c r="AG597" s="5">
        <f>IF(Table3[[#This Row],[Efficiency Difference]]*0.2146 -10 &gt; Table3[[#This Row],[Scoring Margin]], 1, 0)</f>
        <v>0</v>
      </c>
    </row>
    <row r="598" spans="2:33">
      <c r="B598" s="5">
        <v>28.379999999999995</v>
      </c>
      <c r="C598" s="5">
        <v>1</v>
      </c>
      <c r="X598" s="5">
        <v>28.379999999999995</v>
      </c>
      <c r="Y598" s="5">
        <v>1</v>
      </c>
      <c r="Z598" s="5">
        <f>IF(Table3[[#This Row],[Efficiency Difference]]*0.2146 &gt; Table3[[#This Row],[Scoring Margin]], 1, 0)</f>
        <v>1</v>
      </c>
      <c r="AA598" s="5">
        <f>IF(Table3[[#This Row],[Efficiency Difference]]*0.2146 + 7 &gt; Table3[[#This Row],[Scoring Margin]], 1, 0)</f>
        <v>1</v>
      </c>
      <c r="AB598" s="5">
        <f>IF(Table3[[#This Row],[Efficiency Difference]]*0.2146 + 14 &gt; Table3[[#This Row],[Scoring Margin]], 1, 0)</f>
        <v>1</v>
      </c>
      <c r="AC598" s="5">
        <f>IF(Table3[[#This Row],[Efficiency Difference]]*0.2146 + 21 &gt; Table3[[#This Row],[Scoring Margin]], 1, 0)</f>
        <v>1</v>
      </c>
      <c r="AD598" s="5">
        <f>IF(Table3[[#This Row],[Efficiency Difference]]*0.2146 -7 &gt; Table3[[#This Row],[Scoring Margin]], 1, 0)</f>
        <v>0</v>
      </c>
      <c r="AE598" s="5">
        <f>IF(Table3[[#This Row],[Efficiency Difference]]*0.2146 -3 &gt; Table3[[#This Row],[Scoring Margin]], 1, 0)</f>
        <v>1</v>
      </c>
      <c r="AF598" s="5">
        <f>IF(Table3[[#This Row],[Efficiency Difference]]*0.2146 -5 &gt; Table3[[#This Row],[Scoring Margin]], 1, 0)</f>
        <v>1</v>
      </c>
      <c r="AG598" s="5">
        <f>IF(Table3[[#This Row],[Efficiency Difference]]*0.2146 -10 &gt; Table3[[#This Row],[Scoring Margin]], 1, 0)</f>
        <v>0</v>
      </c>
    </row>
    <row r="599" spans="2:33">
      <c r="B599" s="5">
        <v>32.330000000000013</v>
      </c>
      <c r="C599" s="5">
        <v>14</v>
      </c>
      <c r="X599" s="5">
        <v>32.330000000000013</v>
      </c>
      <c r="Y599" s="5">
        <v>14</v>
      </c>
      <c r="Z599" s="5">
        <f>IF(Table3[[#This Row],[Efficiency Difference]]*0.2146 &gt; Table3[[#This Row],[Scoring Margin]], 1, 0)</f>
        <v>0</v>
      </c>
      <c r="AA599" s="5">
        <f>IF(Table3[[#This Row],[Efficiency Difference]]*0.2146 + 7 &gt; Table3[[#This Row],[Scoring Margin]], 1, 0)</f>
        <v>0</v>
      </c>
      <c r="AB599" s="5">
        <f>IF(Table3[[#This Row],[Efficiency Difference]]*0.2146 + 14 &gt; Table3[[#This Row],[Scoring Margin]], 1, 0)</f>
        <v>1</v>
      </c>
      <c r="AC599" s="5">
        <f>IF(Table3[[#This Row],[Efficiency Difference]]*0.2146 + 21 &gt; Table3[[#This Row],[Scoring Margin]], 1, 0)</f>
        <v>1</v>
      </c>
      <c r="AD599" s="5">
        <f>IF(Table3[[#This Row],[Efficiency Difference]]*0.2146 -7 &gt; Table3[[#This Row],[Scoring Margin]], 1, 0)</f>
        <v>0</v>
      </c>
      <c r="AE599" s="5">
        <f>IF(Table3[[#This Row],[Efficiency Difference]]*0.2146 -3 &gt; Table3[[#This Row],[Scoring Margin]], 1, 0)</f>
        <v>0</v>
      </c>
      <c r="AF599" s="5">
        <f>IF(Table3[[#This Row],[Efficiency Difference]]*0.2146 -5 &gt; Table3[[#This Row],[Scoring Margin]], 1, 0)</f>
        <v>0</v>
      </c>
      <c r="AG599" s="5">
        <f>IF(Table3[[#This Row],[Efficiency Difference]]*0.2146 -10 &gt; Table3[[#This Row],[Scoring Margin]], 1, 0)</f>
        <v>0</v>
      </c>
    </row>
    <row r="600" spans="2:33">
      <c r="B600" s="5">
        <v>215.23</v>
      </c>
      <c r="C600" s="5">
        <v>28</v>
      </c>
      <c r="X600" s="5">
        <v>215.23</v>
      </c>
      <c r="Y600" s="5">
        <v>28</v>
      </c>
      <c r="Z600" s="5">
        <f>IF(Table3[[#This Row],[Efficiency Difference]]*0.2146 &gt; Table3[[#This Row],[Scoring Margin]], 1, 0)</f>
        <v>1</v>
      </c>
      <c r="AA600" s="5">
        <f>IF(Table3[[#This Row],[Efficiency Difference]]*0.2146 + 7 &gt; Table3[[#This Row],[Scoring Margin]], 1, 0)</f>
        <v>1</v>
      </c>
      <c r="AB600" s="5">
        <f>IF(Table3[[#This Row],[Efficiency Difference]]*0.2146 + 14 &gt; Table3[[#This Row],[Scoring Margin]], 1, 0)</f>
        <v>1</v>
      </c>
      <c r="AC600" s="5">
        <f>IF(Table3[[#This Row],[Efficiency Difference]]*0.2146 + 21 &gt; Table3[[#This Row],[Scoring Margin]], 1, 0)</f>
        <v>1</v>
      </c>
      <c r="AD600" s="5">
        <f>IF(Table3[[#This Row],[Efficiency Difference]]*0.2146 -7 &gt; Table3[[#This Row],[Scoring Margin]], 1, 0)</f>
        <v>1</v>
      </c>
      <c r="AE600" s="5">
        <f>IF(Table3[[#This Row],[Efficiency Difference]]*0.2146 -3 &gt; Table3[[#This Row],[Scoring Margin]], 1, 0)</f>
        <v>1</v>
      </c>
      <c r="AF600" s="5">
        <f>IF(Table3[[#This Row],[Efficiency Difference]]*0.2146 -5 &gt; Table3[[#This Row],[Scoring Margin]], 1, 0)</f>
        <v>1</v>
      </c>
      <c r="AG600" s="5">
        <f>IF(Table3[[#This Row],[Efficiency Difference]]*0.2146 -10 &gt; Table3[[#This Row],[Scoring Margin]], 1, 0)</f>
        <v>1</v>
      </c>
    </row>
    <row r="601" spans="2:33">
      <c r="B601" s="5">
        <v>59.740000000000009</v>
      </c>
      <c r="C601" s="5">
        <v>14</v>
      </c>
      <c r="X601" s="5">
        <v>59.740000000000009</v>
      </c>
      <c r="Y601" s="5">
        <v>14</v>
      </c>
      <c r="Z601" s="5">
        <f>IF(Table3[[#This Row],[Efficiency Difference]]*0.2146 &gt; Table3[[#This Row],[Scoring Margin]], 1, 0)</f>
        <v>0</v>
      </c>
      <c r="AA601" s="5">
        <f>IF(Table3[[#This Row],[Efficiency Difference]]*0.2146 + 7 &gt; Table3[[#This Row],[Scoring Margin]], 1, 0)</f>
        <v>1</v>
      </c>
      <c r="AB601" s="5">
        <f>IF(Table3[[#This Row],[Efficiency Difference]]*0.2146 + 14 &gt; Table3[[#This Row],[Scoring Margin]], 1, 0)</f>
        <v>1</v>
      </c>
      <c r="AC601" s="5">
        <f>IF(Table3[[#This Row],[Efficiency Difference]]*0.2146 + 21 &gt; Table3[[#This Row],[Scoring Margin]], 1, 0)</f>
        <v>1</v>
      </c>
      <c r="AD601" s="5">
        <f>IF(Table3[[#This Row],[Efficiency Difference]]*0.2146 -7 &gt; Table3[[#This Row],[Scoring Margin]], 1, 0)</f>
        <v>0</v>
      </c>
      <c r="AE601" s="5">
        <f>IF(Table3[[#This Row],[Efficiency Difference]]*0.2146 -3 &gt; Table3[[#This Row],[Scoring Margin]], 1, 0)</f>
        <v>0</v>
      </c>
      <c r="AF601" s="5">
        <f>IF(Table3[[#This Row],[Efficiency Difference]]*0.2146 -5 &gt; Table3[[#This Row],[Scoring Margin]], 1, 0)</f>
        <v>0</v>
      </c>
      <c r="AG601" s="5">
        <f>IF(Table3[[#This Row],[Efficiency Difference]]*0.2146 -10 &gt; Table3[[#This Row],[Scoring Margin]], 1, 0)</f>
        <v>0</v>
      </c>
    </row>
    <row r="602" spans="2:33">
      <c r="B602" s="5">
        <v>132.46</v>
      </c>
      <c r="C602" s="5">
        <v>28</v>
      </c>
      <c r="X602" s="5">
        <v>132.46</v>
      </c>
      <c r="Y602" s="5">
        <v>28</v>
      </c>
      <c r="Z602" s="5">
        <f>IF(Table3[[#This Row],[Efficiency Difference]]*0.2146 &gt; Table3[[#This Row],[Scoring Margin]], 1, 0)</f>
        <v>1</v>
      </c>
      <c r="AA602" s="5">
        <f>IF(Table3[[#This Row],[Efficiency Difference]]*0.2146 + 7 &gt; Table3[[#This Row],[Scoring Margin]], 1, 0)</f>
        <v>1</v>
      </c>
      <c r="AB602" s="5">
        <f>IF(Table3[[#This Row],[Efficiency Difference]]*0.2146 + 14 &gt; Table3[[#This Row],[Scoring Margin]], 1, 0)</f>
        <v>1</v>
      </c>
      <c r="AC602" s="5">
        <f>IF(Table3[[#This Row],[Efficiency Difference]]*0.2146 + 21 &gt; Table3[[#This Row],[Scoring Margin]], 1, 0)</f>
        <v>1</v>
      </c>
      <c r="AD602" s="5">
        <f>IF(Table3[[#This Row],[Efficiency Difference]]*0.2146 -7 &gt; Table3[[#This Row],[Scoring Margin]], 1, 0)</f>
        <v>0</v>
      </c>
      <c r="AE602" s="5">
        <f>IF(Table3[[#This Row],[Efficiency Difference]]*0.2146 -3 &gt; Table3[[#This Row],[Scoring Margin]], 1, 0)</f>
        <v>0</v>
      </c>
      <c r="AF602" s="5">
        <f>IF(Table3[[#This Row],[Efficiency Difference]]*0.2146 -5 &gt; Table3[[#This Row],[Scoring Margin]], 1, 0)</f>
        <v>0</v>
      </c>
      <c r="AG602" s="5">
        <f>IF(Table3[[#This Row],[Efficiency Difference]]*0.2146 -10 &gt; Table3[[#This Row],[Scoring Margin]], 1, 0)</f>
        <v>0</v>
      </c>
    </row>
    <row r="603" spans="2:33">
      <c r="B603" s="5">
        <v>190.84000000000003</v>
      </c>
      <c r="C603" s="5">
        <v>39</v>
      </c>
      <c r="X603" s="5">
        <v>190.84000000000003</v>
      </c>
      <c r="Y603" s="5">
        <v>39</v>
      </c>
      <c r="Z603" s="5">
        <f>IF(Table3[[#This Row],[Efficiency Difference]]*0.2146 &gt; Table3[[#This Row],[Scoring Margin]], 1, 0)</f>
        <v>1</v>
      </c>
      <c r="AA603" s="5">
        <f>IF(Table3[[#This Row],[Efficiency Difference]]*0.2146 + 7 &gt; Table3[[#This Row],[Scoring Margin]], 1, 0)</f>
        <v>1</v>
      </c>
      <c r="AB603" s="5">
        <f>IF(Table3[[#This Row],[Efficiency Difference]]*0.2146 + 14 &gt; Table3[[#This Row],[Scoring Margin]], 1, 0)</f>
        <v>1</v>
      </c>
      <c r="AC603" s="5">
        <f>IF(Table3[[#This Row],[Efficiency Difference]]*0.2146 + 21 &gt; Table3[[#This Row],[Scoring Margin]], 1, 0)</f>
        <v>1</v>
      </c>
      <c r="AD603" s="5">
        <f>IF(Table3[[#This Row],[Efficiency Difference]]*0.2146 -7 &gt; Table3[[#This Row],[Scoring Margin]], 1, 0)</f>
        <v>0</v>
      </c>
      <c r="AE603" s="5">
        <f>IF(Table3[[#This Row],[Efficiency Difference]]*0.2146 -3 &gt; Table3[[#This Row],[Scoring Margin]], 1, 0)</f>
        <v>0</v>
      </c>
      <c r="AF603" s="5">
        <f>IF(Table3[[#This Row],[Efficiency Difference]]*0.2146 -5 &gt; Table3[[#This Row],[Scoring Margin]], 1, 0)</f>
        <v>0</v>
      </c>
      <c r="AG603" s="5">
        <f>IF(Table3[[#This Row],[Efficiency Difference]]*0.2146 -10 &gt; Table3[[#This Row],[Scoring Margin]], 1, 0)</f>
        <v>0</v>
      </c>
    </row>
    <row r="604" spans="2:33">
      <c r="B604" s="5">
        <v>56.690000000000026</v>
      </c>
      <c r="C604" s="5">
        <v>21</v>
      </c>
      <c r="X604" s="5">
        <v>56.690000000000026</v>
      </c>
      <c r="Y604" s="5">
        <v>21</v>
      </c>
      <c r="Z604" s="5">
        <f>IF(Table3[[#This Row],[Efficiency Difference]]*0.2146 &gt; Table3[[#This Row],[Scoring Margin]], 1, 0)</f>
        <v>0</v>
      </c>
      <c r="AA604" s="5">
        <f>IF(Table3[[#This Row],[Efficiency Difference]]*0.2146 + 7 &gt; Table3[[#This Row],[Scoring Margin]], 1, 0)</f>
        <v>0</v>
      </c>
      <c r="AB604" s="5">
        <f>IF(Table3[[#This Row],[Efficiency Difference]]*0.2146 + 14 &gt; Table3[[#This Row],[Scoring Margin]], 1, 0)</f>
        <v>1</v>
      </c>
      <c r="AC604" s="5">
        <f>IF(Table3[[#This Row],[Efficiency Difference]]*0.2146 + 21 &gt; Table3[[#This Row],[Scoring Margin]], 1, 0)</f>
        <v>1</v>
      </c>
      <c r="AD604" s="5">
        <f>IF(Table3[[#This Row],[Efficiency Difference]]*0.2146 -7 &gt; Table3[[#This Row],[Scoring Margin]], 1, 0)</f>
        <v>0</v>
      </c>
      <c r="AE604" s="5">
        <f>IF(Table3[[#This Row],[Efficiency Difference]]*0.2146 -3 &gt; Table3[[#This Row],[Scoring Margin]], 1, 0)</f>
        <v>0</v>
      </c>
      <c r="AF604" s="5">
        <f>IF(Table3[[#This Row],[Efficiency Difference]]*0.2146 -5 &gt; Table3[[#This Row],[Scoring Margin]], 1, 0)</f>
        <v>0</v>
      </c>
      <c r="AG604" s="5">
        <f>IF(Table3[[#This Row],[Efficiency Difference]]*0.2146 -10 &gt; Table3[[#This Row],[Scoring Margin]], 1, 0)</f>
        <v>0</v>
      </c>
    </row>
    <row r="605" spans="2:33">
      <c r="B605" s="5">
        <v>40.669999999999987</v>
      </c>
      <c r="C605" s="5">
        <v>3</v>
      </c>
      <c r="X605" s="5">
        <v>40.669999999999987</v>
      </c>
      <c r="Y605" s="5">
        <v>3</v>
      </c>
      <c r="Z605" s="5">
        <f>IF(Table3[[#This Row],[Efficiency Difference]]*0.2146 &gt; Table3[[#This Row],[Scoring Margin]], 1, 0)</f>
        <v>1</v>
      </c>
      <c r="AA605" s="5">
        <f>IF(Table3[[#This Row],[Efficiency Difference]]*0.2146 + 7 &gt; Table3[[#This Row],[Scoring Margin]], 1, 0)</f>
        <v>1</v>
      </c>
      <c r="AB605" s="5">
        <f>IF(Table3[[#This Row],[Efficiency Difference]]*0.2146 + 14 &gt; Table3[[#This Row],[Scoring Margin]], 1, 0)</f>
        <v>1</v>
      </c>
      <c r="AC605" s="5">
        <f>IF(Table3[[#This Row],[Efficiency Difference]]*0.2146 + 21 &gt; Table3[[#This Row],[Scoring Margin]], 1, 0)</f>
        <v>1</v>
      </c>
      <c r="AD605" s="5">
        <f>IF(Table3[[#This Row],[Efficiency Difference]]*0.2146 -7 &gt; Table3[[#This Row],[Scoring Margin]], 1, 0)</f>
        <v>0</v>
      </c>
      <c r="AE605" s="5">
        <f>IF(Table3[[#This Row],[Efficiency Difference]]*0.2146 -3 &gt; Table3[[#This Row],[Scoring Margin]], 1, 0)</f>
        <v>1</v>
      </c>
      <c r="AF605" s="5">
        <f>IF(Table3[[#This Row],[Efficiency Difference]]*0.2146 -5 &gt; Table3[[#This Row],[Scoring Margin]], 1, 0)</f>
        <v>1</v>
      </c>
      <c r="AG605" s="5">
        <f>IF(Table3[[#This Row],[Efficiency Difference]]*0.2146 -10 &gt; Table3[[#This Row],[Scoring Margin]], 1, 0)</f>
        <v>0</v>
      </c>
    </row>
    <row r="606" spans="2:33">
      <c r="B606" s="5">
        <v>25.820000000000022</v>
      </c>
      <c r="C606" s="5">
        <v>37</v>
      </c>
      <c r="X606" s="5">
        <v>25.820000000000022</v>
      </c>
      <c r="Y606" s="5">
        <v>37</v>
      </c>
      <c r="Z606" s="5">
        <f>IF(Table3[[#This Row],[Efficiency Difference]]*0.2146 &gt; Table3[[#This Row],[Scoring Margin]], 1, 0)</f>
        <v>0</v>
      </c>
      <c r="AA606" s="5">
        <f>IF(Table3[[#This Row],[Efficiency Difference]]*0.2146 + 7 &gt; Table3[[#This Row],[Scoring Margin]], 1, 0)</f>
        <v>0</v>
      </c>
      <c r="AB606" s="5">
        <f>IF(Table3[[#This Row],[Efficiency Difference]]*0.2146 + 14 &gt; Table3[[#This Row],[Scoring Margin]], 1, 0)</f>
        <v>0</v>
      </c>
      <c r="AC606" s="5">
        <f>IF(Table3[[#This Row],[Efficiency Difference]]*0.2146 + 21 &gt; Table3[[#This Row],[Scoring Margin]], 1, 0)</f>
        <v>0</v>
      </c>
      <c r="AD606" s="5">
        <f>IF(Table3[[#This Row],[Efficiency Difference]]*0.2146 -7 &gt; Table3[[#This Row],[Scoring Margin]], 1, 0)</f>
        <v>0</v>
      </c>
      <c r="AE606" s="5">
        <f>IF(Table3[[#This Row],[Efficiency Difference]]*0.2146 -3 &gt; Table3[[#This Row],[Scoring Margin]], 1, 0)</f>
        <v>0</v>
      </c>
      <c r="AF606" s="5">
        <f>IF(Table3[[#This Row],[Efficiency Difference]]*0.2146 -5 &gt; Table3[[#This Row],[Scoring Margin]], 1, 0)</f>
        <v>0</v>
      </c>
      <c r="AG606" s="5">
        <f>IF(Table3[[#This Row],[Efficiency Difference]]*0.2146 -10 &gt; Table3[[#This Row],[Scoring Margin]], 1, 0)</f>
        <v>0</v>
      </c>
    </row>
    <row r="607" spans="2:33">
      <c r="B607" s="5">
        <v>10.389999999999986</v>
      </c>
      <c r="C607" s="5">
        <v>16</v>
      </c>
      <c r="X607" s="5">
        <v>10.389999999999986</v>
      </c>
      <c r="Y607" s="5">
        <v>16</v>
      </c>
      <c r="Z607" s="5">
        <f>IF(Table3[[#This Row],[Efficiency Difference]]*0.2146 &gt; Table3[[#This Row],[Scoring Margin]], 1, 0)</f>
        <v>0</v>
      </c>
      <c r="AA607" s="5">
        <f>IF(Table3[[#This Row],[Efficiency Difference]]*0.2146 + 7 &gt; Table3[[#This Row],[Scoring Margin]], 1, 0)</f>
        <v>0</v>
      </c>
      <c r="AB607" s="5">
        <f>IF(Table3[[#This Row],[Efficiency Difference]]*0.2146 + 14 &gt; Table3[[#This Row],[Scoring Margin]], 1, 0)</f>
        <v>1</v>
      </c>
      <c r="AC607" s="5">
        <f>IF(Table3[[#This Row],[Efficiency Difference]]*0.2146 + 21 &gt; Table3[[#This Row],[Scoring Margin]], 1, 0)</f>
        <v>1</v>
      </c>
      <c r="AD607" s="5">
        <f>IF(Table3[[#This Row],[Efficiency Difference]]*0.2146 -7 &gt; Table3[[#This Row],[Scoring Margin]], 1, 0)</f>
        <v>0</v>
      </c>
      <c r="AE607" s="5">
        <f>IF(Table3[[#This Row],[Efficiency Difference]]*0.2146 -3 &gt; Table3[[#This Row],[Scoring Margin]], 1, 0)</f>
        <v>0</v>
      </c>
      <c r="AF607" s="5">
        <f>IF(Table3[[#This Row],[Efficiency Difference]]*0.2146 -5 &gt; Table3[[#This Row],[Scoring Margin]], 1, 0)</f>
        <v>0</v>
      </c>
      <c r="AG607" s="5">
        <f>IF(Table3[[#This Row],[Efficiency Difference]]*0.2146 -10 &gt; Table3[[#This Row],[Scoring Margin]], 1, 0)</f>
        <v>0</v>
      </c>
    </row>
    <row r="608" spans="2:33">
      <c r="B608" s="5">
        <v>74.449999999999989</v>
      </c>
      <c r="C608" s="5">
        <v>33</v>
      </c>
      <c r="X608" s="5">
        <v>74.449999999999989</v>
      </c>
      <c r="Y608" s="5">
        <v>33</v>
      </c>
      <c r="Z608" s="5">
        <f>IF(Table3[[#This Row],[Efficiency Difference]]*0.2146 &gt; Table3[[#This Row],[Scoring Margin]], 1, 0)</f>
        <v>0</v>
      </c>
      <c r="AA608" s="5">
        <f>IF(Table3[[#This Row],[Efficiency Difference]]*0.2146 + 7 &gt; Table3[[#This Row],[Scoring Margin]], 1, 0)</f>
        <v>0</v>
      </c>
      <c r="AB608" s="5">
        <f>IF(Table3[[#This Row],[Efficiency Difference]]*0.2146 + 14 &gt; Table3[[#This Row],[Scoring Margin]], 1, 0)</f>
        <v>0</v>
      </c>
      <c r="AC608" s="5">
        <f>IF(Table3[[#This Row],[Efficiency Difference]]*0.2146 + 21 &gt; Table3[[#This Row],[Scoring Margin]], 1, 0)</f>
        <v>1</v>
      </c>
      <c r="AD608" s="5">
        <f>IF(Table3[[#This Row],[Efficiency Difference]]*0.2146 -7 &gt; Table3[[#This Row],[Scoring Margin]], 1, 0)</f>
        <v>0</v>
      </c>
      <c r="AE608" s="5">
        <f>IF(Table3[[#This Row],[Efficiency Difference]]*0.2146 -3 &gt; Table3[[#This Row],[Scoring Margin]], 1, 0)</f>
        <v>0</v>
      </c>
      <c r="AF608" s="5">
        <f>IF(Table3[[#This Row],[Efficiency Difference]]*0.2146 -5 &gt; Table3[[#This Row],[Scoring Margin]], 1, 0)</f>
        <v>0</v>
      </c>
      <c r="AG608" s="5">
        <f>IF(Table3[[#This Row],[Efficiency Difference]]*0.2146 -10 &gt; Table3[[#This Row],[Scoring Margin]], 1, 0)</f>
        <v>0</v>
      </c>
    </row>
    <row r="609" spans="2:33">
      <c r="B609" s="5">
        <v>132.46000000000004</v>
      </c>
      <c r="C609" s="5">
        <v>28</v>
      </c>
      <c r="X609" s="5">
        <v>132.46000000000004</v>
      </c>
      <c r="Y609" s="5">
        <v>28</v>
      </c>
      <c r="Z609" s="5">
        <f>IF(Table3[[#This Row],[Efficiency Difference]]*0.2146 &gt; Table3[[#This Row],[Scoring Margin]], 1, 0)</f>
        <v>1</v>
      </c>
      <c r="AA609" s="5">
        <f>IF(Table3[[#This Row],[Efficiency Difference]]*0.2146 + 7 &gt; Table3[[#This Row],[Scoring Margin]], 1, 0)</f>
        <v>1</v>
      </c>
      <c r="AB609" s="5">
        <f>IF(Table3[[#This Row],[Efficiency Difference]]*0.2146 + 14 &gt; Table3[[#This Row],[Scoring Margin]], 1, 0)</f>
        <v>1</v>
      </c>
      <c r="AC609" s="5">
        <f>IF(Table3[[#This Row],[Efficiency Difference]]*0.2146 + 21 &gt; Table3[[#This Row],[Scoring Margin]], 1, 0)</f>
        <v>1</v>
      </c>
      <c r="AD609" s="5">
        <f>IF(Table3[[#This Row],[Efficiency Difference]]*0.2146 -7 &gt; Table3[[#This Row],[Scoring Margin]], 1, 0)</f>
        <v>0</v>
      </c>
      <c r="AE609" s="5">
        <f>IF(Table3[[#This Row],[Efficiency Difference]]*0.2146 -3 &gt; Table3[[#This Row],[Scoring Margin]], 1, 0)</f>
        <v>0</v>
      </c>
      <c r="AF609" s="5">
        <f>IF(Table3[[#This Row],[Efficiency Difference]]*0.2146 -5 &gt; Table3[[#This Row],[Scoring Margin]], 1, 0)</f>
        <v>0</v>
      </c>
      <c r="AG609" s="5">
        <f>IF(Table3[[#This Row],[Efficiency Difference]]*0.2146 -10 &gt; Table3[[#This Row],[Scoring Margin]], 1, 0)</f>
        <v>0</v>
      </c>
    </row>
    <row r="610" spans="2:33">
      <c r="B610" s="5">
        <v>31.860000000000014</v>
      </c>
      <c r="C610" s="5">
        <v>20</v>
      </c>
      <c r="X610" s="5">
        <v>31.860000000000014</v>
      </c>
      <c r="Y610" s="5">
        <v>20</v>
      </c>
      <c r="Z610" s="5">
        <f>IF(Table3[[#This Row],[Efficiency Difference]]*0.2146 &gt; Table3[[#This Row],[Scoring Margin]], 1, 0)</f>
        <v>0</v>
      </c>
      <c r="AA610" s="5">
        <f>IF(Table3[[#This Row],[Efficiency Difference]]*0.2146 + 7 &gt; Table3[[#This Row],[Scoring Margin]], 1, 0)</f>
        <v>0</v>
      </c>
      <c r="AB610" s="5">
        <f>IF(Table3[[#This Row],[Efficiency Difference]]*0.2146 + 14 &gt; Table3[[#This Row],[Scoring Margin]], 1, 0)</f>
        <v>1</v>
      </c>
      <c r="AC610" s="5">
        <f>IF(Table3[[#This Row],[Efficiency Difference]]*0.2146 + 21 &gt; Table3[[#This Row],[Scoring Margin]], 1, 0)</f>
        <v>1</v>
      </c>
      <c r="AD610" s="5">
        <f>IF(Table3[[#This Row],[Efficiency Difference]]*0.2146 -7 &gt; Table3[[#This Row],[Scoring Margin]], 1, 0)</f>
        <v>0</v>
      </c>
      <c r="AE610" s="5">
        <f>IF(Table3[[#This Row],[Efficiency Difference]]*0.2146 -3 &gt; Table3[[#This Row],[Scoring Margin]], 1, 0)</f>
        <v>0</v>
      </c>
      <c r="AF610" s="5">
        <f>IF(Table3[[#This Row],[Efficiency Difference]]*0.2146 -5 &gt; Table3[[#This Row],[Scoring Margin]], 1, 0)</f>
        <v>0</v>
      </c>
      <c r="AG610" s="5">
        <f>IF(Table3[[#This Row],[Efficiency Difference]]*0.2146 -10 &gt; Table3[[#This Row],[Scoring Margin]], 1, 0)</f>
        <v>0</v>
      </c>
    </row>
    <row r="611" spans="2:33">
      <c r="B611" s="5">
        <v>56.509999999999991</v>
      </c>
      <c r="C611" s="5">
        <v>26</v>
      </c>
      <c r="X611" s="5">
        <v>56.509999999999991</v>
      </c>
      <c r="Y611" s="5">
        <v>26</v>
      </c>
      <c r="Z611" s="5">
        <f>IF(Table3[[#This Row],[Efficiency Difference]]*0.2146 &gt; Table3[[#This Row],[Scoring Margin]], 1, 0)</f>
        <v>0</v>
      </c>
      <c r="AA611" s="5">
        <f>IF(Table3[[#This Row],[Efficiency Difference]]*0.2146 + 7 &gt; Table3[[#This Row],[Scoring Margin]], 1, 0)</f>
        <v>0</v>
      </c>
      <c r="AB611" s="5">
        <f>IF(Table3[[#This Row],[Efficiency Difference]]*0.2146 + 14 &gt; Table3[[#This Row],[Scoring Margin]], 1, 0)</f>
        <v>1</v>
      </c>
      <c r="AC611" s="5">
        <f>IF(Table3[[#This Row],[Efficiency Difference]]*0.2146 + 21 &gt; Table3[[#This Row],[Scoring Margin]], 1, 0)</f>
        <v>1</v>
      </c>
      <c r="AD611" s="5">
        <f>IF(Table3[[#This Row],[Efficiency Difference]]*0.2146 -7 &gt; Table3[[#This Row],[Scoring Margin]], 1, 0)</f>
        <v>0</v>
      </c>
      <c r="AE611" s="5">
        <f>IF(Table3[[#This Row],[Efficiency Difference]]*0.2146 -3 &gt; Table3[[#This Row],[Scoring Margin]], 1, 0)</f>
        <v>0</v>
      </c>
      <c r="AF611" s="5">
        <f>IF(Table3[[#This Row],[Efficiency Difference]]*0.2146 -5 &gt; Table3[[#This Row],[Scoring Margin]], 1, 0)</f>
        <v>0</v>
      </c>
      <c r="AG611" s="5">
        <f>IF(Table3[[#This Row],[Efficiency Difference]]*0.2146 -10 &gt; Table3[[#This Row],[Scoring Margin]], 1, 0)</f>
        <v>0</v>
      </c>
    </row>
    <row r="612" spans="2:33">
      <c r="B612" s="5">
        <v>40.210000000000008</v>
      </c>
      <c r="C612" s="5">
        <v>17</v>
      </c>
      <c r="X612" s="5">
        <v>40.210000000000008</v>
      </c>
      <c r="Y612" s="5">
        <v>17</v>
      </c>
      <c r="Z612" s="5">
        <f>IF(Table3[[#This Row],[Efficiency Difference]]*0.2146 &gt; Table3[[#This Row],[Scoring Margin]], 1, 0)</f>
        <v>0</v>
      </c>
      <c r="AA612" s="5">
        <f>IF(Table3[[#This Row],[Efficiency Difference]]*0.2146 + 7 &gt; Table3[[#This Row],[Scoring Margin]], 1, 0)</f>
        <v>0</v>
      </c>
      <c r="AB612" s="5">
        <f>IF(Table3[[#This Row],[Efficiency Difference]]*0.2146 + 14 &gt; Table3[[#This Row],[Scoring Margin]], 1, 0)</f>
        <v>1</v>
      </c>
      <c r="AC612" s="5">
        <f>IF(Table3[[#This Row],[Efficiency Difference]]*0.2146 + 21 &gt; Table3[[#This Row],[Scoring Margin]], 1, 0)</f>
        <v>1</v>
      </c>
      <c r="AD612" s="5">
        <f>IF(Table3[[#This Row],[Efficiency Difference]]*0.2146 -7 &gt; Table3[[#This Row],[Scoring Margin]], 1, 0)</f>
        <v>0</v>
      </c>
      <c r="AE612" s="5">
        <f>IF(Table3[[#This Row],[Efficiency Difference]]*0.2146 -3 &gt; Table3[[#This Row],[Scoring Margin]], 1, 0)</f>
        <v>0</v>
      </c>
      <c r="AF612" s="5">
        <f>IF(Table3[[#This Row],[Efficiency Difference]]*0.2146 -5 &gt; Table3[[#This Row],[Scoring Margin]], 1, 0)</f>
        <v>0</v>
      </c>
      <c r="AG612" s="5">
        <f>IF(Table3[[#This Row],[Efficiency Difference]]*0.2146 -10 &gt; Table3[[#This Row],[Scoring Margin]], 1, 0)</f>
        <v>0</v>
      </c>
    </row>
    <row r="613" spans="2:33">
      <c r="B613" s="5">
        <v>69.28</v>
      </c>
      <c r="C613" s="5">
        <v>17</v>
      </c>
      <c r="X613" s="5">
        <v>69.28</v>
      </c>
      <c r="Y613" s="5">
        <v>17</v>
      </c>
      <c r="Z613" s="5">
        <f>IF(Table3[[#This Row],[Efficiency Difference]]*0.2146 &gt; Table3[[#This Row],[Scoring Margin]], 1, 0)</f>
        <v>0</v>
      </c>
      <c r="AA613" s="5">
        <f>IF(Table3[[#This Row],[Efficiency Difference]]*0.2146 + 7 &gt; Table3[[#This Row],[Scoring Margin]], 1, 0)</f>
        <v>1</v>
      </c>
      <c r="AB613" s="5">
        <f>IF(Table3[[#This Row],[Efficiency Difference]]*0.2146 + 14 &gt; Table3[[#This Row],[Scoring Margin]], 1, 0)</f>
        <v>1</v>
      </c>
      <c r="AC613" s="5">
        <f>IF(Table3[[#This Row],[Efficiency Difference]]*0.2146 + 21 &gt; Table3[[#This Row],[Scoring Margin]], 1, 0)</f>
        <v>1</v>
      </c>
      <c r="AD613" s="5">
        <f>IF(Table3[[#This Row],[Efficiency Difference]]*0.2146 -7 &gt; Table3[[#This Row],[Scoring Margin]], 1, 0)</f>
        <v>0</v>
      </c>
      <c r="AE613" s="5">
        <f>IF(Table3[[#This Row],[Efficiency Difference]]*0.2146 -3 &gt; Table3[[#This Row],[Scoring Margin]], 1, 0)</f>
        <v>0</v>
      </c>
      <c r="AF613" s="5">
        <f>IF(Table3[[#This Row],[Efficiency Difference]]*0.2146 -5 &gt; Table3[[#This Row],[Scoring Margin]], 1, 0)</f>
        <v>0</v>
      </c>
      <c r="AG613" s="5">
        <f>IF(Table3[[#This Row],[Efficiency Difference]]*0.2146 -10 &gt; Table3[[#This Row],[Scoring Margin]], 1, 0)</f>
        <v>0</v>
      </c>
    </row>
    <row r="614" spans="2:33">
      <c r="B614" s="5">
        <v>82.059999999999974</v>
      </c>
      <c r="C614" s="5">
        <v>18</v>
      </c>
      <c r="X614" s="5">
        <v>82.059999999999974</v>
      </c>
      <c r="Y614" s="5">
        <v>18</v>
      </c>
      <c r="Z614" s="5">
        <f>IF(Table3[[#This Row],[Efficiency Difference]]*0.2146 &gt; Table3[[#This Row],[Scoring Margin]], 1, 0)</f>
        <v>0</v>
      </c>
      <c r="AA614" s="5">
        <f>IF(Table3[[#This Row],[Efficiency Difference]]*0.2146 + 7 &gt; Table3[[#This Row],[Scoring Margin]], 1, 0)</f>
        <v>1</v>
      </c>
      <c r="AB614" s="5">
        <f>IF(Table3[[#This Row],[Efficiency Difference]]*0.2146 + 14 &gt; Table3[[#This Row],[Scoring Margin]], 1, 0)</f>
        <v>1</v>
      </c>
      <c r="AC614" s="5">
        <f>IF(Table3[[#This Row],[Efficiency Difference]]*0.2146 + 21 &gt; Table3[[#This Row],[Scoring Margin]], 1, 0)</f>
        <v>1</v>
      </c>
      <c r="AD614" s="5">
        <f>IF(Table3[[#This Row],[Efficiency Difference]]*0.2146 -7 &gt; Table3[[#This Row],[Scoring Margin]], 1, 0)</f>
        <v>0</v>
      </c>
      <c r="AE614" s="5">
        <f>IF(Table3[[#This Row],[Efficiency Difference]]*0.2146 -3 &gt; Table3[[#This Row],[Scoring Margin]], 1, 0)</f>
        <v>0</v>
      </c>
      <c r="AF614" s="5">
        <f>IF(Table3[[#This Row],[Efficiency Difference]]*0.2146 -5 &gt; Table3[[#This Row],[Scoring Margin]], 1, 0)</f>
        <v>0</v>
      </c>
      <c r="AG614" s="5">
        <f>IF(Table3[[#This Row],[Efficiency Difference]]*0.2146 -10 &gt; Table3[[#This Row],[Scoring Margin]], 1, 0)</f>
        <v>0</v>
      </c>
    </row>
    <row r="615" spans="2:33">
      <c r="B615" s="5">
        <v>123.42999999999998</v>
      </c>
      <c r="C615" s="5">
        <v>39</v>
      </c>
      <c r="X615" s="5">
        <v>123.42999999999998</v>
      </c>
      <c r="Y615" s="5">
        <v>39</v>
      </c>
      <c r="Z615" s="5">
        <f>IF(Table3[[#This Row],[Efficiency Difference]]*0.2146 &gt; Table3[[#This Row],[Scoring Margin]], 1, 0)</f>
        <v>0</v>
      </c>
      <c r="AA615" s="5">
        <f>IF(Table3[[#This Row],[Efficiency Difference]]*0.2146 + 7 &gt; Table3[[#This Row],[Scoring Margin]], 1, 0)</f>
        <v>0</v>
      </c>
      <c r="AB615" s="5">
        <f>IF(Table3[[#This Row],[Efficiency Difference]]*0.2146 + 14 &gt; Table3[[#This Row],[Scoring Margin]], 1, 0)</f>
        <v>1</v>
      </c>
      <c r="AC615" s="5">
        <f>IF(Table3[[#This Row],[Efficiency Difference]]*0.2146 + 21 &gt; Table3[[#This Row],[Scoring Margin]], 1, 0)</f>
        <v>1</v>
      </c>
      <c r="AD615" s="5">
        <f>IF(Table3[[#This Row],[Efficiency Difference]]*0.2146 -7 &gt; Table3[[#This Row],[Scoring Margin]], 1, 0)</f>
        <v>0</v>
      </c>
      <c r="AE615" s="5">
        <f>IF(Table3[[#This Row],[Efficiency Difference]]*0.2146 -3 &gt; Table3[[#This Row],[Scoring Margin]], 1, 0)</f>
        <v>0</v>
      </c>
      <c r="AF615" s="5">
        <f>IF(Table3[[#This Row],[Efficiency Difference]]*0.2146 -5 &gt; Table3[[#This Row],[Scoring Margin]], 1, 0)</f>
        <v>0</v>
      </c>
      <c r="AG615" s="5">
        <f>IF(Table3[[#This Row],[Efficiency Difference]]*0.2146 -10 &gt; Table3[[#This Row],[Scoring Margin]], 1, 0)</f>
        <v>0</v>
      </c>
    </row>
    <row r="616" spans="2:33">
      <c r="B616" s="5">
        <v>190.83999999999997</v>
      </c>
      <c r="C616" s="5">
        <v>39</v>
      </c>
      <c r="X616" s="5">
        <v>190.83999999999997</v>
      </c>
      <c r="Y616" s="5">
        <v>39</v>
      </c>
      <c r="Z616" s="5">
        <f>IF(Table3[[#This Row],[Efficiency Difference]]*0.2146 &gt; Table3[[#This Row],[Scoring Margin]], 1, 0)</f>
        <v>1</v>
      </c>
      <c r="AA616" s="5">
        <f>IF(Table3[[#This Row],[Efficiency Difference]]*0.2146 + 7 &gt; Table3[[#This Row],[Scoring Margin]], 1, 0)</f>
        <v>1</v>
      </c>
      <c r="AB616" s="5">
        <f>IF(Table3[[#This Row],[Efficiency Difference]]*0.2146 + 14 &gt; Table3[[#This Row],[Scoring Margin]], 1, 0)</f>
        <v>1</v>
      </c>
      <c r="AC616" s="5">
        <f>IF(Table3[[#This Row],[Efficiency Difference]]*0.2146 + 21 &gt; Table3[[#This Row],[Scoring Margin]], 1, 0)</f>
        <v>1</v>
      </c>
      <c r="AD616" s="5">
        <f>IF(Table3[[#This Row],[Efficiency Difference]]*0.2146 -7 &gt; Table3[[#This Row],[Scoring Margin]], 1, 0)</f>
        <v>0</v>
      </c>
      <c r="AE616" s="5">
        <f>IF(Table3[[#This Row],[Efficiency Difference]]*0.2146 -3 &gt; Table3[[#This Row],[Scoring Margin]], 1, 0)</f>
        <v>0</v>
      </c>
      <c r="AF616" s="5">
        <f>IF(Table3[[#This Row],[Efficiency Difference]]*0.2146 -5 &gt; Table3[[#This Row],[Scoring Margin]], 1, 0)</f>
        <v>0</v>
      </c>
      <c r="AG616" s="5">
        <f>IF(Table3[[#This Row],[Efficiency Difference]]*0.2146 -10 &gt; Table3[[#This Row],[Scoring Margin]], 1, 0)</f>
        <v>0</v>
      </c>
    </row>
    <row r="617" spans="2:33">
      <c r="B617" s="5">
        <v>54.240000000000009</v>
      </c>
      <c r="C617" s="5">
        <v>5</v>
      </c>
      <c r="X617" s="5">
        <v>54.240000000000009</v>
      </c>
      <c r="Y617" s="5">
        <v>5</v>
      </c>
      <c r="Z617" s="5">
        <f>IF(Table3[[#This Row],[Efficiency Difference]]*0.2146 &gt; Table3[[#This Row],[Scoring Margin]], 1, 0)</f>
        <v>1</v>
      </c>
      <c r="AA617" s="5">
        <f>IF(Table3[[#This Row],[Efficiency Difference]]*0.2146 + 7 &gt; Table3[[#This Row],[Scoring Margin]], 1, 0)</f>
        <v>1</v>
      </c>
      <c r="AB617" s="5">
        <f>IF(Table3[[#This Row],[Efficiency Difference]]*0.2146 + 14 &gt; Table3[[#This Row],[Scoring Margin]], 1, 0)</f>
        <v>1</v>
      </c>
      <c r="AC617" s="5">
        <f>IF(Table3[[#This Row],[Efficiency Difference]]*0.2146 + 21 &gt; Table3[[#This Row],[Scoring Margin]], 1, 0)</f>
        <v>1</v>
      </c>
      <c r="AD617" s="5">
        <f>IF(Table3[[#This Row],[Efficiency Difference]]*0.2146 -7 &gt; Table3[[#This Row],[Scoring Margin]], 1, 0)</f>
        <v>0</v>
      </c>
      <c r="AE617" s="5">
        <f>IF(Table3[[#This Row],[Efficiency Difference]]*0.2146 -3 &gt; Table3[[#This Row],[Scoring Margin]], 1, 0)</f>
        <v>1</v>
      </c>
      <c r="AF617" s="5">
        <f>IF(Table3[[#This Row],[Efficiency Difference]]*0.2146 -5 &gt; Table3[[#This Row],[Scoring Margin]], 1, 0)</f>
        <v>1</v>
      </c>
      <c r="AG617" s="5">
        <f>IF(Table3[[#This Row],[Efficiency Difference]]*0.2146 -10 &gt; Table3[[#This Row],[Scoring Margin]], 1, 0)</f>
        <v>0</v>
      </c>
    </row>
    <row r="618" spans="2:33">
      <c r="B618" s="5">
        <v>28.380000000000024</v>
      </c>
      <c r="C618" s="5">
        <v>1</v>
      </c>
      <c r="X618" s="5">
        <v>28.380000000000024</v>
      </c>
      <c r="Y618" s="5">
        <v>1</v>
      </c>
      <c r="Z618" s="5">
        <f>IF(Table3[[#This Row],[Efficiency Difference]]*0.2146 &gt; Table3[[#This Row],[Scoring Margin]], 1, 0)</f>
        <v>1</v>
      </c>
      <c r="AA618" s="5">
        <f>IF(Table3[[#This Row],[Efficiency Difference]]*0.2146 + 7 &gt; Table3[[#This Row],[Scoring Margin]], 1, 0)</f>
        <v>1</v>
      </c>
      <c r="AB618" s="5">
        <f>IF(Table3[[#This Row],[Efficiency Difference]]*0.2146 + 14 &gt; Table3[[#This Row],[Scoring Margin]], 1, 0)</f>
        <v>1</v>
      </c>
      <c r="AC618" s="5">
        <f>IF(Table3[[#This Row],[Efficiency Difference]]*0.2146 + 21 &gt; Table3[[#This Row],[Scoring Margin]], 1, 0)</f>
        <v>1</v>
      </c>
      <c r="AD618" s="5">
        <f>IF(Table3[[#This Row],[Efficiency Difference]]*0.2146 -7 &gt; Table3[[#This Row],[Scoring Margin]], 1, 0)</f>
        <v>0</v>
      </c>
      <c r="AE618" s="5">
        <f>IF(Table3[[#This Row],[Efficiency Difference]]*0.2146 -3 &gt; Table3[[#This Row],[Scoring Margin]], 1, 0)</f>
        <v>1</v>
      </c>
      <c r="AF618" s="5">
        <f>IF(Table3[[#This Row],[Efficiency Difference]]*0.2146 -5 &gt; Table3[[#This Row],[Scoring Margin]], 1, 0)</f>
        <v>1</v>
      </c>
      <c r="AG618" s="5">
        <f>IF(Table3[[#This Row],[Efficiency Difference]]*0.2146 -10 &gt; Table3[[#This Row],[Scoring Margin]], 1, 0)</f>
        <v>0</v>
      </c>
    </row>
    <row r="619" spans="2:33">
      <c r="B619" s="5">
        <v>95.049999999999983</v>
      </c>
      <c r="C619" s="5">
        <v>18</v>
      </c>
      <c r="X619" s="5">
        <v>95.049999999999983</v>
      </c>
      <c r="Y619" s="5">
        <v>18</v>
      </c>
      <c r="Z619" s="5">
        <f>IF(Table3[[#This Row],[Efficiency Difference]]*0.2146 &gt; Table3[[#This Row],[Scoring Margin]], 1, 0)</f>
        <v>1</v>
      </c>
      <c r="AA619" s="5">
        <f>IF(Table3[[#This Row],[Efficiency Difference]]*0.2146 + 7 &gt; Table3[[#This Row],[Scoring Margin]], 1, 0)</f>
        <v>1</v>
      </c>
      <c r="AB619" s="5">
        <f>IF(Table3[[#This Row],[Efficiency Difference]]*0.2146 + 14 &gt; Table3[[#This Row],[Scoring Margin]], 1, 0)</f>
        <v>1</v>
      </c>
      <c r="AC619" s="5">
        <f>IF(Table3[[#This Row],[Efficiency Difference]]*0.2146 + 21 &gt; Table3[[#This Row],[Scoring Margin]], 1, 0)</f>
        <v>1</v>
      </c>
      <c r="AD619" s="5">
        <f>IF(Table3[[#This Row],[Efficiency Difference]]*0.2146 -7 &gt; Table3[[#This Row],[Scoring Margin]], 1, 0)</f>
        <v>0</v>
      </c>
      <c r="AE619" s="5">
        <f>IF(Table3[[#This Row],[Efficiency Difference]]*0.2146 -3 &gt; Table3[[#This Row],[Scoring Margin]], 1, 0)</f>
        <v>0</v>
      </c>
      <c r="AF619" s="5">
        <f>IF(Table3[[#This Row],[Efficiency Difference]]*0.2146 -5 &gt; Table3[[#This Row],[Scoring Margin]], 1, 0)</f>
        <v>0</v>
      </c>
      <c r="AG619" s="5">
        <f>IF(Table3[[#This Row],[Efficiency Difference]]*0.2146 -10 &gt; Table3[[#This Row],[Scoring Margin]], 1, 0)</f>
        <v>0</v>
      </c>
    </row>
    <row r="620" spans="2:33">
      <c r="B620" s="5">
        <v>69.28</v>
      </c>
      <c r="C620" s="5">
        <v>17</v>
      </c>
      <c r="X620" s="5">
        <v>69.28</v>
      </c>
      <c r="Y620" s="5">
        <v>17</v>
      </c>
      <c r="Z620" s="5">
        <f>IF(Table3[[#This Row],[Efficiency Difference]]*0.2146 &gt; Table3[[#This Row],[Scoring Margin]], 1, 0)</f>
        <v>0</v>
      </c>
      <c r="AA620" s="5">
        <f>IF(Table3[[#This Row],[Efficiency Difference]]*0.2146 + 7 &gt; Table3[[#This Row],[Scoring Margin]], 1, 0)</f>
        <v>1</v>
      </c>
      <c r="AB620" s="5">
        <f>IF(Table3[[#This Row],[Efficiency Difference]]*0.2146 + 14 &gt; Table3[[#This Row],[Scoring Margin]], 1, 0)</f>
        <v>1</v>
      </c>
      <c r="AC620" s="5">
        <f>IF(Table3[[#This Row],[Efficiency Difference]]*0.2146 + 21 &gt; Table3[[#This Row],[Scoring Margin]], 1, 0)</f>
        <v>1</v>
      </c>
      <c r="AD620" s="5">
        <f>IF(Table3[[#This Row],[Efficiency Difference]]*0.2146 -7 &gt; Table3[[#This Row],[Scoring Margin]], 1, 0)</f>
        <v>0</v>
      </c>
      <c r="AE620" s="5">
        <f>IF(Table3[[#This Row],[Efficiency Difference]]*0.2146 -3 &gt; Table3[[#This Row],[Scoring Margin]], 1, 0)</f>
        <v>0</v>
      </c>
      <c r="AF620" s="5">
        <f>IF(Table3[[#This Row],[Efficiency Difference]]*0.2146 -5 &gt; Table3[[#This Row],[Scoring Margin]], 1, 0)</f>
        <v>0</v>
      </c>
      <c r="AG620" s="5">
        <f>IF(Table3[[#This Row],[Efficiency Difference]]*0.2146 -10 &gt; Table3[[#This Row],[Scoring Margin]], 1, 0)</f>
        <v>0</v>
      </c>
    </row>
    <row r="621" spans="2:33">
      <c r="B621" s="5">
        <v>33.199999999999989</v>
      </c>
      <c r="C621" s="5">
        <v>2</v>
      </c>
      <c r="X621" s="5">
        <v>33.199999999999989</v>
      </c>
      <c r="Y621" s="5">
        <v>2</v>
      </c>
      <c r="Z621" s="5">
        <f>IF(Table3[[#This Row],[Efficiency Difference]]*0.2146 &gt; Table3[[#This Row],[Scoring Margin]], 1, 0)</f>
        <v>1</v>
      </c>
      <c r="AA621" s="5">
        <f>IF(Table3[[#This Row],[Efficiency Difference]]*0.2146 + 7 &gt; Table3[[#This Row],[Scoring Margin]], 1, 0)</f>
        <v>1</v>
      </c>
      <c r="AB621" s="5">
        <f>IF(Table3[[#This Row],[Efficiency Difference]]*0.2146 + 14 &gt; Table3[[#This Row],[Scoring Margin]], 1, 0)</f>
        <v>1</v>
      </c>
      <c r="AC621" s="5">
        <f>IF(Table3[[#This Row],[Efficiency Difference]]*0.2146 + 21 &gt; Table3[[#This Row],[Scoring Margin]], 1, 0)</f>
        <v>1</v>
      </c>
      <c r="AD621" s="5">
        <f>IF(Table3[[#This Row],[Efficiency Difference]]*0.2146 -7 &gt; Table3[[#This Row],[Scoring Margin]], 1, 0)</f>
        <v>0</v>
      </c>
      <c r="AE621" s="5">
        <f>IF(Table3[[#This Row],[Efficiency Difference]]*0.2146 -3 &gt; Table3[[#This Row],[Scoring Margin]], 1, 0)</f>
        <v>1</v>
      </c>
      <c r="AF621" s="5">
        <f>IF(Table3[[#This Row],[Efficiency Difference]]*0.2146 -5 &gt; Table3[[#This Row],[Scoring Margin]], 1, 0)</f>
        <v>1</v>
      </c>
      <c r="AG621" s="5">
        <f>IF(Table3[[#This Row],[Efficiency Difference]]*0.2146 -10 &gt; Table3[[#This Row],[Scoring Margin]], 1, 0)</f>
        <v>0</v>
      </c>
    </row>
    <row r="622" spans="2:33">
      <c r="B622" s="5">
        <v>25.829999999999984</v>
      </c>
      <c r="C622" s="5">
        <v>21</v>
      </c>
      <c r="X622" s="5">
        <v>25.829999999999984</v>
      </c>
      <c r="Y622" s="5">
        <v>21</v>
      </c>
      <c r="Z622" s="5">
        <f>IF(Table3[[#This Row],[Efficiency Difference]]*0.2146 &gt; Table3[[#This Row],[Scoring Margin]], 1, 0)</f>
        <v>0</v>
      </c>
      <c r="AA622" s="5">
        <f>IF(Table3[[#This Row],[Efficiency Difference]]*0.2146 + 7 &gt; Table3[[#This Row],[Scoring Margin]], 1, 0)</f>
        <v>0</v>
      </c>
      <c r="AB622" s="5">
        <f>IF(Table3[[#This Row],[Efficiency Difference]]*0.2146 + 14 &gt; Table3[[#This Row],[Scoring Margin]], 1, 0)</f>
        <v>0</v>
      </c>
      <c r="AC622" s="5">
        <f>IF(Table3[[#This Row],[Efficiency Difference]]*0.2146 + 21 &gt; Table3[[#This Row],[Scoring Margin]], 1, 0)</f>
        <v>1</v>
      </c>
      <c r="AD622" s="5">
        <f>IF(Table3[[#This Row],[Efficiency Difference]]*0.2146 -7 &gt; Table3[[#This Row],[Scoring Margin]], 1, 0)</f>
        <v>0</v>
      </c>
      <c r="AE622" s="5">
        <f>IF(Table3[[#This Row],[Efficiency Difference]]*0.2146 -3 &gt; Table3[[#This Row],[Scoring Margin]], 1, 0)</f>
        <v>0</v>
      </c>
      <c r="AF622" s="5">
        <f>IF(Table3[[#This Row],[Efficiency Difference]]*0.2146 -5 &gt; Table3[[#This Row],[Scoring Margin]], 1, 0)</f>
        <v>0</v>
      </c>
      <c r="AG622" s="5">
        <f>IF(Table3[[#This Row],[Efficiency Difference]]*0.2146 -10 &gt; Table3[[#This Row],[Scoring Margin]], 1, 0)</f>
        <v>0</v>
      </c>
    </row>
    <row r="623" spans="2:33">
      <c r="B623" s="5">
        <v>154.52000000000004</v>
      </c>
      <c r="C623" s="5">
        <v>27</v>
      </c>
      <c r="X623" s="5">
        <v>154.52000000000004</v>
      </c>
      <c r="Y623" s="5">
        <v>27</v>
      </c>
      <c r="Z623" s="5">
        <f>IF(Table3[[#This Row],[Efficiency Difference]]*0.2146 &gt; Table3[[#This Row],[Scoring Margin]], 1, 0)</f>
        <v>1</v>
      </c>
      <c r="AA623" s="5">
        <f>IF(Table3[[#This Row],[Efficiency Difference]]*0.2146 + 7 &gt; Table3[[#This Row],[Scoring Margin]], 1, 0)</f>
        <v>1</v>
      </c>
      <c r="AB623" s="5">
        <f>IF(Table3[[#This Row],[Efficiency Difference]]*0.2146 + 14 &gt; Table3[[#This Row],[Scoring Margin]], 1, 0)</f>
        <v>1</v>
      </c>
      <c r="AC623" s="5">
        <f>IF(Table3[[#This Row],[Efficiency Difference]]*0.2146 + 21 &gt; Table3[[#This Row],[Scoring Margin]], 1, 0)</f>
        <v>1</v>
      </c>
      <c r="AD623" s="5">
        <f>IF(Table3[[#This Row],[Efficiency Difference]]*0.2146 -7 &gt; Table3[[#This Row],[Scoring Margin]], 1, 0)</f>
        <v>0</v>
      </c>
      <c r="AE623" s="5">
        <f>IF(Table3[[#This Row],[Efficiency Difference]]*0.2146 -3 &gt; Table3[[#This Row],[Scoring Margin]], 1, 0)</f>
        <v>1</v>
      </c>
      <c r="AF623" s="5">
        <f>IF(Table3[[#This Row],[Efficiency Difference]]*0.2146 -5 &gt; Table3[[#This Row],[Scoring Margin]], 1, 0)</f>
        <v>1</v>
      </c>
      <c r="AG623" s="5">
        <f>IF(Table3[[#This Row],[Efficiency Difference]]*0.2146 -10 &gt; Table3[[#This Row],[Scoring Margin]], 1, 0)</f>
        <v>0</v>
      </c>
    </row>
    <row r="624" spans="2:33">
      <c r="B624" s="5">
        <v>9.1599999999999966</v>
      </c>
      <c r="C624" s="5">
        <v>7</v>
      </c>
      <c r="X624" s="5">
        <v>9.1599999999999966</v>
      </c>
      <c r="Y624" s="5">
        <v>7</v>
      </c>
      <c r="Z624" s="5">
        <f>IF(Table3[[#This Row],[Efficiency Difference]]*0.2146 &gt; Table3[[#This Row],[Scoring Margin]], 1, 0)</f>
        <v>0</v>
      </c>
      <c r="AA624" s="5">
        <f>IF(Table3[[#This Row],[Efficiency Difference]]*0.2146 + 7 &gt; Table3[[#This Row],[Scoring Margin]], 1, 0)</f>
        <v>1</v>
      </c>
      <c r="AB624" s="5">
        <f>IF(Table3[[#This Row],[Efficiency Difference]]*0.2146 + 14 &gt; Table3[[#This Row],[Scoring Margin]], 1, 0)</f>
        <v>1</v>
      </c>
      <c r="AC624" s="5">
        <f>IF(Table3[[#This Row],[Efficiency Difference]]*0.2146 + 21 &gt; Table3[[#This Row],[Scoring Margin]], 1, 0)</f>
        <v>1</v>
      </c>
      <c r="AD624" s="5">
        <f>IF(Table3[[#This Row],[Efficiency Difference]]*0.2146 -7 &gt; Table3[[#This Row],[Scoring Margin]], 1, 0)</f>
        <v>0</v>
      </c>
      <c r="AE624" s="5">
        <f>IF(Table3[[#This Row],[Efficiency Difference]]*0.2146 -3 &gt; Table3[[#This Row],[Scoring Margin]], 1, 0)</f>
        <v>0</v>
      </c>
      <c r="AF624" s="5">
        <f>IF(Table3[[#This Row],[Efficiency Difference]]*0.2146 -5 &gt; Table3[[#This Row],[Scoring Margin]], 1, 0)</f>
        <v>0</v>
      </c>
      <c r="AG624" s="5">
        <f>IF(Table3[[#This Row],[Efficiency Difference]]*0.2146 -10 &gt; Table3[[#This Row],[Scoring Margin]], 1, 0)</f>
        <v>0</v>
      </c>
    </row>
    <row r="625" spans="2:33">
      <c r="B625" s="5">
        <v>1.1200000000000045</v>
      </c>
      <c r="C625" s="5">
        <v>7</v>
      </c>
      <c r="X625" s="5">
        <v>1.1200000000000045</v>
      </c>
      <c r="Y625" s="5">
        <v>7</v>
      </c>
      <c r="Z625" s="5">
        <f>IF(Table3[[#This Row],[Efficiency Difference]]*0.2146 &gt; Table3[[#This Row],[Scoring Margin]], 1, 0)</f>
        <v>0</v>
      </c>
      <c r="AA625" s="5">
        <f>IF(Table3[[#This Row],[Efficiency Difference]]*0.2146 + 7 &gt; Table3[[#This Row],[Scoring Margin]], 1, 0)</f>
        <v>1</v>
      </c>
      <c r="AB625" s="5">
        <f>IF(Table3[[#This Row],[Efficiency Difference]]*0.2146 + 14 &gt; Table3[[#This Row],[Scoring Margin]], 1, 0)</f>
        <v>1</v>
      </c>
      <c r="AC625" s="5">
        <f>IF(Table3[[#This Row],[Efficiency Difference]]*0.2146 + 21 &gt; Table3[[#This Row],[Scoring Margin]], 1, 0)</f>
        <v>1</v>
      </c>
      <c r="AD625" s="5">
        <f>IF(Table3[[#This Row],[Efficiency Difference]]*0.2146 -7 &gt; Table3[[#This Row],[Scoring Margin]], 1, 0)</f>
        <v>0</v>
      </c>
      <c r="AE625" s="5">
        <f>IF(Table3[[#This Row],[Efficiency Difference]]*0.2146 -3 &gt; Table3[[#This Row],[Scoring Margin]], 1, 0)</f>
        <v>0</v>
      </c>
      <c r="AF625" s="5">
        <f>IF(Table3[[#This Row],[Efficiency Difference]]*0.2146 -5 &gt; Table3[[#This Row],[Scoring Margin]], 1, 0)</f>
        <v>0</v>
      </c>
      <c r="AG625" s="5">
        <f>IF(Table3[[#This Row],[Efficiency Difference]]*0.2146 -10 &gt; Table3[[#This Row],[Scoring Margin]], 1, 0)</f>
        <v>0</v>
      </c>
    </row>
    <row r="626" spans="2:33">
      <c r="B626" s="5">
        <v>101.53999999999999</v>
      </c>
      <c r="C626" s="5">
        <v>10</v>
      </c>
      <c r="X626" s="5">
        <v>101.53999999999999</v>
      </c>
      <c r="Y626" s="5">
        <v>10</v>
      </c>
      <c r="Z626" s="5">
        <f>IF(Table3[[#This Row],[Efficiency Difference]]*0.2146 &gt; Table3[[#This Row],[Scoring Margin]], 1, 0)</f>
        <v>1</v>
      </c>
      <c r="AA626" s="5">
        <f>IF(Table3[[#This Row],[Efficiency Difference]]*0.2146 + 7 &gt; Table3[[#This Row],[Scoring Margin]], 1, 0)</f>
        <v>1</v>
      </c>
      <c r="AB626" s="5">
        <f>IF(Table3[[#This Row],[Efficiency Difference]]*0.2146 + 14 &gt; Table3[[#This Row],[Scoring Margin]], 1, 0)</f>
        <v>1</v>
      </c>
      <c r="AC626" s="5">
        <f>IF(Table3[[#This Row],[Efficiency Difference]]*0.2146 + 21 &gt; Table3[[#This Row],[Scoring Margin]], 1, 0)</f>
        <v>1</v>
      </c>
      <c r="AD626" s="5">
        <f>IF(Table3[[#This Row],[Efficiency Difference]]*0.2146 -7 &gt; Table3[[#This Row],[Scoring Margin]], 1, 0)</f>
        <v>1</v>
      </c>
      <c r="AE626" s="5">
        <f>IF(Table3[[#This Row],[Efficiency Difference]]*0.2146 -3 &gt; Table3[[#This Row],[Scoring Margin]], 1, 0)</f>
        <v>1</v>
      </c>
      <c r="AF626" s="5">
        <f>IF(Table3[[#This Row],[Efficiency Difference]]*0.2146 -5 &gt; Table3[[#This Row],[Scoring Margin]], 1, 0)</f>
        <v>1</v>
      </c>
      <c r="AG626" s="5">
        <f>IF(Table3[[#This Row],[Efficiency Difference]]*0.2146 -10 &gt; Table3[[#This Row],[Scoring Margin]], 1, 0)</f>
        <v>1</v>
      </c>
    </row>
    <row r="627" spans="2:33">
      <c r="B627" s="5">
        <v>71.440000000000026</v>
      </c>
      <c r="C627" s="5">
        <v>21</v>
      </c>
      <c r="X627" s="5">
        <v>71.440000000000026</v>
      </c>
      <c r="Y627" s="5">
        <v>21</v>
      </c>
      <c r="Z627" s="5">
        <f>IF(Table3[[#This Row],[Efficiency Difference]]*0.2146 &gt; Table3[[#This Row],[Scoring Margin]], 1, 0)</f>
        <v>0</v>
      </c>
      <c r="AA627" s="5">
        <f>IF(Table3[[#This Row],[Efficiency Difference]]*0.2146 + 7 &gt; Table3[[#This Row],[Scoring Margin]], 1, 0)</f>
        <v>1</v>
      </c>
      <c r="AB627" s="5">
        <f>IF(Table3[[#This Row],[Efficiency Difference]]*0.2146 + 14 &gt; Table3[[#This Row],[Scoring Margin]], 1, 0)</f>
        <v>1</v>
      </c>
      <c r="AC627" s="5">
        <f>IF(Table3[[#This Row],[Efficiency Difference]]*0.2146 + 21 &gt; Table3[[#This Row],[Scoring Margin]], 1, 0)</f>
        <v>1</v>
      </c>
      <c r="AD627" s="5">
        <f>IF(Table3[[#This Row],[Efficiency Difference]]*0.2146 -7 &gt; Table3[[#This Row],[Scoring Margin]], 1, 0)</f>
        <v>0</v>
      </c>
      <c r="AE627" s="5">
        <f>IF(Table3[[#This Row],[Efficiency Difference]]*0.2146 -3 &gt; Table3[[#This Row],[Scoring Margin]], 1, 0)</f>
        <v>0</v>
      </c>
      <c r="AF627" s="5">
        <f>IF(Table3[[#This Row],[Efficiency Difference]]*0.2146 -5 &gt; Table3[[#This Row],[Scoring Margin]], 1, 0)</f>
        <v>0</v>
      </c>
      <c r="AG627" s="5">
        <f>IF(Table3[[#This Row],[Efficiency Difference]]*0.2146 -10 &gt; Table3[[#This Row],[Scoring Margin]], 1, 0)</f>
        <v>0</v>
      </c>
    </row>
    <row r="628" spans="2:33">
      <c r="B628" s="5">
        <v>33.199999999999989</v>
      </c>
      <c r="C628" s="5">
        <v>2</v>
      </c>
      <c r="X628" s="5">
        <v>33.199999999999989</v>
      </c>
      <c r="Y628" s="5">
        <v>2</v>
      </c>
      <c r="Z628" s="5">
        <f>IF(Table3[[#This Row],[Efficiency Difference]]*0.2146 &gt; Table3[[#This Row],[Scoring Margin]], 1, 0)</f>
        <v>1</v>
      </c>
      <c r="AA628" s="5">
        <f>IF(Table3[[#This Row],[Efficiency Difference]]*0.2146 + 7 &gt; Table3[[#This Row],[Scoring Margin]], 1, 0)</f>
        <v>1</v>
      </c>
      <c r="AB628" s="5">
        <f>IF(Table3[[#This Row],[Efficiency Difference]]*0.2146 + 14 &gt; Table3[[#This Row],[Scoring Margin]], 1, 0)</f>
        <v>1</v>
      </c>
      <c r="AC628" s="5">
        <f>IF(Table3[[#This Row],[Efficiency Difference]]*0.2146 + 21 &gt; Table3[[#This Row],[Scoring Margin]], 1, 0)</f>
        <v>1</v>
      </c>
      <c r="AD628" s="5">
        <f>IF(Table3[[#This Row],[Efficiency Difference]]*0.2146 -7 &gt; Table3[[#This Row],[Scoring Margin]], 1, 0)</f>
        <v>0</v>
      </c>
      <c r="AE628" s="5">
        <f>IF(Table3[[#This Row],[Efficiency Difference]]*0.2146 -3 &gt; Table3[[#This Row],[Scoring Margin]], 1, 0)</f>
        <v>1</v>
      </c>
      <c r="AF628" s="5">
        <f>IF(Table3[[#This Row],[Efficiency Difference]]*0.2146 -5 &gt; Table3[[#This Row],[Scoring Margin]], 1, 0)</f>
        <v>1</v>
      </c>
      <c r="AG628" s="5">
        <f>IF(Table3[[#This Row],[Efficiency Difference]]*0.2146 -10 &gt; Table3[[#This Row],[Scoring Margin]], 1, 0)</f>
        <v>0</v>
      </c>
    </row>
    <row r="629" spans="2:33">
      <c r="B629" s="5">
        <v>22.96999999999997</v>
      </c>
      <c r="C629" s="5">
        <v>4</v>
      </c>
      <c r="X629" s="5">
        <v>22.96999999999997</v>
      </c>
      <c r="Y629" s="5">
        <v>4</v>
      </c>
      <c r="Z629" s="5">
        <f>IF(Table3[[#This Row],[Efficiency Difference]]*0.2146 &gt; Table3[[#This Row],[Scoring Margin]], 1, 0)</f>
        <v>1</v>
      </c>
      <c r="AA629" s="5">
        <f>IF(Table3[[#This Row],[Efficiency Difference]]*0.2146 + 7 &gt; Table3[[#This Row],[Scoring Margin]], 1, 0)</f>
        <v>1</v>
      </c>
      <c r="AB629" s="5">
        <f>IF(Table3[[#This Row],[Efficiency Difference]]*0.2146 + 14 &gt; Table3[[#This Row],[Scoring Margin]], 1, 0)</f>
        <v>1</v>
      </c>
      <c r="AC629" s="5">
        <f>IF(Table3[[#This Row],[Efficiency Difference]]*0.2146 + 21 &gt; Table3[[#This Row],[Scoring Margin]], 1, 0)</f>
        <v>1</v>
      </c>
      <c r="AD629" s="5">
        <f>IF(Table3[[#This Row],[Efficiency Difference]]*0.2146 -7 &gt; Table3[[#This Row],[Scoring Margin]], 1, 0)</f>
        <v>0</v>
      </c>
      <c r="AE629" s="5">
        <f>IF(Table3[[#This Row],[Efficiency Difference]]*0.2146 -3 &gt; Table3[[#This Row],[Scoring Margin]], 1, 0)</f>
        <v>0</v>
      </c>
      <c r="AF629" s="5">
        <f>IF(Table3[[#This Row],[Efficiency Difference]]*0.2146 -5 &gt; Table3[[#This Row],[Scoring Margin]], 1, 0)</f>
        <v>0</v>
      </c>
      <c r="AG629" s="5">
        <f>IF(Table3[[#This Row],[Efficiency Difference]]*0.2146 -10 &gt; Table3[[#This Row],[Scoring Margin]], 1, 0)</f>
        <v>0</v>
      </c>
    </row>
    <row r="630" spans="2:33">
      <c r="B630" s="5">
        <v>16.359999999999985</v>
      </c>
      <c r="C630" s="5">
        <v>10</v>
      </c>
      <c r="X630" s="5">
        <v>16.359999999999985</v>
      </c>
      <c r="Y630" s="5">
        <v>10</v>
      </c>
      <c r="Z630" s="5">
        <f>IF(Table3[[#This Row],[Efficiency Difference]]*0.2146 &gt; Table3[[#This Row],[Scoring Margin]], 1, 0)</f>
        <v>0</v>
      </c>
      <c r="AA630" s="5">
        <f>IF(Table3[[#This Row],[Efficiency Difference]]*0.2146 + 7 &gt; Table3[[#This Row],[Scoring Margin]], 1, 0)</f>
        <v>1</v>
      </c>
      <c r="AB630" s="5">
        <f>IF(Table3[[#This Row],[Efficiency Difference]]*0.2146 + 14 &gt; Table3[[#This Row],[Scoring Margin]], 1, 0)</f>
        <v>1</v>
      </c>
      <c r="AC630" s="5">
        <f>IF(Table3[[#This Row],[Efficiency Difference]]*0.2146 + 21 &gt; Table3[[#This Row],[Scoring Margin]], 1, 0)</f>
        <v>1</v>
      </c>
      <c r="AD630" s="5">
        <f>IF(Table3[[#This Row],[Efficiency Difference]]*0.2146 -7 &gt; Table3[[#This Row],[Scoring Margin]], 1, 0)</f>
        <v>0</v>
      </c>
      <c r="AE630" s="5">
        <f>IF(Table3[[#This Row],[Efficiency Difference]]*0.2146 -3 &gt; Table3[[#This Row],[Scoring Margin]], 1, 0)</f>
        <v>0</v>
      </c>
      <c r="AF630" s="5">
        <f>IF(Table3[[#This Row],[Efficiency Difference]]*0.2146 -5 &gt; Table3[[#This Row],[Scoring Margin]], 1, 0)</f>
        <v>0</v>
      </c>
      <c r="AG630" s="5">
        <f>IF(Table3[[#This Row],[Efficiency Difference]]*0.2146 -10 &gt; Table3[[#This Row],[Scoring Margin]], 1, 0)</f>
        <v>0</v>
      </c>
    </row>
    <row r="631" spans="2:33">
      <c r="B631" s="5">
        <v>149.08000000000001</v>
      </c>
      <c r="C631" s="5">
        <v>29</v>
      </c>
      <c r="X631" s="5">
        <v>149.08000000000001</v>
      </c>
      <c r="Y631" s="5">
        <v>29</v>
      </c>
      <c r="Z631" s="5">
        <f>IF(Table3[[#This Row],[Efficiency Difference]]*0.2146 &gt; Table3[[#This Row],[Scoring Margin]], 1, 0)</f>
        <v>1</v>
      </c>
      <c r="AA631" s="5">
        <f>IF(Table3[[#This Row],[Efficiency Difference]]*0.2146 + 7 &gt; Table3[[#This Row],[Scoring Margin]], 1, 0)</f>
        <v>1</v>
      </c>
      <c r="AB631" s="5">
        <f>IF(Table3[[#This Row],[Efficiency Difference]]*0.2146 + 14 &gt; Table3[[#This Row],[Scoring Margin]], 1, 0)</f>
        <v>1</v>
      </c>
      <c r="AC631" s="5">
        <f>IF(Table3[[#This Row],[Efficiency Difference]]*0.2146 + 21 &gt; Table3[[#This Row],[Scoring Margin]], 1, 0)</f>
        <v>1</v>
      </c>
      <c r="AD631" s="5">
        <f>IF(Table3[[#This Row],[Efficiency Difference]]*0.2146 -7 &gt; Table3[[#This Row],[Scoring Margin]], 1, 0)</f>
        <v>0</v>
      </c>
      <c r="AE631" s="5">
        <f>IF(Table3[[#This Row],[Efficiency Difference]]*0.2146 -3 &gt; Table3[[#This Row],[Scoring Margin]], 1, 0)</f>
        <v>0</v>
      </c>
      <c r="AF631" s="5">
        <f>IF(Table3[[#This Row],[Efficiency Difference]]*0.2146 -5 &gt; Table3[[#This Row],[Scoring Margin]], 1, 0)</f>
        <v>0</v>
      </c>
      <c r="AG631" s="5">
        <f>IF(Table3[[#This Row],[Efficiency Difference]]*0.2146 -10 &gt; Table3[[#This Row],[Scoring Margin]], 1, 0)</f>
        <v>0</v>
      </c>
    </row>
    <row r="632" spans="2:33">
      <c r="B632" s="5">
        <v>79.499999999999972</v>
      </c>
      <c r="C632" s="5">
        <v>26</v>
      </c>
      <c r="X632" s="5">
        <v>79.499999999999972</v>
      </c>
      <c r="Y632" s="5">
        <v>26</v>
      </c>
      <c r="Z632" s="5">
        <f>IF(Table3[[#This Row],[Efficiency Difference]]*0.2146 &gt; Table3[[#This Row],[Scoring Margin]], 1, 0)</f>
        <v>0</v>
      </c>
      <c r="AA632" s="5">
        <f>IF(Table3[[#This Row],[Efficiency Difference]]*0.2146 + 7 &gt; Table3[[#This Row],[Scoring Margin]], 1, 0)</f>
        <v>0</v>
      </c>
      <c r="AB632" s="5">
        <f>IF(Table3[[#This Row],[Efficiency Difference]]*0.2146 + 14 &gt; Table3[[#This Row],[Scoring Margin]], 1, 0)</f>
        <v>1</v>
      </c>
      <c r="AC632" s="5">
        <f>IF(Table3[[#This Row],[Efficiency Difference]]*0.2146 + 21 &gt; Table3[[#This Row],[Scoring Margin]], 1, 0)</f>
        <v>1</v>
      </c>
      <c r="AD632" s="5">
        <f>IF(Table3[[#This Row],[Efficiency Difference]]*0.2146 -7 &gt; Table3[[#This Row],[Scoring Margin]], 1, 0)</f>
        <v>0</v>
      </c>
      <c r="AE632" s="5">
        <f>IF(Table3[[#This Row],[Efficiency Difference]]*0.2146 -3 &gt; Table3[[#This Row],[Scoring Margin]], 1, 0)</f>
        <v>0</v>
      </c>
      <c r="AF632" s="5">
        <f>IF(Table3[[#This Row],[Efficiency Difference]]*0.2146 -5 &gt; Table3[[#This Row],[Scoring Margin]], 1, 0)</f>
        <v>0</v>
      </c>
      <c r="AG632" s="5">
        <f>IF(Table3[[#This Row],[Efficiency Difference]]*0.2146 -10 &gt; Table3[[#This Row],[Scoring Margin]], 1, 0)</f>
        <v>0</v>
      </c>
    </row>
    <row r="633" spans="2:33">
      <c r="B633" s="5">
        <v>44.690000000000026</v>
      </c>
      <c r="C633" s="5">
        <v>3</v>
      </c>
      <c r="X633" s="5">
        <v>44.690000000000026</v>
      </c>
      <c r="Y633" s="5">
        <v>3</v>
      </c>
      <c r="Z633" s="5">
        <f>IF(Table3[[#This Row],[Efficiency Difference]]*0.2146 &gt; Table3[[#This Row],[Scoring Margin]], 1, 0)</f>
        <v>1</v>
      </c>
      <c r="AA633" s="5">
        <f>IF(Table3[[#This Row],[Efficiency Difference]]*0.2146 + 7 &gt; Table3[[#This Row],[Scoring Margin]], 1, 0)</f>
        <v>1</v>
      </c>
      <c r="AB633" s="5">
        <f>IF(Table3[[#This Row],[Efficiency Difference]]*0.2146 + 14 &gt; Table3[[#This Row],[Scoring Margin]], 1, 0)</f>
        <v>1</v>
      </c>
      <c r="AC633" s="5">
        <f>IF(Table3[[#This Row],[Efficiency Difference]]*0.2146 + 21 &gt; Table3[[#This Row],[Scoring Margin]], 1, 0)</f>
        <v>1</v>
      </c>
      <c r="AD633" s="5">
        <f>IF(Table3[[#This Row],[Efficiency Difference]]*0.2146 -7 &gt; Table3[[#This Row],[Scoring Margin]], 1, 0)</f>
        <v>0</v>
      </c>
      <c r="AE633" s="5">
        <f>IF(Table3[[#This Row],[Efficiency Difference]]*0.2146 -3 &gt; Table3[[#This Row],[Scoring Margin]], 1, 0)</f>
        <v>1</v>
      </c>
      <c r="AF633" s="5">
        <f>IF(Table3[[#This Row],[Efficiency Difference]]*0.2146 -5 &gt; Table3[[#This Row],[Scoring Margin]], 1, 0)</f>
        <v>1</v>
      </c>
      <c r="AG633" s="5">
        <f>IF(Table3[[#This Row],[Efficiency Difference]]*0.2146 -10 &gt; Table3[[#This Row],[Scoring Margin]], 1, 0)</f>
        <v>0</v>
      </c>
    </row>
    <row r="634" spans="2:33">
      <c r="B634" s="5">
        <v>136.71999999999997</v>
      </c>
      <c r="C634" s="5">
        <v>36</v>
      </c>
      <c r="X634" s="5">
        <v>136.71999999999997</v>
      </c>
      <c r="Y634" s="5">
        <v>36</v>
      </c>
      <c r="Z634" s="5">
        <f>IF(Table3[[#This Row],[Efficiency Difference]]*0.2146 &gt; Table3[[#This Row],[Scoring Margin]], 1, 0)</f>
        <v>0</v>
      </c>
      <c r="AA634" s="5">
        <f>IF(Table3[[#This Row],[Efficiency Difference]]*0.2146 + 7 &gt; Table3[[#This Row],[Scoring Margin]], 1, 0)</f>
        <v>1</v>
      </c>
      <c r="AB634" s="5">
        <f>IF(Table3[[#This Row],[Efficiency Difference]]*0.2146 + 14 &gt; Table3[[#This Row],[Scoring Margin]], 1, 0)</f>
        <v>1</v>
      </c>
      <c r="AC634" s="5">
        <f>IF(Table3[[#This Row],[Efficiency Difference]]*0.2146 + 21 &gt; Table3[[#This Row],[Scoring Margin]], 1, 0)</f>
        <v>1</v>
      </c>
      <c r="AD634" s="5">
        <f>IF(Table3[[#This Row],[Efficiency Difference]]*0.2146 -7 &gt; Table3[[#This Row],[Scoring Margin]], 1, 0)</f>
        <v>0</v>
      </c>
      <c r="AE634" s="5">
        <f>IF(Table3[[#This Row],[Efficiency Difference]]*0.2146 -3 &gt; Table3[[#This Row],[Scoring Margin]], 1, 0)</f>
        <v>0</v>
      </c>
      <c r="AF634" s="5">
        <f>IF(Table3[[#This Row],[Efficiency Difference]]*0.2146 -5 &gt; Table3[[#This Row],[Scoring Margin]], 1, 0)</f>
        <v>0</v>
      </c>
      <c r="AG634" s="5">
        <f>IF(Table3[[#This Row],[Efficiency Difference]]*0.2146 -10 &gt; Table3[[#This Row],[Scoring Margin]], 1, 0)</f>
        <v>0</v>
      </c>
    </row>
    <row r="635" spans="2:33">
      <c r="B635" s="5">
        <v>157.55000000000001</v>
      </c>
      <c r="C635" s="5">
        <v>34</v>
      </c>
      <c r="X635" s="5">
        <v>157.55000000000001</v>
      </c>
      <c r="Y635" s="5">
        <v>34</v>
      </c>
      <c r="Z635" s="5">
        <f>IF(Table3[[#This Row],[Efficiency Difference]]*0.2146 &gt; Table3[[#This Row],[Scoring Margin]], 1, 0)</f>
        <v>0</v>
      </c>
      <c r="AA635" s="5">
        <f>IF(Table3[[#This Row],[Efficiency Difference]]*0.2146 + 7 &gt; Table3[[#This Row],[Scoring Margin]], 1, 0)</f>
        <v>1</v>
      </c>
      <c r="AB635" s="5">
        <f>IF(Table3[[#This Row],[Efficiency Difference]]*0.2146 + 14 &gt; Table3[[#This Row],[Scoring Margin]], 1, 0)</f>
        <v>1</v>
      </c>
      <c r="AC635" s="5">
        <f>IF(Table3[[#This Row],[Efficiency Difference]]*0.2146 + 21 &gt; Table3[[#This Row],[Scoring Margin]], 1, 0)</f>
        <v>1</v>
      </c>
      <c r="AD635" s="5">
        <f>IF(Table3[[#This Row],[Efficiency Difference]]*0.2146 -7 &gt; Table3[[#This Row],[Scoring Margin]], 1, 0)</f>
        <v>0</v>
      </c>
      <c r="AE635" s="5">
        <f>IF(Table3[[#This Row],[Efficiency Difference]]*0.2146 -3 &gt; Table3[[#This Row],[Scoring Margin]], 1, 0)</f>
        <v>0</v>
      </c>
      <c r="AF635" s="5">
        <f>IF(Table3[[#This Row],[Efficiency Difference]]*0.2146 -5 &gt; Table3[[#This Row],[Scoring Margin]], 1, 0)</f>
        <v>0</v>
      </c>
      <c r="AG635" s="5">
        <f>IF(Table3[[#This Row],[Efficiency Difference]]*0.2146 -10 &gt; Table3[[#This Row],[Scoring Margin]], 1, 0)</f>
        <v>0</v>
      </c>
    </row>
    <row r="636" spans="2:33">
      <c r="B636" s="5">
        <v>120.94000000000003</v>
      </c>
      <c r="C636" s="5">
        <v>52</v>
      </c>
      <c r="X636" s="5">
        <v>120.94000000000003</v>
      </c>
      <c r="Y636" s="5">
        <v>52</v>
      </c>
      <c r="Z636" s="5">
        <f>IF(Table3[[#This Row],[Efficiency Difference]]*0.2146 &gt; Table3[[#This Row],[Scoring Margin]], 1, 0)</f>
        <v>0</v>
      </c>
      <c r="AA636" s="5">
        <f>IF(Table3[[#This Row],[Efficiency Difference]]*0.2146 + 7 &gt; Table3[[#This Row],[Scoring Margin]], 1, 0)</f>
        <v>0</v>
      </c>
      <c r="AB636" s="5">
        <f>IF(Table3[[#This Row],[Efficiency Difference]]*0.2146 + 14 &gt; Table3[[#This Row],[Scoring Margin]], 1, 0)</f>
        <v>0</v>
      </c>
      <c r="AC636" s="5">
        <f>IF(Table3[[#This Row],[Efficiency Difference]]*0.2146 + 21 &gt; Table3[[#This Row],[Scoring Margin]], 1, 0)</f>
        <v>0</v>
      </c>
      <c r="AD636" s="5">
        <f>IF(Table3[[#This Row],[Efficiency Difference]]*0.2146 -7 &gt; Table3[[#This Row],[Scoring Margin]], 1, 0)</f>
        <v>0</v>
      </c>
      <c r="AE636" s="5">
        <f>IF(Table3[[#This Row],[Efficiency Difference]]*0.2146 -3 &gt; Table3[[#This Row],[Scoring Margin]], 1, 0)</f>
        <v>0</v>
      </c>
      <c r="AF636" s="5">
        <f>IF(Table3[[#This Row],[Efficiency Difference]]*0.2146 -5 &gt; Table3[[#This Row],[Scoring Margin]], 1, 0)</f>
        <v>0</v>
      </c>
      <c r="AG636" s="5">
        <f>IF(Table3[[#This Row],[Efficiency Difference]]*0.2146 -10 &gt; Table3[[#This Row],[Scoring Margin]], 1, 0)</f>
        <v>0</v>
      </c>
    </row>
    <row r="637" spans="2:33">
      <c r="B637" s="5">
        <v>156.86999999999998</v>
      </c>
      <c r="C637" s="5">
        <v>20</v>
      </c>
      <c r="X637" s="5">
        <v>156.86999999999998</v>
      </c>
      <c r="Y637" s="5">
        <v>20</v>
      </c>
      <c r="Z637" s="5">
        <f>IF(Table3[[#This Row],[Efficiency Difference]]*0.2146 &gt; Table3[[#This Row],[Scoring Margin]], 1, 0)</f>
        <v>1</v>
      </c>
      <c r="AA637" s="5">
        <f>IF(Table3[[#This Row],[Efficiency Difference]]*0.2146 + 7 &gt; Table3[[#This Row],[Scoring Margin]], 1, 0)</f>
        <v>1</v>
      </c>
      <c r="AB637" s="5">
        <f>IF(Table3[[#This Row],[Efficiency Difference]]*0.2146 + 14 &gt; Table3[[#This Row],[Scoring Margin]], 1, 0)</f>
        <v>1</v>
      </c>
      <c r="AC637" s="5">
        <f>IF(Table3[[#This Row],[Efficiency Difference]]*0.2146 + 21 &gt; Table3[[#This Row],[Scoring Margin]], 1, 0)</f>
        <v>1</v>
      </c>
      <c r="AD637" s="5">
        <f>IF(Table3[[#This Row],[Efficiency Difference]]*0.2146 -7 &gt; Table3[[#This Row],[Scoring Margin]], 1, 0)</f>
        <v>1</v>
      </c>
      <c r="AE637" s="5">
        <f>IF(Table3[[#This Row],[Efficiency Difference]]*0.2146 -3 &gt; Table3[[#This Row],[Scoring Margin]], 1, 0)</f>
        <v>1</v>
      </c>
      <c r="AF637" s="5">
        <f>IF(Table3[[#This Row],[Efficiency Difference]]*0.2146 -5 &gt; Table3[[#This Row],[Scoring Margin]], 1, 0)</f>
        <v>1</v>
      </c>
      <c r="AG637" s="5">
        <f>IF(Table3[[#This Row],[Efficiency Difference]]*0.2146 -10 &gt; Table3[[#This Row],[Scoring Margin]], 1, 0)</f>
        <v>1</v>
      </c>
    </row>
    <row r="638" spans="2:33">
      <c r="B638" s="5">
        <v>9.289999999999992</v>
      </c>
      <c r="C638" s="5">
        <v>25</v>
      </c>
      <c r="X638" s="5">
        <v>9.289999999999992</v>
      </c>
      <c r="Y638" s="5">
        <v>25</v>
      </c>
      <c r="Z638" s="5">
        <f>IF(Table3[[#This Row],[Efficiency Difference]]*0.2146 &gt; Table3[[#This Row],[Scoring Margin]], 1, 0)</f>
        <v>0</v>
      </c>
      <c r="AA638" s="5">
        <f>IF(Table3[[#This Row],[Efficiency Difference]]*0.2146 + 7 &gt; Table3[[#This Row],[Scoring Margin]], 1, 0)</f>
        <v>0</v>
      </c>
      <c r="AB638" s="5">
        <f>IF(Table3[[#This Row],[Efficiency Difference]]*0.2146 + 14 &gt; Table3[[#This Row],[Scoring Margin]], 1, 0)</f>
        <v>0</v>
      </c>
      <c r="AC638" s="5">
        <f>IF(Table3[[#This Row],[Efficiency Difference]]*0.2146 + 21 &gt; Table3[[#This Row],[Scoring Margin]], 1, 0)</f>
        <v>0</v>
      </c>
      <c r="AD638" s="5">
        <f>IF(Table3[[#This Row],[Efficiency Difference]]*0.2146 -7 &gt; Table3[[#This Row],[Scoring Margin]], 1, 0)</f>
        <v>0</v>
      </c>
      <c r="AE638" s="5">
        <f>IF(Table3[[#This Row],[Efficiency Difference]]*0.2146 -3 &gt; Table3[[#This Row],[Scoring Margin]], 1, 0)</f>
        <v>0</v>
      </c>
      <c r="AF638" s="5">
        <f>IF(Table3[[#This Row],[Efficiency Difference]]*0.2146 -5 &gt; Table3[[#This Row],[Scoring Margin]], 1, 0)</f>
        <v>0</v>
      </c>
      <c r="AG638" s="5">
        <f>IF(Table3[[#This Row],[Efficiency Difference]]*0.2146 -10 &gt; Table3[[#This Row],[Scoring Margin]], 1, 0)</f>
        <v>0</v>
      </c>
    </row>
    <row r="639" spans="2:33">
      <c r="B639" s="5">
        <v>97.54000000000002</v>
      </c>
      <c r="C639" s="5">
        <v>27</v>
      </c>
      <c r="X639" s="5">
        <v>97.54000000000002</v>
      </c>
      <c r="Y639" s="5">
        <v>27</v>
      </c>
      <c r="Z639" s="5">
        <f>IF(Table3[[#This Row],[Efficiency Difference]]*0.2146 &gt; Table3[[#This Row],[Scoring Margin]], 1, 0)</f>
        <v>0</v>
      </c>
      <c r="AA639" s="5">
        <f>IF(Table3[[#This Row],[Efficiency Difference]]*0.2146 + 7 &gt; Table3[[#This Row],[Scoring Margin]], 1, 0)</f>
        <v>1</v>
      </c>
      <c r="AB639" s="5">
        <f>IF(Table3[[#This Row],[Efficiency Difference]]*0.2146 + 14 &gt; Table3[[#This Row],[Scoring Margin]], 1, 0)</f>
        <v>1</v>
      </c>
      <c r="AC639" s="5">
        <f>IF(Table3[[#This Row],[Efficiency Difference]]*0.2146 + 21 &gt; Table3[[#This Row],[Scoring Margin]], 1, 0)</f>
        <v>1</v>
      </c>
      <c r="AD639" s="5">
        <f>IF(Table3[[#This Row],[Efficiency Difference]]*0.2146 -7 &gt; Table3[[#This Row],[Scoring Margin]], 1, 0)</f>
        <v>0</v>
      </c>
      <c r="AE639" s="5">
        <f>IF(Table3[[#This Row],[Efficiency Difference]]*0.2146 -3 &gt; Table3[[#This Row],[Scoring Margin]], 1, 0)</f>
        <v>0</v>
      </c>
      <c r="AF639" s="5">
        <f>IF(Table3[[#This Row],[Efficiency Difference]]*0.2146 -5 &gt; Table3[[#This Row],[Scoring Margin]], 1, 0)</f>
        <v>0</v>
      </c>
      <c r="AG639" s="5">
        <f>IF(Table3[[#This Row],[Efficiency Difference]]*0.2146 -10 &gt; Table3[[#This Row],[Scoring Margin]], 1, 0)</f>
        <v>0</v>
      </c>
    </row>
    <row r="640" spans="2:33">
      <c r="B640" s="5">
        <v>31.03</v>
      </c>
      <c r="C640" s="5">
        <v>9</v>
      </c>
      <c r="X640" s="5">
        <v>31.03</v>
      </c>
      <c r="Y640" s="5">
        <v>9</v>
      </c>
      <c r="Z640" s="5">
        <f>IF(Table3[[#This Row],[Efficiency Difference]]*0.2146 &gt; Table3[[#This Row],[Scoring Margin]], 1, 0)</f>
        <v>0</v>
      </c>
      <c r="AA640" s="5">
        <f>IF(Table3[[#This Row],[Efficiency Difference]]*0.2146 + 7 &gt; Table3[[#This Row],[Scoring Margin]], 1, 0)</f>
        <v>1</v>
      </c>
      <c r="AB640" s="5">
        <f>IF(Table3[[#This Row],[Efficiency Difference]]*0.2146 + 14 &gt; Table3[[#This Row],[Scoring Margin]], 1, 0)</f>
        <v>1</v>
      </c>
      <c r="AC640" s="5">
        <f>IF(Table3[[#This Row],[Efficiency Difference]]*0.2146 + 21 &gt; Table3[[#This Row],[Scoring Margin]], 1, 0)</f>
        <v>1</v>
      </c>
      <c r="AD640" s="5">
        <f>IF(Table3[[#This Row],[Efficiency Difference]]*0.2146 -7 &gt; Table3[[#This Row],[Scoring Margin]], 1, 0)</f>
        <v>0</v>
      </c>
      <c r="AE640" s="5">
        <f>IF(Table3[[#This Row],[Efficiency Difference]]*0.2146 -3 &gt; Table3[[#This Row],[Scoring Margin]], 1, 0)</f>
        <v>0</v>
      </c>
      <c r="AF640" s="5">
        <f>IF(Table3[[#This Row],[Efficiency Difference]]*0.2146 -5 &gt; Table3[[#This Row],[Scoring Margin]], 1, 0)</f>
        <v>0</v>
      </c>
      <c r="AG640" s="5">
        <f>IF(Table3[[#This Row],[Efficiency Difference]]*0.2146 -10 &gt; Table3[[#This Row],[Scoring Margin]], 1, 0)</f>
        <v>0</v>
      </c>
    </row>
    <row r="641" spans="2:33">
      <c r="B641" s="5">
        <v>231.27000000000004</v>
      </c>
      <c r="C641" s="5">
        <v>44</v>
      </c>
      <c r="X641" s="5">
        <v>231.27000000000004</v>
      </c>
      <c r="Y641" s="5">
        <v>44</v>
      </c>
      <c r="Z641" s="5">
        <f>IF(Table3[[#This Row],[Efficiency Difference]]*0.2146 &gt; Table3[[#This Row],[Scoring Margin]], 1, 0)</f>
        <v>1</v>
      </c>
      <c r="AA641" s="5">
        <f>IF(Table3[[#This Row],[Efficiency Difference]]*0.2146 + 7 &gt; Table3[[#This Row],[Scoring Margin]], 1, 0)</f>
        <v>1</v>
      </c>
      <c r="AB641" s="5">
        <f>IF(Table3[[#This Row],[Efficiency Difference]]*0.2146 + 14 &gt; Table3[[#This Row],[Scoring Margin]], 1, 0)</f>
        <v>1</v>
      </c>
      <c r="AC641" s="5">
        <f>IF(Table3[[#This Row],[Efficiency Difference]]*0.2146 + 21 &gt; Table3[[#This Row],[Scoring Margin]], 1, 0)</f>
        <v>1</v>
      </c>
      <c r="AD641" s="5">
        <f>IF(Table3[[#This Row],[Efficiency Difference]]*0.2146 -7 &gt; Table3[[#This Row],[Scoring Margin]], 1, 0)</f>
        <v>0</v>
      </c>
      <c r="AE641" s="5">
        <f>IF(Table3[[#This Row],[Efficiency Difference]]*0.2146 -3 &gt; Table3[[#This Row],[Scoring Margin]], 1, 0)</f>
        <v>1</v>
      </c>
      <c r="AF641" s="5">
        <f>IF(Table3[[#This Row],[Efficiency Difference]]*0.2146 -5 &gt; Table3[[#This Row],[Scoring Margin]], 1, 0)</f>
        <v>1</v>
      </c>
      <c r="AG641" s="5">
        <f>IF(Table3[[#This Row],[Efficiency Difference]]*0.2146 -10 &gt; Table3[[#This Row],[Scoring Margin]], 1, 0)</f>
        <v>0</v>
      </c>
    </row>
    <row r="642" spans="2:33">
      <c r="B642" s="5">
        <v>135.60999999999999</v>
      </c>
      <c r="C642" s="5">
        <v>17</v>
      </c>
      <c r="X642" s="5">
        <v>135.60999999999999</v>
      </c>
      <c r="Y642" s="5">
        <v>17</v>
      </c>
      <c r="Z642" s="5">
        <f>IF(Table3[[#This Row],[Efficiency Difference]]*0.2146 &gt; Table3[[#This Row],[Scoring Margin]], 1, 0)</f>
        <v>1</v>
      </c>
      <c r="AA642" s="5">
        <f>IF(Table3[[#This Row],[Efficiency Difference]]*0.2146 + 7 &gt; Table3[[#This Row],[Scoring Margin]], 1, 0)</f>
        <v>1</v>
      </c>
      <c r="AB642" s="5">
        <f>IF(Table3[[#This Row],[Efficiency Difference]]*0.2146 + 14 &gt; Table3[[#This Row],[Scoring Margin]], 1, 0)</f>
        <v>1</v>
      </c>
      <c r="AC642" s="5">
        <f>IF(Table3[[#This Row],[Efficiency Difference]]*0.2146 + 21 &gt; Table3[[#This Row],[Scoring Margin]], 1, 0)</f>
        <v>1</v>
      </c>
      <c r="AD642" s="5">
        <f>IF(Table3[[#This Row],[Efficiency Difference]]*0.2146 -7 &gt; Table3[[#This Row],[Scoring Margin]], 1, 0)</f>
        <v>1</v>
      </c>
      <c r="AE642" s="5">
        <f>IF(Table3[[#This Row],[Efficiency Difference]]*0.2146 -3 &gt; Table3[[#This Row],[Scoring Margin]], 1, 0)</f>
        <v>1</v>
      </c>
      <c r="AF642" s="5">
        <f>IF(Table3[[#This Row],[Efficiency Difference]]*0.2146 -5 &gt; Table3[[#This Row],[Scoring Margin]], 1, 0)</f>
        <v>1</v>
      </c>
      <c r="AG642" s="5">
        <f>IF(Table3[[#This Row],[Efficiency Difference]]*0.2146 -10 &gt; Table3[[#This Row],[Scoring Margin]], 1, 0)</f>
        <v>1</v>
      </c>
    </row>
    <row r="643" spans="2:33">
      <c r="B643" s="5">
        <v>14.560000000000002</v>
      </c>
      <c r="C643" s="5">
        <v>21</v>
      </c>
      <c r="X643" s="5">
        <v>14.560000000000002</v>
      </c>
      <c r="Y643" s="5">
        <v>21</v>
      </c>
      <c r="Z643" s="5">
        <f>IF(Table3[[#This Row],[Efficiency Difference]]*0.2146 &gt; Table3[[#This Row],[Scoring Margin]], 1, 0)</f>
        <v>0</v>
      </c>
      <c r="AA643" s="5">
        <f>IF(Table3[[#This Row],[Efficiency Difference]]*0.2146 + 7 &gt; Table3[[#This Row],[Scoring Margin]], 1, 0)</f>
        <v>0</v>
      </c>
      <c r="AB643" s="5">
        <f>IF(Table3[[#This Row],[Efficiency Difference]]*0.2146 + 14 &gt; Table3[[#This Row],[Scoring Margin]], 1, 0)</f>
        <v>0</v>
      </c>
      <c r="AC643" s="5">
        <f>IF(Table3[[#This Row],[Efficiency Difference]]*0.2146 + 21 &gt; Table3[[#This Row],[Scoring Margin]], 1, 0)</f>
        <v>1</v>
      </c>
      <c r="AD643" s="5">
        <f>IF(Table3[[#This Row],[Efficiency Difference]]*0.2146 -7 &gt; Table3[[#This Row],[Scoring Margin]], 1, 0)</f>
        <v>0</v>
      </c>
      <c r="AE643" s="5">
        <f>IF(Table3[[#This Row],[Efficiency Difference]]*0.2146 -3 &gt; Table3[[#This Row],[Scoring Margin]], 1, 0)</f>
        <v>0</v>
      </c>
      <c r="AF643" s="5">
        <f>IF(Table3[[#This Row],[Efficiency Difference]]*0.2146 -5 &gt; Table3[[#This Row],[Scoring Margin]], 1, 0)</f>
        <v>0</v>
      </c>
      <c r="AG643" s="5">
        <f>IF(Table3[[#This Row],[Efficiency Difference]]*0.2146 -10 &gt; Table3[[#This Row],[Scoring Margin]], 1, 0)</f>
        <v>0</v>
      </c>
    </row>
    <row r="644" spans="2:33">
      <c r="B644" s="5">
        <v>91.010000000000048</v>
      </c>
      <c r="C644" s="5">
        <v>12</v>
      </c>
      <c r="X644" s="5">
        <v>91.010000000000048</v>
      </c>
      <c r="Y644" s="5">
        <v>12</v>
      </c>
      <c r="Z644" s="5">
        <f>IF(Table3[[#This Row],[Efficiency Difference]]*0.2146 &gt; Table3[[#This Row],[Scoring Margin]], 1, 0)</f>
        <v>1</v>
      </c>
      <c r="AA644" s="5">
        <f>IF(Table3[[#This Row],[Efficiency Difference]]*0.2146 + 7 &gt; Table3[[#This Row],[Scoring Margin]], 1, 0)</f>
        <v>1</v>
      </c>
      <c r="AB644" s="5">
        <f>IF(Table3[[#This Row],[Efficiency Difference]]*0.2146 + 14 &gt; Table3[[#This Row],[Scoring Margin]], 1, 0)</f>
        <v>1</v>
      </c>
      <c r="AC644" s="5">
        <f>IF(Table3[[#This Row],[Efficiency Difference]]*0.2146 + 21 &gt; Table3[[#This Row],[Scoring Margin]], 1, 0)</f>
        <v>1</v>
      </c>
      <c r="AD644" s="5">
        <f>IF(Table3[[#This Row],[Efficiency Difference]]*0.2146 -7 &gt; Table3[[#This Row],[Scoring Margin]], 1, 0)</f>
        <v>1</v>
      </c>
      <c r="AE644" s="5">
        <f>IF(Table3[[#This Row],[Efficiency Difference]]*0.2146 -3 &gt; Table3[[#This Row],[Scoring Margin]], 1, 0)</f>
        <v>1</v>
      </c>
      <c r="AF644" s="5">
        <f>IF(Table3[[#This Row],[Efficiency Difference]]*0.2146 -5 &gt; Table3[[#This Row],[Scoring Margin]], 1, 0)</f>
        <v>1</v>
      </c>
      <c r="AG644" s="5">
        <f>IF(Table3[[#This Row],[Efficiency Difference]]*0.2146 -10 &gt; Table3[[#This Row],[Scoring Margin]], 1, 0)</f>
        <v>0</v>
      </c>
    </row>
    <row r="645" spans="2:33">
      <c r="B645" s="5">
        <v>141.20999999999998</v>
      </c>
      <c r="C645" s="5">
        <v>24</v>
      </c>
      <c r="X645" s="5">
        <v>141.20999999999998</v>
      </c>
      <c r="Y645" s="5">
        <v>24</v>
      </c>
      <c r="Z645" s="5">
        <f>IF(Table3[[#This Row],[Efficiency Difference]]*0.2146 &gt; Table3[[#This Row],[Scoring Margin]], 1, 0)</f>
        <v>1</v>
      </c>
      <c r="AA645" s="5">
        <f>IF(Table3[[#This Row],[Efficiency Difference]]*0.2146 + 7 &gt; Table3[[#This Row],[Scoring Margin]], 1, 0)</f>
        <v>1</v>
      </c>
      <c r="AB645" s="5">
        <f>IF(Table3[[#This Row],[Efficiency Difference]]*0.2146 + 14 &gt; Table3[[#This Row],[Scoring Margin]], 1, 0)</f>
        <v>1</v>
      </c>
      <c r="AC645" s="5">
        <f>IF(Table3[[#This Row],[Efficiency Difference]]*0.2146 + 21 &gt; Table3[[#This Row],[Scoring Margin]], 1, 0)</f>
        <v>1</v>
      </c>
      <c r="AD645" s="5">
        <f>IF(Table3[[#This Row],[Efficiency Difference]]*0.2146 -7 &gt; Table3[[#This Row],[Scoring Margin]], 1, 0)</f>
        <v>0</v>
      </c>
      <c r="AE645" s="5">
        <f>IF(Table3[[#This Row],[Efficiency Difference]]*0.2146 -3 &gt; Table3[[#This Row],[Scoring Margin]], 1, 0)</f>
        <v>1</v>
      </c>
      <c r="AF645" s="5">
        <f>IF(Table3[[#This Row],[Efficiency Difference]]*0.2146 -5 &gt; Table3[[#This Row],[Scoring Margin]], 1, 0)</f>
        <v>1</v>
      </c>
      <c r="AG645" s="5">
        <f>IF(Table3[[#This Row],[Efficiency Difference]]*0.2146 -10 &gt; Table3[[#This Row],[Scoring Margin]], 1, 0)</f>
        <v>0</v>
      </c>
    </row>
    <row r="646" spans="2:33">
      <c r="B646" s="5">
        <v>5.6800000000000068</v>
      </c>
      <c r="C646" s="5">
        <v>4</v>
      </c>
      <c r="X646" s="5">
        <v>5.6800000000000068</v>
      </c>
      <c r="Y646" s="5">
        <v>4</v>
      </c>
      <c r="Z646" s="5">
        <f>IF(Table3[[#This Row],[Efficiency Difference]]*0.2146 &gt; Table3[[#This Row],[Scoring Margin]], 1, 0)</f>
        <v>0</v>
      </c>
      <c r="AA646" s="5">
        <f>IF(Table3[[#This Row],[Efficiency Difference]]*0.2146 + 7 &gt; Table3[[#This Row],[Scoring Margin]], 1, 0)</f>
        <v>1</v>
      </c>
      <c r="AB646" s="5">
        <f>IF(Table3[[#This Row],[Efficiency Difference]]*0.2146 + 14 &gt; Table3[[#This Row],[Scoring Margin]], 1, 0)</f>
        <v>1</v>
      </c>
      <c r="AC646" s="5">
        <f>IF(Table3[[#This Row],[Efficiency Difference]]*0.2146 + 21 &gt; Table3[[#This Row],[Scoring Margin]], 1, 0)</f>
        <v>1</v>
      </c>
      <c r="AD646" s="5">
        <f>IF(Table3[[#This Row],[Efficiency Difference]]*0.2146 -7 &gt; Table3[[#This Row],[Scoring Margin]], 1, 0)</f>
        <v>0</v>
      </c>
      <c r="AE646" s="5">
        <f>IF(Table3[[#This Row],[Efficiency Difference]]*0.2146 -3 &gt; Table3[[#This Row],[Scoring Margin]], 1, 0)</f>
        <v>0</v>
      </c>
      <c r="AF646" s="5">
        <f>IF(Table3[[#This Row],[Efficiency Difference]]*0.2146 -5 &gt; Table3[[#This Row],[Scoring Margin]], 1, 0)</f>
        <v>0</v>
      </c>
      <c r="AG646" s="5">
        <f>IF(Table3[[#This Row],[Efficiency Difference]]*0.2146 -10 &gt; Table3[[#This Row],[Scoring Margin]], 1, 0)</f>
        <v>0</v>
      </c>
    </row>
    <row r="647" spans="2:33">
      <c r="B647" s="5">
        <v>62.339999999999975</v>
      </c>
      <c r="C647" s="5">
        <v>1</v>
      </c>
      <c r="X647" s="5">
        <v>62.339999999999975</v>
      </c>
      <c r="Y647" s="5">
        <v>1</v>
      </c>
      <c r="Z647" s="5">
        <f>IF(Table3[[#This Row],[Efficiency Difference]]*0.2146 &gt; Table3[[#This Row],[Scoring Margin]], 1, 0)</f>
        <v>1</v>
      </c>
      <c r="AA647" s="5">
        <f>IF(Table3[[#This Row],[Efficiency Difference]]*0.2146 + 7 &gt; Table3[[#This Row],[Scoring Margin]], 1, 0)</f>
        <v>1</v>
      </c>
      <c r="AB647" s="5">
        <f>IF(Table3[[#This Row],[Efficiency Difference]]*0.2146 + 14 &gt; Table3[[#This Row],[Scoring Margin]], 1, 0)</f>
        <v>1</v>
      </c>
      <c r="AC647" s="5">
        <f>IF(Table3[[#This Row],[Efficiency Difference]]*0.2146 + 21 &gt; Table3[[#This Row],[Scoring Margin]], 1, 0)</f>
        <v>1</v>
      </c>
      <c r="AD647" s="5">
        <f>IF(Table3[[#This Row],[Efficiency Difference]]*0.2146 -7 &gt; Table3[[#This Row],[Scoring Margin]], 1, 0)</f>
        <v>1</v>
      </c>
      <c r="AE647" s="5">
        <f>IF(Table3[[#This Row],[Efficiency Difference]]*0.2146 -3 &gt; Table3[[#This Row],[Scoring Margin]], 1, 0)</f>
        <v>1</v>
      </c>
      <c r="AF647" s="5">
        <f>IF(Table3[[#This Row],[Efficiency Difference]]*0.2146 -5 &gt; Table3[[#This Row],[Scoring Margin]], 1, 0)</f>
        <v>1</v>
      </c>
      <c r="AG647" s="5">
        <f>IF(Table3[[#This Row],[Efficiency Difference]]*0.2146 -10 &gt; Table3[[#This Row],[Scoring Margin]], 1, 0)</f>
        <v>1</v>
      </c>
    </row>
    <row r="648" spans="2:33">
      <c r="B648" s="5">
        <v>75.02000000000001</v>
      </c>
      <c r="C648" s="5">
        <v>3</v>
      </c>
      <c r="X648" s="5">
        <v>75.02000000000001</v>
      </c>
      <c r="Y648" s="5">
        <v>3</v>
      </c>
      <c r="Z648" s="5">
        <f>IF(Table3[[#This Row],[Efficiency Difference]]*0.2146 &gt; Table3[[#This Row],[Scoring Margin]], 1, 0)</f>
        <v>1</v>
      </c>
      <c r="AA648" s="5">
        <f>IF(Table3[[#This Row],[Efficiency Difference]]*0.2146 + 7 &gt; Table3[[#This Row],[Scoring Margin]], 1, 0)</f>
        <v>1</v>
      </c>
      <c r="AB648" s="5">
        <f>IF(Table3[[#This Row],[Efficiency Difference]]*0.2146 + 14 &gt; Table3[[#This Row],[Scoring Margin]], 1, 0)</f>
        <v>1</v>
      </c>
      <c r="AC648" s="5">
        <f>IF(Table3[[#This Row],[Efficiency Difference]]*0.2146 + 21 &gt; Table3[[#This Row],[Scoring Margin]], 1, 0)</f>
        <v>1</v>
      </c>
      <c r="AD648" s="5">
        <f>IF(Table3[[#This Row],[Efficiency Difference]]*0.2146 -7 &gt; Table3[[#This Row],[Scoring Margin]], 1, 0)</f>
        <v>1</v>
      </c>
      <c r="AE648" s="5">
        <f>IF(Table3[[#This Row],[Efficiency Difference]]*0.2146 -3 &gt; Table3[[#This Row],[Scoring Margin]], 1, 0)</f>
        <v>1</v>
      </c>
      <c r="AF648" s="5">
        <f>IF(Table3[[#This Row],[Efficiency Difference]]*0.2146 -5 &gt; Table3[[#This Row],[Scoring Margin]], 1, 0)</f>
        <v>1</v>
      </c>
      <c r="AG648" s="5">
        <f>IF(Table3[[#This Row],[Efficiency Difference]]*0.2146 -10 &gt; Table3[[#This Row],[Scoring Margin]], 1, 0)</f>
        <v>1</v>
      </c>
    </row>
    <row r="649" spans="2:33">
      <c r="B649" s="5">
        <v>127.60999999999999</v>
      </c>
      <c r="C649" s="5">
        <v>44</v>
      </c>
      <c r="X649" s="5">
        <v>127.60999999999999</v>
      </c>
      <c r="Y649" s="5">
        <v>44</v>
      </c>
      <c r="Z649" s="5">
        <f>IF(Table3[[#This Row],[Efficiency Difference]]*0.2146 &gt; Table3[[#This Row],[Scoring Margin]], 1, 0)</f>
        <v>0</v>
      </c>
      <c r="AA649" s="5">
        <f>IF(Table3[[#This Row],[Efficiency Difference]]*0.2146 + 7 &gt; Table3[[#This Row],[Scoring Margin]], 1, 0)</f>
        <v>0</v>
      </c>
      <c r="AB649" s="5">
        <f>IF(Table3[[#This Row],[Efficiency Difference]]*0.2146 + 14 &gt; Table3[[#This Row],[Scoring Margin]], 1, 0)</f>
        <v>0</v>
      </c>
      <c r="AC649" s="5">
        <f>IF(Table3[[#This Row],[Efficiency Difference]]*0.2146 + 21 &gt; Table3[[#This Row],[Scoring Margin]], 1, 0)</f>
        <v>1</v>
      </c>
      <c r="AD649" s="5">
        <f>IF(Table3[[#This Row],[Efficiency Difference]]*0.2146 -7 &gt; Table3[[#This Row],[Scoring Margin]], 1, 0)</f>
        <v>0</v>
      </c>
      <c r="AE649" s="5">
        <f>IF(Table3[[#This Row],[Efficiency Difference]]*0.2146 -3 &gt; Table3[[#This Row],[Scoring Margin]], 1, 0)</f>
        <v>0</v>
      </c>
      <c r="AF649" s="5">
        <f>IF(Table3[[#This Row],[Efficiency Difference]]*0.2146 -5 &gt; Table3[[#This Row],[Scoring Margin]], 1, 0)</f>
        <v>0</v>
      </c>
      <c r="AG649" s="5">
        <f>IF(Table3[[#This Row],[Efficiency Difference]]*0.2146 -10 &gt; Table3[[#This Row],[Scoring Margin]], 1, 0)</f>
        <v>0</v>
      </c>
    </row>
    <row r="650" spans="2:33">
      <c r="B650" s="5">
        <v>38.010000000000019</v>
      </c>
      <c r="C650" s="5">
        <v>10</v>
      </c>
      <c r="X650" s="5">
        <v>38.010000000000019</v>
      </c>
      <c r="Y650" s="5">
        <v>10</v>
      </c>
      <c r="Z650" s="5">
        <f>IF(Table3[[#This Row],[Efficiency Difference]]*0.2146 &gt; Table3[[#This Row],[Scoring Margin]], 1, 0)</f>
        <v>0</v>
      </c>
      <c r="AA650" s="5">
        <f>IF(Table3[[#This Row],[Efficiency Difference]]*0.2146 + 7 &gt; Table3[[#This Row],[Scoring Margin]], 1, 0)</f>
        <v>1</v>
      </c>
      <c r="AB650" s="5">
        <f>IF(Table3[[#This Row],[Efficiency Difference]]*0.2146 + 14 &gt; Table3[[#This Row],[Scoring Margin]], 1, 0)</f>
        <v>1</v>
      </c>
      <c r="AC650" s="5">
        <f>IF(Table3[[#This Row],[Efficiency Difference]]*0.2146 + 21 &gt; Table3[[#This Row],[Scoring Margin]], 1, 0)</f>
        <v>1</v>
      </c>
      <c r="AD650" s="5">
        <f>IF(Table3[[#This Row],[Efficiency Difference]]*0.2146 -7 &gt; Table3[[#This Row],[Scoring Margin]], 1, 0)</f>
        <v>0</v>
      </c>
      <c r="AE650" s="5">
        <f>IF(Table3[[#This Row],[Efficiency Difference]]*0.2146 -3 &gt; Table3[[#This Row],[Scoring Margin]], 1, 0)</f>
        <v>0</v>
      </c>
      <c r="AF650" s="5">
        <f>IF(Table3[[#This Row],[Efficiency Difference]]*0.2146 -5 &gt; Table3[[#This Row],[Scoring Margin]], 1, 0)</f>
        <v>0</v>
      </c>
      <c r="AG650" s="5">
        <f>IF(Table3[[#This Row],[Efficiency Difference]]*0.2146 -10 &gt; Table3[[#This Row],[Scoring Margin]], 1, 0)</f>
        <v>0</v>
      </c>
    </row>
    <row r="651" spans="2:33">
      <c r="B651" s="5">
        <v>36.930000000000035</v>
      </c>
      <c r="C651" s="5">
        <v>7</v>
      </c>
      <c r="X651" s="5">
        <v>36.930000000000035</v>
      </c>
      <c r="Y651" s="5">
        <v>7</v>
      </c>
      <c r="Z651" s="5">
        <f>IF(Table3[[#This Row],[Efficiency Difference]]*0.2146 &gt; Table3[[#This Row],[Scoring Margin]], 1, 0)</f>
        <v>1</v>
      </c>
      <c r="AA651" s="5">
        <f>IF(Table3[[#This Row],[Efficiency Difference]]*0.2146 + 7 &gt; Table3[[#This Row],[Scoring Margin]], 1, 0)</f>
        <v>1</v>
      </c>
      <c r="AB651" s="5">
        <f>IF(Table3[[#This Row],[Efficiency Difference]]*0.2146 + 14 &gt; Table3[[#This Row],[Scoring Margin]], 1, 0)</f>
        <v>1</v>
      </c>
      <c r="AC651" s="5">
        <f>IF(Table3[[#This Row],[Efficiency Difference]]*0.2146 + 21 &gt; Table3[[#This Row],[Scoring Margin]], 1, 0)</f>
        <v>1</v>
      </c>
      <c r="AD651" s="5">
        <f>IF(Table3[[#This Row],[Efficiency Difference]]*0.2146 -7 &gt; Table3[[#This Row],[Scoring Margin]], 1, 0)</f>
        <v>0</v>
      </c>
      <c r="AE651" s="5">
        <f>IF(Table3[[#This Row],[Efficiency Difference]]*0.2146 -3 &gt; Table3[[#This Row],[Scoring Margin]], 1, 0)</f>
        <v>0</v>
      </c>
      <c r="AF651" s="5">
        <f>IF(Table3[[#This Row],[Efficiency Difference]]*0.2146 -5 &gt; Table3[[#This Row],[Scoring Margin]], 1, 0)</f>
        <v>0</v>
      </c>
      <c r="AG651" s="5">
        <f>IF(Table3[[#This Row],[Efficiency Difference]]*0.2146 -10 &gt; Table3[[#This Row],[Scoring Margin]], 1, 0)</f>
        <v>0</v>
      </c>
    </row>
    <row r="652" spans="2:33">
      <c r="B652" s="5">
        <v>107.72000000000001</v>
      </c>
      <c r="C652" s="5">
        <v>11</v>
      </c>
      <c r="X652" s="5">
        <v>107.72000000000001</v>
      </c>
      <c r="Y652" s="5">
        <v>11</v>
      </c>
      <c r="Z652" s="5">
        <f>IF(Table3[[#This Row],[Efficiency Difference]]*0.2146 &gt; Table3[[#This Row],[Scoring Margin]], 1, 0)</f>
        <v>1</v>
      </c>
      <c r="AA652" s="5">
        <f>IF(Table3[[#This Row],[Efficiency Difference]]*0.2146 + 7 &gt; Table3[[#This Row],[Scoring Margin]], 1, 0)</f>
        <v>1</v>
      </c>
      <c r="AB652" s="5">
        <f>IF(Table3[[#This Row],[Efficiency Difference]]*0.2146 + 14 &gt; Table3[[#This Row],[Scoring Margin]], 1, 0)</f>
        <v>1</v>
      </c>
      <c r="AC652" s="5">
        <f>IF(Table3[[#This Row],[Efficiency Difference]]*0.2146 + 21 &gt; Table3[[#This Row],[Scoring Margin]], 1, 0)</f>
        <v>1</v>
      </c>
      <c r="AD652" s="5">
        <f>IF(Table3[[#This Row],[Efficiency Difference]]*0.2146 -7 &gt; Table3[[#This Row],[Scoring Margin]], 1, 0)</f>
        <v>1</v>
      </c>
      <c r="AE652" s="5">
        <f>IF(Table3[[#This Row],[Efficiency Difference]]*0.2146 -3 &gt; Table3[[#This Row],[Scoring Margin]], 1, 0)</f>
        <v>1</v>
      </c>
      <c r="AF652" s="5">
        <f>IF(Table3[[#This Row],[Efficiency Difference]]*0.2146 -5 &gt; Table3[[#This Row],[Scoring Margin]], 1, 0)</f>
        <v>1</v>
      </c>
      <c r="AG652" s="5">
        <f>IF(Table3[[#This Row],[Efficiency Difference]]*0.2146 -10 &gt; Table3[[#This Row],[Scoring Margin]], 1, 0)</f>
        <v>1</v>
      </c>
    </row>
    <row r="653" spans="2:33">
      <c r="B653" s="5">
        <v>58.319999999999993</v>
      </c>
      <c r="C653" s="5">
        <v>6</v>
      </c>
      <c r="X653" s="5">
        <v>58.319999999999993</v>
      </c>
      <c r="Y653" s="5">
        <v>6</v>
      </c>
      <c r="Z653" s="5">
        <f>IF(Table3[[#This Row],[Efficiency Difference]]*0.2146 &gt; Table3[[#This Row],[Scoring Margin]], 1, 0)</f>
        <v>1</v>
      </c>
      <c r="AA653" s="5">
        <f>IF(Table3[[#This Row],[Efficiency Difference]]*0.2146 + 7 &gt; Table3[[#This Row],[Scoring Margin]], 1, 0)</f>
        <v>1</v>
      </c>
      <c r="AB653" s="5">
        <f>IF(Table3[[#This Row],[Efficiency Difference]]*0.2146 + 14 &gt; Table3[[#This Row],[Scoring Margin]], 1, 0)</f>
        <v>1</v>
      </c>
      <c r="AC653" s="5">
        <f>IF(Table3[[#This Row],[Efficiency Difference]]*0.2146 + 21 &gt; Table3[[#This Row],[Scoring Margin]], 1, 0)</f>
        <v>1</v>
      </c>
      <c r="AD653" s="5">
        <f>IF(Table3[[#This Row],[Efficiency Difference]]*0.2146 -7 &gt; Table3[[#This Row],[Scoring Margin]], 1, 0)</f>
        <v>0</v>
      </c>
      <c r="AE653" s="5">
        <f>IF(Table3[[#This Row],[Efficiency Difference]]*0.2146 -3 &gt; Table3[[#This Row],[Scoring Margin]], 1, 0)</f>
        <v>1</v>
      </c>
      <c r="AF653" s="5">
        <f>IF(Table3[[#This Row],[Efficiency Difference]]*0.2146 -5 &gt; Table3[[#This Row],[Scoring Margin]], 1, 0)</f>
        <v>1</v>
      </c>
      <c r="AG653" s="5">
        <f>IF(Table3[[#This Row],[Efficiency Difference]]*0.2146 -10 &gt; Table3[[#This Row],[Scoring Margin]], 1, 0)</f>
        <v>0</v>
      </c>
    </row>
    <row r="654" spans="2:33">
      <c r="B654" s="5">
        <v>171.29</v>
      </c>
      <c r="C654" s="5">
        <v>28</v>
      </c>
      <c r="X654" s="5">
        <v>171.29</v>
      </c>
      <c r="Y654" s="5">
        <v>28</v>
      </c>
      <c r="Z654" s="5">
        <f>IF(Table3[[#This Row],[Efficiency Difference]]*0.2146 &gt; Table3[[#This Row],[Scoring Margin]], 1, 0)</f>
        <v>1</v>
      </c>
      <c r="AA654" s="5">
        <f>IF(Table3[[#This Row],[Efficiency Difference]]*0.2146 + 7 &gt; Table3[[#This Row],[Scoring Margin]], 1, 0)</f>
        <v>1</v>
      </c>
      <c r="AB654" s="5">
        <f>IF(Table3[[#This Row],[Efficiency Difference]]*0.2146 + 14 &gt; Table3[[#This Row],[Scoring Margin]], 1, 0)</f>
        <v>1</v>
      </c>
      <c r="AC654" s="5">
        <f>IF(Table3[[#This Row],[Efficiency Difference]]*0.2146 + 21 &gt; Table3[[#This Row],[Scoring Margin]], 1, 0)</f>
        <v>1</v>
      </c>
      <c r="AD654" s="5">
        <f>IF(Table3[[#This Row],[Efficiency Difference]]*0.2146 -7 &gt; Table3[[#This Row],[Scoring Margin]], 1, 0)</f>
        <v>1</v>
      </c>
      <c r="AE654" s="5">
        <f>IF(Table3[[#This Row],[Efficiency Difference]]*0.2146 -3 &gt; Table3[[#This Row],[Scoring Margin]], 1, 0)</f>
        <v>1</v>
      </c>
      <c r="AF654" s="5">
        <f>IF(Table3[[#This Row],[Efficiency Difference]]*0.2146 -5 &gt; Table3[[#This Row],[Scoring Margin]], 1, 0)</f>
        <v>1</v>
      </c>
      <c r="AG654" s="5">
        <f>IF(Table3[[#This Row],[Efficiency Difference]]*0.2146 -10 &gt; Table3[[#This Row],[Scoring Margin]], 1, 0)</f>
        <v>0</v>
      </c>
    </row>
    <row r="655" spans="2:33">
      <c r="B655" s="5">
        <v>43.050000000000011</v>
      </c>
      <c r="C655" s="5">
        <v>7</v>
      </c>
      <c r="X655" s="5">
        <v>43.050000000000011</v>
      </c>
      <c r="Y655" s="5">
        <v>7</v>
      </c>
      <c r="Z655" s="5">
        <f>IF(Table3[[#This Row],[Efficiency Difference]]*0.2146 &gt; Table3[[#This Row],[Scoring Margin]], 1, 0)</f>
        <v>1</v>
      </c>
      <c r="AA655" s="5">
        <f>IF(Table3[[#This Row],[Efficiency Difference]]*0.2146 + 7 &gt; Table3[[#This Row],[Scoring Margin]], 1, 0)</f>
        <v>1</v>
      </c>
      <c r="AB655" s="5">
        <f>IF(Table3[[#This Row],[Efficiency Difference]]*0.2146 + 14 &gt; Table3[[#This Row],[Scoring Margin]], 1, 0)</f>
        <v>1</v>
      </c>
      <c r="AC655" s="5">
        <f>IF(Table3[[#This Row],[Efficiency Difference]]*0.2146 + 21 &gt; Table3[[#This Row],[Scoring Margin]], 1, 0)</f>
        <v>1</v>
      </c>
      <c r="AD655" s="5">
        <f>IF(Table3[[#This Row],[Efficiency Difference]]*0.2146 -7 &gt; Table3[[#This Row],[Scoring Margin]], 1, 0)</f>
        <v>0</v>
      </c>
      <c r="AE655" s="5">
        <f>IF(Table3[[#This Row],[Efficiency Difference]]*0.2146 -3 &gt; Table3[[#This Row],[Scoring Margin]], 1, 0)</f>
        <v>0</v>
      </c>
      <c r="AF655" s="5">
        <f>IF(Table3[[#This Row],[Efficiency Difference]]*0.2146 -5 &gt; Table3[[#This Row],[Scoring Margin]], 1, 0)</f>
        <v>0</v>
      </c>
      <c r="AG655" s="5">
        <f>IF(Table3[[#This Row],[Efficiency Difference]]*0.2146 -10 &gt; Table3[[#This Row],[Scoring Margin]], 1, 0)</f>
        <v>0</v>
      </c>
    </row>
    <row r="656" spans="2:33">
      <c r="B656" s="5">
        <v>25.820000000000022</v>
      </c>
      <c r="C656" s="5">
        <v>37</v>
      </c>
      <c r="X656" s="5">
        <v>25.820000000000022</v>
      </c>
      <c r="Y656" s="5">
        <v>37</v>
      </c>
      <c r="Z656" s="5">
        <f>IF(Table3[[#This Row],[Efficiency Difference]]*0.2146 &gt; Table3[[#This Row],[Scoring Margin]], 1, 0)</f>
        <v>0</v>
      </c>
      <c r="AA656" s="5">
        <f>IF(Table3[[#This Row],[Efficiency Difference]]*0.2146 + 7 &gt; Table3[[#This Row],[Scoring Margin]], 1, 0)</f>
        <v>0</v>
      </c>
      <c r="AB656" s="5">
        <f>IF(Table3[[#This Row],[Efficiency Difference]]*0.2146 + 14 &gt; Table3[[#This Row],[Scoring Margin]], 1, 0)</f>
        <v>0</v>
      </c>
      <c r="AC656" s="5">
        <f>IF(Table3[[#This Row],[Efficiency Difference]]*0.2146 + 21 &gt; Table3[[#This Row],[Scoring Margin]], 1, 0)</f>
        <v>0</v>
      </c>
      <c r="AD656" s="5">
        <f>IF(Table3[[#This Row],[Efficiency Difference]]*0.2146 -7 &gt; Table3[[#This Row],[Scoring Margin]], 1, 0)</f>
        <v>0</v>
      </c>
      <c r="AE656" s="5">
        <f>IF(Table3[[#This Row],[Efficiency Difference]]*0.2146 -3 &gt; Table3[[#This Row],[Scoring Margin]], 1, 0)</f>
        <v>0</v>
      </c>
      <c r="AF656" s="5">
        <f>IF(Table3[[#This Row],[Efficiency Difference]]*0.2146 -5 &gt; Table3[[#This Row],[Scoring Margin]], 1, 0)</f>
        <v>0</v>
      </c>
      <c r="AG656" s="5">
        <f>IF(Table3[[#This Row],[Efficiency Difference]]*0.2146 -10 &gt; Table3[[#This Row],[Scoring Margin]], 1, 0)</f>
        <v>0</v>
      </c>
    </row>
    <row r="657" spans="2:33">
      <c r="B657" s="5">
        <v>186.82999999999998</v>
      </c>
      <c r="C657" s="5">
        <v>14</v>
      </c>
      <c r="X657" s="5">
        <v>186.82999999999998</v>
      </c>
      <c r="Y657" s="5">
        <v>14</v>
      </c>
      <c r="Z657" s="5">
        <f>IF(Table3[[#This Row],[Efficiency Difference]]*0.2146 &gt; Table3[[#This Row],[Scoring Margin]], 1, 0)</f>
        <v>1</v>
      </c>
      <c r="AA657" s="5">
        <f>IF(Table3[[#This Row],[Efficiency Difference]]*0.2146 + 7 &gt; Table3[[#This Row],[Scoring Margin]], 1, 0)</f>
        <v>1</v>
      </c>
      <c r="AB657" s="5">
        <f>IF(Table3[[#This Row],[Efficiency Difference]]*0.2146 + 14 &gt; Table3[[#This Row],[Scoring Margin]], 1, 0)</f>
        <v>1</v>
      </c>
      <c r="AC657" s="5">
        <f>IF(Table3[[#This Row],[Efficiency Difference]]*0.2146 + 21 &gt; Table3[[#This Row],[Scoring Margin]], 1, 0)</f>
        <v>1</v>
      </c>
      <c r="AD657" s="5">
        <f>IF(Table3[[#This Row],[Efficiency Difference]]*0.2146 -7 &gt; Table3[[#This Row],[Scoring Margin]], 1, 0)</f>
        <v>1</v>
      </c>
      <c r="AE657" s="5">
        <f>IF(Table3[[#This Row],[Efficiency Difference]]*0.2146 -3 &gt; Table3[[#This Row],[Scoring Margin]], 1, 0)</f>
        <v>1</v>
      </c>
      <c r="AF657" s="5">
        <f>IF(Table3[[#This Row],[Efficiency Difference]]*0.2146 -5 &gt; Table3[[#This Row],[Scoring Margin]], 1, 0)</f>
        <v>1</v>
      </c>
      <c r="AG657" s="5">
        <f>IF(Table3[[#This Row],[Efficiency Difference]]*0.2146 -10 &gt; Table3[[#This Row],[Scoring Margin]], 1, 0)</f>
        <v>1</v>
      </c>
    </row>
    <row r="658" spans="2:33">
      <c r="B658" s="5">
        <v>34.240000000000009</v>
      </c>
      <c r="C658" s="5">
        <v>23</v>
      </c>
      <c r="X658" s="5">
        <v>34.240000000000009</v>
      </c>
      <c r="Y658" s="5">
        <v>23</v>
      </c>
      <c r="Z658" s="5">
        <f>IF(Table3[[#This Row],[Efficiency Difference]]*0.2146 &gt; Table3[[#This Row],[Scoring Margin]], 1, 0)</f>
        <v>0</v>
      </c>
      <c r="AA658" s="5">
        <f>IF(Table3[[#This Row],[Efficiency Difference]]*0.2146 + 7 &gt; Table3[[#This Row],[Scoring Margin]], 1, 0)</f>
        <v>0</v>
      </c>
      <c r="AB658" s="5">
        <f>IF(Table3[[#This Row],[Efficiency Difference]]*0.2146 + 14 &gt; Table3[[#This Row],[Scoring Margin]], 1, 0)</f>
        <v>0</v>
      </c>
      <c r="AC658" s="5">
        <f>IF(Table3[[#This Row],[Efficiency Difference]]*0.2146 + 21 &gt; Table3[[#This Row],[Scoring Margin]], 1, 0)</f>
        <v>1</v>
      </c>
      <c r="AD658" s="5">
        <f>IF(Table3[[#This Row],[Efficiency Difference]]*0.2146 -7 &gt; Table3[[#This Row],[Scoring Margin]], 1, 0)</f>
        <v>0</v>
      </c>
      <c r="AE658" s="5">
        <f>IF(Table3[[#This Row],[Efficiency Difference]]*0.2146 -3 &gt; Table3[[#This Row],[Scoring Margin]], 1, 0)</f>
        <v>0</v>
      </c>
      <c r="AF658" s="5">
        <f>IF(Table3[[#This Row],[Efficiency Difference]]*0.2146 -5 &gt; Table3[[#This Row],[Scoring Margin]], 1, 0)</f>
        <v>0</v>
      </c>
      <c r="AG658" s="5">
        <f>IF(Table3[[#This Row],[Efficiency Difference]]*0.2146 -10 &gt; Table3[[#This Row],[Scoring Margin]], 1, 0)</f>
        <v>0</v>
      </c>
    </row>
    <row r="659" spans="2:33">
      <c r="B659" s="5">
        <v>116.26</v>
      </c>
      <c r="C659" s="5">
        <v>15</v>
      </c>
      <c r="X659" s="5">
        <v>116.26</v>
      </c>
      <c r="Y659" s="5">
        <v>15</v>
      </c>
      <c r="Z659" s="5">
        <f>IF(Table3[[#This Row],[Efficiency Difference]]*0.2146 &gt; Table3[[#This Row],[Scoring Margin]], 1, 0)</f>
        <v>1</v>
      </c>
      <c r="AA659" s="5">
        <f>IF(Table3[[#This Row],[Efficiency Difference]]*0.2146 + 7 &gt; Table3[[#This Row],[Scoring Margin]], 1, 0)</f>
        <v>1</v>
      </c>
      <c r="AB659" s="5">
        <f>IF(Table3[[#This Row],[Efficiency Difference]]*0.2146 + 14 &gt; Table3[[#This Row],[Scoring Margin]], 1, 0)</f>
        <v>1</v>
      </c>
      <c r="AC659" s="5">
        <f>IF(Table3[[#This Row],[Efficiency Difference]]*0.2146 + 21 &gt; Table3[[#This Row],[Scoring Margin]], 1, 0)</f>
        <v>1</v>
      </c>
      <c r="AD659" s="5">
        <f>IF(Table3[[#This Row],[Efficiency Difference]]*0.2146 -7 &gt; Table3[[#This Row],[Scoring Margin]], 1, 0)</f>
        <v>1</v>
      </c>
      <c r="AE659" s="5">
        <f>IF(Table3[[#This Row],[Efficiency Difference]]*0.2146 -3 &gt; Table3[[#This Row],[Scoring Margin]], 1, 0)</f>
        <v>1</v>
      </c>
      <c r="AF659" s="5">
        <f>IF(Table3[[#This Row],[Efficiency Difference]]*0.2146 -5 &gt; Table3[[#This Row],[Scoring Margin]], 1, 0)</f>
        <v>1</v>
      </c>
      <c r="AG659" s="5">
        <f>IF(Table3[[#This Row],[Efficiency Difference]]*0.2146 -10 &gt; Table3[[#This Row],[Scoring Margin]], 1, 0)</f>
        <v>0</v>
      </c>
    </row>
    <row r="660" spans="2:33">
      <c r="B660" s="5">
        <v>25.829999999999984</v>
      </c>
      <c r="C660" s="5">
        <v>21</v>
      </c>
      <c r="X660" s="5">
        <v>25.829999999999984</v>
      </c>
      <c r="Y660" s="5">
        <v>21</v>
      </c>
      <c r="Z660" s="5">
        <f>IF(Table3[[#This Row],[Efficiency Difference]]*0.2146 &gt; Table3[[#This Row],[Scoring Margin]], 1, 0)</f>
        <v>0</v>
      </c>
      <c r="AA660" s="5">
        <f>IF(Table3[[#This Row],[Efficiency Difference]]*0.2146 + 7 &gt; Table3[[#This Row],[Scoring Margin]], 1, 0)</f>
        <v>0</v>
      </c>
      <c r="AB660" s="5">
        <f>IF(Table3[[#This Row],[Efficiency Difference]]*0.2146 + 14 &gt; Table3[[#This Row],[Scoring Margin]], 1, 0)</f>
        <v>0</v>
      </c>
      <c r="AC660" s="5">
        <f>IF(Table3[[#This Row],[Efficiency Difference]]*0.2146 + 21 &gt; Table3[[#This Row],[Scoring Margin]], 1, 0)</f>
        <v>1</v>
      </c>
      <c r="AD660" s="5">
        <f>IF(Table3[[#This Row],[Efficiency Difference]]*0.2146 -7 &gt; Table3[[#This Row],[Scoring Margin]], 1, 0)</f>
        <v>0</v>
      </c>
      <c r="AE660" s="5">
        <f>IF(Table3[[#This Row],[Efficiency Difference]]*0.2146 -3 &gt; Table3[[#This Row],[Scoring Margin]], 1, 0)</f>
        <v>0</v>
      </c>
      <c r="AF660" s="5">
        <f>IF(Table3[[#This Row],[Efficiency Difference]]*0.2146 -5 &gt; Table3[[#This Row],[Scoring Margin]], 1, 0)</f>
        <v>0</v>
      </c>
      <c r="AG660" s="5">
        <f>IF(Table3[[#This Row],[Efficiency Difference]]*0.2146 -10 &gt; Table3[[#This Row],[Scoring Margin]], 1, 0)</f>
        <v>0</v>
      </c>
    </row>
    <row r="661" spans="2:33">
      <c r="B661" s="5">
        <v>65.339999999999975</v>
      </c>
      <c r="C661" s="5">
        <v>3</v>
      </c>
      <c r="X661" s="5">
        <v>65.339999999999975</v>
      </c>
      <c r="Y661" s="5">
        <v>3</v>
      </c>
      <c r="Z661" s="5">
        <f>IF(Table3[[#This Row],[Efficiency Difference]]*0.2146 &gt; Table3[[#This Row],[Scoring Margin]], 1, 0)</f>
        <v>1</v>
      </c>
      <c r="AA661" s="5">
        <f>IF(Table3[[#This Row],[Efficiency Difference]]*0.2146 + 7 &gt; Table3[[#This Row],[Scoring Margin]], 1, 0)</f>
        <v>1</v>
      </c>
      <c r="AB661" s="5">
        <f>IF(Table3[[#This Row],[Efficiency Difference]]*0.2146 + 14 &gt; Table3[[#This Row],[Scoring Margin]], 1, 0)</f>
        <v>1</v>
      </c>
      <c r="AC661" s="5">
        <f>IF(Table3[[#This Row],[Efficiency Difference]]*0.2146 + 21 &gt; Table3[[#This Row],[Scoring Margin]], 1, 0)</f>
        <v>1</v>
      </c>
      <c r="AD661" s="5">
        <f>IF(Table3[[#This Row],[Efficiency Difference]]*0.2146 -7 &gt; Table3[[#This Row],[Scoring Margin]], 1, 0)</f>
        <v>1</v>
      </c>
      <c r="AE661" s="5">
        <f>IF(Table3[[#This Row],[Efficiency Difference]]*0.2146 -3 &gt; Table3[[#This Row],[Scoring Margin]], 1, 0)</f>
        <v>1</v>
      </c>
      <c r="AF661" s="5">
        <f>IF(Table3[[#This Row],[Efficiency Difference]]*0.2146 -5 &gt; Table3[[#This Row],[Scoring Margin]], 1, 0)</f>
        <v>1</v>
      </c>
      <c r="AG661" s="5">
        <f>IF(Table3[[#This Row],[Efficiency Difference]]*0.2146 -10 &gt; Table3[[#This Row],[Scoring Margin]], 1, 0)</f>
        <v>1</v>
      </c>
    </row>
    <row r="662" spans="2:33">
      <c r="B662" s="5">
        <v>112.54000000000002</v>
      </c>
      <c r="C662" s="5">
        <v>23</v>
      </c>
      <c r="X662" s="5">
        <v>112.54000000000002</v>
      </c>
      <c r="Y662" s="5">
        <v>23</v>
      </c>
      <c r="Z662" s="5">
        <f>IF(Table3[[#This Row],[Efficiency Difference]]*0.2146 &gt; Table3[[#This Row],[Scoring Margin]], 1, 0)</f>
        <v>1</v>
      </c>
      <c r="AA662" s="5">
        <f>IF(Table3[[#This Row],[Efficiency Difference]]*0.2146 + 7 &gt; Table3[[#This Row],[Scoring Margin]], 1, 0)</f>
        <v>1</v>
      </c>
      <c r="AB662" s="5">
        <f>IF(Table3[[#This Row],[Efficiency Difference]]*0.2146 + 14 &gt; Table3[[#This Row],[Scoring Margin]], 1, 0)</f>
        <v>1</v>
      </c>
      <c r="AC662" s="5">
        <f>IF(Table3[[#This Row],[Efficiency Difference]]*0.2146 + 21 &gt; Table3[[#This Row],[Scoring Margin]], 1, 0)</f>
        <v>1</v>
      </c>
      <c r="AD662" s="5">
        <f>IF(Table3[[#This Row],[Efficiency Difference]]*0.2146 -7 &gt; Table3[[#This Row],[Scoring Margin]], 1, 0)</f>
        <v>0</v>
      </c>
      <c r="AE662" s="5">
        <f>IF(Table3[[#This Row],[Efficiency Difference]]*0.2146 -3 &gt; Table3[[#This Row],[Scoring Margin]], 1, 0)</f>
        <v>0</v>
      </c>
      <c r="AF662" s="5">
        <f>IF(Table3[[#This Row],[Efficiency Difference]]*0.2146 -5 &gt; Table3[[#This Row],[Scoring Margin]], 1, 0)</f>
        <v>0</v>
      </c>
      <c r="AG662" s="5">
        <f>IF(Table3[[#This Row],[Efficiency Difference]]*0.2146 -10 &gt; Table3[[#This Row],[Scoring Margin]], 1, 0)</f>
        <v>0</v>
      </c>
    </row>
    <row r="663" spans="2:33">
      <c r="B663" s="5">
        <v>86.710000000000008</v>
      </c>
      <c r="C663" s="5">
        <v>18</v>
      </c>
      <c r="X663" s="5">
        <v>86.710000000000008</v>
      </c>
      <c r="Y663" s="5">
        <v>18</v>
      </c>
      <c r="Z663" s="5">
        <f>IF(Table3[[#This Row],[Efficiency Difference]]*0.2146 &gt; Table3[[#This Row],[Scoring Margin]], 1, 0)</f>
        <v>1</v>
      </c>
      <c r="AA663" s="5">
        <f>IF(Table3[[#This Row],[Efficiency Difference]]*0.2146 + 7 &gt; Table3[[#This Row],[Scoring Margin]], 1, 0)</f>
        <v>1</v>
      </c>
      <c r="AB663" s="5">
        <f>IF(Table3[[#This Row],[Efficiency Difference]]*0.2146 + 14 &gt; Table3[[#This Row],[Scoring Margin]], 1, 0)</f>
        <v>1</v>
      </c>
      <c r="AC663" s="5">
        <f>IF(Table3[[#This Row],[Efficiency Difference]]*0.2146 + 21 &gt; Table3[[#This Row],[Scoring Margin]], 1, 0)</f>
        <v>1</v>
      </c>
      <c r="AD663" s="5">
        <f>IF(Table3[[#This Row],[Efficiency Difference]]*0.2146 -7 &gt; Table3[[#This Row],[Scoring Margin]], 1, 0)</f>
        <v>0</v>
      </c>
      <c r="AE663" s="5">
        <f>IF(Table3[[#This Row],[Efficiency Difference]]*0.2146 -3 &gt; Table3[[#This Row],[Scoring Margin]], 1, 0)</f>
        <v>0</v>
      </c>
      <c r="AF663" s="5">
        <f>IF(Table3[[#This Row],[Efficiency Difference]]*0.2146 -5 &gt; Table3[[#This Row],[Scoring Margin]], 1, 0)</f>
        <v>0</v>
      </c>
      <c r="AG663" s="5">
        <f>IF(Table3[[#This Row],[Efficiency Difference]]*0.2146 -10 &gt; Table3[[#This Row],[Scoring Margin]], 1, 0)</f>
        <v>0</v>
      </c>
    </row>
    <row r="664" spans="2:33">
      <c r="B664" s="5">
        <v>105.53999999999999</v>
      </c>
      <c r="C664" s="5">
        <v>34</v>
      </c>
      <c r="X664" s="5">
        <v>105.53999999999999</v>
      </c>
      <c r="Y664" s="5">
        <v>34</v>
      </c>
      <c r="Z664" s="5">
        <f>IF(Table3[[#This Row],[Efficiency Difference]]*0.2146 &gt; Table3[[#This Row],[Scoring Margin]], 1, 0)</f>
        <v>0</v>
      </c>
      <c r="AA664" s="5">
        <f>IF(Table3[[#This Row],[Efficiency Difference]]*0.2146 + 7 &gt; Table3[[#This Row],[Scoring Margin]], 1, 0)</f>
        <v>0</v>
      </c>
      <c r="AB664" s="5">
        <f>IF(Table3[[#This Row],[Efficiency Difference]]*0.2146 + 14 &gt; Table3[[#This Row],[Scoring Margin]], 1, 0)</f>
        <v>1</v>
      </c>
      <c r="AC664" s="5">
        <f>IF(Table3[[#This Row],[Efficiency Difference]]*0.2146 + 21 &gt; Table3[[#This Row],[Scoring Margin]], 1, 0)</f>
        <v>1</v>
      </c>
      <c r="AD664" s="5">
        <f>IF(Table3[[#This Row],[Efficiency Difference]]*0.2146 -7 &gt; Table3[[#This Row],[Scoring Margin]], 1, 0)</f>
        <v>0</v>
      </c>
      <c r="AE664" s="5">
        <f>IF(Table3[[#This Row],[Efficiency Difference]]*0.2146 -3 &gt; Table3[[#This Row],[Scoring Margin]], 1, 0)</f>
        <v>0</v>
      </c>
      <c r="AF664" s="5">
        <f>IF(Table3[[#This Row],[Efficiency Difference]]*0.2146 -5 &gt; Table3[[#This Row],[Scoring Margin]], 1, 0)</f>
        <v>0</v>
      </c>
      <c r="AG664" s="5">
        <f>IF(Table3[[#This Row],[Efficiency Difference]]*0.2146 -10 &gt; Table3[[#This Row],[Scoring Margin]], 1, 0)</f>
        <v>0</v>
      </c>
    </row>
    <row r="665" spans="2:33">
      <c r="B665" s="5">
        <v>22.70999999999998</v>
      </c>
      <c r="C665" s="5">
        <v>5</v>
      </c>
      <c r="X665" s="5">
        <v>22.70999999999998</v>
      </c>
      <c r="Y665" s="5">
        <v>5</v>
      </c>
      <c r="Z665" s="5">
        <f>IF(Table3[[#This Row],[Efficiency Difference]]*0.2146 &gt; Table3[[#This Row],[Scoring Margin]], 1, 0)</f>
        <v>0</v>
      </c>
      <c r="AA665" s="5">
        <f>IF(Table3[[#This Row],[Efficiency Difference]]*0.2146 + 7 &gt; Table3[[#This Row],[Scoring Margin]], 1, 0)</f>
        <v>1</v>
      </c>
      <c r="AB665" s="5">
        <f>IF(Table3[[#This Row],[Efficiency Difference]]*0.2146 + 14 &gt; Table3[[#This Row],[Scoring Margin]], 1, 0)</f>
        <v>1</v>
      </c>
      <c r="AC665" s="5">
        <f>IF(Table3[[#This Row],[Efficiency Difference]]*0.2146 + 21 &gt; Table3[[#This Row],[Scoring Margin]], 1, 0)</f>
        <v>1</v>
      </c>
      <c r="AD665" s="5">
        <f>IF(Table3[[#This Row],[Efficiency Difference]]*0.2146 -7 &gt; Table3[[#This Row],[Scoring Margin]], 1, 0)</f>
        <v>0</v>
      </c>
      <c r="AE665" s="5">
        <f>IF(Table3[[#This Row],[Efficiency Difference]]*0.2146 -3 &gt; Table3[[#This Row],[Scoring Margin]], 1, 0)</f>
        <v>0</v>
      </c>
      <c r="AF665" s="5">
        <f>IF(Table3[[#This Row],[Efficiency Difference]]*0.2146 -5 &gt; Table3[[#This Row],[Scoring Margin]], 1, 0)</f>
        <v>0</v>
      </c>
      <c r="AG665" s="5">
        <f>IF(Table3[[#This Row],[Efficiency Difference]]*0.2146 -10 &gt; Table3[[#This Row],[Scoring Margin]], 1, 0)</f>
        <v>0</v>
      </c>
    </row>
    <row r="666" spans="2:33">
      <c r="B666" s="5">
        <v>6.2399999999999807</v>
      </c>
      <c r="C666" s="5">
        <v>3</v>
      </c>
      <c r="X666" s="5">
        <v>6.2399999999999807</v>
      </c>
      <c r="Y666" s="5">
        <v>3</v>
      </c>
      <c r="Z666" s="5">
        <f>IF(Table3[[#This Row],[Efficiency Difference]]*0.2146 &gt; Table3[[#This Row],[Scoring Margin]], 1, 0)</f>
        <v>0</v>
      </c>
      <c r="AA666" s="5">
        <f>IF(Table3[[#This Row],[Efficiency Difference]]*0.2146 + 7 &gt; Table3[[#This Row],[Scoring Margin]], 1, 0)</f>
        <v>1</v>
      </c>
      <c r="AB666" s="5">
        <f>IF(Table3[[#This Row],[Efficiency Difference]]*0.2146 + 14 &gt; Table3[[#This Row],[Scoring Margin]], 1, 0)</f>
        <v>1</v>
      </c>
      <c r="AC666" s="5">
        <f>IF(Table3[[#This Row],[Efficiency Difference]]*0.2146 + 21 &gt; Table3[[#This Row],[Scoring Margin]], 1, 0)</f>
        <v>1</v>
      </c>
      <c r="AD666" s="5">
        <f>IF(Table3[[#This Row],[Efficiency Difference]]*0.2146 -7 &gt; Table3[[#This Row],[Scoring Margin]], 1, 0)</f>
        <v>0</v>
      </c>
      <c r="AE666" s="5">
        <f>IF(Table3[[#This Row],[Efficiency Difference]]*0.2146 -3 &gt; Table3[[#This Row],[Scoring Margin]], 1, 0)</f>
        <v>0</v>
      </c>
      <c r="AF666" s="5">
        <f>IF(Table3[[#This Row],[Efficiency Difference]]*0.2146 -5 &gt; Table3[[#This Row],[Scoring Margin]], 1, 0)</f>
        <v>0</v>
      </c>
      <c r="AG666" s="5">
        <f>IF(Table3[[#This Row],[Efficiency Difference]]*0.2146 -10 &gt; Table3[[#This Row],[Scoring Margin]], 1, 0)</f>
        <v>0</v>
      </c>
    </row>
    <row r="667" spans="2:33">
      <c r="B667" s="5">
        <v>54.319999999999993</v>
      </c>
      <c r="C667" s="5">
        <v>11</v>
      </c>
      <c r="X667" s="5">
        <v>54.319999999999993</v>
      </c>
      <c r="Y667" s="5">
        <v>11</v>
      </c>
      <c r="Z667" s="5">
        <f>IF(Table3[[#This Row],[Efficiency Difference]]*0.2146 &gt; Table3[[#This Row],[Scoring Margin]], 1, 0)</f>
        <v>1</v>
      </c>
      <c r="AA667" s="5">
        <f>IF(Table3[[#This Row],[Efficiency Difference]]*0.2146 + 7 &gt; Table3[[#This Row],[Scoring Margin]], 1, 0)</f>
        <v>1</v>
      </c>
      <c r="AB667" s="5">
        <f>IF(Table3[[#This Row],[Efficiency Difference]]*0.2146 + 14 &gt; Table3[[#This Row],[Scoring Margin]], 1, 0)</f>
        <v>1</v>
      </c>
      <c r="AC667" s="5">
        <f>IF(Table3[[#This Row],[Efficiency Difference]]*0.2146 + 21 &gt; Table3[[#This Row],[Scoring Margin]], 1, 0)</f>
        <v>1</v>
      </c>
      <c r="AD667" s="5">
        <f>IF(Table3[[#This Row],[Efficiency Difference]]*0.2146 -7 &gt; Table3[[#This Row],[Scoring Margin]], 1, 0)</f>
        <v>0</v>
      </c>
      <c r="AE667" s="5">
        <f>IF(Table3[[#This Row],[Efficiency Difference]]*0.2146 -3 &gt; Table3[[#This Row],[Scoring Margin]], 1, 0)</f>
        <v>0</v>
      </c>
      <c r="AF667" s="5">
        <f>IF(Table3[[#This Row],[Efficiency Difference]]*0.2146 -5 &gt; Table3[[#This Row],[Scoring Margin]], 1, 0)</f>
        <v>0</v>
      </c>
      <c r="AG667" s="5">
        <f>IF(Table3[[#This Row],[Efficiency Difference]]*0.2146 -10 &gt; Table3[[#This Row],[Scoring Margin]], 1, 0)</f>
        <v>0</v>
      </c>
    </row>
    <row r="668" spans="2:33">
      <c r="B668" s="5">
        <v>18.179999999999978</v>
      </c>
      <c r="C668" s="5">
        <v>6</v>
      </c>
      <c r="X668" s="5">
        <v>18.179999999999978</v>
      </c>
      <c r="Y668" s="5">
        <v>6</v>
      </c>
      <c r="Z668" s="5">
        <f>IF(Table3[[#This Row],[Efficiency Difference]]*0.2146 &gt; Table3[[#This Row],[Scoring Margin]], 1, 0)</f>
        <v>0</v>
      </c>
      <c r="AA668" s="5">
        <f>IF(Table3[[#This Row],[Efficiency Difference]]*0.2146 + 7 &gt; Table3[[#This Row],[Scoring Margin]], 1, 0)</f>
        <v>1</v>
      </c>
      <c r="AB668" s="5">
        <f>IF(Table3[[#This Row],[Efficiency Difference]]*0.2146 + 14 &gt; Table3[[#This Row],[Scoring Margin]], 1, 0)</f>
        <v>1</v>
      </c>
      <c r="AC668" s="5">
        <f>IF(Table3[[#This Row],[Efficiency Difference]]*0.2146 + 21 &gt; Table3[[#This Row],[Scoring Margin]], 1, 0)</f>
        <v>1</v>
      </c>
      <c r="AD668" s="5">
        <f>IF(Table3[[#This Row],[Efficiency Difference]]*0.2146 -7 &gt; Table3[[#This Row],[Scoring Margin]], 1, 0)</f>
        <v>0</v>
      </c>
      <c r="AE668" s="5">
        <f>IF(Table3[[#This Row],[Efficiency Difference]]*0.2146 -3 &gt; Table3[[#This Row],[Scoring Margin]], 1, 0)</f>
        <v>0</v>
      </c>
      <c r="AF668" s="5">
        <f>IF(Table3[[#This Row],[Efficiency Difference]]*0.2146 -5 &gt; Table3[[#This Row],[Scoring Margin]], 1, 0)</f>
        <v>0</v>
      </c>
      <c r="AG668" s="5">
        <f>IF(Table3[[#This Row],[Efficiency Difference]]*0.2146 -10 &gt; Table3[[#This Row],[Scoring Margin]], 1, 0)</f>
        <v>0</v>
      </c>
    </row>
    <row r="669" spans="2:33">
      <c r="B669" s="5">
        <v>43.430000000000007</v>
      </c>
      <c r="C669" s="5">
        <v>1</v>
      </c>
      <c r="X669" s="5">
        <v>43.430000000000007</v>
      </c>
      <c r="Y669" s="5">
        <v>1</v>
      </c>
      <c r="Z669" s="5">
        <f>IF(Table3[[#This Row],[Efficiency Difference]]*0.2146 &gt; Table3[[#This Row],[Scoring Margin]], 1, 0)</f>
        <v>1</v>
      </c>
      <c r="AA669" s="5">
        <f>IF(Table3[[#This Row],[Efficiency Difference]]*0.2146 + 7 &gt; Table3[[#This Row],[Scoring Margin]], 1, 0)</f>
        <v>1</v>
      </c>
      <c r="AB669" s="5">
        <f>IF(Table3[[#This Row],[Efficiency Difference]]*0.2146 + 14 &gt; Table3[[#This Row],[Scoring Margin]], 1, 0)</f>
        <v>1</v>
      </c>
      <c r="AC669" s="5">
        <f>IF(Table3[[#This Row],[Efficiency Difference]]*0.2146 + 21 &gt; Table3[[#This Row],[Scoring Margin]], 1, 0)</f>
        <v>1</v>
      </c>
      <c r="AD669" s="5">
        <f>IF(Table3[[#This Row],[Efficiency Difference]]*0.2146 -7 &gt; Table3[[#This Row],[Scoring Margin]], 1, 0)</f>
        <v>1</v>
      </c>
      <c r="AE669" s="5">
        <f>IF(Table3[[#This Row],[Efficiency Difference]]*0.2146 -3 &gt; Table3[[#This Row],[Scoring Margin]], 1, 0)</f>
        <v>1</v>
      </c>
      <c r="AF669" s="5">
        <f>IF(Table3[[#This Row],[Efficiency Difference]]*0.2146 -5 &gt; Table3[[#This Row],[Scoring Margin]], 1, 0)</f>
        <v>1</v>
      </c>
      <c r="AG669" s="5">
        <f>IF(Table3[[#This Row],[Efficiency Difference]]*0.2146 -10 &gt; Table3[[#This Row],[Scoring Margin]], 1, 0)</f>
        <v>0</v>
      </c>
    </row>
    <row r="670" spans="2:33">
      <c r="B670" s="5">
        <v>44.129999999999981</v>
      </c>
      <c r="C670" s="5">
        <v>14</v>
      </c>
      <c r="X670" s="5">
        <v>44.129999999999981</v>
      </c>
      <c r="Y670" s="5">
        <v>14</v>
      </c>
      <c r="Z670" s="5">
        <f>IF(Table3[[#This Row],[Efficiency Difference]]*0.2146 &gt; Table3[[#This Row],[Scoring Margin]], 1, 0)</f>
        <v>0</v>
      </c>
      <c r="AA670" s="5">
        <f>IF(Table3[[#This Row],[Efficiency Difference]]*0.2146 + 7 &gt; Table3[[#This Row],[Scoring Margin]], 1, 0)</f>
        <v>1</v>
      </c>
      <c r="AB670" s="5">
        <f>IF(Table3[[#This Row],[Efficiency Difference]]*0.2146 + 14 &gt; Table3[[#This Row],[Scoring Margin]], 1, 0)</f>
        <v>1</v>
      </c>
      <c r="AC670" s="5">
        <f>IF(Table3[[#This Row],[Efficiency Difference]]*0.2146 + 21 &gt; Table3[[#This Row],[Scoring Margin]], 1, 0)</f>
        <v>1</v>
      </c>
      <c r="AD670" s="5">
        <f>IF(Table3[[#This Row],[Efficiency Difference]]*0.2146 -7 &gt; Table3[[#This Row],[Scoring Margin]], 1, 0)</f>
        <v>0</v>
      </c>
      <c r="AE670" s="5">
        <f>IF(Table3[[#This Row],[Efficiency Difference]]*0.2146 -3 &gt; Table3[[#This Row],[Scoring Margin]], 1, 0)</f>
        <v>0</v>
      </c>
      <c r="AF670" s="5">
        <f>IF(Table3[[#This Row],[Efficiency Difference]]*0.2146 -5 &gt; Table3[[#This Row],[Scoring Margin]], 1, 0)</f>
        <v>0</v>
      </c>
      <c r="AG670" s="5">
        <f>IF(Table3[[#This Row],[Efficiency Difference]]*0.2146 -10 &gt; Table3[[#This Row],[Scoring Margin]], 1, 0)</f>
        <v>0</v>
      </c>
    </row>
    <row r="671" spans="2:33">
      <c r="B671" s="5">
        <v>111.05000000000001</v>
      </c>
      <c r="C671" s="5">
        <v>7</v>
      </c>
      <c r="X671" s="5">
        <v>111.05000000000001</v>
      </c>
      <c r="Y671" s="5">
        <v>7</v>
      </c>
      <c r="Z671" s="5">
        <f>IF(Table3[[#This Row],[Efficiency Difference]]*0.2146 &gt; Table3[[#This Row],[Scoring Margin]], 1, 0)</f>
        <v>1</v>
      </c>
      <c r="AA671" s="5">
        <f>IF(Table3[[#This Row],[Efficiency Difference]]*0.2146 + 7 &gt; Table3[[#This Row],[Scoring Margin]], 1, 0)</f>
        <v>1</v>
      </c>
      <c r="AB671" s="5">
        <f>IF(Table3[[#This Row],[Efficiency Difference]]*0.2146 + 14 &gt; Table3[[#This Row],[Scoring Margin]], 1, 0)</f>
        <v>1</v>
      </c>
      <c r="AC671" s="5">
        <f>IF(Table3[[#This Row],[Efficiency Difference]]*0.2146 + 21 &gt; Table3[[#This Row],[Scoring Margin]], 1, 0)</f>
        <v>1</v>
      </c>
      <c r="AD671" s="5">
        <f>IF(Table3[[#This Row],[Efficiency Difference]]*0.2146 -7 &gt; Table3[[#This Row],[Scoring Margin]], 1, 0)</f>
        <v>1</v>
      </c>
      <c r="AE671" s="5">
        <f>IF(Table3[[#This Row],[Efficiency Difference]]*0.2146 -3 &gt; Table3[[#This Row],[Scoring Margin]], 1, 0)</f>
        <v>1</v>
      </c>
      <c r="AF671" s="5">
        <f>IF(Table3[[#This Row],[Efficiency Difference]]*0.2146 -5 &gt; Table3[[#This Row],[Scoring Margin]], 1, 0)</f>
        <v>1</v>
      </c>
      <c r="AG671" s="5">
        <f>IF(Table3[[#This Row],[Efficiency Difference]]*0.2146 -10 &gt; Table3[[#This Row],[Scoring Margin]], 1, 0)</f>
        <v>1</v>
      </c>
    </row>
    <row r="672" spans="2:33">
      <c r="B672" s="5">
        <v>73.269999999999982</v>
      </c>
      <c r="C672" s="5">
        <v>19</v>
      </c>
      <c r="X672" s="5">
        <v>73.269999999999982</v>
      </c>
      <c r="Y672" s="5">
        <v>19</v>
      </c>
      <c r="Z672" s="5">
        <f>IF(Table3[[#This Row],[Efficiency Difference]]*0.2146 &gt; Table3[[#This Row],[Scoring Margin]], 1, 0)</f>
        <v>0</v>
      </c>
      <c r="AA672" s="5">
        <f>IF(Table3[[#This Row],[Efficiency Difference]]*0.2146 + 7 &gt; Table3[[#This Row],[Scoring Margin]], 1, 0)</f>
        <v>1</v>
      </c>
      <c r="AB672" s="5">
        <f>IF(Table3[[#This Row],[Efficiency Difference]]*0.2146 + 14 &gt; Table3[[#This Row],[Scoring Margin]], 1, 0)</f>
        <v>1</v>
      </c>
      <c r="AC672" s="5">
        <f>IF(Table3[[#This Row],[Efficiency Difference]]*0.2146 + 21 &gt; Table3[[#This Row],[Scoring Margin]], 1, 0)</f>
        <v>1</v>
      </c>
      <c r="AD672" s="5">
        <f>IF(Table3[[#This Row],[Efficiency Difference]]*0.2146 -7 &gt; Table3[[#This Row],[Scoring Margin]], 1, 0)</f>
        <v>0</v>
      </c>
      <c r="AE672" s="5">
        <f>IF(Table3[[#This Row],[Efficiency Difference]]*0.2146 -3 &gt; Table3[[#This Row],[Scoring Margin]], 1, 0)</f>
        <v>0</v>
      </c>
      <c r="AF672" s="5">
        <f>IF(Table3[[#This Row],[Efficiency Difference]]*0.2146 -5 &gt; Table3[[#This Row],[Scoring Margin]], 1, 0)</f>
        <v>0</v>
      </c>
      <c r="AG672" s="5">
        <f>IF(Table3[[#This Row],[Efficiency Difference]]*0.2146 -10 &gt; Table3[[#This Row],[Scoring Margin]], 1, 0)</f>
        <v>0</v>
      </c>
    </row>
    <row r="673" spans="2:33">
      <c r="B673" s="5">
        <v>143.64999999999998</v>
      </c>
      <c r="C673" s="5">
        <v>20</v>
      </c>
      <c r="X673" s="5">
        <v>143.64999999999998</v>
      </c>
      <c r="Y673" s="5">
        <v>20</v>
      </c>
      <c r="Z673" s="5">
        <f>IF(Table3[[#This Row],[Efficiency Difference]]*0.2146 &gt; Table3[[#This Row],[Scoring Margin]], 1, 0)</f>
        <v>1</v>
      </c>
      <c r="AA673" s="5">
        <f>IF(Table3[[#This Row],[Efficiency Difference]]*0.2146 + 7 &gt; Table3[[#This Row],[Scoring Margin]], 1, 0)</f>
        <v>1</v>
      </c>
      <c r="AB673" s="5">
        <f>IF(Table3[[#This Row],[Efficiency Difference]]*0.2146 + 14 &gt; Table3[[#This Row],[Scoring Margin]], 1, 0)</f>
        <v>1</v>
      </c>
      <c r="AC673" s="5">
        <f>IF(Table3[[#This Row],[Efficiency Difference]]*0.2146 + 21 &gt; Table3[[#This Row],[Scoring Margin]], 1, 0)</f>
        <v>1</v>
      </c>
      <c r="AD673" s="5">
        <f>IF(Table3[[#This Row],[Efficiency Difference]]*0.2146 -7 &gt; Table3[[#This Row],[Scoring Margin]], 1, 0)</f>
        <v>1</v>
      </c>
      <c r="AE673" s="5">
        <f>IF(Table3[[#This Row],[Efficiency Difference]]*0.2146 -3 &gt; Table3[[#This Row],[Scoring Margin]], 1, 0)</f>
        <v>1</v>
      </c>
      <c r="AF673" s="5">
        <f>IF(Table3[[#This Row],[Efficiency Difference]]*0.2146 -5 &gt; Table3[[#This Row],[Scoring Margin]], 1, 0)</f>
        <v>1</v>
      </c>
      <c r="AG673" s="5">
        <f>IF(Table3[[#This Row],[Efficiency Difference]]*0.2146 -10 &gt; Table3[[#This Row],[Scoring Margin]], 1, 0)</f>
        <v>1</v>
      </c>
    </row>
    <row r="674" spans="2:33">
      <c r="B674" s="5">
        <v>18.810000000000002</v>
      </c>
      <c r="C674" s="5">
        <v>20</v>
      </c>
      <c r="X674" s="5">
        <v>18.810000000000002</v>
      </c>
      <c r="Y674" s="5">
        <v>20</v>
      </c>
      <c r="Z674" s="5">
        <f>IF(Table3[[#This Row],[Efficiency Difference]]*0.2146 &gt; Table3[[#This Row],[Scoring Margin]], 1, 0)</f>
        <v>0</v>
      </c>
      <c r="AA674" s="5">
        <f>IF(Table3[[#This Row],[Efficiency Difference]]*0.2146 + 7 &gt; Table3[[#This Row],[Scoring Margin]], 1, 0)</f>
        <v>0</v>
      </c>
      <c r="AB674" s="5">
        <f>IF(Table3[[#This Row],[Efficiency Difference]]*0.2146 + 14 &gt; Table3[[#This Row],[Scoring Margin]], 1, 0)</f>
        <v>0</v>
      </c>
      <c r="AC674" s="5">
        <f>IF(Table3[[#This Row],[Efficiency Difference]]*0.2146 + 21 &gt; Table3[[#This Row],[Scoring Margin]], 1, 0)</f>
        <v>1</v>
      </c>
      <c r="AD674" s="5">
        <f>IF(Table3[[#This Row],[Efficiency Difference]]*0.2146 -7 &gt; Table3[[#This Row],[Scoring Margin]], 1, 0)</f>
        <v>0</v>
      </c>
      <c r="AE674" s="5">
        <f>IF(Table3[[#This Row],[Efficiency Difference]]*0.2146 -3 &gt; Table3[[#This Row],[Scoring Margin]], 1, 0)</f>
        <v>0</v>
      </c>
      <c r="AF674" s="5">
        <f>IF(Table3[[#This Row],[Efficiency Difference]]*0.2146 -5 &gt; Table3[[#This Row],[Scoring Margin]], 1, 0)</f>
        <v>0</v>
      </c>
      <c r="AG674" s="5">
        <f>IF(Table3[[#This Row],[Efficiency Difference]]*0.2146 -10 &gt; Table3[[#This Row],[Scoring Margin]], 1, 0)</f>
        <v>0</v>
      </c>
    </row>
    <row r="675" spans="2:33">
      <c r="B675" s="5">
        <v>26.45999999999998</v>
      </c>
      <c r="C675" s="5">
        <v>3</v>
      </c>
      <c r="X675" s="5">
        <v>26.45999999999998</v>
      </c>
      <c r="Y675" s="5">
        <v>3</v>
      </c>
      <c r="Z675" s="5">
        <f>IF(Table3[[#This Row],[Efficiency Difference]]*0.2146 &gt; Table3[[#This Row],[Scoring Margin]], 1, 0)</f>
        <v>1</v>
      </c>
      <c r="AA675" s="5">
        <f>IF(Table3[[#This Row],[Efficiency Difference]]*0.2146 + 7 &gt; Table3[[#This Row],[Scoring Margin]], 1, 0)</f>
        <v>1</v>
      </c>
      <c r="AB675" s="5">
        <f>IF(Table3[[#This Row],[Efficiency Difference]]*0.2146 + 14 &gt; Table3[[#This Row],[Scoring Margin]], 1, 0)</f>
        <v>1</v>
      </c>
      <c r="AC675" s="5">
        <f>IF(Table3[[#This Row],[Efficiency Difference]]*0.2146 + 21 &gt; Table3[[#This Row],[Scoring Margin]], 1, 0)</f>
        <v>1</v>
      </c>
      <c r="AD675" s="5">
        <f>IF(Table3[[#This Row],[Efficiency Difference]]*0.2146 -7 &gt; Table3[[#This Row],[Scoring Margin]], 1, 0)</f>
        <v>0</v>
      </c>
      <c r="AE675" s="5">
        <f>IF(Table3[[#This Row],[Efficiency Difference]]*0.2146 -3 &gt; Table3[[#This Row],[Scoring Margin]], 1, 0)</f>
        <v>0</v>
      </c>
      <c r="AF675" s="5">
        <f>IF(Table3[[#This Row],[Efficiency Difference]]*0.2146 -5 &gt; Table3[[#This Row],[Scoring Margin]], 1, 0)</f>
        <v>0</v>
      </c>
      <c r="AG675" s="5">
        <f>IF(Table3[[#This Row],[Efficiency Difference]]*0.2146 -10 &gt; Table3[[#This Row],[Scoring Margin]], 1, 0)</f>
        <v>0</v>
      </c>
    </row>
    <row r="676" spans="2:33">
      <c r="B676" s="5">
        <v>94.159999999999968</v>
      </c>
      <c r="C676" s="5">
        <v>21</v>
      </c>
      <c r="X676" s="5">
        <v>94.159999999999968</v>
      </c>
      <c r="Y676" s="5">
        <v>21</v>
      </c>
      <c r="Z676" s="5">
        <f>IF(Table3[[#This Row],[Efficiency Difference]]*0.2146 &gt; Table3[[#This Row],[Scoring Margin]], 1, 0)</f>
        <v>0</v>
      </c>
      <c r="AA676" s="5">
        <f>IF(Table3[[#This Row],[Efficiency Difference]]*0.2146 + 7 &gt; Table3[[#This Row],[Scoring Margin]], 1, 0)</f>
        <v>1</v>
      </c>
      <c r="AB676" s="5">
        <f>IF(Table3[[#This Row],[Efficiency Difference]]*0.2146 + 14 &gt; Table3[[#This Row],[Scoring Margin]], 1, 0)</f>
        <v>1</v>
      </c>
      <c r="AC676" s="5">
        <f>IF(Table3[[#This Row],[Efficiency Difference]]*0.2146 + 21 &gt; Table3[[#This Row],[Scoring Margin]], 1, 0)</f>
        <v>1</v>
      </c>
      <c r="AD676" s="5">
        <f>IF(Table3[[#This Row],[Efficiency Difference]]*0.2146 -7 &gt; Table3[[#This Row],[Scoring Margin]], 1, 0)</f>
        <v>0</v>
      </c>
      <c r="AE676" s="5">
        <f>IF(Table3[[#This Row],[Efficiency Difference]]*0.2146 -3 &gt; Table3[[#This Row],[Scoring Margin]], 1, 0)</f>
        <v>0</v>
      </c>
      <c r="AF676" s="5">
        <f>IF(Table3[[#This Row],[Efficiency Difference]]*0.2146 -5 &gt; Table3[[#This Row],[Scoring Margin]], 1, 0)</f>
        <v>0</v>
      </c>
      <c r="AG676" s="5">
        <f>IF(Table3[[#This Row],[Efficiency Difference]]*0.2146 -10 &gt; Table3[[#This Row],[Scoring Margin]], 1, 0)</f>
        <v>0</v>
      </c>
    </row>
    <row r="677" spans="2:33">
      <c r="B677" s="5">
        <v>98.619999999999976</v>
      </c>
      <c r="C677" s="5">
        <v>16</v>
      </c>
      <c r="X677" s="5">
        <v>98.619999999999976</v>
      </c>
      <c r="Y677" s="5">
        <v>16</v>
      </c>
      <c r="Z677" s="5">
        <f>IF(Table3[[#This Row],[Efficiency Difference]]*0.2146 &gt; Table3[[#This Row],[Scoring Margin]], 1, 0)</f>
        <v>1</v>
      </c>
      <c r="AA677" s="5">
        <f>IF(Table3[[#This Row],[Efficiency Difference]]*0.2146 + 7 &gt; Table3[[#This Row],[Scoring Margin]], 1, 0)</f>
        <v>1</v>
      </c>
      <c r="AB677" s="5">
        <f>IF(Table3[[#This Row],[Efficiency Difference]]*0.2146 + 14 &gt; Table3[[#This Row],[Scoring Margin]], 1, 0)</f>
        <v>1</v>
      </c>
      <c r="AC677" s="5">
        <f>IF(Table3[[#This Row],[Efficiency Difference]]*0.2146 + 21 &gt; Table3[[#This Row],[Scoring Margin]], 1, 0)</f>
        <v>1</v>
      </c>
      <c r="AD677" s="5">
        <f>IF(Table3[[#This Row],[Efficiency Difference]]*0.2146 -7 &gt; Table3[[#This Row],[Scoring Margin]], 1, 0)</f>
        <v>0</v>
      </c>
      <c r="AE677" s="5">
        <f>IF(Table3[[#This Row],[Efficiency Difference]]*0.2146 -3 &gt; Table3[[#This Row],[Scoring Margin]], 1, 0)</f>
        <v>1</v>
      </c>
      <c r="AF677" s="5">
        <f>IF(Table3[[#This Row],[Efficiency Difference]]*0.2146 -5 &gt; Table3[[#This Row],[Scoring Margin]], 1, 0)</f>
        <v>1</v>
      </c>
      <c r="AG677" s="5">
        <f>IF(Table3[[#This Row],[Efficiency Difference]]*0.2146 -10 &gt; Table3[[#This Row],[Scoring Margin]], 1, 0)</f>
        <v>0</v>
      </c>
    </row>
    <row r="678" spans="2:33">
      <c r="B678" s="5">
        <v>67.03</v>
      </c>
      <c r="C678" s="5">
        <v>7</v>
      </c>
      <c r="X678" s="5">
        <v>67.03</v>
      </c>
      <c r="Y678" s="5">
        <v>7</v>
      </c>
      <c r="Z678" s="5">
        <f>IF(Table3[[#This Row],[Efficiency Difference]]*0.2146 &gt; Table3[[#This Row],[Scoring Margin]], 1, 0)</f>
        <v>1</v>
      </c>
      <c r="AA678" s="5">
        <f>IF(Table3[[#This Row],[Efficiency Difference]]*0.2146 + 7 &gt; Table3[[#This Row],[Scoring Margin]], 1, 0)</f>
        <v>1</v>
      </c>
      <c r="AB678" s="5">
        <f>IF(Table3[[#This Row],[Efficiency Difference]]*0.2146 + 14 &gt; Table3[[#This Row],[Scoring Margin]], 1, 0)</f>
        <v>1</v>
      </c>
      <c r="AC678" s="5">
        <f>IF(Table3[[#This Row],[Efficiency Difference]]*0.2146 + 21 &gt; Table3[[#This Row],[Scoring Margin]], 1, 0)</f>
        <v>1</v>
      </c>
      <c r="AD678" s="5">
        <f>IF(Table3[[#This Row],[Efficiency Difference]]*0.2146 -7 &gt; Table3[[#This Row],[Scoring Margin]], 1, 0)</f>
        <v>1</v>
      </c>
      <c r="AE678" s="5">
        <f>IF(Table3[[#This Row],[Efficiency Difference]]*0.2146 -3 &gt; Table3[[#This Row],[Scoring Margin]], 1, 0)</f>
        <v>1</v>
      </c>
      <c r="AF678" s="5">
        <f>IF(Table3[[#This Row],[Efficiency Difference]]*0.2146 -5 &gt; Table3[[#This Row],[Scoring Margin]], 1, 0)</f>
        <v>1</v>
      </c>
      <c r="AG678" s="5">
        <f>IF(Table3[[#This Row],[Efficiency Difference]]*0.2146 -10 &gt; Table3[[#This Row],[Scoring Margin]], 1, 0)</f>
        <v>0</v>
      </c>
    </row>
    <row r="679" spans="2:33">
      <c r="B679" s="5">
        <v>8.6800000000000068</v>
      </c>
      <c r="C679" s="5">
        <v>7</v>
      </c>
      <c r="X679" s="5">
        <v>8.6800000000000068</v>
      </c>
      <c r="Y679" s="5">
        <v>7</v>
      </c>
      <c r="Z679" s="5">
        <f>IF(Table3[[#This Row],[Efficiency Difference]]*0.2146 &gt; Table3[[#This Row],[Scoring Margin]], 1, 0)</f>
        <v>0</v>
      </c>
      <c r="AA679" s="5">
        <f>IF(Table3[[#This Row],[Efficiency Difference]]*0.2146 + 7 &gt; Table3[[#This Row],[Scoring Margin]], 1, 0)</f>
        <v>1</v>
      </c>
      <c r="AB679" s="5">
        <f>IF(Table3[[#This Row],[Efficiency Difference]]*0.2146 + 14 &gt; Table3[[#This Row],[Scoring Margin]], 1, 0)</f>
        <v>1</v>
      </c>
      <c r="AC679" s="5">
        <f>IF(Table3[[#This Row],[Efficiency Difference]]*0.2146 + 21 &gt; Table3[[#This Row],[Scoring Margin]], 1, 0)</f>
        <v>1</v>
      </c>
      <c r="AD679" s="5">
        <f>IF(Table3[[#This Row],[Efficiency Difference]]*0.2146 -7 &gt; Table3[[#This Row],[Scoring Margin]], 1, 0)</f>
        <v>0</v>
      </c>
      <c r="AE679" s="5">
        <f>IF(Table3[[#This Row],[Efficiency Difference]]*0.2146 -3 &gt; Table3[[#This Row],[Scoring Margin]], 1, 0)</f>
        <v>0</v>
      </c>
      <c r="AF679" s="5">
        <f>IF(Table3[[#This Row],[Efficiency Difference]]*0.2146 -5 &gt; Table3[[#This Row],[Scoring Margin]], 1, 0)</f>
        <v>0</v>
      </c>
      <c r="AG679" s="5">
        <f>IF(Table3[[#This Row],[Efficiency Difference]]*0.2146 -10 &gt; Table3[[#This Row],[Scoring Margin]], 1, 0)</f>
        <v>0</v>
      </c>
    </row>
    <row r="680" spans="2:33">
      <c r="B680" s="5">
        <v>37.900000000000006</v>
      </c>
      <c r="C680" s="5">
        <v>8</v>
      </c>
      <c r="X680" s="5">
        <v>37.900000000000006</v>
      </c>
      <c r="Y680" s="5">
        <v>8</v>
      </c>
      <c r="Z680" s="5">
        <f>IF(Table3[[#This Row],[Efficiency Difference]]*0.2146 &gt; Table3[[#This Row],[Scoring Margin]], 1, 0)</f>
        <v>1</v>
      </c>
      <c r="AA680" s="5">
        <f>IF(Table3[[#This Row],[Efficiency Difference]]*0.2146 + 7 &gt; Table3[[#This Row],[Scoring Margin]], 1, 0)</f>
        <v>1</v>
      </c>
      <c r="AB680" s="5">
        <f>IF(Table3[[#This Row],[Efficiency Difference]]*0.2146 + 14 &gt; Table3[[#This Row],[Scoring Margin]], 1, 0)</f>
        <v>1</v>
      </c>
      <c r="AC680" s="5">
        <f>IF(Table3[[#This Row],[Efficiency Difference]]*0.2146 + 21 &gt; Table3[[#This Row],[Scoring Margin]], 1, 0)</f>
        <v>1</v>
      </c>
      <c r="AD680" s="5">
        <f>IF(Table3[[#This Row],[Efficiency Difference]]*0.2146 -7 &gt; Table3[[#This Row],[Scoring Margin]], 1, 0)</f>
        <v>0</v>
      </c>
      <c r="AE680" s="5">
        <f>IF(Table3[[#This Row],[Efficiency Difference]]*0.2146 -3 &gt; Table3[[#This Row],[Scoring Margin]], 1, 0)</f>
        <v>0</v>
      </c>
      <c r="AF680" s="5">
        <f>IF(Table3[[#This Row],[Efficiency Difference]]*0.2146 -5 &gt; Table3[[#This Row],[Scoring Margin]], 1, 0)</f>
        <v>0</v>
      </c>
      <c r="AG680" s="5">
        <f>IF(Table3[[#This Row],[Efficiency Difference]]*0.2146 -10 &gt; Table3[[#This Row],[Scoring Margin]], 1, 0)</f>
        <v>0</v>
      </c>
    </row>
    <row r="681" spans="2:33">
      <c r="B681" s="5">
        <v>29.120000000000005</v>
      </c>
      <c r="C681" s="5">
        <v>5</v>
      </c>
      <c r="X681" s="5">
        <v>29.120000000000005</v>
      </c>
      <c r="Y681" s="5">
        <v>5</v>
      </c>
      <c r="Z681" s="5">
        <f>IF(Table3[[#This Row],[Efficiency Difference]]*0.2146 &gt; Table3[[#This Row],[Scoring Margin]], 1, 0)</f>
        <v>1</v>
      </c>
      <c r="AA681" s="5">
        <f>IF(Table3[[#This Row],[Efficiency Difference]]*0.2146 + 7 &gt; Table3[[#This Row],[Scoring Margin]], 1, 0)</f>
        <v>1</v>
      </c>
      <c r="AB681" s="5">
        <f>IF(Table3[[#This Row],[Efficiency Difference]]*0.2146 + 14 &gt; Table3[[#This Row],[Scoring Margin]], 1, 0)</f>
        <v>1</v>
      </c>
      <c r="AC681" s="5">
        <f>IF(Table3[[#This Row],[Efficiency Difference]]*0.2146 + 21 &gt; Table3[[#This Row],[Scoring Margin]], 1, 0)</f>
        <v>1</v>
      </c>
      <c r="AD681" s="5">
        <f>IF(Table3[[#This Row],[Efficiency Difference]]*0.2146 -7 &gt; Table3[[#This Row],[Scoring Margin]], 1, 0)</f>
        <v>0</v>
      </c>
      <c r="AE681" s="5">
        <f>IF(Table3[[#This Row],[Efficiency Difference]]*0.2146 -3 &gt; Table3[[#This Row],[Scoring Margin]], 1, 0)</f>
        <v>0</v>
      </c>
      <c r="AF681" s="5">
        <f>IF(Table3[[#This Row],[Efficiency Difference]]*0.2146 -5 &gt; Table3[[#This Row],[Scoring Margin]], 1, 0)</f>
        <v>0</v>
      </c>
      <c r="AG681" s="5">
        <f>IF(Table3[[#This Row],[Efficiency Difference]]*0.2146 -10 &gt; Table3[[#This Row],[Scoring Margin]], 1, 0)</f>
        <v>0</v>
      </c>
    </row>
    <row r="682" spans="2:33">
      <c r="B682" s="5">
        <v>94.16</v>
      </c>
      <c r="C682" s="5">
        <v>21</v>
      </c>
      <c r="X682" s="5">
        <v>94.16</v>
      </c>
      <c r="Y682" s="5">
        <v>21</v>
      </c>
      <c r="Z682" s="5">
        <f>IF(Table3[[#This Row],[Efficiency Difference]]*0.2146 &gt; Table3[[#This Row],[Scoring Margin]], 1, 0)</f>
        <v>0</v>
      </c>
      <c r="AA682" s="5">
        <f>IF(Table3[[#This Row],[Efficiency Difference]]*0.2146 + 7 &gt; Table3[[#This Row],[Scoring Margin]], 1, 0)</f>
        <v>1</v>
      </c>
      <c r="AB682" s="5">
        <f>IF(Table3[[#This Row],[Efficiency Difference]]*0.2146 + 14 &gt; Table3[[#This Row],[Scoring Margin]], 1, 0)</f>
        <v>1</v>
      </c>
      <c r="AC682" s="5">
        <f>IF(Table3[[#This Row],[Efficiency Difference]]*0.2146 + 21 &gt; Table3[[#This Row],[Scoring Margin]], 1, 0)</f>
        <v>1</v>
      </c>
      <c r="AD682" s="5">
        <f>IF(Table3[[#This Row],[Efficiency Difference]]*0.2146 -7 &gt; Table3[[#This Row],[Scoring Margin]], 1, 0)</f>
        <v>0</v>
      </c>
      <c r="AE682" s="5">
        <f>IF(Table3[[#This Row],[Efficiency Difference]]*0.2146 -3 &gt; Table3[[#This Row],[Scoring Margin]], 1, 0)</f>
        <v>0</v>
      </c>
      <c r="AF682" s="5">
        <f>IF(Table3[[#This Row],[Efficiency Difference]]*0.2146 -5 &gt; Table3[[#This Row],[Scoring Margin]], 1, 0)</f>
        <v>0</v>
      </c>
      <c r="AG682" s="5">
        <f>IF(Table3[[#This Row],[Efficiency Difference]]*0.2146 -10 &gt; Table3[[#This Row],[Scoring Margin]], 1, 0)</f>
        <v>0</v>
      </c>
    </row>
    <row r="683" spans="2:33">
      <c r="B683" s="5">
        <v>38.81</v>
      </c>
      <c r="C683" s="5">
        <v>1</v>
      </c>
      <c r="X683" s="5">
        <v>38.81</v>
      </c>
      <c r="Y683" s="5">
        <v>1</v>
      </c>
      <c r="Z683" s="5">
        <f>IF(Table3[[#This Row],[Efficiency Difference]]*0.2146 &gt; Table3[[#This Row],[Scoring Margin]], 1, 0)</f>
        <v>1</v>
      </c>
      <c r="AA683" s="5">
        <f>IF(Table3[[#This Row],[Efficiency Difference]]*0.2146 + 7 &gt; Table3[[#This Row],[Scoring Margin]], 1, 0)</f>
        <v>1</v>
      </c>
      <c r="AB683" s="5">
        <f>IF(Table3[[#This Row],[Efficiency Difference]]*0.2146 + 14 &gt; Table3[[#This Row],[Scoring Margin]], 1, 0)</f>
        <v>1</v>
      </c>
      <c r="AC683" s="5">
        <f>IF(Table3[[#This Row],[Efficiency Difference]]*0.2146 + 21 &gt; Table3[[#This Row],[Scoring Margin]], 1, 0)</f>
        <v>1</v>
      </c>
      <c r="AD683" s="5">
        <f>IF(Table3[[#This Row],[Efficiency Difference]]*0.2146 -7 &gt; Table3[[#This Row],[Scoring Margin]], 1, 0)</f>
        <v>1</v>
      </c>
      <c r="AE683" s="5">
        <f>IF(Table3[[#This Row],[Efficiency Difference]]*0.2146 -3 &gt; Table3[[#This Row],[Scoring Margin]], 1, 0)</f>
        <v>1</v>
      </c>
      <c r="AF683" s="5">
        <f>IF(Table3[[#This Row],[Efficiency Difference]]*0.2146 -5 &gt; Table3[[#This Row],[Scoring Margin]], 1, 0)</f>
        <v>1</v>
      </c>
      <c r="AG683" s="5">
        <f>IF(Table3[[#This Row],[Efficiency Difference]]*0.2146 -10 &gt; Table3[[#This Row],[Scoring Margin]], 1, 0)</f>
        <v>0</v>
      </c>
    </row>
    <row r="684" spans="2:33">
      <c r="B684" s="5">
        <v>83.54000000000002</v>
      </c>
      <c r="C684" s="5">
        <v>8</v>
      </c>
      <c r="X684" s="5">
        <v>83.54000000000002</v>
      </c>
      <c r="Y684" s="5">
        <v>8</v>
      </c>
      <c r="Z684" s="5">
        <f>IF(Table3[[#This Row],[Efficiency Difference]]*0.2146 &gt; Table3[[#This Row],[Scoring Margin]], 1, 0)</f>
        <v>1</v>
      </c>
      <c r="AA684" s="5">
        <f>IF(Table3[[#This Row],[Efficiency Difference]]*0.2146 + 7 &gt; Table3[[#This Row],[Scoring Margin]], 1, 0)</f>
        <v>1</v>
      </c>
      <c r="AB684" s="5">
        <f>IF(Table3[[#This Row],[Efficiency Difference]]*0.2146 + 14 &gt; Table3[[#This Row],[Scoring Margin]], 1, 0)</f>
        <v>1</v>
      </c>
      <c r="AC684" s="5">
        <f>IF(Table3[[#This Row],[Efficiency Difference]]*0.2146 + 21 &gt; Table3[[#This Row],[Scoring Margin]], 1, 0)</f>
        <v>1</v>
      </c>
      <c r="AD684" s="5">
        <f>IF(Table3[[#This Row],[Efficiency Difference]]*0.2146 -7 &gt; Table3[[#This Row],[Scoring Margin]], 1, 0)</f>
        <v>1</v>
      </c>
      <c r="AE684" s="5">
        <f>IF(Table3[[#This Row],[Efficiency Difference]]*0.2146 -3 &gt; Table3[[#This Row],[Scoring Margin]], 1, 0)</f>
        <v>1</v>
      </c>
      <c r="AF684" s="5">
        <f>IF(Table3[[#This Row],[Efficiency Difference]]*0.2146 -5 &gt; Table3[[#This Row],[Scoring Margin]], 1, 0)</f>
        <v>1</v>
      </c>
      <c r="AG684" s="5">
        <f>IF(Table3[[#This Row],[Efficiency Difference]]*0.2146 -10 &gt; Table3[[#This Row],[Scoring Margin]], 1, 0)</f>
        <v>0</v>
      </c>
    </row>
    <row r="685" spans="2:33">
      <c r="B685" s="5">
        <v>36.379999999999995</v>
      </c>
      <c r="C685" s="5">
        <v>13</v>
      </c>
      <c r="X685" s="5">
        <v>36.379999999999995</v>
      </c>
      <c r="Y685" s="5">
        <v>13</v>
      </c>
      <c r="Z685" s="5">
        <f>IF(Table3[[#This Row],[Efficiency Difference]]*0.2146 &gt; Table3[[#This Row],[Scoring Margin]], 1, 0)</f>
        <v>0</v>
      </c>
      <c r="AA685" s="5">
        <f>IF(Table3[[#This Row],[Efficiency Difference]]*0.2146 + 7 &gt; Table3[[#This Row],[Scoring Margin]], 1, 0)</f>
        <v>1</v>
      </c>
      <c r="AB685" s="5">
        <f>IF(Table3[[#This Row],[Efficiency Difference]]*0.2146 + 14 &gt; Table3[[#This Row],[Scoring Margin]], 1, 0)</f>
        <v>1</v>
      </c>
      <c r="AC685" s="5">
        <f>IF(Table3[[#This Row],[Efficiency Difference]]*0.2146 + 21 &gt; Table3[[#This Row],[Scoring Margin]], 1, 0)</f>
        <v>1</v>
      </c>
      <c r="AD685" s="5">
        <f>IF(Table3[[#This Row],[Efficiency Difference]]*0.2146 -7 &gt; Table3[[#This Row],[Scoring Margin]], 1, 0)</f>
        <v>0</v>
      </c>
      <c r="AE685" s="5">
        <f>IF(Table3[[#This Row],[Efficiency Difference]]*0.2146 -3 &gt; Table3[[#This Row],[Scoring Margin]], 1, 0)</f>
        <v>0</v>
      </c>
      <c r="AF685" s="5">
        <f>IF(Table3[[#This Row],[Efficiency Difference]]*0.2146 -5 &gt; Table3[[#This Row],[Scoring Margin]], 1, 0)</f>
        <v>0</v>
      </c>
      <c r="AG685" s="5">
        <f>IF(Table3[[#This Row],[Efficiency Difference]]*0.2146 -10 &gt; Table3[[#This Row],[Scoring Margin]], 1, 0)</f>
        <v>0</v>
      </c>
    </row>
    <row r="686" spans="2:33">
      <c r="B686" s="5">
        <v>42.579999999999984</v>
      </c>
      <c r="C686" s="5">
        <v>8</v>
      </c>
      <c r="X686" s="5">
        <v>42.579999999999984</v>
      </c>
      <c r="Y686" s="5">
        <v>8</v>
      </c>
      <c r="Z686" s="5">
        <f>IF(Table3[[#This Row],[Efficiency Difference]]*0.2146 &gt; Table3[[#This Row],[Scoring Margin]], 1, 0)</f>
        <v>1</v>
      </c>
      <c r="AA686" s="5">
        <f>IF(Table3[[#This Row],[Efficiency Difference]]*0.2146 + 7 &gt; Table3[[#This Row],[Scoring Margin]], 1, 0)</f>
        <v>1</v>
      </c>
      <c r="AB686" s="5">
        <f>IF(Table3[[#This Row],[Efficiency Difference]]*0.2146 + 14 &gt; Table3[[#This Row],[Scoring Margin]], 1, 0)</f>
        <v>1</v>
      </c>
      <c r="AC686" s="5">
        <f>IF(Table3[[#This Row],[Efficiency Difference]]*0.2146 + 21 &gt; Table3[[#This Row],[Scoring Margin]], 1, 0)</f>
        <v>1</v>
      </c>
      <c r="AD686" s="5">
        <f>IF(Table3[[#This Row],[Efficiency Difference]]*0.2146 -7 &gt; Table3[[#This Row],[Scoring Margin]], 1, 0)</f>
        <v>0</v>
      </c>
      <c r="AE686" s="5">
        <f>IF(Table3[[#This Row],[Efficiency Difference]]*0.2146 -3 &gt; Table3[[#This Row],[Scoring Margin]], 1, 0)</f>
        <v>0</v>
      </c>
      <c r="AF686" s="5">
        <f>IF(Table3[[#This Row],[Efficiency Difference]]*0.2146 -5 &gt; Table3[[#This Row],[Scoring Margin]], 1, 0)</f>
        <v>0</v>
      </c>
      <c r="AG686" s="5">
        <f>IF(Table3[[#This Row],[Efficiency Difference]]*0.2146 -10 &gt; Table3[[#This Row],[Scoring Margin]], 1, 0)</f>
        <v>0</v>
      </c>
    </row>
    <row r="687" spans="2:33">
      <c r="B687" s="5">
        <v>135.60999999999996</v>
      </c>
      <c r="C687" s="5">
        <v>17</v>
      </c>
      <c r="X687" s="5">
        <v>135.60999999999996</v>
      </c>
      <c r="Y687" s="5">
        <v>17</v>
      </c>
      <c r="Z687" s="5">
        <f>IF(Table3[[#This Row],[Efficiency Difference]]*0.2146 &gt; Table3[[#This Row],[Scoring Margin]], 1, 0)</f>
        <v>1</v>
      </c>
      <c r="AA687" s="5">
        <f>IF(Table3[[#This Row],[Efficiency Difference]]*0.2146 + 7 &gt; Table3[[#This Row],[Scoring Margin]], 1, 0)</f>
        <v>1</v>
      </c>
      <c r="AB687" s="5">
        <f>IF(Table3[[#This Row],[Efficiency Difference]]*0.2146 + 14 &gt; Table3[[#This Row],[Scoring Margin]], 1, 0)</f>
        <v>1</v>
      </c>
      <c r="AC687" s="5">
        <f>IF(Table3[[#This Row],[Efficiency Difference]]*0.2146 + 21 &gt; Table3[[#This Row],[Scoring Margin]], 1, 0)</f>
        <v>1</v>
      </c>
      <c r="AD687" s="5">
        <f>IF(Table3[[#This Row],[Efficiency Difference]]*0.2146 -7 &gt; Table3[[#This Row],[Scoring Margin]], 1, 0)</f>
        <v>1</v>
      </c>
      <c r="AE687" s="5">
        <f>IF(Table3[[#This Row],[Efficiency Difference]]*0.2146 -3 &gt; Table3[[#This Row],[Scoring Margin]], 1, 0)</f>
        <v>1</v>
      </c>
      <c r="AF687" s="5">
        <f>IF(Table3[[#This Row],[Efficiency Difference]]*0.2146 -5 &gt; Table3[[#This Row],[Scoring Margin]], 1, 0)</f>
        <v>1</v>
      </c>
      <c r="AG687" s="5">
        <f>IF(Table3[[#This Row],[Efficiency Difference]]*0.2146 -10 &gt; Table3[[#This Row],[Scoring Margin]], 1, 0)</f>
        <v>1</v>
      </c>
    </row>
    <row r="688" spans="2:33">
      <c r="B688" s="5">
        <v>164.1</v>
      </c>
      <c r="C688" s="5">
        <v>28</v>
      </c>
      <c r="X688" s="5">
        <v>164.1</v>
      </c>
      <c r="Y688" s="5">
        <v>28</v>
      </c>
      <c r="Z688" s="5">
        <f>IF(Table3[[#This Row],[Efficiency Difference]]*0.2146 &gt; Table3[[#This Row],[Scoring Margin]], 1, 0)</f>
        <v>1</v>
      </c>
      <c r="AA688" s="5">
        <f>IF(Table3[[#This Row],[Efficiency Difference]]*0.2146 + 7 &gt; Table3[[#This Row],[Scoring Margin]], 1, 0)</f>
        <v>1</v>
      </c>
      <c r="AB688" s="5">
        <f>IF(Table3[[#This Row],[Efficiency Difference]]*0.2146 + 14 &gt; Table3[[#This Row],[Scoring Margin]], 1, 0)</f>
        <v>1</v>
      </c>
      <c r="AC688" s="5">
        <f>IF(Table3[[#This Row],[Efficiency Difference]]*0.2146 + 21 &gt; Table3[[#This Row],[Scoring Margin]], 1, 0)</f>
        <v>1</v>
      </c>
      <c r="AD688" s="5">
        <f>IF(Table3[[#This Row],[Efficiency Difference]]*0.2146 -7 &gt; Table3[[#This Row],[Scoring Margin]], 1, 0)</f>
        <v>1</v>
      </c>
      <c r="AE688" s="5">
        <f>IF(Table3[[#This Row],[Efficiency Difference]]*0.2146 -3 &gt; Table3[[#This Row],[Scoring Margin]], 1, 0)</f>
        <v>1</v>
      </c>
      <c r="AF688" s="5">
        <f>IF(Table3[[#This Row],[Efficiency Difference]]*0.2146 -5 &gt; Table3[[#This Row],[Scoring Margin]], 1, 0)</f>
        <v>1</v>
      </c>
      <c r="AG688" s="5">
        <f>IF(Table3[[#This Row],[Efficiency Difference]]*0.2146 -10 &gt; Table3[[#This Row],[Scoring Margin]], 1, 0)</f>
        <v>0</v>
      </c>
    </row>
    <row r="689" spans="2:33">
      <c r="B689" s="5">
        <v>138.64000000000001</v>
      </c>
      <c r="C689" s="5">
        <v>44</v>
      </c>
      <c r="X689" s="5">
        <v>138.64000000000001</v>
      </c>
      <c r="Y689" s="5">
        <v>44</v>
      </c>
      <c r="Z689" s="5">
        <f>IF(Table3[[#This Row],[Efficiency Difference]]*0.2146 &gt; Table3[[#This Row],[Scoring Margin]], 1, 0)</f>
        <v>0</v>
      </c>
      <c r="AA689" s="5">
        <f>IF(Table3[[#This Row],[Efficiency Difference]]*0.2146 + 7 &gt; Table3[[#This Row],[Scoring Margin]], 1, 0)</f>
        <v>0</v>
      </c>
      <c r="AB689" s="5">
        <f>IF(Table3[[#This Row],[Efficiency Difference]]*0.2146 + 14 &gt; Table3[[#This Row],[Scoring Margin]], 1, 0)</f>
        <v>0</v>
      </c>
      <c r="AC689" s="5">
        <f>IF(Table3[[#This Row],[Efficiency Difference]]*0.2146 + 21 &gt; Table3[[#This Row],[Scoring Margin]], 1, 0)</f>
        <v>1</v>
      </c>
      <c r="AD689" s="5">
        <f>IF(Table3[[#This Row],[Efficiency Difference]]*0.2146 -7 &gt; Table3[[#This Row],[Scoring Margin]], 1, 0)</f>
        <v>0</v>
      </c>
      <c r="AE689" s="5">
        <f>IF(Table3[[#This Row],[Efficiency Difference]]*0.2146 -3 &gt; Table3[[#This Row],[Scoring Margin]], 1, 0)</f>
        <v>0</v>
      </c>
      <c r="AF689" s="5">
        <f>IF(Table3[[#This Row],[Efficiency Difference]]*0.2146 -5 &gt; Table3[[#This Row],[Scoring Margin]], 1, 0)</f>
        <v>0</v>
      </c>
      <c r="AG689" s="5">
        <f>IF(Table3[[#This Row],[Efficiency Difference]]*0.2146 -10 &gt; Table3[[#This Row],[Scoring Margin]], 1, 0)</f>
        <v>0</v>
      </c>
    </row>
    <row r="690" spans="2:33">
      <c r="B690" s="5">
        <v>120.94000000000003</v>
      </c>
      <c r="C690" s="5">
        <v>52</v>
      </c>
      <c r="X690" s="5">
        <v>120.94000000000003</v>
      </c>
      <c r="Y690" s="5">
        <v>52</v>
      </c>
      <c r="Z690" s="5">
        <f>IF(Table3[[#This Row],[Efficiency Difference]]*0.2146 &gt; Table3[[#This Row],[Scoring Margin]], 1, 0)</f>
        <v>0</v>
      </c>
      <c r="AA690" s="5">
        <f>IF(Table3[[#This Row],[Efficiency Difference]]*0.2146 + 7 &gt; Table3[[#This Row],[Scoring Margin]], 1, 0)</f>
        <v>0</v>
      </c>
      <c r="AB690" s="5">
        <f>IF(Table3[[#This Row],[Efficiency Difference]]*0.2146 + 14 &gt; Table3[[#This Row],[Scoring Margin]], 1, 0)</f>
        <v>0</v>
      </c>
      <c r="AC690" s="5">
        <f>IF(Table3[[#This Row],[Efficiency Difference]]*0.2146 + 21 &gt; Table3[[#This Row],[Scoring Margin]], 1, 0)</f>
        <v>0</v>
      </c>
      <c r="AD690" s="5">
        <f>IF(Table3[[#This Row],[Efficiency Difference]]*0.2146 -7 &gt; Table3[[#This Row],[Scoring Margin]], 1, 0)</f>
        <v>0</v>
      </c>
      <c r="AE690" s="5">
        <f>IF(Table3[[#This Row],[Efficiency Difference]]*0.2146 -3 &gt; Table3[[#This Row],[Scoring Margin]], 1, 0)</f>
        <v>0</v>
      </c>
      <c r="AF690" s="5">
        <f>IF(Table3[[#This Row],[Efficiency Difference]]*0.2146 -5 &gt; Table3[[#This Row],[Scoring Margin]], 1, 0)</f>
        <v>0</v>
      </c>
      <c r="AG690" s="5">
        <f>IF(Table3[[#This Row],[Efficiency Difference]]*0.2146 -10 &gt; Table3[[#This Row],[Scoring Margin]], 1, 0)</f>
        <v>0</v>
      </c>
    </row>
    <row r="691" spans="2:33">
      <c r="B691" s="5">
        <v>110.85000000000002</v>
      </c>
      <c r="C691" s="5">
        <v>18</v>
      </c>
      <c r="X691" s="5">
        <v>110.85000000000002</v>
      </c>
      <c r="Y691" s="5">
        <v>18</v>
      </c>
      <c r="Z691" s="5">
        <f>IF(Table3[[#This Row],[Efficiency Difference]]*0.2146 &gt; Table3[[#This Row],[Scoring Margin]], 1, 0)</f>
        <v>1</v>
      </c>
      <c r="AA691" s="5">
        <f>IF(Table3[[#This Row],[Efficiency Difference]]*0.2146 + 7 &gt; Table3[[#This Row],[Scoring Margin]], 1, 0)</f>
        <v>1</v>
      </c>
      <c r="AB691" s="5">
        <f>IF(Table3[[#This Row],[Efficiency Difference]]*0.2146 + 14 &gt; Table3[[#This Row],[Scoring Margin]], 1, 0)</f>
        <v>1</v>
      </c>
      <c r="AC691" s="5">
        <f>IF(Table3[[#This Row],[Efficiency Difference]]*0.2146 + 21 &gt; Table3[[#This Row],[Scoring Margin]], 1, 0)</f>
        <v>1</v>
      </c>
      <c r="AD691" s="5">
        <f>IF(Table3[[#This Row],[Efficiency Difference]]*0.2146 -7 &gt; Table3[[#This Row],[Scoring Margin]], 1, 0)</f>
        <v>0</v>
      </c>
      <c r="AE691" s="5">
        <f>IF(Table3[[#This Row],[Efficiency Difference]]*0.2146 -3 &gt; Table3[[#This Row],[Scoring Margin]], 1, 0)</f>
        <v>1</v>
      </c>
      <c r="AF691" s="5">
        <f>IF(Table3[[#This Row],[Efficiency Difference]]*0.2146 -5 &gt; Table3[[#This Row],[Scoring Margin]], 1, 0)</f>
        <v>1</v>
      </c>
      <c r="AG691" s="5">
        <f>IF(Table3[[#This Row],[Efficiency Difference]]*0.2146 -10 &gt; Table3[[#This Row],[Scoring Margin]], 1, 0)</f>
        <v>0</v>
      </c>
    </row>
    <row r="692" spans="2:33">
      <c r="B692" s="5">
        <v>12.95999999999998</v>
      </c>
      <c r="C692" s="5">
        <v>4</v>
      </c>
      <c r="X692" s="5">
        <v>12.95999999999998</v>
      </c>
      <c r="Y692" s="5">
        <v>4</v>
      </c>
      <c r="Z692" s="5">
        <f>IF(Table3[[#This Row],[Efficiency Difference]]*0.2146 &gt; Table3[[#This Row],[Scoring Margin]], 1, 0)</f>
        <v>0</v>
      </c>
      <c r="AA692" s="5">
        <f>IF(Table3[[#This Row],[Efficiency Difference]]*0.2146 + 7 &gt; Table3[[#This Row],[Scoring Margin]], 1, 0)</f>
        <v>1</v>
      </c>
      <c r="AB692" s="5">
        <f>IF(Table3[[#This Row],[Efficiency Difference]]*0.2146 + 14 &gt; Table3[[#This Row],[Scoring Margin]], 1, 0)</f>
        <v>1</v>
      </c>
      <c r="AC692" s="5">
        <f>IF(Table3[[#This Row],[Efficiency Difference]]*0.2146 + 21 &gt; Table3[[#This Row],[Scoring Margin]], 1, 0)</f>
        <v>1</v>
      </c>
      <c r="AD692" s="5">
        <f>IF(Table3[[#This Row],[Efficiency Difference]]*0.2146 -7 &gt; Table3[[#This Row],[Scoring Margin]], 1, 0)</f>
        <v>0</v>
      </c>
      <c r="AE692" s="5">
        <f>IF(Table3[[#This Row],[Efficiency Difference]]*0.2146 -3 &gt; Table3[[#This Row],[Scoring Margin]], 1, 0)</f>
        <v>0</v>
      </c>
      <c r="AF692" s="5">
        <f>IF(Table3[[#This Row],[Efficiency Difference]]*0.2146 -5 &gt; Table3[[#This Row],[Scoring Margin]], 1, 0)</f>
        <v>0</v>
      </c>
      <c r="AG692" s="5">
        <f>IF(Table3[[#This Row],[Efficiency Difference]]*0.2146 -10 &gt; Table3[[#This Row],[Scoring Margin]], 1, 0)</f>
        <v>0</v>
      </c>
    </row>
    <row r="693" spans="2:33">
      <c r="B693" s="5">
        <v>44.690000000000026</v>
      </c>
      <c r="C693" s="5">
        <v>3</v>
      </c>
      <c r="X693" s="5">
        <v>44.690000000000026</v>
      </c>
      <c r="Y693" s="5">
        <v>3</v>
      </c>
      <c r="Z693" s="5">
        <f>IF(Table3[[#This Row],[Efficiency Difference]]*0.2146 &gt; Table3[[#This Row],[Scoring Margin]], 1, 0)</f>
        <v>1</v>
      </c>
      <c r="AA693" s="5">
        <f>IF(Table3[[#This Row],[Efficiency Difference]]*0.2146 + 7 &gt; Table3[[#This Row],[Scoring Margin]], 1, 0)</f>
        <v>1</v>
      </c>
      <c r="AB693" s="5">
        <f>IF(Table3[[#This Row],[Efficiency Difference]]*0.2146 + 14 &gt; Table3[[#This Row],[Scoring Margin]], 1, 0)</f>
        <v>1</v>
      </c>
      <c r="AC693" s="5">
        <f>IF(Table3[[#This Row],[Efficiency Difference]]*0.2146 + 21 &gt; Table3[[#This Row],[Scoring Margin]], 1, 0)</f>
        <v>1</v>
      </c>
      <c r="AD693" s="5">
        <f>IF(Table3[[#This Row],[Efficiency Difference]]*0.2146 -7 &gt; Table3[[#This Row],[Scoring Margin]], 1, 0)</f>
        <v>0</v>
      </c>
      <c r="AE693" s="5">
        <f>IF(Table3[[#This Row],[Efficiency Difference]]*0.2146 -3 &gt; Table3[[#This Row],[Scoring Margin]], 1, 0)</f>
        <v>1</v>
      </c>
      <c r="AF693" s="5">
        <f>IF(Table3[[#This Row],[Efficiency Difference]]*0.2146 -5 &gt; Table3[[#This Row],[Scoring Margin]], 1, 0)</f>
        <v>1</v>
      </c>
      <c r="AG693" s="5">
        <f>IF(Table3[[#This Row],[Efficiency Difference]]*0.2146 -10 &gt; Table3[[#This Row],[Scoring Margin]], 1, 0)</f>
        <v>0</v>
      </c>
    </row>
    <row r="694" spans="2:33">
      <c r="B694" s="5">
        <v>95.07</v>
      </c>
      <c r="C694" s="5">
        <v>30</v>
      </c>
      <c r="X694" s="5">
        <v>95.07</v>
      </c>
      <c r="Y694" s="5">
        <v>30</v>
      </c>
      <c r="Z694" s="5">
        <f>IF(Table3[[#This Row],[Efficiency Difference]]*0.2146 &gt; Table3[[#This Row],[Scoring Margin]], 1, 0)</f>
        <v>0</v>
      </c>
      <c r="AA694" s="5">
        <f>IF(Table3[[#This Row],[Efficiency Difference]]*0.2146 + 7 &gt; Table3[[#This Row],[Scoring Margin]], 1, 0)</f>
        <v>0</v>
      </c>
      <c r="AB694" s="5">
        <f>IF(Table3[[#This Row],[Efficiency Difference]]*0.2146 + 14 &gt; Table3[[#This Row],[Scoring Margin]], 1, 0)</f>
        <v>1</v>
      </c>
      <c r="AC694" s="5">
        <f>IF(Table3[[#This Row],[Efficiency Difference]]*0.2146 + 21 &gt; Table3[[#This Row],[Scoring Margin]], 1, 0)</f>
        <v>1</v>
      </c>
      <c r="AD694" s="5">
        <f>IF(Table3[[#This Row],[Efficiency Difference]]*0.2146 -7 &gt; Table3[[#This Row],[Scoring Margin]], 1, 0)</f>
        <v>0</v>
      </c>
      <c r="AE694" s="5">
        <f>IF(Table3[[#This Row],[Efficiency Difference]]*0.2146 -3 &gt; Table3[[#This Row],[Scoring Margin]], 1, 0)</f>
        <v>0</v>
      </c>
      <c r="AF694" s="5">
        <f>IF(Table3[[#This Row],[Efficiency Difference]]*0.2146 -5 &gt; Table3[[#This Row],[Scoring Margin]], 1, 0)</f>
        <v>0</v>
      </c>
      <c r="AG694" s="5">
        <f>IF(Table3[[#This Row],[Efficiency Difference]]*0.2146 -10 &gt; Table3[[#This Row],[Scoring Margin]], 1, 0)</f>
        <v>0</v>
      </c>
    </row>
    <row r="695" spans="2:33">
      <c r="B695" s="5">
        <v>115.91</v>
      </c>
      <c r="C695" s="5">
        <v>23</v>
      </c>
      <c r="X695" s="5">
        <v>115.91</v>
      </c>
      <c r="Y695" s="5">
        <v>23</v>
      </c>
      <c r="Z695" s="5">
        <f>IF(Table3[[#This Row],[Efficiency Difference]]*0.2146 &gt; Table3[[#This Row],[Scoring Margin]], 1, 0)</f>
        <v>1</v>
      </c>
      <c r="AA695" s="5">
        <f>IF(Table3[[#This Row],[Efficiency Difference]]*0.2146 + 7 &gt; Table3[[#This Row],[Scoring Margin]], 1, 0)</f>
        <v>1</v>
      </c>
      <c r="AB695" s="5">
        <f>IF(Table3[[#This Row],[Efficiency Difference]]*0.2146 + 14 &gt; Table3[[#This Row],[Scoring Margin]], 1, 0)</f>
        <v>1</v>
      </c>
      <c r="AC695" s="5">
        <f>IF(Table3[[#This Row],[Efficiency Difference]]*0.2146 + 21 &gt; Table3[[#This Row],[Scoring Margin]], 1, 0)</f>
        <v>1</v>
      </c>
      <c r="AD695" s="5">
        <f>IF(Table3[[#This Row],[Efficiency Difference]]*0.2146 -7 &gt; Table3[[#This Row],[Scoring Margin]], 1, 0)</f>
        <v>0</v>
      </c>
      <c r="AE695" s="5">
        <f>IF(Table3[[#This Row],[Efficiency Difference]]*0.2146 -3 &gt; Table3[[#This Row],[Scoring Margin]], 1, 0)</f>
        <v>0</v>
      </c>
      <c r="AF695" s="5">
        <f>IF(Table3[[#This Row],[Efficiency Difference]]*0.2146 -5 &gt; Table3[[#This Row],[Scoring Margin]], 1, 0)</f>
        <v>0</v>
      </c>
      <c r="AG695" s="5">
        <f>IF(Table3[[#This Row],[Efficiency Difference]]*0.2146 -10 &gt; Table3[[#This Row],[Scoring Margin]], 1, 0)</f>
        <v>0</v>
      </c>
    </row>
    <row r="696" spans="2:33">
      <c r="B696" s="5">
        <v>9.0199999999999818</v>
      </c>
      <c r="C696" s="5">
        <v>21</v>
      </c>
      <c r="X696" s="5">
        <v>9.0199999999999818</v>
      </c>
      <c r="Y696" s="5">
        <v>21</v>
      </c>
      <c r="Z696" s="5">
        <f>IF(Table3[[#This Row],[Efficiency Difference]]*0.2146 &gt; Table3[[#This Row],[Scoring Margin]], 1, 0)</f>
        <v>0</v>
      </c>
      <c r="AA696" s="5">
        <f>IF(Table3[[#This Row],[Efficiency Difference]]*0.2146 + 7 &gt; Table3[[#This Row],[Scoring Margin]], 1, 0)</f>
        <v>0</v>
      </c>
      <c r="AB696" s="5">
        <f>IF(Table3[[#This Row],[Efficiency Difference]]*0.2146 + 14 &gt; Table3[[#This Row],[Scoring Margin]], 1, 0)</f>
        <v>0</v>
      </c>
      <c r="AC696" s="5">
        <f>IF(Table3[[#This Row],[Efficiency Difference]]*0.2146 + 21 &gt; Table3[[#This Row],[Scoring Margin]], 1, 0)</f>
        <v>1</v>
      </c>
      <c r="AD696" s="5">
        <f>IF(Table3[[#This Row],[Efficiency Difference]]*0.2146 -7 &gt; Table3[[#This Row],[Scoring Margin]], 1, 0)</f>
        <v>0</v>
      </c>
      <c r="AE696" s="5">
        <f>IF(Table3[[#This Row],[Efficiency Difference]]*0.2146 -3 &gt; Table3[[#This Row],[Scoring Margin]], 1, 0)</f>
        <v>0</v>
      </c>
      <c r="AF696" s="5">
        <f>IF(Table3[[#This Row],[Efficiency Difference]]*0.2146 -5 &gt; Table3[[#This Row],[Scoring Margin]], 1, 0)</f>
        <v>0</v>
      </c>
      <c r="AG696" s="5">
        <f>IF(Table3[[#This Row],[Efficiency Difference]]*0.2146 -10 &gt; Table3[[#This Row],[Scoring Margin]], 1, 0)</f>
        <v>0</v>
      </c>
    </row>
    <row r="697" spans="2:33">
      <c r="B697" s="5">
        <v>45.989999999999981</v>
      </c>
      <c r="C697" s="5">
        <v>6</v>
      </c>
      <c r="X697" s="5">
        <v>45.989999999999981</v>
      </c>
      <c r="Y697" s="5">
        <v>6</v>
      </c>
      <c r="Z697" s="5">
        <f>IF(Table3[[#This Row],[Efficiency Difference]]*0.2146 &gt; Table3[[#This Row],[Scoring Margin]], 1, 0)</f>
        <v>1</v>
      </c>
      <c r="AA697" s="5">
        <f>IF(Table3[[#This Row],[Efficiency Difference]]*0.2146 + 7 &gt; Table3[[#This Row],[Scoring Margin]], 1, 0)</f>
        <v>1</v>
      </c>
      <c r="AB697" s="5">
        <f>IF(Table3[[#This Row],[Efficiency Difference]]*0.2146 + 14 &gt; Table3[[#This Row],[Scoring Margin]], 1, 0)</f>
        <v>1</v>
      </c>
      <c r="AC697" s="5">
        <f>IF(Table3[[#This Row],[Efficiency Difference]]*0.2146 + 21 &gt; Table3[[#This Row],[Scoring Margin]], 1, 0)</f>
        <v>1</v>
      </c>
      <c r="AD697" s="5">
        <f>IF(Table3[[#This Row],[Efficiency Difference]]*0.2146 -7 &gt; Table3[[#This Row],[Scoring Margin]], 1, 0)</f>
        <v>0</v>
      </c>
      <c r="AE697" s="5">
        <f>IF(Table3[[#This Row],[Efficiency Difference]]*0.2146 -3 &gt; Table3[[#This Row],[Scoring Margin]], 1, 0)</f>
        <v>1</v>
      </c>
      <c r="AF697" s="5">
        <f>IF(Table3[[#This Row],[Efficiency Difference]]*0.2146 -5 &gt; Table3[[#This Row],[Scoring Margin]], 1, 0)</f>
        <v>0</v>
      </c>
      <c r="AG697" s="5">
        <f>IF(Table3[[#This Row],[Efficiency Difference]]*0.2146 -10 &gt; Table3[[#This Row],[Scoring Margin]], 1, 0)</f>
        <v>0</v>
      </c>
    </row>
    <row r="698" spans="2:33">
      <c r="B698" s="5">
        <v>78.44</v>
      </c>
      <c r="C698" s="5">
        <v>26</v>
      </c>
      <c r="X698" s="5">
        <v>78.44</v>
      </c>
      <c r="Y698" s="5">
        <v>26</v>
      </c>
      <c r="Z698" s="5">
        <f>IF(Table3[[#This Row],[Efficiency Difference]]*0.2146 &gt; Table3[[#This Row],[Scoring Margin]], 1, 0)</f>
        <v>0</v>
      </c>
      <c r="AA698" s="5">
        <f>IF(Table3[[#This Row],[Efficiency Difference]]*0.2146 + 7 &gt; Table3[[#This Row],[Scoring Margin]], 1, 0)</f>
        <v>0</v>
      </c>
      <c r="AB698" s="5">
        <f>IF(Table3[[#This Row],[Efficiency Difference]]*0.2146 + 14 &gt; Table3[[#This Row],[Scoring Margin]], 1, 0)</f>
        <v>1</v>
      </c>
      <c r="AC698" s="5">
        <f>IF(Table3[[#This Row],[Efficiency Difference]]*0.2146 + 21 &gt; Table3[[#This Row],[Scoring Margin]], 1, 0)</f>
        <v>1</v>
      </c>
      <c r="AD698" s="5">
        <f>IF(Table3[[#This Row],[Efficiency Difference]]*0.2146 -7 &gt; Table3[[#This Row],[Scoring Margin]], 1, 0)</f>
        <v>0</v>
      </c>
      <c r="AE698" s="5">
        <f>IF(Table3[[#This Row],[Efficiency Difference]]*0.2146 -3 &gt; Table3[[#This Row],[Scoring Margin]], 1, 0)</f>
        <v>0</v>
      </c>
      <c r="AF698" s="5">
        <f>IF(Table3[[#This Row],[Efficiency Difference]]*0.2146 -5 &gt; Table3[[#This Row],[Scoring Margin]], 1, 0)</f>
        <v>0</v>
      </c>
      <c r="AG698" s="5">
        <f>IF(Table3[[#This Row],[Efficiency Difference]]*0.2146 -10 &gt; Table3[[#This Row],[Scoring Margin]], 1, 0)</f>
        <v>0</v>
      </c>
    </row>
    <row r="699" spans="2:33">
      <c r="B699" s="5">
        <v>217.8</v>
      </c>
      <c r="C699" s="5">
        <v>45</v>
      </c>
      <c r="X699" s="5">
        <v>217.8</v>
      </c>
      <c r="Y699" s="5">
        <v>45</v>
      </c>
      <c r="Z699" s="5">
        <f>IF(Table3[[#This Row],[Efficiency Difference]]*0.2146 &gt; Table3[[#This Row],[Scoring Margin]], 1, 0)</f>
        <v>1</v>
      </c>
      <c r="AA699" s="5">
        <f>IF(Table3[[#This Row],[Efficiency Difference]]*0.2146 + 7 &gt; Table3[[#This Row],[Scoring Margin]], 1, 0)</f>
        <v>1</v>
      </c>
      <c r="AB699" s="5">
        <f>IF(Table3[[#This Row],[Efficiency Difference]]*0.2146 + 14 &gt; Table3[[#This Row],[Scoring Margin]], 1, 0)</f>
        <v>1</v>
      </c>
      <c r="AC699" s="5">
        <f>IF(Table3[[#This Row],[Efficiency Difference]]*0.2146 + 21 &gt; Table3[[#This Row],[Scoring Margin]], 1, 0)</f>
        <v>1</v>
      </c>
      <c r="AD699" s="5">
        <f>IF(Table3[[#This Row],[Efficiency Difference]]*0.2146 -7 &gt; Table3[[#This Row],[Scoring Margin]], 1, 0)</f>
        <v>0</v>
      </c>
      <c r="AE699" s="5">
        <f>IF(Table3[[#This Row],[Efficiency Difference]]*0.2146 -3 &gt; Table3[[#This Row],[Scoring Margin]], 1, 0)</f>
        <v>0</v>
      </c>
      <c r="AF699" s="5">
        <f>IF(Table3[[#This Row],[Efficiency Difference]]*0.2146 -5 &gt; Table3[[#This Row],[Scoring Margin]], 1, 0)</f>
        <v>0</v>
      </c>
      <c r="AG699" s="5">
        <f>IF(Table3[[#This Row],[Efficiency Difference]]*0.2146 -10 &gt; Table3[[#This Row],[Scoring Margin]], 1, 0)</f>
        <v>0</v>
      </c>
    </row>
    <row r="700" spans="2:33">
      <c r="B700" s="5">
        <v>39.289999999999964</v>
      </c>
      <c r="C700" s="5">
        <v>27</v>
      </c>
      <c r="X700" s="5">
        <v>39.289999999999964</v>
      </c>
      <c r="Y700" s="5">
        <v>27</v>
      </c>
      <c r="Z700" s="5">
        <f>IF(Table3[[#This Row],[Efficiency Difference]]*0.2146 &gt; Table3[[#This Row],[Scoring Margin]], 1, 0)</f>
        <v>0</v>
      </c>
      <c r="AA700" s="5">
        <f>IF(Table3[[#This Row],[Efficiency Difference]]*0.2146 + 7 &gt; Table3[[#This Row],[Scoring Margin]], 1, 0)</f>
        <v>0</v>
      </c>
      <c r="AB700" s="5">
        <f>IF(Table3[[#This Row],[Efficiency Difference]]*0.2146 + 14 &gt; Table3[[#This Row],[Scoring Margin]], 1, 0)</f>
        <v>0</v>
      </c>
      <c r="AC700" s="5">
        <f>IF(Table3[[#This Row],[Efficiency Difference]]*0.2146 + 21 &gt; Table3[[#This Row],[Scoring Margin]], 1, 0)</f>
        <v>1</v>
      </c>
      <c r="AD700" s="5">
        <f>IF(Table3[[#This Row],[Efficiency Difference]]*0.2146 -7 &gt; Table3[[#This Row],[Scoring Margin]], 1, 0)</f>
        <v>0</v>
      </c>
      <c r="AE700" s="5">
        <f>IF(Table3[[#This Row],[Efficiency Difference]]*0.2146 -3 &gt; Table3[[#This Row],[Scoring Margin]], 1, 0)</f>
        <v>0</v>
      </c>
      <c r="AF700" s="5">
        <f>IF(Table3[[#This Row],[Efficiency Difference]]*0.2146 -5 &gt; Table3[[#This Row],[Scoring Margin]], 1, 0)</f>
        <v>0</v>
      </c>
      <c r="AG700" s="5">
        <f>IF(Table3[[#This Row],[Efficiency Difference]]*0.2146 -10 &gt; Table3[[#This Row],[Scoring Margin]], 1, 0)</f>
        <v>0</v>
      </c>
    </row>
    <row r="701" spans="2:33">
      <c r="B701" s="5">
        <v>82.080000000000013</v>
      </c>
      <c r="C701" s="5">
        <v>26</v>
      </c>
      <c r="X701" s="5">
        <v>82.080000000000013</v>
      </c>
      <c r="Y701" s="5">
        <v>26</v>
      </c>
      <c r="Z701" s="5">
        <f>IF(Table3[[#This Row],[Efficiency Difference]]*0.2146 &gt; Table3[[#This Row],[Scoring Margin]], 1, 0)</f>
        <v>0</v>
      </c>
      <c r="AA701" s="5">
        <f>IF(Table3[[#This Row],[Efficiency Difference]]*0.2146 + 7 &gt; Table3[[#This Row],[Scoring Margin]], 1, 0)</f>
        <v>0</v>
      </c>
      <c r="AB701" s="5">
        <f>IF(Table3[[#This Row],[Efficiency Difference]]*0.2146 + 14 &gt; Table3[[#This Row],[Scoring Margin]], 1, 0)</f>
        <v>1</v>
      </c>
      <c r="AC701" s="5">
        <f>IF(Table3[[#This Row],[Efficiency Difference]]*0.2146 + 21 &gt; Table3[[#This Row],[Scoring Margin]], 1, 0)</f>
        <v>1</v>
      </c>
      <c r="AD701" s="5">
        <f>IF(Table3[[#This Row],[Efficiency Difference]]*0.2146 -7 &gt; Table3[[#This Row],[Scoring Margin]], 1, 0)</f>
        <v>0</v>
      </c>
      <c r="AE701" s="5">
        <f>IF(Table3[[#This Row],[Efficiency Difference]]*0.2146 -3 &gt; Table3[[#This Row],[Scoring Margin]], 1, 0)</f>
        <v>0</v>
      </c>
      <c r="AF701" s="5">
        <f>IF(Table3[[#This Row],[Efficiency Difference]]*0.2146 -5 &gt; Table3[[#This Row],[Scoring Margin]], 1, 0)</f>
        <v>0</v>
      </c>
      <c r="AG701" s="5">
        <f>IF(Table3[[#This Row],[Efficiency Difference]]*0.2146 -10 &gt; Table3[[#This Row],[Scoring Margin]], 1, 0)</f>
        <v>0</v>
      </c>
    </row>
    <row r="702" spans="2:33">
      <c r="B702" s="5">
        <v>10.969999999999985</v>
      </c>
      <c r="C702" s="5">
        <v>11</v>
      </c>
      <c r="X702" s="5">
        <v>10.969999999999985</v>
      </c>
      <c r="Y702" s="5">
        <v>11</v>
      </c>
      <c r="Z702" s="5">
        <f>IF(Table3[[#This Row],[Efficiency Difference]]*0.2146 &gt; Table3[[#This Row],[Scoring Margin]], 1, 0)</f>
        <v>0</v>
      </c>
      <c r="AA702" s="5">
        <f>IF(Table3[[#This Row],[Efficiency Difference]]*0.2146 + 7 &gt; Table3[[#This Row],[Scoring Margin]], 1, 0)</f>
        <v>0</v>
      </c>
      <c r="AB702" s="5">
        <f>IF(Table3[[#This Row],[Efficiency Difference]]*0.2146 + 14 &gt; Table3[[#This Row],[Scoring Margin]], 1, 0)</f>
        <v>1</v>
      </c>
      <c r="AC702" s="5">
        <f>IF(Table3[[#This Row],[Efficiency Difference]]*0.2146 + 21 &gt; Table3[[#This Row],[Scoring Margin]], 1, 0)</f>
        <v>1</v>
      </c>
      <c r="AD702" s="5">
        <f>IF(Table3[[#This Row],[Efficiency Difference]]*0.2146 -7 &gt; Table3[[#This Row],[Scoring Margin]], 1, 0)</f>
        <v>0</v>
      </c>
      <c r="AE702" s="5">
        <f>IF(Table3[[#This Row],[Efficiency Difference]]*0.2146 -3 &gt; Table3[[#This Row],[Scoring Margin]], 1, 0)</f>
        <v>0</v>
      </c>
      <c r="AF702" s="5">
        <f>IF(Table3[[#This Row],[Efficiency Difference]]*0.2146 -5 &gt; Table3[[#This Row],[Scoring Margin]], 1, 0)</f>
        <v>0</v>
      </c>
      <c r="AG702" s="5">
        <f>IF(Table3[[#This Row],[Efficiency Difference]]*0.2146 -10 &gt; Table3[[#This Row],[Scoring Margin]], 1, 0)</f>
        <v>0</v>
      </c>
    </row>
    <row r="703" spans="2:33">
      <c r="B703" s="5">
        <v>27.560000000000002</v>
      </c>
      <c r="C703" s="5">
        <v>4</v>
      </c>
      <c r="X703" s="5">
        <v>27.560000000000002</v>
      </c>
      <c r="Y703" s="5">
        <v>4</v>
      </c>
      <c r="Z703" s="5">
        <f>IF(Table3[[#This Row],[Efficiency Difference]]*0.2146 &gt; Table3[[#This Row],[Scoring Margin]], 1, 0)</f>
        <v>1</v>
      </c>
      <c r="AA703" s="5">
        <f>IF(Table3[[#This Row],[Efficiency Difference]]*0.2146 + 7 &gt; Table3[[#This Row],[Scoring Margin]], 1, 0)</f>
        <v>1</v>
      </c>
      <c r="AB703" s="5">
        <f>IF(Table3[[#This Row],[Efficiency Difference]]*0.2146 + 14 &gt; Table3[[#This Row],[Scoring Margin]], 1, 0)</f>
        <v>1</v>
      </c>
      <c r="AC703" s="5">
        <f>IF(Table3[[#This Row],[Efficiency Difference]]*0.2146 + 21 &gt; Table3[[#This Row],[Scoring Margin]], 1, 0)</f>
        <v>1</v>
      </c>
      <c r="AD703" s="5">
        <f>IF(Table3[[#This Row],[Efficiency Difference]]*0.2146 -7 &gt; Table3[[#This Row],[Scoring Margin]], 1, 0)</f>
        <v>0</v>
      </c>
      <c r="AE703" s="5">
        <f>IF(Table3[[#This Row],[Efficiency Difference]]*0.2146 -3 &gt; Table3[[#This Row],[Scoring Margin]], 1, 0)</f>
        <v>0</v>
      </c>
      <c r="AF703" s="5">
        <f>IF(Table3[[#This Row],[Efficiency Difference]]*0.2146 -5 &gt; Table3[[#This Row],[Scoring Margin]], 1, 0)</f>
        <v>0</v>
      </c>
      <c r="AG703" s="5">
        <f>IF(Table3[[#This Row],[Efficiency Difference]]*0.2146 -10 &gt; Table3[[#This Row],[Scoring Margin]], 1, 0)</f>
        <v>0</v>
      </c>
    </row>
    <row r="704" spans="2:33">
      <c r="B704" s="5">
        <v>29.829999999999984</v>
      </c>
      <c r="C704" s="5">
        <v>3</v>
      </c>
      <c r="X704" s="5">
        <v>29.829999999999984</v>
      </c>
      <c r="Y704" s="5">
        <v>3</v>
      </c>
      <c r="Z704" s="5">
        <f>IF(Table3[[#This Row],[Efficiency Difference]]*0.2146 &gt; Table3[[#This Row],[Scoring Margin]], 1, 0)</f>
        <v>1</v>
      </c>
      <c r="AA704" s="5">
        <f>IF(Table3[[#This Row],[Efficiency Difference]]*0.2146 + 7 &gt; Table3[[#This Row],[Scoring Margin]], 1, 0)</f>
        <v>1</v>
      </c>
      <c r="AB704" s="5">
        <f>IF(Table3[[#This Row],[Efficiency Difference]]*0.2146 + 14 &gt; Table3[[#This Row],[Scoring Margin]], 1, 0)</f>
        <v>1</v>
      </c>
      <c r="AC704" s="5">
        <f>IF(Table3[[#This Row],[Efficiency Difference]]*0.2146 + 21 &gt; Table3[[#This Row],[Scoring Margin]], 1, 0)</f>
        <v>1</v>
      </c>
      <c r="AD704" s="5">
        <f>IF(Table3[[#This Row],[Efficiency Difference]]*0.2146 -7 &gt; Table3[[#This Row],[Scoring Margin]], 1, 0)</f>
        <v>0</v>
      </c>
      <c r="AE704" s="5">
        <f>IF(Table3[[#This Row],[Efficiency Difference]]*0.2146 -3 &gt; Table3[[#This Row],[Scoring Margin]], 1, 0)</f>
        <v>1</v>
      </c>
      <c r="AF704" s="5">
        <f>IF(Table3[[#This Row],[Efficiency Difference]]*0.2146 -5 &gt; Table3[[#This Row],[Scoring Margin]], 1, 0)</f>
        <v>0</v>
      </c>
      <c r="AG704" s="5">
        <f>IF(Table3[[#This Row],[Efficiency Difference]]*0.2146 -10 &gt; Table3[[#This Row],[Scoring Margin]], 1, 0)</f>
        <v>0</v>
      </c>
    </row>
    <row r="705" spans="2:33">
      <c r="B705" s="5">
        <v>92.88</v>
      </c>
      <c r="C705" s="5">
        <v>20</v>
      </c>
      <c r="X705" s="5">
        <v>92.88</v>
      </c>
      <c r="Y705" s="5">
        <v>20</v>
      </c>
      <c r="Z705" s="5">
        <f>IF(Table3[[#This Row],[Efficiency Difference]]*0.2146 &gt; Table3[[#This Row],[Scoring Margin]], 1, 0)</f>
        <v>0</v>
      </c>
      <c r="AA705" s="5">
        <f>IF(Table3[[#This Row],[Efficiency Difference]]*0.2146 + 7 &gt; Table3[[#This Row],[Scoring Margin]], 1, 0)</f>
        <v>1</v>
      </c>
      <c r="AB705" s="5">
        <f>IF(Table3[[#This Row],[Efficiency Difference]]*0.2146 + 14 &gt; Table3[[#This Row],[Scoring Margin]], 1, 0)</f>
        <v>1</v>
      </c>
      <c r="AC705" s="5">
        <f>IF(Table3[[#This Row],[Efficiency Difference]]*0.2146 + 21 &gt; Table3[[#This Row],[Scoring Margin]], 1, 0)</f>
        <v>1</v>
      </c>
      <c r="AD705" s="5">
        <f>IF(Table3[[#This Row],[Efficiency Difference]]*0.2146 -7 &gt; Table3[[#This Row],[Scoring Margin]], 1, 0)</f>
        <v>0</v>
      </c>
      <c r="AE705" s="5">
        <f>IF(Table3[[#This Row],[Efficiency Difference]]*0.2146 -3 &gt; Table3[[#This Row],[Scoring Margin]], 1, 0)</f>
        <v>0</v>
      </c>
      <c r="AF705" s="5">
        <f>IF(Table3[[#This Row],[Efficiency Difference]]*0.2146 -5 &gt; Table3[[#This Row],[Scoring Margin]], 1, 0)</f>
        <v>0</v>
      </c>
      <c r="AG705" s="5">
        <f>IF(Table3[[#This Row],[Efficiency Difference]]*0.2146 -10 &gt; Table3[[#This Row],[Scoring Margin]], 1, 0)</f>
        <v>0</v>
      </c>
    </row>
    <row r="706" spans="2:33">
      <c r="B706" s="5">
        <v>63.069999999999993</v>
      </c>
      <c r="C706" s="5">
        <v>19</v>
      </c>
      <c r="X706" s="5">
        <v>63.069999999999993</v>
      </c>
      <c r="Y706" s="5">
        <v>19</v>
      </c>
      <c r="Z706" s="5">
        <f>IF(Table3[[#This Row],[Efficiency Difference]]*0.2146 &gt; Table3[[#This Row],[Scoring Margin]], 1, 0)</f>
        <v>0</v>
      </c>
      <c r="AA706" s="5">
        <f>IF(Table3[[#This Row],[Efficiency Difference]]*0.2146 + 7 &gt; Table3[[#This Row],[Scoring Margin]], 1, 0)</f>
        <v>1</v>
      </c>
      <c r="AB706" s="5">
        <f>IF(Table3[[#This Row],[Efficiency Difference]]*0.2146 + 14 &gt; Table3[[#This Row],[Scoring Margin]], 1, 0)</f>
        <v>1</v>
      </c>
      <c r="AC706" s="5">
        <f>IF(Table3[[#This Row],[Efficiency Difference]]*0.2146 + 21 &gt; Table3[[#This Row],[Scoring Margin]], 1, 0)</f>
        <v>1</v>
      </c>
      <c r="AD706" s="5">
        <f>IF(Table3[[#This Row],[Efficiency Difference]]*0.2146 -7 &gt; Table3[[#This Row],[Scoring Margin]], 1, 0)</f>
        <v>0</v>
      </c>
      <c r="AE706" s="5">
        <f>IF(Table3[[#This Row],[Efficiency Difference]]*0.2146 -3 &gt; Table3[[#This Row],[Scoring Margin]], 1, 0)</f>
        <v>0</v>
      </c>
      <c r="AF706" s="5">
        <f>IF(Table3[[#This Row],[Efficiency Difference]]*0.2146 -5 &gt; Table3[[#This Row],[Scoring Margin]], 1, 0)</f>
        <v>0</v>
      </c>
      <c r="AG706" s="5">
        <f>IF(Table3[[#This Row],[Efficiency Difference]]*0.2146 -10 &gt; Table3[[#This Row],[Scoring Margin]], 1, 0)</f>
        <v>0</v>
      </c>
    </row>
    <row r="707" spans="2:33">
      <c r="B707" s="5">
        <v>0.46999999999999886</v>
      </c>
      <c r="C707" s="5">
        <v>30</v>
      </c>
      <c r="X707" s="5">
        <v>0.46999999999999886</v>
      </c>
      <c r="Y707" s="5">
        <v>30</v>
      </c>
      <c r="Z707" s="5">
        <f>IF(Table3[[#This Row],[Efficiency Difference]]*0.2146 &gt; Table3[[#This Row],[Scoring Margin]], 1, 0)</f>
        <v>0</v>
      </c>
      <c r="AA707" s="5">
        <f>IF(Table3[[#This Row],[Efficiency Difference]]*0.2146 + 7 &gt; Table3[[#This Row],[Scoring Margin]], 1, 0)</f>
        <v>0</v>
      </c>
      <c r="AB707" s="5">
        <f>IF(Table3[[#This Row],[Efficiency Difference]]*0.2146 + 14 &gt; Table3[[#This Row],[Scoring Margin]], 1, 0)</f>
        <v>0</v>
      </c>
      <c r="AC707" s="5">
        <f>IF(Table3[[#This Row],[Efficiency Difference]]*0.2146 + 21 &gt; Table3[[#This Row],[Scoring Margin]], 1, 0)</f>
        <v>0</v>
      </c>
      <c r="AD707" s="5">
        <f>IF(Table3[[#This Row],[Efficiency Difference]]*0.2146 -7 &gt; Table3[[#This Row],[Scoring Margin]], 1, 0)</f>
        <v>0</v>
      </c>
      <c r="AE707" s="5">
        <f>IF(Table3[[#This Row],[Efficiency Difference]]*0.2146 -3 &gt; Table3[[#This Row],[Scoring Margin]], 1, 0)</f>
        <v>0</v>
      </c>
      <c r="AF707" s="5">
        <f>IF(Table3[[#This Row],[Efficiency Difference]]*0.2146 -5 &gt; Table3[[#This Row],[Scoring Margin]], 1, 0)</f>
        <v>0</v>
      </c>
      <c r="AG707" s="5">
        <f>IF(Table3[[#This Row],[Efficiency Difference]]*0.2146 -10 &gt; Table3[[#This Row],[Scoring Margin]], 1, 0)</f>
        <v>0</v>
      </c>
    </row>
    <row r="708" spans="2:33">
      <c r="B708" s="5">
        <v>87.890000000000015</v>
      </c>
      <c r="C708" s="5">
        <v>3</v>
      </c>
      <c r="X708" s="5">
        <v>87.890000000000015</v>
      </c>
      <c r="Y708" s="5">
        <v>3</v>
      </c>
      <c r="Z708" s="5">
        <f>IF(Table3[[#This Row],[Efficiency Difference]]*0.2146 &gt; Table3[[#This Row],[Scoring Margin]], 1, 0)</f>
        <v>1</v>
      </c>
      <c r="AA708" s="5">
        <f>IF(Table3[[#This Row],[Efficiency Difference]]*0.2146 + 7 &gt; Table3[[#This Row],[Scoring Margin]], 1, 0)</f>
        <v>1</v>
      </c>
      <c r="AB708" s="5">
        <f>IF(Table3[[#This Row],[Efficiency Difference]]*0.2146 + 14 &gt; Table3[[#This Row],[Scoring Margin]], 1, 0)</f>
        <v>1</v>
      </c>
      <c r="AC708" s="5">
        <f>IF(Table3[[#This Row],[Efficiency Difference]]*0.2146 + 21 &gt; Table3[[#This Row],[Scoring Margin]], 1, 0)</f>
        <v>1</v>
      </c>
      <c r="AD708" s="5">
        <f>IF(Table3[[#This Row],[Efficiency Difference]]*0.2146 -7 &gt; Table3[[#This Row],[Scoring Margin]], 1, 0)</f>
        <v>1</v>
      </c>
      <c r="AE708" s="5">
        <f>IF(Table3[[#This Row],[Efficiency Difference]]*0.2146 -3 &gt; Table3[[#This Row],[Scoring Margin]], 1, 0)</f>
        <v>1</v>
      </c>
      <c r="AF708" s="5">
        <f>IF(Table3[[#This Row],[Efficiency Difference]]*0.2146 -5 &gt; Table3[[#This Row],[Scoring Margin]], 1, 0)</f>
        <v>1</v>
      </c>
      <c r="AG708" s="5">
        <f>IF(Table3[[#This Row],[Efficiency Difference]]*0.2146 -10 &gt; Table3[[#This Row],[Scoring Margin]], 1, 0)</f>
        <v>1</v>
      </c>
    </row>
    <row r="709" spans="2:33">
      <c r="B709" s="5">
        <v>88.02</v>
      </c>
      <c r="C709" s="5">
        <v>7</v>
      </c>
      <c r="X709" s="5">
        <v>88.02</v>
      </c>
      <c r="Y709" s="5">
        <v>7</v>
      </c>
      <c r="Z709" s="5">
        <f>IF(Table3[[#This Row],[Efficiency Difference]]*0.2146 &gt; Table3[[#This Row],[Scoring Margin]], 1, 0)</f>
        <v>1</v>
      </c>
      <c r="AA709" s="5">
        <f>IF(Table3[[#This Row],[Efficiency Difference]]*0.2146 + 7 &gt; Table3[[#This Row],[Scoring Margin]], 1, 0)</f>
        <v>1</v>
      </c>
      <c r="AB709" s="5">
        <f>IF(Table3[[#This Row],[Efficiency Difference]]*0.2146 + 14 &gt; Table3[[#This Row],[Scoring Margin]], 1, 0)</f>
        <v>1</v>
      </c>
      <c r="AC709" s="5">
        <f>IF(Table3[[#This Row],[Efficiency Difference]]*0.2146 + 21 &gt; Table3[[#This Row],[Scoring Margin]], 1, 0)</f>
        <v>1</v>
      </c>
      <c r="AD709" s="5">
        <f>IF(Table3[[#This Row],[Efficiency Difference]]*0.2146 -7 &gt; Table3[[#This Row],[Scoring Margin]], 1, 0)</f>
        <v>1</v>
      </c>
      <c r="AE709" s="5">
        <f>IF(Table3[[#This Row],[Efficiency Difference]]*0.2146 -3 &gt; Table3[[#This Row],[Scoring Margin]], 1, 0)</f>
        <v>1</v>
      </c>
      <c r="AF709" s="5">
        <f>IF(Table3[[#This Row],[Efficiency Difference]]*0.2146 -5 &gt; Table3[[#This Row],[Scoring Margin]], 1, 0)</f>
        <v>1</v>
      </c>
      <c r="AG709" s="5">
        <f>IF(Table3[[#This Row],[Efficiency Difference]]*0.2146 -10 &gt; Table3[[#This Row],[Scoring Margin]], 1, 0)</f>
        <v>1</v>
      </c>
    </row>
    <row r="710" spans="2:33">
      <c r="B710" s="5">
        <v>89.580000000000041</v>
      </c>
      <c r="C710" s="5">
        <v>24</v>
      </c>
      <c r="X710" s="5">
        <v>89.580000000000041</v>
      </c>
      <c r="Y710" s="5">
        <v>24</v>
      </c>
      <c r="Z710" s="5">
        <f>IF(Table3[[#This Row],[Efficiency Difference]]*0.2146 &gt; Table3[[#This Row],[Scoring Margin]], 1, 0)</f>
        <v>0</v>
      </c>
      <c r="AA710" s="5">
        <f>IF(Table3[[#This Row],[Efficiency Difference]]*0.2146 + 7 &gt; Table3[[#This Row],[Scoring Margin]], 1, 0)</f>
        <v>1</v>
      </c>
      <c r="AB710" s="5">
        <f>IF(Table3[[#This Row],[Efficiency Difference]]*0.2146 + 14 &gt; Table3[[#This Row],[Scoring Margin]], 1, 0)</f>
        <v>1</v>
      </c>
      <c r="AC710" s="5">
        <f>IF(Table3[[#This Row],[Efficiency Difference]]*0.2146 + 21 &gt; Table3[[#This Row],[Scoring Margin]], 1, 0)</f>
        <v>1</v>
      </c>
      <c r="AD710" s="5">
        <f>IF(Table3[[#This Row],[Efficiency Difference]]*0.2146 -7 &gt; Table3[[#This Row],[Scoring Margin]], 1, 0)</f>
        <v>0</v>
      </c>
      <c r="AE710" s="5">
        <f>IF(Table3[[#This Row],[Efficiency Difference]]*0.2146 -3 &gt; Table3[[#This Row],[Scoring Margin]], 1, 0)</f>
        <v>0</v>
      </c>
      <c r="AF710" s="5">
        <f>IF(Table3[[#This Row],[Efficiency Difference]]*0.2146 -5 &gt; Table3[[#This Row],[Scoring Margin]], 1, 0)</f>
        <v>0</v>
      </c>
      <c r="AG710" s="5">
        <f>IF(Table3[[#This Row],[Efficiency Difference]]*0.2146 -10 &gt; Table3[[#This Row],[Scoring Margin]], 1, 0)</f>
        <v>0</v>
      </c>
    </row>
    <row r="711" spans="2:33">
      <c r="B711" s="5">
        <v>153.42999999999998</v>
      </c>
      <c r="C711" s="5">
        <v>29</v>
      </c>
      <c r="X711" s="5">
        <v>153.42999999999998</v>
      </c>
      <c r="Y711" s="5">
        <v>29</v>
      </c>
      <c r="Z711" s="5">
        <f>IF(Table3[[#This Row],[Efficiency Difference]]*0.2146 &gt; Table3[[#This Row],[Scoring Margin]], 1, 0)</f>
        <v>1</v>
      </c>
      <c r="AA711" s="5">
        <f>IF(Table3[[#This Row],[Efficiency Difference]]*0.2146 + 7 &gt; Table3[[#This Row],[Scoring Margin]], 1, 0)</f>
        <v>1</v>
      </c>
      <c r="AB711" s="5">
        <f>IF(Table3[[#This Row],[Efficiency Difference]]*0.2146 + 14 &gt; Table3[[#This Row],[Scoring Margin]], 1, 0)</f>
        <v>1</v>
      </c>
      <c r="AC711" s="5">
        <f>IF(Table3[[#This Row],[Efficiency Difference]]*0.2146 + 21 &gt; Table3[[#This Row],[Scoring Margin]], 1, 0)</f>
        <v>1</v>
      </c>
      <c r="AD711" s="5">
        <f>IF(Table3[[#This Row],[Efficiency Difference]]*0.2146 -7 &gt; Table3[[#This Row],[Scoring Margin]], 1, 0)</f>
        <v>0</v>
      </c>
      <c r="AE711" s="5">
        <f>IF(Table3[[#This Row],[Efficiency Difference]]*0.2146 -3 &gt; Table3[[#This Row],[Scoring Margin]], 1, 0)</f>
        <v>1</v>
      </c>
      <c r="AF711" s="5">
        <f>IF(Table3[[#This Row],[Efficiency Difference]]*0.2146 -5 &gt; Table3[[#This Row],[Scoring Margin]], 1, 0)</f>
        <v>0</v>
      </c>
      <c r="AG711" s="5">
        <f>IF(Table3[[#This Row],[Efficiency Difference]]*0.2146 -10 &gt; Table3[[#This Row],[Scoring Margin]], 1, 0)</f>
        <v>0</v>
      </c>
    </row>
    <row r="712" spans="2:33">
      <c r="B712" s="5">
        <v>157.55000000000001</v>
      </c>
      <c r="C712" s="5">
        <v>34</v>
      </c>
      <c r="X712" s="5">
        <v>157.55000000000001</v>
      </c>
      <c r="Y712" s="5">
        <v>34</v>
      </c>
      <c r="Z712" s="5">
        <f>IF(Table3[[#This Row],[Efficiency Difference]]*0.2146 &gt; Table3[[#This Row],[Scoring Margin]], 1, 0)</f>
        <v>0</v>
      </c>
      <c r="AA712" s="5">
        <f>IF(Table3[[#This Row],[Efficiency Difference]]*0.2146 + 7 &gt; Table3[[#This Row],[Scoring Margin]], 1, 0)</f>
        <v>1</v>
      </c>
      <c r="AB712" s="5">
        <f>IF(Table3[[#This Row],[Efficiency Difference]]*0.2146 + 14 &gt; Table3[[#This Row],[Scoring Margin]], 1, 0)</f>
        <v>1</v>
      </c>
      <c r="AC712" s="5">
        <f>IF(Table3[[#This Row],[Efficiency Difference]]*0.2146 + 21 &gt; Table3[[#This Row],[Scoring Margin]], 1, 0)</f>
        <v>1</v>
      </c>
      <c r="AD712" s="5">
        <f>IF(Table3[[#This Row],[Efficiency Difference]]*0.2146 -7 &gt; Table3[[#This Row],[Scoring Margin]], 1, 0)</f>
        <v>0</v>
      </c>
      <c r="AE712" s="5">
        <f>IF(Table3[[#This Row],[Efficiency Difference]]*0.2146 -3 &gt; Table3[[#This Row],[Scoring Margin]], 1, 0)</f>
        <v>0</v>
      </c>
      <c r="AF712" s="5">
        <f>IF(Table3[[#This Row],[Efficiency Difference]]*0.2146 -5 &gt; Table3[[#This Row],[Scoring Margin]], 1, 0)</f>
        <v>0</v>
      </c>
      <c r="AG712" s="5">
        <f>IF(Table3[[#This Row],[Efficiency Difference]]*0.2146 -10 &gt; Table3[[#This Row],[Scoring Margin]], 1, 0)</f>
        <v>0</v>
      </c>
    </row>
    <row r="713" spans="2:33">
      <c r="B713" s="5">
        <v>153.47000000000003</v>
      </c>
      <c r="C713" s="5">
        <v>35</v>
      </c>
      <c r="X713" s="5">
        <v>153.47000000000003</v>
      </c>
      <c r="Y713" s="5">
        <v>35</v>
      </c>
      <c r="Z713" s="5">
        <f>IF(Table3[[#This Row],[Efficiency Difference]]*0.2146 &gt; Table3[[#This Row],[Scoring Margin]], 1, 0)</f>
        <v>0</v>
      </c>
      <c r="AA713" s="5">
        <f>IF(Table3[[#This Row],[Efficiency Difference]]*0.2146 + 7 &gt; Table3[[#This Row],[Scoring Margin]], 1, 0)</f>
        <v>1</v>
      </c>
      <c r="AB713" s="5">
        <f>IF(Table3[[#This Row],[Efficiency Difference]]*0.2146 + 14 &gt; Table3[[#This Row],[Scoring Margin]], 1, 0)</f>
        <v>1</v>
      </c>
      <c r="AC713" s="5">
        <f>IF(Table3[[#This Row],[Efficiency Difference]]*0.2146 + 21 &gt; Table3[[#This Row],[Scoring Margin]], 1, 0)</f>
        <v>1</v>
      </c>
      <c r="AD713" s="5">
        <f>IF(Table3[[#This Row],[Efficiency Difference]]*0.2146 -7 &gt; Table3[[#This Row],[Scoring Margin]], 1, 0)</f>
        <v>0</v>
      </c>
      <c r="AE713" s="5">
        <f>IF(Table3[[#This Row],[Efficiency Difference]]*0.2146 -3 &gt; Table3[[#This Row],[Scoring Margin]], 1, 0)</f>
        <v>0</v>
      </c>
      <c r="AF713" s="5">
        <f>IF(Table3[[#This Row],[Efficiency Difference]]*0.2146 -5 &gt; Table3[[#This Row],[Scoring Margin]], 1, 0)</f>
        <v>0</v>
      </c>
      <c r="AG713" s="5">
        <f>IF(Table3[[#This Row],[Efficiency Difference]]*0.2146 -10 &gt; Table3[[#This Row],[Scoring Margin]], 1, 0)</f>
        <v>0</v>
      </c>
    </row>
    <row r="714" spans="2:33">
      <c r="B714" s="5">
        <v>112.70000000000005</v>
      </c>
      <c r="C714" s="5">
        <v>42</v>
      </c>
      <c r="X714" s="5">
        <v>112.70000000000005</v>
      </c>
      <c r="Y714" s="5">
        <v>42</v>
      </c>
      <c r="Z714" s="5">
        <f>IF(Table3[[#This Row],[Efficiency Difference]]*0.2146 &gt; Table3[[#This Row],[Scoring Margin]], 1, 0)</f>
        <v>0</v>
      </c>
      <c r="AA714" s="5">
        <f>IF(Table3[[#This Row],[Efficiency Difference]]*0.2146 + 7 &gt; Table3[[#This Row],[Scoring Margin]], 1, 0)</f>
        <v>0</v>
      </c>
      <c r="AB714" s="5">
        <f>IF(Table3[[#This Row],[Efficiency Difference]]*0.2146 + 14 &gt; Table3[[#This Row],[Scoring Margin]], 1, 0)</f>
        <v>0</v>
      </c>
      <c r="AC714" s="5">
        <f>IF(Table3[[#This Row],[Efficiency Difference]]*0.2146 + 21 &gt; Table3[[#This Row],[Scoring Margin]], 1, 0)</f>
        <v>1</v>
      </c>
      <c r="AD714" s="5">
        <f>IF(Table3[[#This Row],[Efficiency Difference]]*0.2146 -7 &gt; Table3[[#This Row],[Scoring Margin]], 1, 0)</f>
        <v>0</v>
      </c>
      <c r="AE714" s="5">
        <f>IF(Table3[[#This Row],[Efficiency Difference]]*0.2146 -3 &gt; Table3[[#This Row],[Scoring Margin]], 1, 0)</f>
        <v>0</v>
      </c>
      <c r="AF714" s="5">
        <f>IF(Table3[[#This Row],[Efficiency Difference]]*0.2146 -5 &gt; Table3[[#This Row],[Scoring Margin]], 1, 0)</f>
        <v>0</v>
      </c>
      <c r="AG714" s="5">
        <f>IF(Table3[[#This Row],[Efficiency Difference]]*0.2146 -10 &gt; Table3[[#This Row],[Scoring Margin]], 1, 0)</f>
        <v>0</v>
      </c>
    </row>
    <row r="715" spans="2:33">
      <c r="B715" s="5">
        <v>125.22000000000003</v>
      </c>
      <c r="C715" s="5">
        <v>31</v>
      </c>
      <c r="X715" s="5">
        <v>125.22000000000003</v>
      </c>
      <c r="Y715" s="5">
        <v>31</v>
      </c>
      <c r="Z715" s="5">
        <f>IF(Table3[[#This Row],[Efficiency Difference]]*0.2146 &gt; Table3[[#This Row],[Scoring Margin]], 1, 0)</f>
        <v>0</v>
      </c>
      <c r="AA715" s="5">
        <f>IF(Table3[[#This Row],[Efficiency Difference]]*0.2146 + 7 &gt; Table3[[#This Row],[Scoring Margin]], 1, 0)</f>
        <v>1</v>
      </c>
      <c r="AB715" s="5">
        <f>IF(Table3[[#This Row],[Efficiency Difference]]*0.2146 + 14 &gt; Table3[[#This Row],[Scoring Margin]], 1, 0)</f>
        <v>1</v>
      </c>
      <c r="AC715" s="5">
        <f>IF(Table3[[#This Row],[Efficiency Difference]]*0.2146 + 21 &gt; Table3[[#This Row],[Scoring Margin]], 1, 0)</f>
        <v>1</v>
      </c>
      <c r="AD715" s="5">
        <f>IF(Table3[[#This Row],[Efficiency Difference]]*0.2146 -7 &gt; Table3[[#This Row],[Scoring Margin]], 1, 0)</f>
        <v>0</v>
      </c>
      <c r="AE715" s="5">
        <f>IF(Table3[[#This Row],[Efficiency Difference]]*0.2146 -3 &gt; Table3[[#This Row],[Scoring Margin]], 1, 0)</f>
        <v>0</v>
      </c>
      <c r="AF715" s="5">
        <f>IF(Table3[[#This Row],[Efficiency Difference]]*0.2146 -5 &gt; Table3[[#This Row],[Scoring Margin]], 1, 0)</f>
        <v>0</v>
      </c>
      <c r="AG715" s="5">
        <f>IF(Table3[[#This Row],[Efficiency Difference]]*0.2146 -10 &gt; Table3[[#This Row],[Scoring Margin]], 1, 0)</f>
        <v>0</v>
      </c>
    </row>
    <row r="716" spans="2:33">
      <c r="B716" s="5">
        <v>178.01000000000005</v>
      </c>
      <c r="C716" s="5">
        <v>52</v>
      </c>
      <c r="X716" s="5">
        <v>178.01000000000005</v>
      </c>
      <c r="Y716" s="5">
        <v>52</v>
      </c>
      <c r="Z716" s="5">
        <f>IF(Table3[[#This Row],[Efficiency Difference]]*0.2146 &gt; Table3[[#This Row],[Scoring Margin]], 1, 0)</f>
        <v>0</v>
      </c>
      <c r="AA716" s="5">
        <f>IF(Table3[[#This Row],[Efficiency Difference]]*0.2146 + 7 &gt; Table3[[#This Row],[Scoring Margin]], 1, 0)</f>
        <v>0</v>
      </c>
      <c r="AB716" s="5">
        <f>IF(Table3[[#This Row],[Efficiency Difference]]*0.2146 + 14 &gt; Table3[[#This Row],[Scoring Margin]], 1, 0)</f>
        <v>1</v>
      </c>
      <c r="AC716" s="5">
        <f>IF(Table3[[#This Row],[Efficiency Difference]]*0.2146 + 21 &gt; Table3[[#This Row],[Scoring Margin]], 1, 0)</f>
        <v>1</v>
      </c>
      <c r="AD716" s="5">
        <f>IF(Table3[[#This Row],[Efficiency Difference]]*0.2146 -7 &gt; Table3[[#This Row],[Scoring Margin]], 1, 0)</f>
        <v>0</v>
      </c>
      <c r="AE716" s="5">
        <f>IF(Table3[[#This Row],[Efficiency Difference]]*0.2146 -3 &gt; Table3[[#This Row],[Scoring Margin]], 1, 0)</f>
        <v>0</v>
      </c>
      <c r="AF716" s="5">
        <f>IF(Table3[[#This Row],[Efficiency Difference]]*0.2146 -5 &gt; Table3[[#This Row],[Scoring Margin]], 1, 0)</f>
        <v>0</v>
      </c>
      <c r="AG716" s="5">
        <f>IF(Table3[[#This Row],[Efficiency Difference]]*0.2146 -10 &gt; Table3[[#This Row],[Scoring Margin]], 1, 0)</f>
        <v>0</v>
      </c>
    </row>
    <row r="717" spans="2:33">
      <c r="B717" s="5">
        <v>31.240000000000009</v>
      </c>
      <c r="C717" s="5">
        <v>6</v>
      </c>
      <c r="X717" s="5">
        <v>31.240000000000009</v>
      </c>
      <c r="Y717" s="5">
        <v>6</v>
      </c>
      <c r="Z717" s="5">
        <f>IF(Table3[[#This Row],[Efficiency Difference]]*0.2146 &gt; Table3[[#This Row],[Scoring Margin]], 1, 0)</f>
        <v>1</v>
      </c>
      <c r="AA717" s="5">
        <f>IF(Table3[[#This Row],[Efficiency Difference]]*0.2146 + 7 &gt; Table3[[#This Row],[Scoring Margin]], 1, 0)</f>
        <v>1</v>
      </c>
      <c r="AB717" s="5">
        <f>IF(Table3[[#This Row],[Efficiency Difference]]*0.2146 + 14 &gt; Table3[[#This Row],[Scoring Margin]], 1, 0)</f>
        <v>1</v>
      </c>
      <c r="AC717" s="5">
        <f>IF(Table3[[#This Row],[Efficiency Difference]]*0.2146 + 21 &gt; Table3[[#This Row],[Scoring Margin]], 1, 0)</f>
        <v>1</v>
      </c>
      <c r="AD717" s="5">
        <f>IF(Table3[[#This Row],[Efficiency Difference]]*0.2146 -7 &gt; Table3[[#This Row],[Scoring Margin]], 1, 0)</f>
        <v>0</v>
      </c>
      <c r="AE717" s="5">
        <f>IF(Table3[[#This Row],[Efficiency Difference]]*0.2146 -3 &gt; Table3[[#This Row],[Scoring Margin]], 1, 0)</f>
        <v>0</v>
      </c>
      <c r="AF717" s="5">
        <f>IF(Table3[[#This Row],[Efficiency Difference]]*0.2146 -5 &gt; Table3[[#This Row],[Scoring Margin]], 1, 0)</f>
        <v>0</v>
      </c>
      <c r="AG717" s="5">
        <f>IF(Table3[[#This Row],[Efficiency Difference]]*0.2146 -10 &gt; Table3[[#This Row],[Scoring Margin]], 1, 0)</f>
        <v>0</v>
      </c>
    </row>
    <row r="718" spans="2:33">
      <c r="B718" s="5">
        <v>170.08000000000004</v>
      </c>
      <c r="C718" s="5">
        <v>35</v>
      </c>
      <c r="X718" s="5">
        <v>170.08000000000004</v>
      </c>
      <c r="Y718" s="5">
        <v>35</v>
      </c>
      <c r="Z718" s="5">
        <f>IF(Table3[[#This Row],[Efficiency Difference]]*0.2146 &gt; Table3[[#This Row],[Scoring Margin]], 1, 0)</f>
        <v>1</v>
      </c>
      <c r="AA718" s="5">
        <f>IF(Table3[[#This Row],[Efficiency Difference]]*0.2146 + 7 &gt; Table3[[#This Row],[Scoring Margin]], 1, 0)</f>
        <v>1</v>
      </c>
      <c r="AB718" s="5">
        <f>IF(Table3[[#This Row],[Efficiency Difference]]*0.2146 + 14 &gt; Table3[[#This Row],[Scoring Margin]], 1, 0)</f>
        <v>1</v>
      </c>
      <c r="AC718" s="5">
        <f>IF(Table3[[#This Row],[Efficiency Difference]]*0.2146 + 21 &gt; Table3[[#This Row],[Scoring Margin]], 1, 0)</f>
        <v>1</v>
      </c>
      <c r="AD718" s="5">
        <f>IF(Table3[[#This Row],[Efficiency Difference]]*0.2146 -7 &gt; Table3[[#This Row],[Scoring Margin]], 1, 0)</f>
        <v>0</v>
      </c>
      <c r="AE718" s="5">
        <f>IF(Table3[[#This Row],[Efficiency Difference]]*0.2146 -3 &gt; Table3[[#This Row],[Scoring Margin]], 1, 0)</f>
        <v>0</v>
      </c>
      <c r="AF718" s="5">
        <f>IF(Table3[[#This Row],[Efficiency Difference]]*0.2146 -5 &gt; Table3[[#This Row],[Scoring Margin]], 1, 0)</f>
        <v>0</v>
      </c>
      <c r="AG718" s="5">
        <f>IF(Table3[[#This Row],[Efficiency Difference]]*0.2146 -10 &gt; Table3[[#This Row],[Scoring Margin]], 1, 0)</f>
        <v>0</v>
      </c>
    </row>
    <row r="719" spans="2:33">
      <c r="B719" s="5">
        <v>70.390000000000015</v>
      </c>
      <c r="C719" s="5">
        <v>1</v>
      </c>
      <c r="X719" s="5">
        <v>70.390000000000015</v>
      </c>
      <c r="Y719" s="5">
        <v>1</v>
      </c>
      <c r="Z719" s="5">
        <f>IF(Table3[[#This Row],[Efficiency Difference]]*0.2146 &gt; Table3[[#This Row],[Scoring Margin]], 1, 0)</f>
        <v>1</v>
      </c>
      <c r="AA719" s="5">
        <f>IF(Table3[[#This Row],[Efficiency Difference]]*0.2146 + 7 &gt; Table3[[#This Row],[Scoring Margin]], 1, 0)</f>
        <v>1</v>
      </c>
      <c r="AB719" s="5">
        <f>IF(Table3[[#This Row],[Efficiency Difference]]*0.2146 + 14 &gt; Table3[[#This Row],[Scoring Margin]], 1, 0)</f>
        <v>1</v>
      </c>
      <c r="AC719" s="5">
        <f>IF(Table3[[#This Row],[Efficiency Difference]]*0.2146 + 21 &gt; Table3[[#This Row],[Scoring Margin]], 1, 0)</f>
        <v>1</v>
      </c>
      <c r="AD719" s="5">
        <f>IF(Table3[[#This Row],[Efficiency Difference]]*0.2146 -7 &gt; Table3[[#This Row],[Scoring Margin]], 1, 0)</f>
        <v>1</v>
      </c>
      <c r="AE719" s="5">
        <f>IF(Table3[[#This Row],[Efficiency Difference]]*0.2146 -3 &gt; Table3[[#This Row],[Scoring Margin]], 1, 0)</f>
        <v>1</v>
      </c>
      <c r="AF719" s="5">
        <f>IF(Table3[[#This Row],[Efficiency Difference]]*0.2146 -5 &gt; Table3[[#This Row],[Scoring Margin]], 1, 0)</f>
        <v>1</v>
      </c>
      <c r="AG719" s="5">
        <f>IF(Table3[[#This Row],[Efficiency Difference]]*0.2146 -10 &gt; Table3[[#This Row],[Scoring Margin]], 1, 0)</f>
        <v>1</v>
      </c>
    </row>
    <row r="720" spans="2:33">
      <c r="B720" s="5">
        <v>86.419999999999987</v>
      </c>
      <c r="C720" s="5">
        <v>24</v>
      </c>
      <c r="X720" s="5">
        <v>86.419999999999987</v>
      </c>
      <c r="Y720" s="5">
        <v>24</v>
      </c>
      <c r="Z720" s="5">
        <f>IF(Table3[[#This Row],[Efficiency Difference]]*0.2146 &gt; Table3[[#This Row],[Scoring Margin]], 1, 0)</f>
        <v>0</v>
      </c>
      <c r="AA720" s="5">
        <f>IF(Table3[[#This Row],[Efficiency Difference]]*0.2146 + 7 &gt; Table3[[#This Row],[Scoring Margin]], 1, 0)</f>
        <v>1</v>
      </c>
      <c r="AB720" s="5">
        <f>IF(Table3[[#This Row],[Efficiency Difference]]*0.2146 + 14 &gt; Table3[[#This Row],[Scoring Margin]], 1, 0)</f>
        <v>1</v>
      </c>
      <c r="AC720" s="5">
        <f>IF(Table3[[#This Row],[Efficiency Difference]]*0.2146 + 21 &gt; Table3[[#This Row],[Scoring Margin]], 1, 0)</f>
        <v>1</v>
      </c>
      <c r="AD720" s="5">
        <f>IF(Table3[[#This Row],[Efficiency Difference]]*0.2146 -7 &gt; Table3[[#This Row],[Scoring Margin]], 1, 0)</f>
        <v>0</v>
      </c>
      <c r="AE720" s="5">
        <f>IF(Table3[[#This Row],[Efficiency Difference]]*0.2146 -3 &gt; Table3[[#This Row],[Scoring Margin]], 1, 0)</f>
        <v>0</v>
      </c>
      <c r="AF720" s="5">
        <f>IF(Table3[[#This Row],[Efficiency Difference]]*0.2146 -5 &gt; Table3[[#This Row],[Scoring Margin]], 1, 0)</f>
        <v>0</v>
      </c>
      <c r="AG720" s="5">
        <f>IF(Table3[[#This Row],[Efficiency Difference]]*0.2146 -10 &gt; Table3[[#This Row],[Scoring Margin]], 1, 0)</f>
        <v>0</v>
      </c>
    </row>
    <row r="721" spans="2:33">
      <c r="B721" s="5">
        <v>127.60999999999999</v>
      </c>
      <c r="C721" s="5">
        <v>44</v>
      </c>
      <c r="X721" s="5">
        <v>127.60999999999999</v>
      </c>
      <c r="Y721" s="5">
        <v>44</v>
      </c>
      <c r="Z721" s="5">
        <f>IF(Table3[[#This Row],[Efficiency Difference]]*0.2146 &gt; Table3[[#This Row],[Scoring Margin]], 1, 0)</f>
        <v>0</v>
      </c>
      <c r="AA721" s="5">
        <f>IF(Table3[[#This Row],[Efficiency Difference]]*0.2146 + 7 &gt; Table3[[#This Row],[Scoring Margin]], 1, 0)</f>
        <v>0</v>
      </c>
      <c r="AB721" s="5">
        <f>IF(Table3[[#This Row],[Efficiency Difference]]*0.2146 + 14 &gt; Table3[[#This Row],[Scoring Margin]], 1, 0)</f>
        <v>0</v>
      </c>
      <c r="AC721" s="5">
        <f>IF(Table3[[#This Row],[Efficiency Difference]]*0.2146 + 21 &gt; Table3[[#This Row],[Scoring Margin]], 1, 0)</f>
        <v>1</v>
      </c>
      <c r="AD721" s="5">
        <f>IF(Table3[[#This Row],[Efficiency Difference]]*0.2146 -7 &gt; Table3[[#This Row],[Scoring Margin]], 1, 0)</f>
        <v>0</v>
      </c>
      <c r="AE721" s="5">
        <f>IF(Table3[[#This Row],[Efficiency Difference]]*0.2146 -3 &gt; Table3[[#This Row],[Scoring Margin]], 1, 0)</f>
        <v>0</v>
      </c>
      <c r="AF721" s="5">
        <f>IF(Table3[[#This Row],[Efficiency Difference]]*0.2146 -5 &gt; Table3[[#This Row],[Scoring Margin]], 1, 0)</f>
        <v>0</v>
      </c>
      <c r="AG721" s="5">
        <f>IF(Table3[[#This Row],[Efficiency Difference]]*0.2146 -10 &gt; Table3[[#This Row],[Scoring Margin]], 1, 0)</f>
        <v>0</v>
      </c>
    </row>
    <row r="722" spans="2:33">
      <c r="B722" s="5">
        <v>97.54000000000002</v>
      </c>
      <c r="C722" s="5">
        <v>27</v>
      </c>
      <c r="X722" s="5">
        <v>97.54000000000002</v>
      </c>
      <c r="Y722" s="5">
        <v>27</v>
      </c>
      <c r="Z722" s="5">
        <f>IF(Table3[[#This Row],[Efficiency Difference]]*0.2146 &gt; Table3[[#This Row],[Scoring Margin]], 1, 0)</f>
        <v>0</v>
      </c>
      <c r="AA722" s="5">
        <f>IF(Table3[[#This Row],[Efficiency Difference]]*0.2146 + 7 &gt; Table3[[#This Row],[Scoring Margin]], 1, 0)</f>
        <v>1</v>
      </c>
      <c r="AB722" s="5">
        <f>IF(Table3[[#This Row],[Efficiency Difference]]*0.2146 + 14 &gt; Table3[[#This Row],[Scoring Margin]], 1, 0)</f>
        <v>1</v>
      </c>
      <c r="AC722" s="5">
        <f>IF(Table3[[#This Row],[Efficiency Difference]]*0.2146 + 21 &gt; Table3[[#This Row],[Scoring Margin]], 1, 0)</f>
        <v>1</v>
      </c>
      <c r="AD722" s="5">
        <f>IF(Table3[[#This Row],[Efficiency Difference]]*0.2146 -7 &gt; Table3[[#This Row],[Scoring Margin]], 1, 0)</f>
        <v>0</v>
      </c>
      <c r="AE722" s="5">
        <f>IF(Table3[[#This Row],[Efficiency Difference]]*0.2146 -3 &gt; Table3[[#This Row],[Scoring Margin]], 1, 0)</f>
        <v>0</v>
      </c>
      <c r="AF722" s="5">
        <f>IF(Table3[[#This Row],[Efficiency Difference]]*0.2146 -5 &gt; Table3[[#This Row],[Scoring Margin]], 1, 0)</f>
        <v>0</v>
      </c>
      <c r="AG722" s="5">
        <f>IF(Table3[[#This Row],[Efficiency Difference]]*0.2146 -10 &gt; Table3[[#This Row],[Scoring Margin]], 1, 0)</f>
        <v>0</v>
      </c>
    </row>
    <row r="723" spans="2:33">
      <c r="B723" s="5">
        <v>75.599999999999994</v>
      </c>
      <c r="C723" s="5">
        <v>18.96</v>
      </c>
      <c r="X723" s="5">
        <v>75.599999999999994</v>
      </c>
      <c r="Y723" s="5">
        <v>18.96</v>
      </c>
      <c r="Z723" s="5">
        <f>IF(Table3[[#This Row],[Efficiency Difference]]*0.2146 &gt; Table3[[#This Row],[Scoring Margin]], 1, 0)</f>
        <v>0</v>
      </c>
      <c r="AA723" s="5">
        <f>IF(Table3[[#This Row],[Efficiency Difference]]*0.2146 + 7 &gt; Table3[[#This Row],[Scoring Margin]], 1, 0)</f>
        <v>1</v>
      </c>
      <c r="AB723" s="5">
        <f>IF(Table3[[#This Row],[Efficiency Difference]]*0.2146 + 14 &gt; Table3[[#This Row],[Scoring Margin]], 1, 0)</f>
        <v>1</v>
      </c>
      <c r="AC723" s="5">
        <f>IF(Table3[[#This Row],[Efficiency Difference]]*0.2146 + 21 &gt; Table3[[#This Row],[Scoring Margin]], 1, 0)</f>
        <v>1</v>
      </c>
      <c r="AD723" s="5">
        <f>IF(Table3[[#This Row],[Efficiency Difference]]*0.2146 -7 &gt; Table3[[#This Row],[Scoring Margin]], 1, 0)</f>
        <v>0</v>
      </c>
      <c r="AE723" s="5">
        <f>IF(Table3[[#This Row],[Efficiency Difference]]*0.2146 -3 &gt; Table3[[#This Row],[Scoring Margin]], 1, 0)</f>
        <v>0</v>
      </c>
      <c r="AF723" s="5">
        <f>IF(Table3[[#This Row],[Efficiency Difference]]*0.2146 -5 &gt; Table3[[#This Row],[Scoring Margin]], 1, 0)</f>
        <v>0</v>
      </c>
      <c r="AG723" s="5">
        <f>IF(Table3[[#This Row],[Efficiency Difference]]*0.2146 -10 &gt; Table3[[#This Row],[Scoring Margin]], 1, 0)</f>
        <v>0</v>
      </c>
    </row>
    <row r="724" spans="2:33">
      <c r="B724" s="5"/>
      <c r="C724" s="5"/>
    </row>
    <row r="725" spans="2:33">
      <c r="Z725" s="1">
        <f>AVERAGE(Table3[Below y=0.2146x])</f>
        <v>0.45706371191135736</v>
      </c>
      <c r="AA725" s="1">
        <f>AVERAGE(Table3[Below y=0.2146x + 7])</f>
        <v>0.75346260387811637</v>
      </c>
      <c r="AB725" s="1">
        <f>AVERAGE(Table3["+14"])</f>
        <v>0.89473684210526316</v>
      </c>
      <c r="AC725" s="1">
        <f>AVERAGE(Table3["+21"])</f>
        <v>0.96814404432132961</v>
      </c>
      <c r="AD725" s="1">
        <f>AVERAGE(Table3["-7"])</f>
        <v>0.18144044321329639</v>
      </c>
      <c r="AE725" s="1">
        <f>AVERAGE(Table3["-3"])</f>
        <v>0.31994459833795014</v>
      </c>
      <c r="AF725" s="1">
        <f>AVERAGE(Table3["-5"])</f>
        <v>0.26177285318559557</v>
      </c>
      <c r="AG725" s="1">
        <f>AVERAGE(Table3["-10"])</f>
        <v>0.10941828254847645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Stats</vt:lpstr>
      <vt:lpstr>Game Logs</vt:lpstr>
      <vt:lpstr>Game Comparison Form</vt:lpstr>
      <vt:lpstr>Efficiency Math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Hodge</dc:creator>
  <cp:lastModifiedBy>Nate</cp:lastModifiedBy>
  <dcterms:created xsi:type="dcterms:W3CDTF">2011-10-21T20:14:40Z</dcterms:created>
  <dcterms:modified xsi:type="dcterms:W3CDTF">2011-10-31T22:35:28Z</dcterms:modified>
</cp:coreProperties>
</file>