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105" windowWidth="13650" windowHeight="5460" tabRatio="858" activeTab="2"/>
  </bookViews>
  <sheets>
    <sheet name="Team Stats" sheetId="2" r:id="rId1"/>
    <sheet name="Game Logs" sheetId="1" r:id="rId2"/>
    <sheet name="Game Comparison Form" sheetId="3" r:id="rId3"/>
    <sheet name="Efficiency Math" sheetId="6" r:id="rId4"/>
  </sheets>
  <calcPr calcId="125725"/>
  <pivotCaches>
    <pivotCache cacheId="1" r:id="rId5"/>
  </pivotCaches>
</workbook>
</file>

<file path=xl/calcChain.xml><?xml version="1.0" encoding="utf-8"?>
<calcChain xmlns="http://schemas.openxmlformats.org/spreadsheetml/2006/main">
  <c r="AG2" i="6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1" l="1"/>
  <c r="AF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D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AP2" i="1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P173"/>
  <c r="AP174"/>
  <c r="AP175"/>
  <c r="AP176"/>
  <c r="AP177"/>
  <c r="AP178"/>
  <c r="AP179"/>
  <c r="AP180"/>
  <c r="AP181"/>
  <c r="AP182"/>
  <c r="AP183"/>
  <c r="AP184"/>
  <c r="AP185"/>
  <c r="AP186"/>
  <c r="AP187"/>
  <c r="AP188"/>
  <c r="AP189"/>
  <c r="AP190"/>
  <c r="AP191"/>
  <c r="AP192"/>
  <c r="AP193"/>
  <c r="AP194"/>
  <c r="AP195"/>
  <c r="AP196"/>
  <c r="AP197"/>
  <c r="AP198"/>
  <c r="AP199"/>
  <c r="AP200"/>
  <c r="AP201"/>
  <c r="AP202"/>
  <c r="AP203"/>
  <c r="AP204"/>
  <c r="AP205"/>
  <c r="AP206"/>
  <c r="AP207"/>
  <c r="AQ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Q186"/>
  <c r="AQ187"/>
  <c r="AQ188"/>
  <c r="AQ189"/>
  <c r="AQ190"/>
  <c r="AQ191"/>
  <c r="AQ192"/>
  <c r="AQ193"/>
  <c r="AQ194"/>
  <c r="AQ195"/>
  <c r="AQ196"/>
  <c r="AQ197"/>
  <c r="AQ198"/>
  <c r="AQ199"/>
  <c r="AQ200"/>
  <c r="AQ201"/>
  <c r="AQ202"/>
  <c r="AQ203"/>
  <c r="AQ204"/>
  <c r="AQ205"/>
  <c r="AQ206"/>
  <c r="AQ207"/>
  <c r="F6" i="3"/>
  <c r="D6"/>
  <c r="C9"/>
  <c r="C8"/>
  <c r="AK2" i="1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4"/>
  <c r="AK205"/>
  <c r="AK206"/>
  <c r="AK207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E58"/>
  <c r="AF58" s="1"/>
  <c r="AG58"/>
  <c r="AE66"/>
  <c r="AF66" s="1"/>
  <c r="AG66"/>
  <c r="AE74"/>
  <c r="AF74" s="1"/>
  <c r="AG74"/>
  <c r="AE87"/>
  <c r="AF87" s="1"/>
  <c r="AG87"/>
  <c r="AE94"/>
  <c r="AF94" s="1"/>
  <c r="AG94"/>
  <c r="AE102"/>
  <c r="AF102" s="1"/>
  <c r="AG102"/>
  <c r="AE110"/>
  <c r="AF110" s="1"/>
  <c r="AG110"/>
  <c r="AE118"/>
  <c r="AF118" s="1"/>
  <c r="AG118"/>
  <c r="AE125"/>
  <c r="AF125" s="1"/>
  <c r="AG125"/>
  <c r="AE133"/>
  <c r="AF133" s="1"/>
  <c r="AG133"/>
  <c r="AE140"/>
  <c r="AF140" s="1"/>
  <c r="AG140"/>
  <c r="AE148"/>
  <c r="AF148" s="1"/>
  <c r="AG148"/>
  <c r="AE156"/>
  <c r="AF156" s="1"/>
  <c r="AG156"/>
  <c r="AE163"/>
  <c r="AF163" s="1"/>
  <c r="AG163"/>
  <c r="AE177"/>
  <c r="AF177" s="1"/>
  <c r="AG177"/>
  <c r="AE184"/>
  <c r="AF184" s="1"/>
  <c r="AG184"/>
  <c r="AE192"/>
  <c r="AF192" s="1"/>
  <c r="AG192"/>
  <c r="AE199"/>
  <c r="AF199" s="1"/>
  <c r="AG199"/>
  <c r="AE206"/>
  <c r="AF206" s="1"/>
  <c r="AG206"/>
  <c r="AE44"/>
  <c r="AF44" s="1"/>
  <c r="AG44"/>
  <c r="AE51"/>
  <c r="AF51" s="1"/>
  <c r="AG51"/>
  <c r="AE15"/>
  <c r="AF15" s="1"/>
  <c r="AG15"/>
  <c r="AE23"/>
  <c r="AF23" s="1"/>
  <c r="AG23"/>
  <c r="AE30"/>
  <c r="AF30" s="1"/>
  <c r="AG30"/>
  <c r="AE8"/>
  <c r="AF8" s="1"/>
  <c r="AG8"/>
  <c r="D9" i="3"/>
  <c r="E9"/>
  <c r="F9"/>
  <c r="G9"/>
  <c r="E8"/>
  <c r="F8"/>
  <c r="D8"/>
  <c r="G8"/>
  <c r="AD199" i="1" l="1"/>
  <c r="AD133"/>
  <c r="AF191" i="6"/>
  <c r="AE191"/>
  <c r="AD191"/>
  <c r="AA191"/>
  <c r="AB191"/>
  <c r="AC191"/>
  <c r="Z191"/>
  <c r="AD156" i="1"/>
  <c r="AP209"/>
  <c r="AQ209"/>
  <c r="AQ211"/>
  <c r="AQ210"/>
  <c r="AD23"/>
  <c r="AD163"/>
  <c r="AD58"/>
  <c r="AD94"/>
  <c r="AD118"/>
  <c r="AD177"/>
  <c r="AD66"/>
  <c r="AA163"/>
  <c r="AA199"/>
  <c r="AD102"/>
  <c r="AD30"/>
  <c r="AD184"/>
  <c r="AD148"/>
  <c r="AD140"/>
  <c r="AD44"/>
  <c r="AD125"/>
  <c r="AD192"/>
  <c r="AD87"/>
  <c r="AD15"/>
  <c r="AD74"/>
  <c r="AC125"/>
  <c r="AD51"/>
  <c r="AD8"/>
  <c r="AD206"/>
  <c r="AD110"/>
  <c r="AA140"/>
  <c r="AA125"/>
  <c r="AC177"/>
  <c r="AA87"/>
  <c r="AC163"/>
  <c r="AA133"/>
  <c r="AA102"/>
  <c r="AA66"/>
  <c r="AA30"/>
  <c r="AA184"/>
  <c r="AA148"/>
  <c r="AA51"/>
  <c r="AC199"/>
  <c r="AA15"/>
  <c r="AA206"/>
  <c r="AA110"/>
  <c r="AA74"/>
  <c r="AC102"/>
  <c r="AC66"/>
  <c r="AC30"/>
  <c r="AC140"/>
  <c r="AB177"/>
  <c r="AA192"/>
  <c r="AA156"/>
  <c r="AA23"/>
  <c r="AA118"/>
  <c r="AA94"/>
  <c r="AA58"/>
  <c r="AC206"/>
  <c r="AA177"/>
  <c r="AA44"/>
  <c r="AA8"/>
  <c r="AC192"/>
  <c r="AC156"/>
  <c r="AB184"/>
  <c r="AB148"/>
  <c r="AC44"/>
  <c r="AC8"/>
  <c r="AC184"/>
  <c r="AC148"/>
  <c r="AB140"/>
  <c r="AB44"/>
  <c r="AB8"/>
  <c r="AC87"/>
  <c r="AC51"/>
  <c r="AC15"/>
  <c r="AC110"/>
  <c r="AC74"/>
  <c r="AB102"/>
  <c r="AB66"/>
  <c r="AB30"/>
  <c r="AC133"/>
  <c r="AC23"/>
  <c r="AB192"/>
  <c r="AB156"/>
  <c r="AB23"/>
  <c r="AB199"/>
  <c r="AB163"/>
  <c r="AB125"/>
  <c r="AB87"/>
  <c r="AB51"/>
  <c r="AB15"/>
  <c r="AC118"/>
  <c r="AC94"/>
  <c r="AC58"/>
  <c r="AB206"/>
  <c r="AB110"/>
  <c r="AB74"/>
  <c r="AB133"/>
  <c r="AB118"/>
  <c r="AB94"/>
  <c r="AB58"/>
  <c r="AG2"/>
  <c r="AG3"/>
  <c r="AG4"/>
  <c r="AG5"/>
  <c r="AR5" s="1"/>
  <c r="AS5" s="1"/>
  <c r="AG6"/>
  <c r="AG7"/>
  <c r="AG9"/>
  <c r="AG10"/>
  <c r="AG12"/>
  <c r="AG11"/>
  <c r="AR11" s="1"/>
  <c r="AS11" s="1"/>
  <c r="AG13"/>
  <c r="AG14"/>
  <c r="AG16"/>
  <c r="AG17"/>
  <c r="AG18"/>
  <c r="AG19"/>
  <c r="AG20"/>
  <c r="AG21"/>
  <c r="AG22"/>
  <c r="AG24"/>
  <c r="AG25"/>
  <c r="AG26"/>
  <c r="AG27"/>
  <c r="AG28"/>
  <c r="AG29"/>
  <c r="AG31"/>
  <c r="AG32"/>
  <c r="AG33"/>
  <c r="AG34"/>
  <c r="AG35"/>
  <c r="AR35" s="1"/>
  <c r="AS35" s="1"/>
  <c r="AG36"/>
  <c r="AG37"/>
  <c r="AG38"/>
  <c r="AG39"/>
  <c r="AG40"/>
  <c r="AG41"/>
  <c r="AG42"/>
  <c r="AG43"/>
  <c r="AG46"/>
  <c r="AG47"/>
  <c r="AG48"/>
  <c r="AG45"/>
  <c r="AG49"/>
  <c r="AG50"/>
  <c r="AG52"/>
  <c r="AG53"/>
  <c r="AG54"/>
  <c r="AG55"/>
  <c r="AG56"/>
  <c r="AG57"/>
  <c r="AG59"/>
  <c r="AG60"/>
  <c r="AG61"/>
  <c r="AG62"/>
  <c r="AG63"/>
  <c r="AG64"/>
  <c r="AG65"/>
  <c r="AG67"/>
  <c r="AG68"/>
  <c r="AG69"/>
  <c r="AG70"/>
  <c r="AG71"/>
  <c r="AG72"/>
  <c r="AG73"/>
  <c r="AG75"/>
  <c r="AG76"/>
  <c r="AG77"/>
  <c r="AG78"/>
  <c r="AG79"/>
  <c r="AG80"/>
  <c r="AG81"/>
  <c r="AG82"/>
  <c r="AG83"/>
  <c r="AG84"/>
  <c r="AG85"/>
  <c r="AG86"/>
  <c r="AG89"/>
  <c r="AG90"/>
  <c r="AG91"/>
  <c r="AG88"/>
  <c r="AG92"/>
  <c r="AG93"/>
  <c r="AG96"/>
  <c r="AG95"/>
  <c r="AG97"/>
  <c r="AG98"/>
  <c r="AG99"/>
  <c r="AG100"/>
  <c r="AG101"/>
  <c r="AG104"/>
  <c r="AG103"/>
  <c r="AG105"/>
  <c r="AG106"/>
  <c r="AG107"/>
  <c r="AG108"/>
  <c r="AG109"/>
  <c r="AG111"/>
  <c r="AG112"/>
  <c r="AG113"/>
  <c r="AG114"/>
  <c r="AG115"/>
  <c r="AG116"/>
  <c r="AG117"/>
  <c r="AG120"/>
  <c r="AG121"/>
  <c r="AG119"/>
  <c r="AG122"/>
  <c r="AG123"/>
  <c r="AG124"/>
  <c r="AG126"/>
  <c r="AG127"/>
  <c r="AG128"/>
  <c r="AG129"/>
  <c r="AG130"/>
  <c r="AG131"/>
  <c r="AG132"/>
  <c r="AG134"/>
  <c r="AG135"/>
  <c r="AG136"/>
  <c r="AG137"/>
  <c r="AG138"/>
  <c r="AG139"/>
  <c r="AG142"/>
  <c r="AG141"/>
  <c r="AG143"/>
  <c r="AG144"/>
  <c r="AG145"/>
  <c r="AG146"/>
  <c r="AG147"/>
  <c r="AG149"/>
  <c r="AG150"/>
  <c r="AG151"/>
  <c r="AG152"/>
  <c r="AG153"/>
  <c r="AG154"/>
  <c r="AG155"/>
  <c r="AG158"/>
  <c r="AG157"/>
  <c r="AG159"/>
  <c r="AG160"/>
  <c r="AG161"/>
  <c r="AG162"/>
  <c r="AG164"/>
  <c r="AG165"/>
  <c r="AG166"/>
  <c r="AG167"/>
  <c r="AG168"/>
  <c r="AG169"/>
  <c r="AG170"/>
  <c r="AG171"/>
  <c r="AG172"/>
  <c r="AG173"/>
  <c r="AG174"/>
  <c r="AG175"/>
  <c r="AG176"/>
  <c r="AG178"/>
  <c r="AG179"/>
  <c r="AG180"/>
  <c r="AG181"/>
  <c r="AG182"/>
  <c r="AG183"/>
  <c r="AG185"/>
  <c r="AG186"/>
  <c r="AG187"/>
  <c r="AG188"/>
  <c r="AG189"/>
  <c r="AG190"/>
  <c r="AG191"/>
  <c r="AR191" s="1"/>
  <c r="AS191" s="1"/>
  <c r="AG193"/>
  <c r="AG194"/>
  <c r="AG195"/>
  <c r="AG196"/>
  <c r="AG197"/>
  <c r="AG198"/>
  <c r="AG200"/>
  <c r="AG201"/>
  <c r="AG202"/>
  <c r="AG203"/>
  <c r="AG204"/>
  <c r="AG205"/>
  <c r="AG207"/>
  <c r="AE2"/>
  <c r="AE9"/>
  <c r="AF9" s="1"/>
  <c r="AE16"/>
  <c r="AF16" s="1"/>
  <c r="AE24"/>
  <c r="AF24" s="1"/>
  <c r="AE31"/>
  <c r="AF31" s="1"/>
  <c r="AE38"/>
  <c r="AF38" s="1"/>
  <c r="AE46"/>
  <c r="AE52"/>
  <c r="AF52" s="1"/>
  <c r="AE59"/>
  <c r="AF59" s="1"/>
  <c r="AE67"/>
  <c r="AF67" s="1"/>
  <c r="AE75"/>
  <c r="AF75" s="1"/>
  <c r="AE81"/>
  <c r="AF81" s="1"/>
  <c r="AE89"/>
  <c r="AF89" s="1"/>
  <c r="AE96"/>
  <c r="AF96" s="1"/>
  <c r="AE104"/>
  <c r="AF104" s="1"/>
  <c r="AE111"/>
  <c r="AF111" s="1"/>
  <c r="AE120"/>
  <c r="AF120" s="1"/>
  <c r="AE126"/>
  <c r="AF126" s="1"/>
  <c r="AE134"/>
  <c r="AF134" s="1"/>
  <c r="AE142"/>
  <c r="AF142" s="1"/>
  <c r="AE149"/>
  <c r="AF149" s="1"/>
  <c r="AE158"/>
  <c r="AF158" s="1"/>
  <c r="AE164"/>
  <c r="AF164" s="1"/>
  <c r="AE171"/>
  <c r="AF171" s="1"/>
  <c r="AE178"/>
  <c r="AF178" s="1"/>
  <c r="AE193"/>
  <c r="AF193" s="1"/>
  <c r="AE200"/>
  <c r="AF200" s="1"/>
  <c r="AE207"/>
  <c r="AF207" s="1"/>
  <c r="AE3"/>
  <c r="AF3" s="1"/>
  <c r="AE10"/>
  <c r="AF10" s="1"/>
  <c r="AE17"/>
  <c r="AF17" s="1"/>
  <c r="AE25"/>
  <c r="AF25" s="1"/>
  <c r="AE32"/>
  <c r="AF32" s="1"/>
  <c r="AE39"/>
  <c r="AF39" s="1"/>
  <c r="AE47"/>
  <c r="AF47" s="1"/>
  <c r="AE53"/>
  <c r="AF53" s="1"/>
  <c r="AE60"/>
  <c r="AF60" s="1"/>
  <c r="AE68"/>
  <c r="AF68" s="1"/>
  <c r="AE90"/>
  <c r="AF90" s="1"/>
  <c r="AE95"/>
  <c r="AF95" s="1"/>
  <c r="AE103"/>
  <c r="AF103" s="1"/>
  <c r="AE112"/>
  <c r="AF112" s="1"/>
  <c r="AE121"/>
  <c r="AF121" s="1"/>
  <c r="AE127"/>
  <c r="AF127" s="1"/>
  <c r="AE135"/>
  <c r="AF135" s="1"/>
  <c r="AE141"/>
  <c r="AF141" s="1"/>
  <c r="AE150"/>
  <c r="AF150" s="1"/>
  <c r="AE157"/>
  <c r="AF157" s="1"/>
  <c r="AE165"/>
  <c r="AF165" s="1"/>
  <c r="AE172"/>
  <c r="AF172" s="1"/>
  <c r="AE179"/>
  <c r="AF179" s="1"/>
  <c r="AE185"/>
  <c r="AF185" s="1"/>
  <c r="AE186"/>
  <c r="AF186" s="1"/>
  <c r="AE194"/>
  <c r="AF194" s="1"/>
  <c r="AE201"/>
  <c r="AF201" s="1"/>
  <c r="AE12"/>
  <c r="AF12" s="1"/>
  <c r="AE18"/>
  <c r="AF18" s="1"/>
  <c r="AE26"/>
  <c r="AF26" s="1"/>
  <c r="AE33"/>
  <c r="AF33" s="1"/>
  <c r="AE40"/>
  <c r="AF40" s="1"/>
  <c r="AE48"/>
  <c r="AF48" s="1"/>
  <c r="AE54"/>
  <c r="AF54" s="1"/>
  <c r="AE61"/>
  <c r="AF61" s="1"/>
  <c r="AE69"/>
  <c r="AF69" s="1"/>
  <c r="AE76"/>
  <c r="AF76" s="1"/>
  <c r="AE82"/>
  <c r="AF82" s="1"/>
  <c r="AE91"/>
  <c r="AF91" s="1"/>
  <c r="AE97"/>
  <c r="AF97" s="1"/>
  <c r="AE105"/>
  <c r="AF105" s="1"/>
  <c r="AE113"/>
  <c r="AF113" s="1"/>
  <c r="AE119"/>
  <c r="AF119" s="1"/>
  <c r="AE128"/>
  <c r="AF128" s="1"/>
  <c r="AE136"/>
  <c r="AF136" s="1"/>
  <c r="AE143"/>
  <c r="AF143" s="1"/>
  <c r="AE151"/>
  <c r="AF151" s="1"/>
  <c r="AE159"/>
  <c r="AF159" s="1"/>
  <c r="AE166"/>
  <c r="AF166" s="1"/>
  <c r="AE173"/>
  <c r="AF173" s="1"/>
  <c r="AE187"/>
  <c r="AF187" s="1"/>
  <c r="AE195"/>
  <c r="AF195" s="1"/>
  <c r="AE4"/>
  <c r="AF4" s="1"/>
  <c r="AE11"/>
  <c r="AF11" s="1"/>
  <c r="AE19"/>
  <c r="AF19" s="1"/>
  <c r="AE27"/>
  <c r="AF27" s="1"/>
  <c r="AE34"/>
  <c r="AF34" s="1"/>
  <c r="AE41"/>
  <c r="AF41" s="1"/>
  <c r="AE45"/>
  <c r="AF45" s="1"/>
  <c r="AE55"/>
  <c r="AF55" s="1"/>
  <c r="AE62"/>
  <c r="AF62" s="1"/>
  <c r="AE70"/>
  <c r="AF70" s="1"/>
  <c r="AE77"/>
  <c r="AF77" s="1"/>
  <c r="AE83"/>
  <c r="AF83" s="1"/>
  <c r="AE88"/>
  <c r="AF88" s="1"/>
  <c r="AE98"/>
  <c r="AF98" s="1"/>
  <c r="AE106"/>
  <c r="AF106" s="1"/>
  <c r="AE114"/>
  <c r="AF114" s="1"/>
  <c r="AE122"/>
  <c r="AF122" s="1"/>
  <c r="AE129"/>
  <c r="AF129" s="1"/>
  <c r="AE137"/>
  <c r="AF137" s="1"/>
  <c r="AE144"/>
  <c r="AF144" s="1"/>
  <c r="AE152"/>
  <c r="AF152" s="1"/>
  <c r="AE160"/>
  <c r="AF160" s="1"/>
  <c r="AE167"/>
  <c r="AF167" s="1"/>
  <c r="AE174"/>
  <c r="AF174" s="1"/>
  <c r="AE180"/>
  <c r="AF180" s="1"/>
  <c r="AE188"/>
  <c r="AF188" s="1"/>
  <c r="AE196"/>
  <c r="AF196" s="1"/>
  <c r="AE202"/>
  <c r="AF202" s="1"/>
  <c r="AE5"/>
  <c r="AF5" s="1"/>
  <c r="AE13"/>
  <c r="AF13" s="1"/>
  <c r="AE20"/>
  <c r="AF20" s="1"/>
  <c r="AE28"/>
  <c r="AF28" s="1"/>
  <c r="AE35"/>
  <c r="AF35" s="1"/>
  <c r="AE42"/>
  <c r="AF42" s="1"/>
  <c r="AE49"/>
  <c r="AF49" s="1"/>
  <c r="AE56"/>
  <c r="AF56" s="1"/>
  <c r="AE63"/>
  <c r="AF63" s="1"/>
  <c r="AE71"/>
  <c r="AF71" s="1"/>
  <c r="AE78"/>
  <c r="AF78" s="1"/>
  <c r="AE84"/>
  <c r="AF84" s="1"/>
  <c r="AE92"/>
  <c r="AF92" s="1"/>
  <c r="AE99"/>
  <c r="AF99" s="1"/>
  <c r="AE107"/>
  <c r="AF107" s="1"/>
  <c r="AE115"/>
  <c r="AF115" s="1"/>
  <c r="AE130"/>
  <c r="AF130" s="1"/>
  <c r="AE138"/>
  <c r="AF138" s="1"/>
  <c r="AE145"/>
  <c r="AF145" s="1"/>
  <c r="AE153"/>
  <c r="AF153" s="1"/>
  <c r="AE161"/>
  <c r="AF161" s="1"/>
  <c r="AE168"/>
  <c r="AF168" s="1"/>
  <c r="AE175"/>
  <c r="AF175" s="1"/>
  <c r="AE181"/>
  <c r="AF181" s="1"/>
  <c r="AE189"/>
  <c r="AF189" s="1"/>
  <c r="AE197"/>
  <c r="AF197" s="1"/>
  <c r="AE203"/>
  <c r="AF203" s="1"/>
  <c r="AE6"/>
  <c r="AF6" s="1"/>
  <c r="AE14"/>
  <c r="AF14" s="1"/>
  <c r="AE21"/>
  <c r="AF21" s="1"/>
  <c r="AE29"/>
  <c r="AF29" s="1"/>
  <c r="AE36"/>
  <c r="AF36" s="1"/>
  <c r="AE43"/>
  <c r="AF43" s="1"/>
  <c r="AE50"/>
  <c r="AF50" s="1"/>
  <c r="AE57"/>
  <c r="AF57" s="1"/>
  <c r="AE64"/>
  <c r="AF64" s="1"/>
  <c r="AE72"/>
  <c r="AF72" s="1"/>
  <c r="AE79"/>
  <c r="AF79" s="1"/>
  <c r="AE85"/>
  <c r="AF85" s="1"/>
  <c r="AE93"/>
  <c r="AF93" s="1"/>
  <c r="AE100"/>
  <c r="AF100" s="1"/>
  <c r="AE108"/>
  <c r="AF108" s="1"/>
  <c r="AE116"/>
  <c r="AF116" s="1"/>
  <c r="AE123"/>
  <c r="AF123" s="1"/>
  <c r="AE131"/>
  <c r="AF131" s="1"/>
  <c r="AE146"/>
  <c r="AF146" s="1"/>
  <c r="AE154"/>
  <c r="AF154" s="1"/>
  <c r="AE169"/>
  <c r="AF169" s="1"/>
  <c r="AE182"/>
  <c r="AF182" s="1"/>
  <c r="AE190"/>
  <c r="AF190" s="1"/>
  <c r="AE198"/>
  <c r="AF198" s="1"/>
  <c r="AE204"/>
  <c r="AF204" s="1"/>
  <c r="AE7"/>
  <c r="AF7" s="1"/>
  <c r="AE22"/>
  <c r="AF22" s="1"/>
  <c r="AE37"/>
  <c r="AF37" s="1"/>
  <c r="AE65"/>
  <c r="AF65" s="1"/>
  <c r="AE73"/>
  <c r="AF73" s="1"/>
  <c r="AE80"/>
  <c r="AF80" s="1"/>
  <c r="AE86"/>
  <c r="AF86" s="1"/>
  <c r="AE101"/>
  <c r="AF101" s="1"/>
  <c r="AE109"/>
  <c r="AF109" s="1"/>
  <c r="AE117"/>
  <c r="AF117" s="1"/>
  <c r="AE124"/>
  <c r="AF124" s="1"/>
  <c r="AE132"/>
  <c r="AF132" s="1"/>
  <c r="AE139"/>
  <c r="AF139" s="1"/>
  <c r="AE147"/>
  <c r="AF147" s="1"/>
  <c r="AE155"/>
  <c r="AF155" s="1"/>
  <c r="AE162"/>
  <c r="AF162" s="1"/>
  <c r="AE170"/>
  <c r="AF170" s="1"/>
  <c r="AE176"/>
  <c r="AF176" s="1"/>
  <c r="AE183"/>
  <c r="AF183" s="1"/>
  <c r="AE191"/>
  <c r="AF191" s="1"/>
  <c r="AE205"/>
  <c r="AF205" s="1"/>
  <c r="X209"/>
  <c r="S209"/>
  <c r="T209"/>
  <c r="U209"/>
  <c r="V209"/>
  <c r="W209"/>
  <c r="O209"/>
  <c r="P209"/>
  <c r="Q209"/>
  <c r="R209"/>
  <c r="L209"/>
  <c r="D209"/>
  <c r="E209"/>
  <c r="F209"/>
  <c r="G209"/>
  <c r="H209"/>
  <c r="I209"/>
  <c r="J209"/>
  <c r="K209"/>
  <c r="C209"/>
  <c r="AO163"/>
  <c r="AO206"/>
  <c r="AL148"/>
  <c r="AO66"/>
  <c r="AL110"/>
  <c r="AO110"/>
  <c r="AL184"/>
  <c r="AN110"/>
  <c r="AM94"/>
  <c r="AO51"/>
  <c r="AO8"/>
  <c r="AO177"/>
  <c r="AO140"/>
  <c r="AN58"/>
  <c r="AN184"/>
  <c r="AN156"/>
  <c r="AN94"/>
  <c r="AL74"/>
  <c r="AM58"/>
  <c r="AM23"/>
  <c r="AL44"/>
  <c r="AM8"/>
  <c r="AL15"/>
  <c r="AO156"/>
  <c r="AN30"/>
  <c r="AL156"/>
  <c r="AN125"/>
  <c r="AN177"/>
  <c r="AL51"/>
  <c r="AL206"/>
  <c r="AN133"/>
  <c r="AN118"/>
  <c r="AO148"/>
  <c r="AL140"/>
  <c r="AM148"/>
  <c r="AN44"/>
  <c r="AM163"/>
  <c r="AN206"/>
  <c r="AL192"/>
  <c r="AN148"/>
  <c r="AN66"/>
  <c r="AO94"/>
  <c r="AL8"/>
  <c r="AO125"/>
  <c r="AM133"/>
  <c r="AM184"/>
  <c r="AN23"/>
  <c r="AM125"/>
  <c r="AM118"/>
  <c r="AN8"/>
  <c r="AO184"/>
  <c r="AL133"/>
  <c r="AL30"/>
  <c r="AO74"/>
  <c r="AM66"/>
  <c r="AO15"/>
  <c r="AN74"/>
  <c r="AL87"/>
  <c r="AO87"/>
  <c r="AO192"/>
  <c r="AO199"/>
  <c r="AM199"/>
  <c r="AM110"/>
  <c r="AN140"/>
  <c r="AL94"/>
  <c r="AO133"/>
  <c r="AM177"/>
  <c r="AM102"/>
  <c r="AL163"/>
  <c r="AL23"/>
  <c r="AM30"/>
  <c r="AL199"/>
  <c r="AL125"/>
  <c r="AL118"/>
  <c r="AM206"/>
  <c r="AO118"/>
  <c r="AL58"/>
  <c r="AO102"/>
  <c r="AN87"/>
  <c r="AM192"/>
  <c r="AM87"/>
  <c r="AO30"/>
  <c r="AO44"/>
  <c r="AN102"/>
  <c r="AM140"/>
  <c r="AN51"/>
  <c r="AM156"/>
  <c r="AM51"/>
  <c r="AO23"/>
  <c r="AO58"/>
  <c r="AN199"/>
  <c r="AN192"/>
  <c r="AN15"/>
  <c r="AM15"/>
  <c r="E10" i="3"/>
  <c r="G10"/>
  <c r="D10"/>
  <c r="F10"/>
  <c r="AR102" i="1" l="1"/>
  <c r="AS102" s="1"/>
  <c r="AR192"/>
  <c r="AS192" s="1"/>
  <c r="AR118"/>
  <c r="AS118" s="1"/>
  <c r="AR58"/>
  <c r="AS58" s="1"/>
  <c r="AR94"/>
  <c r="AS94" s="1"/>
  <c r="AR156"/>
  <c r="AS156" s="1"/>
  <c r="AR140"/>
  <c r="AS140" s="1"/>
  <c r="AR74"/>
  <c r="AS74" s="1"/>
  <c r="AR51"/>
  <c r="AS51" s="1"/>
  <c r="AR148"/>
  <c r="AS148" s="1"/>
  <c r="AR44"/>
  <c r="AS44" s="1"/>
  <c r="AR163"/>
  <c r="AS163" s="1"/>
  <c r="AR23"/>
  <c r="AS23" s="1"/>
  <c r="AR87"/>
  <c r="AS87" s="1"/>
  <c r="AR125"/>
  <c r="AS125" s="1"/>
  <c r="AR15"/>
  <c r="AS15" s="1"/>
  <c r="AR66"/>
  <c r="AS66" s="1"/>
  <c r="AD157"/>
  <c r="AR177"/>
  <c r="AS177" s="1"/>
  <c r="AA171"/>
  <c r="AD88"/>
  <c r="AR30"/>
  <c r="AS30" s="1"/>
  <c r="AR133"/>
  <c r="AS133" s="1"/>
  <c r="AR184"/>
  <c r="AS184" s="1"/>
  <c r="AR4"/>
  <c r="AS4" s="1"/>
  <c r="AR8"/>
  <c r="AR199"/>
  <c r="AS199" s="1"/>
  <c r="AR110"/>
  <c r="AS110" s="1"/>
  <c r="AR206"/>
  <c r="AS206" s="1"/>
  <c r="D12" i="3"/>
  <c r="D13"/>
  <c r="AB134" i="1"/>
  <c r="AA5"/>
  <c r="AD152"/>
  <c r="AD56"/>
  <c r="AD2"/>
  <c r="AD55"/>
  <c r="AD189"/>
  <c r="AA53"/>
  <c r="AB11"/>
  <c r="AO4"/>
  <c r="AD186"/>
  <c r="AD103"/>
  <c r="AD201"/>
  <c r="AD185"/>
  <c r="AN11"/>
  <c r="AD187"/>
  <c r="AD159"/>
  <c r="AA63"/>
  <c r="AA144"/>
  <c r="AA62"/>
  <c r="AD18"/>
  <c r="AA194"/>
  <c r="AD202"/>
  <c r="AD188"/>
  <c r="AD174"/>
  <c r="AD161"/>
  <c r="AD147"/>
  <c r="AD121"/>
  <c r="AD92"/>
  <c r="AD65"/>
  <c r="AB52"/>
  <c r="AD38"/>
  <c r="AD25"/>
  <c r="AD12"/>
  <c r="AD24"/>
  <c r="AD172"/>
  <c r="AD9"/>
  <c r="AB104"/>
  <c r="AC197"/>
  <c r="AB183"/>
  <c r="AB170"/>
  <c r="AD158"/>
  <c r="AB143"/>
  <c r="AA129"/>
  <c r="AB101"/>
  <c r="AA89"/>
  <c r="AA75"/>
  <c r="AC48"/>
  <c r="AA20"/>
  <c r="AC196"/>
  <c r="AA182"/>
  <c r="AB155"/>
  <c r="AA141"/>
  <c r="AD128"/>
  <c r="AB114"/>
  <c r="AB100"/>
  <c r="AC86"/>
  <c r="AB73"/>
  <c r="AD60"/>
  <c r="AD33"/>
  <c r="AD173"/>
  <c r="AD105"/>
  <c r="AD200"/>
  <c r="AD22"/>
  <c r="AD21"/>
  <c r="AD193"/>
  <c r="AD179"/>
  <c r="AD166"/>
  <c r="AD138"/>
  <c r="AD124"/>
  <c r="AD111"/>
  <c r="AD70"/>
  <c r="AD42"/>
  <c r="AD29"/>
  <c r="AD16"/>
  <c r="AD160"/>
  <c r="AD78"/>
  <c r="AD117"/>
  <c r="AD36"/>
  <c r="AA76"/>
  <c r="AD195"/>
  <c r="AA71"/>
  <c r="AA3"/>
  <c r="AD178"/>
  <c r="AD137"/>
  <c r="AA123"/>
  <c r="AA95"/>
  <c r="AB82"/>
  <c r="AA14"/>
  <c r="AC158"/>
  <c r="AD50"/>
  <c r="AD145"/>
  <c r="AA77"/>
  <c r="AD198"/>
  <c r="AD116"/>
  <c r="AC142"/>
  <c r="AB180"/>
  <c r="AA176"/>
  <c r="AC122"/>
  <c r="AB68"/>
  <c r="AD54"/>
  <c r="AD40"/>
  <c r="AC146"/>
  <c r="AD64"/>
  <c r="AD131"/>
  <c r="AD49"/>
  <c r="AC85"/>
  <c r="AB203"/>
  <c r="AD175"/>
  <c r="AD162"/>
  <c r="AC149"/>
  <c r="AD135"/>
  <c r="AC80"/>
  <c r="AD67"/>
  <c r="AD39"/>
  <c r="AC26"/>
  <c r="AA203"/>
  <c r="AB149"/>
  <c r="AD14"/>
  <c r="AB202"/>
  <c r="AA39"/>
  <c r="AD52"/>
  <c r="AD170"/>
  <c r="AD77"/>
  <c r="AD183"/>
  <c r="AD182"/>
  <c r="AD89"/>
  <c r="AD101"/>
  <c r="AD20"/>
  <c r="AB24"/>
  <c r="AB48"/>
  <c r="AD171"/>
  <c r="AB62"/>
  <c r="AB60"/>
  <c r="AC39"/>
  <c r="AB196"/>
  <c r="AD26"/>
  <c r="AB175"/>
  <c r="AD76"/>
  <c r="AB39"/>
  <c r="AC63"/>
  <c r="AC20"/>
  <c r="AA135"/>
  <c r="AD100"/>
  <c r="AD53"/>
  <c r="AB63"/>
  <c r="AC203"/>
  <c r="AA205"/>
  <c r="AD205"/>
  <c r="AA191"/>
  <c r="AD191"/>
  <c r="AA165"/>
  <c r="AD165"/>
  <c r="AC151"/>
  <c r="AD151"/>
  <c r="AA109"/>
  <c r="AD109"/>
  <c r="AB109"/>
  <c r="AC95"/>
  <c r="AD95"/>
  <c r="AA82"/>
  <c r="AD82"/>
  <c r="AC69"/>
  <c r="AD69"/>
  <c r="AC41"/>
  <c r="AD41"/>
  <c r="AA28"/>
  <c r="AD28"/>
  <c r="AB69"/>
  <c r="AB56"/>
  <c r="AD3"/>
  <c r="AC190"/>
  <c r="AD190"/>
  <c r="AC164"/>
  <c r="AA164"/>
  <c r="AR164" s="1"/>
  <c r="AS164" s="1"/>
  <c r="AA136"/>
  <c r="AD136"/>
  <c r="AC108"/>
  <c r="AD108"/>
  <c r="AA108"/>
  <c r="AC81"/>
  <c r="AD81"/>
  <c r="AA81"/>
  <c r="AA13"/>
  <c r="AD13"/>
  <c r="AD123"/>
  <c r="AB54"/>
  <c r="AA204"/>
  <c r="AD204"/>
  <c r="AB204"/>
  <c r="AC150"/>
  <c r="AD150"/>
  <c r="AA122"/>
  <c r="AD122"/>
  <c r="AB122"/>
  <c r="AC96"/>
  <c r="AD96"/>
  <c r="AC68"/>
  <c r="AD68"/>
  <c r="AA27"/>
  <c r="AD27"/>
  <c r="AB81"/>
  <c r="AD164"/>
  <c r="AD176"/>
  <c r="AB137"/>
  <c r="AA195"/>
  <c r="AC195"/>
  <c r="AB181"/>
  <c r="AD181"/>
  <c r="AB168"/>
  <c r="AD168"/>
  <c r="AC154"/>
  <c r="AD154"/>
  <c r="AA154"/>
  <c r="AB142"/>
  <c r="AD142"/>
  <c r="AA142"/>
  <c r="AC127"/>
  <c r="AD127"/>
  <c r="AB113"/>
  <c r="AD113"/>
  <c r="AA99"/>
  <c r="AD99"/>
  <c r="AB85"/>
  <c r="AD85"/>
  <c r="AC72"/>
  <c r="AD72"/>
  <c r="AB59"/>
  <c r="AD59"/>
  <c r="AC59"/>
  <c r="AA46"/>
  <c r="AD46"/>
  <c r="AC46"/>
  <c r="AA32"/>
  <c r="AD32"/>
  <c r="AA4"/>
  <c r="AD4"/>
  <c r="AB4"/>
  <c r="AC109"/>
  <c r="AA180"/>
  <c r="AD180"/>
  <c r="AA167"/>
  <c r="AD167"/>
  <c r="AB167"/>
  <c r="AB153"/>
  <c r="AD153"/>
  <c r="AA139"/>
  <c r="AD139"/>
  <c r="AC139"/>
  <c r="AA126"/>
  <c r="AD126"/>
  <c r="AB126"/>
  <c r="AA112"/>
  <c r="AD112"/>
  <c r="AB98"/>
  <c r="AC98"/>
  <c r="AD98"/>
  <c r="AA98"/>
  <c r="AC84"/>
  <c r="AD84"/>
  <c r="AB71"/>
  <c r="AD71"/>
  <c r="AC71"/>
  <c r="AA57"/>
  <c r="AR57" s="1"/>
  <c r="AS57" s="1"/>
  <c r="AD57"/>
  <c r="AB43"/>
  <c r="AD43"/>
  <c r="AA31"/>
  <c r="AD31"/>
  <c r="AB31"/>
  <c r="AB17"/>
  <c r="AD17"/>
  <c r="AB14"/>
  <c r="AA207"/>
  <c r="AD207"/>
  <c r="AA97"/>
  <c r="AD97"/>
  <c r="AB83"/>
  <c r="AD83"/>
  <c r="AB95"/>
  <c r="AC181"/>
  <c r="AB28"/>
  <c r="AD194"/>
  <c r="AC93"/>
  <c r="AD93"/>
  <c r="AA11"/>
  <c r="AD11"/>
  <c r="AB106"/>
  <c r="AD106"/>
  <c r="AB79"/>
  <c r="AD79"/>
  <c r="AB189"/>
  <c r="AB198"/>
  <c r="AC76"/>
  <c r="AA60"/>
  <c r="AA149"/>
  <c r="AA175"/>
  <c r="AD62"/>
  <c r="AB132"/>
  <c r="AD132"/>
  <c r="AA120"/>
  <c r="AD120"/>
  <c r="AC37"/>
  <c r="AD37"/>
  <c r="AA10"/>
  <c r="AD10"/>
  <c r="AB135"/>
  <c r="AC11"/>
  <c r="AC135"/>
  <c r="AC60"/>
  <c r="AA86"/>
  <c r="AD86"/>
  <c r="AD149"/>
  <c r="AA91"/>
  <c r="AD91"/>
  <c r="AC183"/>
  <c r="AD5"/>
  <c r="AD80"/>
  <c r="AC107"/>
  <c r="AD107"/>
  <c r="AC144"/>
  <c r="AD144"/>
  <c r="AC130"/>
  <c r="AD130"/>
  <c r="AA90"/>
  <c r="AD90"/>
  <c r="AA45"/>
  <c r="AD45"/>
  <c r="AB35"/>
  <c r="AD35"/>
  <c r="AC7"/>
  <c r="AD7"/>
  <c r="AB5"/>
  <c r="AC77"/>
  <c r="AD75"/>
  <c r="AB93"/>
  <c r="AA143"/>
  <c r="AD143"/>
  <c r="AC129"/>
  <c r="AD129"/>
  <c r="AB115"/>
  <c r="AD115"/>
  <c r="AA61"/>
  <c r="AD61"/>
  <c r="AA48"/>
  <c r="AD48"/>
  <c r="AA34"/>
  <c r="AD34"/>
  <c r="AC6"/>
  <c r="AD6"/>
  <c r="AB34"/>
  <c r="AB91"/>
  <c r="AC89"/>
  <c r="AC21"/>
  <c r="AD203"/>
  <c r="AD134"/>
  <c r="AD197"/>
  <c r="AD104"/>
  <c r="AD63"/>
  <c r="AC119"/>
  <c r="AD119"/>
  <c r="AA169"/>
  <c r="AD169"/>
  <c r="AA155"/>
  <c r="AD155"/>
  <c r="AC141"/>
  <c r="AD141"/>
  <c r="AC114"/>
  <c r="AD114"/>
  <c r="AA73"/>
  <c r="AD73"/>
  <c r="AB47"/>
  <c r="AD47"/>
  <c r="AB19"/>
  <c r="AD19"/>
  <c r="AB103"/>
  <c r="AC155"/>
  <c r="AA104"/>
  <c r="AC104"/>
  <c r="AC175"/>
  <c r="AD146"/>
  <c r="AD196"/>
  <c r="AB97"/>
  <c r="AB77"/>
  <c r="AC97"/>
  <c r="AA193"/>
  <c r="AB193"/>
  <c r="AC193"/>
  <c r="AA179"/>
  <c r="AB179"/>
  <c r="AC179"/>
  <c r="AC166"/>
  <c r="AB166"/>
  <c r="AA152"/>
  <c r="AC152"/>
  <c r="AB152"/>
  <c r="AC138"/>
  <c r="AA138"/>
  <c r="AB138"/>
  <c r="AA124"/>
  <c r="AC124"/>
  <c r="AB124"/>
  <c r="AC111"/>
  <c r="AB111"/>
  <c r="AA111"/>
  <c r="AA70"/>
  <c r="AB70"/>
  <c r="AC56"/>
  <c r="AA56"/>
  <c r="AA42"/>
  <c r="AB42"/>
  <c r="AA29"/>
  <c r="AC29"/>
  <c r="AB29"/>
  <c r="AA16"/>
  <c r="AC16"/>
  <c r="AA2"/>
  <c r="AR2" s="1"/>
  <c r="AS2" s="1"/>
  <c r="AC2"/>
  <c r="AB2"/>
  <c r="AB207"/>
  <c r="AC202"/>
  <c r="AA202"/>
  <c r="AC188"/>
  <c r="AA188"/>
  <c r="AC174"/>
  <c r="AA174"/>
  <c r="AB174"/>
  <c r="AA161"/>
  <c r="AC161"/>
  <c r="AB161"/>
  <c r="AA147"/>
  <c r="AC147"/>
  <c r="AB147"/>
  <c r="AA134"/>
  <c r="AC134"/>
  <c r="AA121"/>
  <c r="AC121"/>
  <c r="AB121"/>
  <c r="AC106"/>
  <c r="AA106"/>
  <c r="AC92"/>
  <c r="AB92"/>
  <c r="AA92"/>
  <c r="AC79"/>
  <c r="AA79"/>
  <c r="AB65"/>
  <c r="AA65"/>
  <c r="AC65"/>
  <c r="AA52"/>
  <c r="AC52"/>
  <c r="AA38"/>
  <c r="AR38" s="1"/>
  <c r="AS38" s="1"/>
  <c r="AC38"/>
  <c r="AB38"/>
  <c r="AA25"/>
  <c r="AC25"/>
  <c r="AA12"/>
  <c r="AB12"/>
  <c r="AC12"/>
  <c r="AC83"/>
  <c r="AC201"/>
  <c r="AA201"/>
  <c r="AB201"/>
  <c r="AA187"/>
  <c r="AC187"/>
  <c r="AR187" s="1"/>
  <c r="AS187" s="1"/>
  <c r="AB187"/>
  <c r="AA173"/>
  <c r="AC173"/>
  <c r="AB173"/>
  <c r="AB160"/>
  <c r="AA160"/>
  <c r="AC160"/>
  <c r="AA146"/>
  <c r="AB146"/>
  <c r="AC132"/>
  <c r="AA132"/>
  <c r="AC120"/>
  <c r="AB120"/>
  <c r="AB105"/>
  <c r="AC105"/>
  <c r="AA105"/>
  <c r="AA88"/>
  <c r="AB88"/>
  <c r="AC78"/>
  <c r="AA78"/>
  <c r="AB78"/>
  <c r="AA64"/>
  <c r="AB64"/>
  <c r="AA50"/>
  <c r="AB50"/>
  <c r="AC50"/>
  <c r="AA37"/>
  <c r="AB37"/>
  <c r="AA24"/>
  <c r="AC24"/>
  <c r="AB10"/>
  <c r="AC10"/>
  <c r="AC64"/>
  <c r="AA166"/>
  <c r="AC91"/>
  <c r="AC200"/>
  <c r="AA200"/>
  <c r="AA159"/>
  <c r="AC159"/>
  <c r="AB159"/>
  <c r="AC117"/>
  <c r="AB117"/>
  <c r="AA117"/>
  <c r="AB36"/>
  <c r="AA36"/>
  <c r="AA9"/>
  <c r="AC9"/>
  <c r="AB9"/>
  <c r="AB188"/>
  <c r="AC36"/>
  <c r="AC42"/>
  <c r="AA186"/>
  <c r="AR186" s="1"/>
  <c r="AS186" s="1"/>
  <c r="AC186"/>
  <c r="AB186"/>
  <c r="AA172"/>
  <c r="AB172"/>
  <c r="AC172"/>
  <c r="AA145"/>
  <c r="AC145"/>
  <c r="AB145"/>
  <c r="AA131"/>
  <c r="AC131"/>
  <c r="AB131"/>
  <c r="AA103"/>
  <c r="AR103" s="1"/>
  <c r="AS103" s="1"/>
  <c r="AC103"/>
  <c r="AA49"/>
  <c r="AB49"/>
  <c r="AC49"/>
  <c r="AB22"/>
  <c r="AA22"/>
  <c r="AC22"/>
  <c r="AB25"/>
  <c r="AB16"/>
  <c r="AC207"/>
  <c r="AB200"/>
  <c r="AC88"/>
  <c r="AC70"/>
  <c r="AA83"/>
  <c r="AB178"/>
  <c r="AC178"/>
  <c r="AA137"/>
  <c r="AC137"/>
  <c r="AA55"/>
  <c r="AC55"/>
  <c r="AB46"/>
  <c r="AB3"/>
  <c r="AB89"/>
  <c r="AB107"/>
  <c r="AB144"/>
  <c r="AC167"/>
  <c r="AC62"/>
  <c r="AC3"/>
  <c r="AC28"/>
  <c r="AC32"/>
  <c r="AB136"/>
  <c r="AC180"/>
  <c r="AA68"/>
  <c r="AA93"/>
  <c r="AA35"/>
  <c r="AA72"/>
  <c r="AR72" s="1"/>
  <c r="AS72" s="1"/>
  <c r="AC5"/>
  <c r="AA183"/>
  <c r="AA197"/>
  <c r="AA54"/>
  <c r="AC54"/>
  <c r="AA40"/>
  <c r="AB40"/>
  <c r="AB45"/>
  <c r="AB86"/>
  <c r="AB55"/>
  <c r="AB154"/>
  <c r="AB119"/>
  <c r="AC35"/>
  <c r="AC61"/>
  <c r="AC205"/>
  <c r="AB20"/>
  <c r="AB164"/>
  <c r="AC40"/>
  <c r="AA80"/>
  <c r="AA47"/>
  <c r="AA84"/>
  <c r="AC53"/>
  <c r="AA26"/>
  <c r="AC19"/>
  <c r="AA196"/>
  <c r="AC189"/>
  <c r="AA189"/>
  <c r="AC162"/>
  <c r="AA162"/>
  <c r="AA67"/>
  <c r="AC67"/>
  <c r="AB57"/>
  <c r="AB61"/>
  <c r="AC34"/>
  <c r="AB27"/>
  <c r="AB171"/>
  <c r="AB67"/>
  <c r="AB195"/>
  <c r="AC47"/>
  <c r="AC191"/>
  <c r="AC73"/>
  <c r="AB90"/>
  <c r="AC27"/>
  <c r="AC171"/>
  <c r="AB32"/>
  <c r="AB176"/>
  <c r="AC204"/>
  <c r="AA130"/>
  <c r="AA59"/>
  <c r="AA96"/>
  <c r="AC31"/>
  <c r="AA6"/>
  <c r="AA85"/>
  <c r="AA198"/>
  <c r="AC198"/>
  <c r="AA185"/>
  <c r="AC185"/>
  <c r="AB157"/>
  <c r="AA157"/>
  <c r="AA116"/>
  <c r="AC116"/>
  <c r="AB21"/>
  <c r="AA21"/>
  <c r="AC82"/>
  <c r="AB75"/>
  <c r="AB72"/>
  <c r="AC75"/>
  <c r="AB80"/>
  <c r="AC100"/>
  <c r="AC170"/>
  <c r="AA178"/>
  <c r="AA107"/>
  <c r="AC90"/>
  <c r="AA170"/>
  <c r="AC45"/>
  <c r="AA114"/>
  <c r="AA7"/>
  <c r="AB158"/>
  <c r="AA158"/>
  <c r="AA115"/>
  <c r="AC115"/>
  <c r="AA101"/>
  <c r="AC101"/>
  <c r="AB129"/>
  <c r="AB130"/>
  <c r="AB127"/>
  <c r="AB191"/>
  <c r="AB84"/>
  <c r="AB150"/>
  <c r="AC112"/>
  <c r="AB76"/>
  <c r="AC182"/>
  <c r="AA190"/>
  <c r="AA119"/>
  <c r="AC57"/>
  <c r="AA19"/>
  <c r="AA128"/>
  <c r="AC128"/>
  <c r="AB33"/>
  <c r="AC33"/>
  <c r="AB141"/>
  <c r="AB169"/>
  <c r="AB26"/>
  <c r="AB182"/>
  <c r="AB99"/>
  <c r="AB41"/>
  <c r="AB185"/>
  <c r="AB139"/>
  <c r="AB96"/>
  <c r="AB162"/>
  <c r="AC14"/>
  <c r="AC99"/>
  <c r="AA33"/>
  <c r="AC194"/>
  <c r="AA100"/>
  <c r="AA41"/>
  <c r="AA150"/>
  <c r="AA168"/>
  <c r="AC168"/>
  <c r="AA113"/>
  <c r="AC113"/>
  <c r="AC18"/>
  <c r="AA18"/>
  <c r="AB194"/>
  <c r="AB6"/>
  <c r="AB53"/>
  <c r="AB197"/>
  <c r="AB7"/>
  <c r="AB151"/>
  <c r="AB108"/>
  <c r="AC13"/>
  <c r="AC157"/>
  <c r="AB116"/>
  <c r="AC136"/>
  <c r="AC176"/>
  <c r="AC126"/>
  <c r="AC165"/>
  <c r="AA127"/>
  <c r="AA181"/>
  <c r="AA153"/>
  <c r="AC153"/>
  <c r="AA43"/>
  <c r="AC43"/>
  <c r="AA17"/>
  <c r="AC17"/>
  <c r="AB165"/>
  <c r="AB190"/>
  <c r="AB13"/>
  <c r="AB205"/>
  <c r="AB18"/>
  <c r="AB123"/>
  <c r="AC143"/>
  <c r="AC169"/>
  <c r="AC123"/>
  <c r="AB128"/>
  <c r="AC4"/>
  <c r="AB112"/>
  <c r="AA69"/>
  <c r="AA151"/>
  <c r="AE210"/>
  <c r="AE211"/>
  <c r="AF2"/>
  <c r="AF46"/>
  <c r="AE209"/>
  <c r="AO10"/>
  <c r="AN90"/>
  <c r="AO33"/>
  <c r="AO46"/>
  <c r="AO34"/>
  <c r="AO191"/>
  <c r="AO91"/>
  <c r="AN207"/>
  <c r="AN5"/>
  <c r="AN35"/>
  <c r="AN32"/>
  <c r="AN190"/>
  <c r="AN47"/>
  <c r="AN162"/>
  <c r="AM105"/>
  <c r="AO67"/>
  <c r="AO18"/>
  <c r="AN26"/>
  <c r="AO75"/>
  <c r="AL143"/>
  <c r="AL137"/>
  <c r="AL76"/>
  <c r="AN178"/>
  <c r="AN61"/>
  <c r="AM174"/>
  <c r="AO80"/>
  <c r="AL96"/>
  <c r="AL102"/>
  <c r="AL5"/>
  <c r="AO172"/>
  <c r="AO12"/>
  <c r="AO108"/>
  <c r="AO123"/>
  <c r="AL177"/>
  <c r="AO28"/>
  <c r="AO21"/>
  <c r="AO185"/>
  <c r="AN65"/>
  <c r="AL66"/>
  <c r="AO20"/>
  <c r="AN73"/>
  <c r="AM190"/>
  <c r="AL112"/>
  <c r="AL109"/>
  <c r="AN144"/>
  <c r="AO179"/>
  <c r="AO37"/>
  <c r="AN151"/>
  <c r="AN7"/>
  <c r="AM41"/>
  <c r="AL181"/>
  <c r="AO187"/>
  <c r="AM61"/>
  <c r="AM152"/>
  <c r="AM146"/>
  <c r="AN54"/>
  <c r="AO85"/>
  <c r="AO68"/>
  <c r="AN158"/>
  <c r="AO5"/>
  <c r="AL144"/>
  <c r="AO114"/>
  <c r="AL32"/>
  <c r="AO173"/>
  <c r="AM25"/>
  <c r="AN83"/>
  <c r="AO50"/>
  <c r="AO41"/>
  <c r="AM205"/>
  <c r="AL49"/>
  <c r="AO96"/>
  <c r="AO121"/>
  <c r="AN69"/>
  <c r="AM93"/>
  <c r="AN172"/>
  <c r="AO194"/>
  <c r="AN50"/>
  <c r="AM168"/>
  <c r="AM44"/>
  <c r="AL134"/>
  <c r="AN85"/>
  <c r="AM186"/>
  <c r="AN38"/>
  <c r="AL103"/>
  <c r="AM45"/>
  <c r="AO89"/>
  <c r="AO154"/>
  <c r="AM36"/>
  <c r="AL28"/>
  <c r="AN63"/>
  <c r="AL194"/>
  <c r="AO90"/>
  <c r="AO175"/>
  <c r="AM18"/>
  <c r="AL4"/>
  <c r="AO52"/>
  <c r="AM14"/>
  <c r="AO48"/>
  <c r="AM166"/>
  <c r="AN134"/>
  <c r="AM50"/>
  <c r="AM141"/>
  <c r="AN103"/>
  <c r="AO24"/>
  <c r="AL56"/>
  <c r="AL24"/>
  <c r="AN141"/>
  <c r="AN88"/>
  <c r="AM164"/>
  <c r="AM139"/>
  <c r="AM74"/>
  <c r="AO60"/>
  <c r="AO76"/>
  <c r="AM198"/>
  <c r="AL175"/>
  <c r="AO136"/>
  <c r="AO98"/>
  <c r="AO178"/>
  <c r="AM65"/>
  <c r="AL101"/>
  <c r="AO59"/>
  <c r="AO124"/>
  <c r="AL79"/>
  <c r="AL85"/>
  <c r="AL80"/>
  <c r="AO95"/>
  <c r="AL126"/>
  <c r="AL189"/>
  <c r="AL63"/>
  <c r="AL185"/>
  <c r="AM69"/>
  <c r="AN108"/>
  <c r="AM137"/>
  <c r="AO126"/>
  <c r="AM28"/>
  <c r="AN37"/>
  <c r="AN24"/>
  <c r="AN2"/>
  <c r="AL141"/>
  <c r="AM82"/>
  <c r="AL39"/>
  <c r="AO205"/>
  <c r="AO81"/>
  <c r="AO72"/>
  <c r="AN109"/>
  <c r="AM98"/>
  <c r="AO43"/>
  <c r="AO73"/>
  <c r="AL171"/>
  <c r="AM4"/>
  <c r="AO45"/>
  <c r="AL77"/>
  <c r="AM88"/>
  <c r="AM157"/>
  <c r="AO128"/>
  <c r="AM85"/>
  <c r="AM135"/>
  <c r="AM120"/>
  <c r="AL84"/>
  <c r="AN80"/>
  <c r="AL71"/>
  <c r="AN166"/>
  <c r="AN17"/>
  <c r="AN128"/>
  <c r="AO159"/>
  <c r="AN93"/>
  <c r="AN204"/>
  <c r="AM34"/>
  <c r="AL138"/>
  <c r="AO47"/>
  <c r="AL65"/>
  <c r="AM78"/>
  <c r="AL104"/>
  <c r="AM96"/>
  <c r="AN104"/>
  <c r="AO204"/>
  <c r="AO130"/>
  <c r="AL149"/>
  <c r="AM67"/>
  <c r="AN196"/>
  <c r="AN12"/>
  <c r="AL86"/>
  <c r="AN185"/>
  <c r="AM132"/>
  <c r="AO119"/>
  <c r="AO35"/>
  <c r="AL53"/>
  <c r="AO105"/>
  <c r="AL2"/>
  <c r="AL207"/>
  <c r="AM38"/>
  <c r="AN205"/>
  <c r="AL157"/>
  <c r="AO157"/>
  <c r="AO88"/>
  <c r="AO103"/>
  <c r="AL191"/>
  <c r="AO82"/>
  <c r="AO142"/>
  <c r="AM59"/>
  <c r="AM167"/>
  <c r="AN98"/>
  <c r="AO207"/>
  <c r="AN76"/>
  <c r="AO62"/>
  <c r="AL124"/>
  <c r="AL29"/>
  <c r="AM11"/>
  <c r="AO186"/>
  <c r="AO147"/>
  <c r="AL201"/>
  <c r="AM24"/>
  <c r="AL11"/>
  <c r="AN171"/>
  <c r="AM122"/>
  <c r="AO71"/>
  <c r="AM189"/>
  <c r="AN137"/>
  <c r="AN21"/>
  <c r="AM113"/>
  <c r="AM42"/>
  <c r="AM143"/>
  <c r="AM153"/>
  <c r="AN183"/>
  <c r="AM187"/>
  <c r="AM181"/>
  <c r="AO166"/>
  <c r="AO2"/>
  <c r="AO171"/>
  <c r="AN39"/>
  <c r="AN127"/>
  <c r="AM31"/>
  <c r="AO11"/>
  <c r="AN135"/>
  <c r="AM119"/>
  <c r="AO38"/>
  <c r="AN96"/>
  <c r="AO145"/>
  <c r="AN81"/>
  <c r="AO120"/>
  <c r="AN6"/>
  <c r="AN200"/>
  <c r="AM162"/>
  <c r="AO143"/>
  <c r="AN29"/>
  <c r="AO101"/>
  <c r="AL10"/>
  <c r="AL99"/>
  <c r="AL152"/>
  <c r="AN46"/>
  <c r="AL34"/>
  <c r="AN136"/>
  <c r="AL91"/>
  <c r="AN164"/>
  <c r="AL187"/>
  <c r="AO92"/>
  <c r="AL75"/>
  <c r="AM114"/>
  <c r="AO117"/>
  <c r="AN129"/>
  <c r="AN193"/>
  <c r="AO83"/>
  <c r="AM195"/>
  <c r="AM52"/>
  <c r="AO203"/>
  <c r="AO139"/>
  <c r="AM22"/>
  <c r="AN71"/>
  <c r="AL27"/>
  <c r="AN79"/>
  <c r="AN107"/>
  <c r="AN68"/>
  <c r="AN176"/>
  <c r="AN147"/>
  <c r="AM48"/>
  <c r="AO127"/>
  <c r="AO61"/>
  <c r="AM12"/>
  <c r="AO49"/>
  <c r="AL73"/>
  <c r="AL89"/>
  <c r="AL19"/>
  <c r="AO196"/>
  <c r="AN40"/>
  <c r="AN186"/>
  <c r="AM134"/>
  <c r="AL55"/>
  <c r="AO144"/>
  <c r="AM5"/>
  <c r="AO141"/>
  <c r="AN155"/>
  <c r="AM70"/>
  <c r="AM2"/>
  <c r="AN121"/>
  <c r="AN105"/>
  <c r="AL37"/>
  <c r="AN9"/>
  <c r="AN36"/>
  <c r="AM131"/>
  <c r="AM178"/>
  <c r="AM86"/>
  <c r="AO9"/>
  <c r="AO64"/>
  <c r="AO131"/>
  <c r="AM109"/>
  <c r="AO164"/>
  <c r="AM126"/>
  <c r="AL57"/>
  <c r="AO168"/>
  <c r="AO27"/>
  <c r="AN131"/>
  <c r="AL120"/>
  <c r="AM145"/>
  <c r="AO158"/>
  <c r="AN14"/>
  <c r="AN89"/>
  <c r="AL42"/>
  <c r="AN150"/>
  <c r="AM68"/>
  <c r="AL135"/>
  <c r="AL9"/>
  <c r="AN33"/>
  <c r="AO17"/>
  <c r="AO55"/>
  <c r="AL67"/>
  <c r="AO151"/>
  <c r="AL136"/>
  <c r="AO165"/>
  <c r="AL132"/>
  <c r="AN19"/>
  <c r="AO112"/>
  <c r="AN100"/>
  <c r="AM73"/>
  <c r="AO167"/>
  <c r="AO70"/>
  <c r="AL165"/>
  <c r="AL69"/>
  <c r="AO16"/>
  <c r="AN117"/>
  <c r="AN91"/>
  <c r="AL129"/>
  <c r="AM103"/>
  <c r="AO134"/>
  <c r="AN119"/>
  <c r="AL38"/>
  <c r="AL88"/>
  <c r="AO100"/>
  <c r="AN72"/>
  <c r="AO161"/>
  <c r="AM200"/>
  <c r="AL188"/>
  <c r="AL81"/>
  <c r="AL122"/>
  <c r="AN203"/>
  <c r="AL22"/>
  <c r="AO189"/>
  <c r="AO169"/>
  <c r="AM64"/>
  <c r="AM39"/>
  <c r="AL142"/>
  <c r="AN159"/>
  <c r="AN59"/>
  <c r="AO160"/>
  <c r="AN113"/>
  <c r="AL167"/>
  <c r="AO150"/>
  <c r="AM10"/>
  <c r="AN82"/>
  <c r="AN78"/>
  <c r="AO13"/>
  <c r="AM3"/>
  <c r="AO152"/>
  <c r="AO25"/>
  <c r="AO40"/>
  <c r="AN152"/>
  <c r="AN130"/>
  <c r="AL106"/>
  <c r="AO176"/>
  <c r="AL198"/>
  <c r="AO190"/>
  <c r="AN146"/>
  <c r="AO180"/>
  <c r="AL3"/>
  <c r="AO77"/>
  <c r="AM79"/>
  <c r="AL195"/>
  <c r="AM170"/>
  <c r="AL18"/>
  <c r="AN13"/>
  <c r="AM138"/>
  <c r="AM97"/>
  <c r="AL70"/>
  <c r="AM179"/>
  <c r="AM124"/>
  <c r="AM29"/>
  <c r="AN132"/>
  <c r="AL64"/>
  <c r="AM117"/>
  <c r="AL145"/>
  <c r="AM27"/>
  <c r="AN157"/>
  <c r="AN43"/>
  <c r="AO29"/>
  <c r="AM56"/>
  <c r="AO197"/>
  <c r="AL166"/>
  <c r="AO6"/>
  <c r="AO132"/>
  <c r="AM201"/>
  <c r="AM127"/>
  <c r="AM53"/>
  <c r="AO106"/>
  <c r="AL176"/>
  <c r="AL82"/>
  <c r="AN188"/>
  <c r="AN28"/>
  <c r="AL151"/>
  <c r="AN42"/>
  <c r="AM142"/>
  <c r="AL160"/>
  <c r="AN153"/>
  <c r="AO26"/>
  <c r="AL193"/>
  <c r="AM91"/>
  <c r="AM182"/>
  <c r="AL179"/>
  <c r="AN92"/>
  <c r="AN138"/>
  <c r="AN3"/>
  <c r="AL200"/>
  <c r="AN114"/>
  <c r="AO42"/>
  <c r="AM46"/>
  <c r="AM203"/>
  <c r="AM161"/>
  <c r="AL25"/>
  <c r="AL146"/>
  <c r="AL78"/>
  <c r="AN10"/>
  <c r="AM159"/>
  <c r="AM172"/>
  <c r="AN49"/>
  <c r="AN55"/>
  <c r="AN53"/>
  <c r="AN189"/>
  <c r="AN191"/>
  <c r="AN31"/>
  <c r="AL116"/>
  <c r="AN45"/>
  <c r="AN115"/>
  <c r="AM191"/>
  <c r="AN112"/>
  <c r="AM26"/>
  <c r="AM197"/>
  <c r="AM123"/>
  <c r="AM63"/>
  <c r="AO109"/>
  <c r="AL159"/>
  <c r="AN139"/>
  <c r="AL61"/>
  <c r="AM111"/>
  <c r="AM101"/>
  <c r="AM90"/>
  <c r="AO137"/>
  <c r="AM92"/>
  <c r="AL161"/>
  <c r="AN22"/>
  <c r="AO78"/>
  <c r="AM57"/>
  <c r="AM71"/>
  <c r="AM115"/>
  <c r="AN174"/>
  <c r="AO195"/>
  <c r="AL31"/>
  <c r="AO3"/>
  <c r="AO31"/>
  <c r="AM155"/>
  <c r="AM81"/>
  <c r="AL40"/>
  <c r="AL16"/>
  <c r="AO153"/>
  <c r="AM6"/>
  <c r="AO155"/>
  <c r="AM151"/>
  <c r="AO149"/>
  <c r="AN175"/>
  <c r="AM47"/>
  <c r="AM35"/>
  <c r="AO138"/>
  <c r="AN198"/>
  <c r="AO183"/>
  <c r="AL62"/>
  <c r="AN165"/>
  <c r="AO19"/>
  <c r="AM21"/>
  <c r="AN101"/>
  <c r="AN168"/>
  <c r="AN123"/>
  <c r="AO188"/>
  <c r="AN194"/>
  <c r="AL41"/>
  <c r="AL158"/>
  <c r="AL20"/>
  <c r="AO201"/>
  <c r="AL197"/>
  <c r="AM207"/>
  <c r="AN20"/>
  <c r="AM40"/>
  <c r="AO115"/>
  <c r="AN170"/>
  <c r="AO162"/>
  <c r="AN120"/>
  <c r="AL68"/>
  <c r="AL26"/>
  <c r="AO107"/>
  <c r="AN163"/>
  <c r="AN180"/>
  <c r="AM204"/>
  <c r="AO97"/>
  <c r="AO111"/>
  <c r="AM19"/>
  <c r="AM32"/>
  <c r="AL50"/>
  <c r="AM202"/>
  <c r="AM136"/>
  <c r="AO63"/>
  <c r="AO122"/>
  <c r="AO129"/>
  <c r="AN56"/>
  <c r="AM72"/>
  <c r="AN95"/>
  <c r="AM129"/>
  <c r="AM99"/>
  <c r="AM43"/>
  <c r="AL52"/>
  <c r="AO57"/>
  <c r="AL98"/>
  <c r="AN48"/>
  <c r="AN145"/>
  <c r="AM106"/>
  <c r="AM60"/>
  <c r="AO69"/>
  <c r="AO39"/>
  <c r="AL83"/>
  <c r="AN197"/>
  <c r="AM144"/>
  <c r="AL47"/>
  <c r="AM33"/>
  <c r="AM194"/>
  <c r="AM116"/>
  <c r="AM13"/>
  <c r="AM112"/>
  <c r="AO14"/>
  <c r="AO53"/>
  <c r="AM149"/>
  <c r="AL205"/>
  <c r="AN142"/>
  <c r="AL13"/>
  <c r="AN154"/>
  <c r="AL170"/>
  <c r="AM84"/>
  <c r="AM76"/>
  <c r="AL155"/>
  <c r="AN60"/>
  <c r="AL180"/>
  <c r="AL204"/>
  <c r="AO174"/>
  <c r="AM183"/>
  <c r="AO86"/>
  <c r="AO113"/>
  <c r="AL107"/>
  <c r="AN34"/>
  <c r="AO200"/>
  <c r="AL123"/>
  <c r="AO84"/>
  <c r="AN169"/>
  <c r="AM7"/>
  <c r="AN195"/>
  <c r="AM128"/>
  <c r="AM20"/>
  <c r="AM165"/>
  <c r="AO146"/>
  <c r="AO54"/>
  <c r="AM100"/>
  <c r="AL90"/>
  <c r="AO135"/>
  <c r="AO182"/>
  <c r="AL12"/>
  <c r="AN173"/>
  <c r="AM104"/>
  <c r="AM89"/>
  <c r="AO116"/>
  <c r="AO202"/>
  <c r="AM16"/>
  <c r="AL128"/>
  <c r="AN4"/>
  <c r="AM17"/>
  <c r="AL7"/>
  <c r="AM160"/>
  <c r="AM75"/>
  <c r="AL130"/>
  <c r="AN122"/>
  <c r="AL121"/>
  <c r="AN116"/>
  <c r="AM169"/>
  <c r="AM108"/>
  <c r="AL60"/>
  <c r="AL174"/>
  <c r="AO181"/>
  <c r="AN41"/>
  <c r="AM55"/>
  <c r="AM188"/>
  <c r="AL131"/>
  <c r="AN67"/>
  <c r="AL6"/>
  <c r="AN18"/>
  <c r="AM193"/>
  <c r="AM80"/>
  <c r="AM121"/>
  <c r="AL111"/>
  <c r="AL108"/>
  <c r="AM150"/>
  <c r="AN187"/>
  <c r="AO170"/>
  <c r="AN179"/>
  <c r="AO93"/>
  <c r="AL202"/>
  <c r="AL100"/>
  <c r="AO32"/>
  <c r="AL182"/>
  <c r="AL36"/>
  <c r="AL93"/>
  <c r="AM185"/>
  <c r="AL127"/>
  <c r="AO198"/>
  <c r="AM180"/>
  <c r="AM83"/>
  <c r="AN25"/>
  <c r="AO36"/>
  <c r="AN124"/>
  <c r="AL173"/>
  <c r="AO193"/>
  <c r="AO79"/>
  <c r="AM147"/>
  <c r="AL35"/>
  <c r="AO104"/>
  <c r="AL14"/>
  <c r="AM95"/>
  <c r="AO7"/>
  <c r="AN106"/>
  <c r="AL72"/>
  <c r="AO22"/>
  <c r="AM54"/>
  <c r="AM196"/>
  <c r="AM77"/>
  <c r="AN97"/>
  <c r="AM62"/>
  <c r="AN64"/>
  <c r="AN52"/>
  <c r="AO99"/>
  <c r="AN201"/>
  <c r="AN77"/>
  <c r="AL196"/>
  <c r="AN160"/>
  <c r="AN16"/>
  <c r="AL164"/>
  <c r="AN181"/>
  <c r="AM107"/>
  <c r="AL48"/>
  <c r="AN57"/>
  <c r="AN202"/>
  <c r="AN86"/>
  <c r="AL154"/>
  <c r="AN182"/>
  <c r="AM154"/>
  <c r="AN27"/>
  <c r="AO65"/>
  <c r="AN111"/>
  <c r="AM130"/>
  <c r="AR157" l="1"/>
  <c r="AS157" s="1"/>
  <c r="AR70"/>
  <c r="AS70" s="1"/>
  <c r="AR24"/>
  <c r="AS24" s="1"/>
  <c r="AR176"/>
  <c r="AS176" s="1"/>
  <c r="AR171"/>
  <c r="AS171" s="1"/>
  <c r="AR54"/>
  <c r="AS54" s="1"/>
  <c r="AR126"/>
  <c r="AS126" s="1"/>
  <c r="AR119"/>
  <c r="AS119" s="1"/>
  <c r="AR185"/>
  <c r="AS185" s="1"/>
  <c r="AR189"/>
  <c r="AS189" s="1"/>
  <c r="AR201"/>
  <c r="AS201" s="1"/>
  <c r="AR13"/>
  <c r="AS13" s="1"/>
  <c r="AR141"/>
  <c r="AS141" s="1"/>
  <c r="AR56"/>
  <c r="AS56" s="1"/>
  <c r="AR45"/>
  <c r="AS45" s="1"/>
  <c r="AR55"/>
  <c r="AS55" s="1"/>
  <c r="AR95"/>
  <c r="AS95" s="1"/>
  <c r="AR53"/>
  <c r="AS53" s="1"/>
  <c r="AR109"/>
  <c r="AS109" s="1"/>
  <c r="AR134"/>
  <c r="AS134" s="1"/>
  <c r="AR132"/>
  <c r="AS132" s="1"/>
  <c r="AR88"/>
  <c r="AS88" s="1"/>
  <c r="AR9"/>
  <c r="AS9" s="1"/>
  <c r="AR37"/>
  <c r="AS37" s="1"/>
  <c r="AR105"/>
  <c r="AS105" s="1"/>
  <c r="AR52"/>
  <c r="AS52" s="1"/>
  <c r="AR69"/>
  <c r="AS69" s="1"/>
  <c r="AR82"/>
  <c r="AS82" s="1"/>
  <c r="AR108"/>
  <c r="AS108" s="1"/>
  <c r="AR166"/>
  <c r="AS166" s="1"/>
  <c r="AR121"/>
  <c r="AS121" s="1"/>
  <c r="AR152"/>
  <c r="AS152" s="1"/>
  <c r="AR144"/>
  <c r="AS144" s="1"/>
  <c r="AR131"/>
  <c r="AS131" s="1"/>
  <c r="AR79"/>
  <c r="AS79" s="1"/>
  <c r="AR180"/>
  <c r="AS180" s="1"/>
  <c r="AR178"/>
  <c r="AS178" s="1"/>
  <c r="AR47"/>
  <c r="AS47" s="1"/>
  <c r="AR78"/>
  <c r="AS78" s="1"/>
  <c r="AR161"/>
  <c r="AS161" s="1"/>
  <c r="AR42"/>
  <c r="AS42" s="1"/>
  <c r="AR77"/>
  <c r="AS77" s="1"/>
  <c r="AR28"/>
  <c r="AS28" s="1"/>
  <c r="AR183"/>
  <c r="AS183" s="1"/>
  <c r="AR36"/>
  <c r="AS36" s="1"/>
  <c r="AR50"/>
  <c r="AS50" s="1"/>
  <c r="AR120"/>
  <c r="AS120" s="1"/>
  <c r="AR181"/>
  <c r="AS181" s="1"/>
  <c r="AR112"/>
  <c r="AS112" s="1"/>
  <c r="AR170"/>
  <c r="AS170" s="1"/>
  <c r="AR188"/>
  <c r="AS188" s="1"/>
  <c r="AR128"/>
  <c r="AS128" s="1"/>
  <c r="AR21"/>
  <c r="AS21" s="1"/>
  <c r="AR26"/>
  <c r="AS26" s="1"/>
  <c r="AR62"/>
  <c r="AS62" s="1"/>
  <c r="AR16"/>
  <c r="AS16" s="1"/>
  <c r="AR175"/>
  <c r="AS175" s="1"/>
  <c r="AR149"/>
  <c r="AS149" s="1"/>
  <c r="AR59"/>
  <c r="AS59" s="1"/>
  <c r="AR40"/>
  <c r="AS40" s="1"/>
  <c r="AR68"/>
  <c r="AS68" s="1"/>
  <c r="AR22"/>
  <c r="AS22" s="1"/>
  <c r="AR195"/>
  <c r="AS195" s="1"/>
  <c r="AR182"/>
  <c r="AS182" s="1"/>
  <c r="AR197"/>
  <c r="AS197" s="1"/>
  <c r="AR174"/>
  <c r="AS174" s="1"/>
  <c r="AR71"/>
  <c r="AS71" s="1"/>
  <c r="AR43"/>
  <c r="AS43" s="1"/>
  <c r="AR114"/>
  <c r="AS114" s="1"/>
  <c r="AR116"/>
  <c r="AS116" s="1"/>
  <c r="AR130"/>
  <c r="AS130" s="1"/>
  <c r="AR92"/>
  <c r="AS92" s="1"/>
  <c r="AR142"/>
  <c r="AS142" s="1"/>
  <c r="AR81"/>
  <c r="AS81" s="1"/>
  <c r="AR194"/>
  <c r="AS194" s="1"/>
  <c r="AR83"/>
  <c r="AS83" s="1"/>
  <c r="AR17"/>
  <c r="AS17" s="1"/>
  <c r="AR113"/>
  <c r="AS113" s="1"/>
  <c r="AR33"/>
  <c r="AS33" s="1"/>
  <c r="AR162"/>
  <c r="AS162" s="1"/>
  <c r="AR117"/>
  <c r="AS117" s="1"/>
  <c r="AR60"/>
  <c r="AS60" s="1"/>
  <c r="AR84"/>
  <c r="AS84" s="1"/>
  <c r="AR139"/>
  <c r="AS139" s="1"/>
  <c r="AR46"/>
  <c r="AS46" s="1"/>
  <c r="AR203"/>
  <c r="AS203" s="1"/>
  <c r="AR168"/>
  <c r="AS168" s="1"/>
  <c r="AR153"/>
  <c r="AS153" s="1"/>
  <c r="AR115"/>
  <c r="AS115" s="1"/>
  <c r="AR172"/>
  <c r="AS172" s="1"/>
  <c r="AR143"/>
  <c r="AS143" s="1"/>
  <c r="AR158"/>
  <c r="AS158" s="1"/>
  <c r="AR75"/>
  <c r="AS75" s="1"/>
  <c r="AR167"/>
  <c r="AS167" s="1"/>
  <c r="AR49"/>
  <c r="AS49" s="1"/>
  <c r="AR7"/>
  <c r="AR145"/>
  <c r="AS145" s="1"/>
  <c r="AR64"/>
  <c r="AS64" s="1"/>
  <c r="AR12"/>
  <c r="AS12" s="1"/>
  <c r="AR169"/>
  <c r="AS169" s="1"/>
  <c r="AR61"/>
  <c r="AS61" s="1"/>
  <c r="AR107"/>
  <c r="AS107" s="1"/>
  <c r="AR31"/>
  <c r="AS31" s="1"/>
  <c r="AR98"/>
  <c r="AS98" s="1"/>
  <c r="AR165"/>
  <c r="AS165" s="1"/>
  <c r="AR129"/>
  <c r="AS129" s="1"/>
  <c r="AR27"/>
  <c r="AS27" s="1"/>
  <c r="AR19"/>
  <c r="AS19" s="1"/>
  <c r="AR190"/>
  <c r="AS190" s="1"/>
  <c r="AR101"/>
  <c r="AS101" s="1"/>
  <c r="AR80"/>
  <c r="AS80" s="1"/>
  <c r="AR147"/>
  <c r="AS147" s="1"/>
  <c r="AR179"/>
  <c r="AS179" s="1"/>
  <c r="AR97"/>
  <c r="AS97" s="1"/>
  <c r="AR150"/>
  <c r="AS150" s="1"/>
  <c r="AR3"/>
  <c r="AS3" s="1"/>
  <c r="AR99"/>
  <c r="AS99" s="1"/>
  <c r="AR173"/>
  <c r="AS173" s="1"/>
  <c r="AR151"/>
  <c r="AS151" s="1"/>
  <c r="AR100"/>
  <c r="AS100" s="1"/>
  <c r="AR67"/>
  <c r="AS67" s="1"/>
  <c r="AR65"/>
  <c r="AS65" s="1"/>
  <c r="AR202"/>
  <c r="AS202" s="1"/>
  <c r="AR155"/>
  <c r="AS155" s="1"/>
  <c r="AR48"/>
  <c r="AS48" s="1"/>
  <c r="AR122"/>
  <c r="AS122" s="1"/>
  <c r="AR135"/>
  <c r="AS135" s="1"/>
  <c r="AR123"/>
  <c r="AS123" s="1"/>
  <c r="AR89"/>
  <c r="AS89" s="1"/>
  <c r="AR20"/>
  <c r="AS20" s="1"/>
  <c r="AR138"/>
  <c r="AS138" s="1"/>
  <c r="AR146"/>
  <c r="AS146" s="1"/>
  <c r="AR25"/>
  <c r="AS25" s="1"/>
  <c r="AR29"/>
  <c r="AS29" s="1"/>
  <c r="AR124"/>
  <c r="AS124" s="1"/>
  <c r="AR91"/>
  <c r="AS91" s="1"/>
  <c r="AR93"/>
  <c r="AS93" s="1"/>
  <c r="AR207"/>
  <c r="AS207" s="1"/>
  <c r="AR204"/>
  <c r="AS204" s="1"/>
  <c r="AR85"/>
  <c r="AS85" s="1"/>
  <c r="AR32"/>
  <c r="AS32" s="1"/>
  <c r="AR137"/>
  <c r="AS137" s="1"/>
  <c r="AR200"/>
  <c r="AS200" s="1"/>
  <c r="AR104"/>
  <c r="AS104" s="1"/>
  <c r="AR10"/>
  <c r="AS10" s="1"/>
  <c r="AR41"/>
  <c r="AS41" s="1"/>
  <c r="AR198"/>
  <c r="AS198" s="1"/>
  <c r="AR96"/>
  <c r="AS96" s="1"/>
  <c r="AR34"/>
  <c r="AS34" s="1"/>
  <c r="AR76"/>
  <c r="AS76" s="1"/>
  <c r="AR127"/>
  <c r="AS127" s="1"/>
  <c r="AR6"/>
  <c r="AS6" s="1"/>
  <c r="AR196"/>
  <c r="AS196" s="1"/>
  <c r="AR111"/>
  <c r="AS111" s="1"/>
  <c r="AR86"/>
  <c r="AS86" s="1"/>
  <c r="AR136"/>
  <c r="AS136" s="1"/>
  <c r="AR39"/>
  <c r="AS39" s="1"/>
  <c r="AR63"/>
  <c r="AS63" s="1"/>
  <c r="AR159"/>
  <c r="AS159" s="1"/>
  <c r="AR160"/>
  <c r="AS160" s="1"/>
  <c r="AR106"/>
  <c r="AS106" s="1"/>
  <c r="AR193"/>
  <c r="AS193" s="1"/>
  <c r="AR73"/>
  <c r="AS73" s="1"/>
  <c r="AR90"/>
  <c r="AS90" s="1"/>
  <c r="AR154"/>
  <c r="AS154" s="1"/>
  <c r="AR205"/>
  <c r="AS205" s="1"/>
  <c r="AR14"/>
  <c r="AS14" s="1"/>
  <c r="AR18"/>
  <c r="AS18" s="1"/>
  <c r="AS8"/>
  <c r="D14" i="3"/>
  <c r="D19" s="1"/>
  <c r="AC209" i="1"/>
  <c r="AD211"/>
  <c r="AD210"/>
  <c r="AD209"/>
  <c r="AB211"/>
  <c r="AC210"/>
  <c r="AA209"/>
  <c r="AA211"/>
  <c r="AA210"/>
  <c r="AB209"/>
  <c r="AC211"/>
  <c r="AB210"/>
  <c r="AF210"/>
  <c r="AF211"/>
  <c r="AF209"/>
  <c r="AM176"/>
  <c r="AN149"/>
  <c r="AL178"/>
  <c r="AN143"/>
  <c r="AL203"/>
  <c r="AL117"/>
  <c r="AM49"/>
  <c r="AM9"/>
  <c r="AN84"/>
  <c r="AL186"/>
  <c r="AN161"/>
  <c r="AL113"/>
  <c r="AM175"/>
  <c r="AN99"/>
  <c r="AL190"/>
  <c r="AL97"/>
  <c r="AM37"/>
  <c r="AL33"/>
  <c r="AL150"/>
  <c r="AN70"/>
  <c r="AM171"/>
  <c r="AN62"/>
  <c r="AL59"/>
  <c r="AL147"/>
  <c r="AN126"/>
  <c r="AL153"/>
  <c r="AL17"/>
  <c r="AM158"/>
  <c r="AL162"/>
  <c r="AL54"/>
  <c r="AL105"/>
  <c r="AL115"/>
  <c r="AN75"/>
  <c r="AO56"/>
  <c r="AL169"/>
  <c r="AL45"/>
  <c r="AL172"/>
  <c r="AL43"/>
  <c r="AL139"/>
  <c r="AL95"/>
  <c r="AL168"/>
  <c r="AL21"/>
  <c r="AL92"/>
  <c r="AL114"/>
  <c r="AM173"/>
  <c r="AL119"/>
  <c r="AL46"/>
  <c r="AL183"/>
  <c r="AN167"/>
  <c r="AO211" l="1"/>
  <c r="AO209"/>
  <c r="AO210"/>
  <c r="AL209"/>
  <c r="AL210"/>
  <c r="AL211"/>
  <c r="AM211"/>
  <c r="AM209"/>
  <c r="AM210"/>
  <c r="AN210"/>
  <c r="AN211"/>
  <c r="AN209"/>
  <c r="AR210"/>
  <c r="AS7"/>
  <c r="AS211" s="1"/>
  <c r="AR211"/>
  <c r="AS213"/>
  <c r="AR209"/>
  <c r="D16" i="3"/>
  <c r="D20"/>
  <c r="AS209" i="1" l="1"/>
  <c r="AS210"/>
  <c r="D17" i="3"/>
  <c r="D18"/>
</calcChain>
</file>

<file path=xl/sharedStrings.xml><?xml version="1.0" encoding="utf-8"?>
<sst xmlns="http://schemas.openxmlformats.org/spreadsheetml/2006/main" count="736" uniqueCount="112">
  <si>
    <t>Team Name</t>
  </si>
  <si>
    <t>Team Id</t>
  </si>
  <si>
    <t>Team Score</t>
  </si>
  <si>
    <t>Passing Yards</t>
  </si>
  <si>
    <t>Passing Attempts</t>
  </si>
  <si>
    <t>Passing TDs</t>
  </si>
  <si>
    <t>Passing Completions</t>
  </si>
  <si>
    <t>INTs</t>
  </si>
  <si>
    <t>Rushing Yards</t>
  </si>
  <si>
    <t>Rushing Attempts</t>
  </si>
  <si>
    <t>Rushing TDs</t>
  </si>
  <si>
    <t>Fumbles</t>
  </si>
  <si>
    <t>Win</t>
  </si>
  <si>
    <t>Week Number</t>
  </si>
  <si>
    <t>W</t>
  </si>
  <si>
    <t>L</t>
  </si>
  <si>
    <t>Passing Efficiency</t>
  </si>
  <si>
    <t>Passing Defense Efficiency</t>
  </si>
  <si>
    <t>Averages</t>
  </si>
  <si>
    <t>Opp Team Name</t>
  </si>
  <si>
    <t>Opp Team Id</t>
  </si>
  <si>
    <t>Opp Team Score</t>
  </si>
  <si>
    <t>Opp Passing Yards</t>
  </si>
  <si>
    <t>Opp Passing Attempts</t>
  </si>
  <si>
    <t>Opp Passing TDs</t>
  </si>
  <si>
    <t>Opp Passing Completions</t>
  </si>
  <si>
    <t>Opp INTs</t>
  </si>
  <si>
    <t>Opp Rushing Yards</t>
  </si>
  <si>
    <t>Opp Rushing Attempts</t>
  </si>
  <si>
    <t>Opp Rushing TDs</t>
  </si>
  <si>
    <t>Opp Fumbles</t>
  </si>
  <si>
    <t>Rushing Efficiency</t>
  </si>
  <si>
    <t>Rushing Defense Efficiency</t>
  </si>
  <si>
    <t>Passing Weight</t>
  </si>
  <si>
    <t>Rushing Weight</t>
  </si>
  <si>
    <t>Against FCS Team</t>
  </si>
  <si>
    <t>Throw Out Pass Eff</t>
  </si>
  <si>
    <t>Throw Out Rush Eff</t>
  </si>
  <si>
    <t>Throw Out Pass Def Eff</t>
  </si>
  <si>
    <t>Throw Out Rush Def Eff</t>
  </si>
  <si>
    <t>Grand Total</t>
  </si>
  <si>
    <t>Average of Passing Efficiency</t>
  </si>
  <si>
    <t>Average of Passing Defense Efficiency</t>
  </si>
  <si>
    <t>Average of Rushing Efficiency</t>
  </si>
  <si>
    <t>Average of Rushing Defense Efficiency</t>
  </si>
  <si>
    <t>Weighted Passing Efficiency</t>
  </si>
  <si>
    <t>Weighted Passing Defense Efficiency</t>
  </si>
  <si>
    <t>Weighted Rushing Efficiency</t>
  </si>
  <si>
    <t>Weighted Rushing Defense Efficiency</t>
  </si>
  <si>
    <t>Average of Weighted Passing Efficiency</t>
  </si>
  <si>
    <t>Average of Weighted Passing Defense Efficiency</t>
  </si>
  <si>
    <t>Average of Weighted Rushing Efficiency</t>
  </si>
  <si>
    <t>Average of Weighted Rushing Defense Efficiency</t>
  </si>
  <si>
    <t>Team 1:</t>
  </si>
  <si>
    <t>Team 2:</t>
  </si>
  <si>
    <t>Passing</t>
  </si>
  <si>
    <t>Rushing</t>
  </si>
  <si>
    <t>Best Guess:</t>
  </si>
  <si>
    <t>Average of Passing Weight</t>
  </si>
  <si>
    <t>Average of Rushing Weight</t>
  </si>
  <si>
    <t>Efficiency Coefficient</t>
  </si>
  <si>
    <t>Winning Margin</t>
  </si>
  <si>
    <t>Total Score</t>
  </si>
  <si>
    <t>Efficiency Difference</t>
  </si>
  <si>
    <t>50% of the time:</t>
  </si>
  <si>
    <t>75% of the time:</t>
  </si>
  <si>
    <t>25% of the time:</t>
  </si>
  <si>
    <t>Spread:</t>
  </si>
  <si>
    <t>Scoring Margin</t>
  </si>
  <si>
    <t>Below y=0.2146x</t>
  </si>
  <si>
    <t>Below y=0.2146x + 7</t>
  </si>
  <si>
    <t>"+14"</t>
  </si>
  <si>
    <t>"+21"</t>
  </si>
  <si>
    <t>"-7"</t>
  </si>
  <si>
    <t>"-3"</t>
  </si>
  <si>
    <t>"-5"</t>
  </si>
  <si>
    <t>Chance of Beating the Spread:</t>
  </si>
  <si>
    <t>"-10"</t>
  </si>
  <si>
    <t>Diff</t>
  </si>
  <si>
    <t>Percent</t>
  </si>
  <si>
    <t>Packers</t>
  </si>
  <si>
    <t>Saints</t>
  </si>
  <si>
    <t>Bears</t>
  </si>
  <si>
    <t>Falcons</t>
  </si>
  <si>
    <t>Texans</t>
  </si>
  <si>
    <t>Colts</t>
  </si>
  <si>
    <t>Chiefs</t>
  </si>
  <si>
    <t>Bills</t>
  </si>
  <si>
    <t>Jaguars</t>
  </si>
  <si>
    <t>Titans</t>
  </si>
  <si>
    <t>Browns</t>
  </si>
  <si>
    <t>Bengals</t>
  </si>
  <si>
    <t>Rams</t>
  </si>
  <si>
    <t>Eagles</t>
  </si>
  <si>
    <t>Ravens</t>
  </si>
  <si>
    <t>Steelers</t>
  </si>
  <si>
    <t>Buccaneers</t>
  </si>
  <si>
    <t>Lions</t>
  </si>
  <si>
    <t>Chargers</t>
  </si>
  <si>
    <t>Vikings</t>
  </si>
  <si>
    <t>Redskins</t>
  </si>
  <si>
    <t>Giants</t>
  </si>
  <si>
    <t>Cardinals</t>
  </si>
  <si>
    <t>Panthers</t>
  </si>
  <si>
    <t>49ers</t>
  </si>
  <si>
    <t>Seahawks</t>
  </si>
  <si>
    <t>Jets</t>
  </si>
  <si>
    <t>Cowboys</t>
  </si>
  <si>
    <t>Dolphins</t>
  </si>
  <si>
    <t>Patriots</t>
  </si>
  <si>
    <t>Broncos</t>
  </si>
  <si>
    <t>Raiders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</si>
</sst>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24994659260841701"/>
      <name val="Calibri"/>
      <family val="2"/>
      <scheme val="minor"/>
    </font>
    <font>
      <sz val="11"/>
      <color theme="0" tint="-0.149967955565050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Protection="1">
      <protection locked="0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0" fontId="18" fillId="0" borderId="0" xfId="0" applyFont="1" applyProtection="1">
      <protection locked="0"/>
    </xf>
    <xf numFmtId="164" fontId="16" fillId="0" borderId="0" xfId="0" applyNumberFormat="1" applyFont="1"/>
    <xf numFmtId="2" fontId="19" fillId="0" borderId="0" xfId="0" applyNumberFormat="1" applyFont="1" applyProtection="1">
      <protection hidden="1"/>
    </xf>
    <xf numFmtId="2" fontId="20" fillId="0" borderId="0" xfId="0" applyNumberFormat="1" applyFont="1" applyProtection="1">
      <protection hidden="1"/>
    </xf>
    <xf numFmtId="2" fontId="16" fillId="0" borderId="0" xfId="0" applyNumberFormat="1" applyFont="1"/>
    <xf numFmtId="1" fontId="0" fillId="0" borderId="0" xfId="0" applyNumberFormat="1"/>
    <xf numFmtId="2" fontId="19" fillId="0" borderId="0" xfId="0" applyNumberFormat="1" applyFont="1"/>
    <xf numFmtId="10" fontId="16" fillId="0" borderId="0" xfId="0" applyNumberFormat="1" applyFont="1"/>
    <xf numFmtId="0" fontId="16" fillId="31" borderId="5" xfId="40" applyFont="1" applyBorder="1"/>
    <xf numFmtId="0" fontId="16" fillId="19" borderId="5" xfId="28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Eq val="1"/>
            <c:trendlineLbl>
              <c:numFmt formatCode="General" sourceLinked="0"/>
            </c:trendlineLbl>
          </c:trendline>
          <c:xVal>
            <c:numRef>
              <c:f>'Efficiency Math'!$B$2:$B$189</c:f>
              <c:numCache>
                <c:formatCode>0.00</c:formatCode>
                <c:ptCount val="188"/>
                <c:pt idx="0">
                  <c:v>41.96999999999997</c:v>
                </c:pt>
                <c:pt idx="1">
                  <c:v>41.96999999999997</c:v>
                </c:pt>
                <c:pt idx="2">
                  <c:v>53.870000000000005</c:v>
                </c:pt>
                <c:pt idx="3">
                  <c:v>53.870000000000005</c:v>
                </c:pt>
                <c:pt idx="4">
                  <c:v>41.16</c:v>
                </c:pt>
                <c:pt idx="5">
                  <c:v>41.16</c:v>
                </c:pt>
                <c:pt idx="6">
                  <c:v>51.140000000000015</c:v>
                </c:pt>
                <c:pt idx="7">
                  <c:v>51.140000000000015</c:v>
                </c:pt>
                <c:pt idx="8">
                  <c:v>42.84</c:v>
                </c:pt>
                <c:pt idx="9">
                  <c:v>42.84</c:v>
                </c:pt>
                <c:pt idx="10">
                  <c:v>157.83000000000004</c:v>
                </c:pt>
                <c:pt idx="11">
                  <c:v>157.83000000000004</c:v>
                </c:pt>
                <c:pt idx="12">
                  <c:v>58.239999999999981</c:v>
                </c:pt>
                <c:pt idx="13">
                  <c:v>58.240000000000009</c:v>
                </c:pt>
                <c:pt idx="14">
                  <c:v>17.03</c:v>
                </c:pt>
                <c:pt idx="15">
                  <c:v>17.03</c:v>
                </c:pt>
                <c:pt idx="16">
                  <c:v>17.550000000000011</c:v>
                </c:pt>
                <c:pt idx="17">
                  <c:v>17.550000000000011</c:v>
                </c:pt>
                <c:pt idx="18">
                  <c:v>29.819999999999993</c:v>
                </c:pt>
                <c:pt idx="19">
                  <c:v>29.819999999999993</c:v>
                </c:pt>
                <c:pt idx="20">
                  <c:v>55.29000000000002</c:v>
                </c:pt>
                <c:pt idx="21">
                  <c:v>55.29000000000002</c:v>
                </c:pt>
                <c:pt idx="22">
                  <c:v>8.4300000000000068</c:v>
                </c:pt>
                <c:pt idx="23">
                  <c:v>8.4299999999999784</c:v>
                </c:pt>
                <c:pt idx="24">
                  <c:v>24.319999999999993</c:v>
                </c:pt>
                <c:pt idx="25">
                  <c:v>24.319999999999993</c:v>
                </c:pt>
                <c:pt idx="26">
                  <c:v>70.770000000000039</c:v>
                </c:pt>
                <c:pt idx="27">
                  <c:v>70.77000000000001</c:v>
                </c:pt>
                <c:pt idx="28">
                  <c:v>65.490000000000009</c:v>
                </c:pt>
                <c:pt idx="29">
                  <c:v>65.489999999999995</c:v>
                </c:pt>
                <c:pt idx="30">
                  <c:v>31.429999999999978</c:v>
                </c:pt>
                <c:pt idx="31">
                  <c:v>31.429999999999978</c:v>
                </c:pt>
                <c:pt idx="32">
                  <c:v>93.419999999999959</c:v>
                </c:pt>
                <c:pt idx="33">
                  <c:v>93.419999999999959</c:v>
                </c:pt>
                <c:pt idx="34">
                  <c:v>21.29000000000002</c:v>
                </c:pt>
                <c:pt idx="35">
                  <c:v>21.29000000000002</c:v>
                </c:pt>
                <c:pt idx="36">
                  <c:v>93.049999999999955</c:v>
                </c:pt>
                <c:pt idx="37">
                  <c:v>93.049999999999955</c:v>
                </c:pt>
                <c:pt idx="38">
                  <c:v>22.310000000000002</c:v>
                </c:pt>
                <c:pt idx="39">
                  <c:v>22.309999999999974</c:v>
                </c:pt>
                <c:pt idx="40">
                  <c:v>46.860000000000014</c:v>
                </c:pt>
                <c:pt idx="41">
                  <c:v>46.859999999999985</c:v>
                </c:pt>
                <c:pt idx="42">
                  <c:v>15.870000000000033</c:v>
                </c:pt>
                <c:pt idx="43">
                  <c:v>15.870000000000005</c:v>
                </c:pt>
                <c:pt idx="44">
                  <c:v>13.20999999999998</c:v>
                </c:pt>
                <c:pt idx="45">
                  <c:v>13.20999999999998</c:v>
                </c:pt>
                <c:pt idx="46">
                  <c:v>31.72999999999999</c:v>
                </c:pt>
                <c:pt idx="47">
                  <c:v>31.72999999999999</c:v>
                </c:pt>
                <c:pt idx="48">
                  <c:v>46.170000000000016</c:v>
                </c:pt>
                <c:pt idx="49">
                  <c:v>46.170000000000016</c:v>
                </c:pt>
                <c:pt idx="50">
                  <c:v>1.9499999999999886</c:v>
                </c:pt>
                <c:pt idx="51">
                  <c:v>1.9499999999999886</c:v>
                </c:pt>
                <c:pt idx="52">
                  <c:v>48.949999999999989</c:v>
                </c:pt>
                <c:pt idx="53">
                  <c:v>48.950000000000017</c:v>
                </c:pt>
                <c:pt idx="54">
                  <c:v>0.52000000000001023</c:v>
                </c:pt>
                <c:pt idx="55">
                  <c:v>0.52000000000001023</c:v>
                </c:pt>
                <c:pt idx="56">
                  <c:v>2.8400000000000034</c:v>
                </c:pt>
                <c:pt idx="57">
                  <c:v>2.8400000000000318</c:v>
                </c:pt>
                <c:pt idx="58">
                  <c:v>17.710000000000008</c:v>
                </c:pt>
                <c:pt idx="59">
                  <c:v>17.710000000000008</c:v>
                </c:pt>
                <c:pt idx="60">
                  <c:v>93.009999999999991</c:v>
                </c:pt>
                <c:pt idx="61">
                  <c:v>93.009999999999991</c:v>
                </c:pt>
                <c:pt idx="62">
                  <c:v>66.06</c:v>
                </c:pt>
                <c:pt idx="63">
                  <c:v>66.06</c:v>
                </c:pt>
                <c:pt idx="64">
                  <c:v>12.850000000000023</c:v>
                </c:pt>
                <c:pt idx="65">
                  <c:v>12.850000000000023</c:v>
                </c:pt>
                <c:pt idx="66">
                  <c:v>16.590000000000003</c:v>
                </c:pt>
                <c:pt idx="67">
                  <c:v>16.590000000000003</c:v>
                </c:pt>
                <c:pt idx="68">
                  <c:v>2.9200000000000159</c:v>
                </c:pt>
                <c:pt idx="69">
                  <c:v>2.9199999999999875</c:v>
                </c:pt>
                <c:pt idx="70">
                  <c:v>92.579999999999984</c:v>
                </c:pt>
                <c:pt idx="71">
                  <c:v>92.579999999999984</c:v>
                </c:pt>
                <c:pt idx="72">
                  <c:v>91.52000000000001</c:v>
                </c:pt>
                <c:pt idx="73">
                  <c:v>91.519999999999982</c:v>
                </c:pt>
                <c:pt idx="74">
                  <c:v>5.5900000000000318</c:v>
                </c:pt>
                <c:pt idx="75">
                  <c:v>5.5900000000000318</c:v>
                </c:pt>
                <c:pt idx="76">
                  <c:v>66.199999999999989</c:v>
                </c:pt>
                <c:pt idx="77">
                  <c:v>66.199999999999989</c:v>
                </c:pt>
                <c:pt idx="78">
                  <c:v>12.340000000000003</c:v>
                </c:pt>
                <c:pt idx="79">
                  <c:v>12.340000000000003</c:v>
                </c:pt>
                <c:pt idx="80">
                  <c:v>16.810000000000002</c:v>
                </c:pt>
                <c:pt idx="81">
                  <c:v>16.810000000000002</c:v>
                </c:pt>
                <c:pt idx="82">
                  <c:v>45.990000000000009</c:v>
                </c:pt>
                <c:pt idx="83">
                  <c:v>45.990000000000009</c:v>
                </c:pt>
                <c:pt idx="84">
                  <c:v>31.849999999999966</c:v>
                </c:pt>
                <c:pt idx="85">
                  <c:v>31.849999999999966</c:v>
                </c:pt>
                <c:pt idx="86">
                  <c:v>19.660000000000025</c:v>
                </c:pt>
                <c:pt idx="87">
                  <c:v>19.660000000000025</c:v>
                </c:pt>
                <c:pt idx="88">
                  <c:v>27.29000000000002</c:v>
                </c:pt>
                <c:pt idx="89">
                  <c:v>27.29000000000002</c:v>
                </c:pt>
                <c:pt idx="90">
                  <c:v>20.099999999999966</c:v>
                </c:pt>
                <c:pt idx="91">
                  <c:v>20.099999999999966</c:v>
                </c:pt>
                <c:pt idx="92">
                  <c:v>21.490000000000009</c:v>
                </c:pt>
                <c:pt idx="93">
                  <c:v>21.490000000000009</c:v>
                </c:pt>
                <c:pt idx="94">
                  <c:v>12.289999999999992</c:v>
                </c:pt>
                <c:pt idx="95">
                  <c:v>12.289999999999992</c:v>
                </c:pt>
                <c:pt idx="96">
                  <c:v>56.349999999999966</c:v>
                </c:pt>
                <c:pt idx="97">
                  <c:v>56.349999999999966</c:v>
                </c:pt>
                <c:pt idx="98">
                  <c:v>70.650000000000006</c:v>
                </c:pt>
                <c:pt idx="99">
                  <c:v>70.649999999999977</c:v>
                </c:pt>
                <c:pt idx="100">
                  <c:v>26.299999999999983</c:v>
                </c:pt>
                <c:pt idx="101">
                  <c:v>26.299999999999983</c:v>
                </c:pt>
                <c:pt idx="102">
                  <c:v>5.25</c:v>
                </c:pt>
                <c:pt idx="103">
                  <c:v>5.25</c:v>
                </c:pt>
                <c:pt idx="104">
                  <c:v>45.380000000000024</c:v>
                </c:pt>
                <c:pt idx="105">
                  <c:v>45.380000000000024</c:v>
                </c:pt>
                <c:pt idx="106">
                  <c:v>28.599999999999994</c:v>
                </c:pt>
                <c:pt idx="107">
                  <c:v>28.599999999999994</c:v>
                </c:pt>
                <c:pt idx="108">
                  <c:v>12.230000000000018</c:v>
                </c:pt>
                <c:pt idx="109">
                  <c:v>12.230000000000018</c:v>
                </c:pt>
                <c:pt idx="110">
                  <c:v>64.52000000000001</c:v>
                </c:pt>
                <c:pt idx="111">
                  <c:v>64.52000000000001</c:v>
                </c:pt>
                <c:pt idx="112">
                  <c:v>64.209999999999951</c:v>
                </c:pt>
                <c:pt idx="113">
                  <c:v>64.209999999999965</c:v>
                </c:pt>
                <c:pt idx="114">
                  <c:v>75.22999999999999</c:v>
                </c:pt>
                <c:pt idx="115">
                  <c:v>75.22999999999999</c:v>
                </c:pt>
                <c:pt idx="116">
                  <c:v>72.889999999999986</c:v>
                </c:pt>
                <c:pt idx="117">
                  <c:v>72.889999999999986</c:v>
                </c:pt>
                <c:pt idx="118">
                  <c:v>66.22999999999999</c:v>
                </c:pt>
                <c:pt idx="119">
                  <c:v>66.22999999999999</c:v>
                </c:pt>
                <c:pt idx="120">
                  <c:v>55.75</c:v>
                </c:pt>
                <c:pt idx="121">
                  <c:v>55.75</c:v>
                </c:pt>
                <c:pt idx="122">
                  <c:v>10.829999999999984</c:v>
                </c:pt>
                <c:pt idx="123">
                  <c:v>10.830000000000013</c:v>
                </c:pt>
                <c:pt idx="124">
                  <c:v>61.859999999999985</c:v>
                </c:pt>
                <c:pt idx="125">
                  <c:v>61.859999999999985</c:v>
                </c:pt>
                <c:pt idx="126">
                  <c:v>81.539999999999992</c:v>
                </c:pt>
                <c:pt idx="127">
                  <c:v>81.539999999999992</c:v>
                </c:pt>
                <c:pt idx="128">
                  <c:v>83.460000000000008</c:v>
                </c:pt>
                <c:pt idx="129">
                  <c:v>83.45999999999998</c:v>
                </c:pt>
                <c:pt idx="130">
                  <c:v>21.439999999999998</c:v>
                </c:pt>
                <c:pt idx="131">
                  <c:v>21.439999999999998</c:v>
                </c:pt>
                <c:pt idx="132">
                  <c:v>135.19999999999999</c:v>
                </c:pt>
                <c:pt idx="133">
                  <c:v>135.19999999999999</c:v>
                </c:pt>
                <c:pt idx="134">
                  <c:v>23.849999999999994</c:v>
                </c:pt>
                <c:pt idx="135">
                  <c:v>23.849999999999994</c:v>
                </c:pt>
                <c:pt idx="136">
                  <c:v>29.260000000000019</c:v>
                </c:pt>
                <c:pt idx="137">
                  <c:v>29.260000000000019</c:v>
                </c:pt>
                <c:pt idx="138">
                  <c:v>1.2800000000000296</c:v>
                </c:pt>
                <c:pt idx="139">
                  <c:v>1.2800000000000011</c:v>
                </c:pt>
                <c:pt idx="140">
                  <c:v>110.54999999999998</c:v>
                </c:pt>
                <c:pt idx="141">
                  <c:v>110.54999999999998</c:v>
                </c:pt>
                <c:pt idx="142">
                  <c:v>27.680000000000007</c:v>
                </c:pt>
                <c:pt idx="143">
                  <c:v>27.680000000000007</c:v>
                </c:pt>
                <c:pt idx="144">
                  <c:v>50.900000000000006</c:v>
                </c:pt>
                <c:pt idx="145">
                  <c:v>50.900000000000006</c:v>
                </c:pt>
                <c:pt idx="146">
                  <c:v>35.789999999999992</c:v>
                </c:pt>
                <c:pt idx="147">
                  <c:v>35.789999999999992</c:v>
                </c:pt>
                <c:pt idx="148">
                  <c:v>16.25</c:v>
                </c:pt>
                <c:pt idx="149">
                  <c:v>16.25</c:v>
                </c:pt>
                <c:pt idx="150">
                  <c:v>70.640000000000015</c:v>
                </c:pt>
                <c:pt idx="151">
                  <c:v>70.640000000000015</c:v>
                </c:pt>
                <c:pt idx="152">
                  <c:v>47.890000000000043</c:v>
                </c:pt>
                <c:pt idx="153">
                  <c:v>47.890000000000043</c:v>
                </c:pt>
                <c:pt idx="154">
                  <c:v>57.56</c:v>
                </c:pt>
                <c:pt idx="155">
                  <c:v>57.56</c:v>
                </c:pt>
                <c:pt idx="156">
                  <c:v>10.060000000000002</c:v>
                </c:pt>
                <c:pt idx="157">
                  <c:v>10.060000000000002</c:v>
                </c:pt>
                <c:pt idx="158">
                  <c:v>44.409999999999968</c:v>
                </c:pt>
                <c:pt idx="159">
                  <c:v>44.409999999999968</c:v>
                </c:pt>
                <c:pt idx="160">
                  <c:v>0.16000000000002501</c:v>
                </c:pt>
                <c:pt idx="161">
                  <c:v>0.16000000000002501</c:v>
                </c:pt>
                <c:pt idx="162">
                  <c:v>37.96999999999997</c:v>
                </c:pt>
                <c:pt idx="163">
                  <c:v>37.96999999999997</c:v>
                </c:pt>
                <c:pt idx="164">
                  <c:v>24.519999999999982</c:v>
                </c:pt>
                <c:pt idx="165">
                  <c:v>24.519999999999982</c:v>
                </c:pt>
                <c:pt idx="166">
                  <c:v>36.089999999999975</c:v>
                </c:pt>
                <c:pt idx="167">
                  <c:v>36.090000000000003</c:v>
                </c:pt>
                <c:pt idx="168">
                  <c:v>22.78000000000003</c:v>
                </c:pt>
                <c:pt idx="169">
                  <c:v>22.779999999999987</c:v>
                </c:pt>
                <c:pt idx="170">
                  <c:v>7.6300000000000239</c:v>
                </c:pt>
                <c:pt idx="171">
                  <c:v>7.6300000000000239</c:v>
                </c:pt>
                <c:pt idx="172">
                  <c:v>90.520000000000039</c:v>
                </c:pt>
                <c:pt idx="173">
                  <c:v>90.520000000000039</c:v>
                </c:pt>
                <c:pt idx="174">
                  <c:v>19.199999999999989</c:v>
                </c:pt>
                <c:pt idx="175">
                  <c:v>19.19999999999996</c:v>
                </c:pt>
                <c:pt idx="176">
                  <c:v>144.86999999999998</c:v>
                </c:pt>
                <c:pt idx="177">
                  <c:v>144.87</c:v>
                </c:pt>
                <c:pt idx="178">
                  <c:v>11.899999999999977</c:v>
                </c:pt>
                <c:pt idx="179">
                  <c:v>11.899999999999977</c:v>
                </c:pt>
                <c:pt idx="180">
                  <c:v>0.99000000000000909</c:v>
                </c:pt>
                <c:pt idx="181">
                  <c:v>0.99000000000000909</c:v>
                </c:pt>
                <c:pt idx="182">
                  <c:v>4.7500000000000284</c:v>
                </c:pt>
                <c:pt idx="183">
                  <c:v>4.7500000000000284</c:v>
                </c:pt>
                <c:pt idx="184">
                  <c:v>151.82000000000002</c:v>
                </c:pt>
                <c:pt idx="185">
                  <c:v>151.82000000000002</c:v>
                </c:pt>
                <c:pt idx="186">
                  <c:v>110.23999999999998</c:v>
                </c:pt>
                <c:pt idx="187">
                  <c:v>110.23999999999998</c:v>
                </c:pt>
              </c:numCache>
            </c:numRef>
          </c:xVal>
          <c:yVal>
            <c:numRef>
              <c:f>'Efficiency Math'!$C$2:$C$189</c:f>
              <c:numCache>
                <c:formatCode>0.00</c:formatCode>
                <c:ptCount val="188"/>
                <c:pt idx="0">
                  <c:v>8</c:v>
                </c:pt>
                <c:pt idx="1">
                  <c:v>8</c:v>
                </c:pt>
                <c:pt idx="2">
                  <c:v>27</c:v>
                </c:pt>
                <c:pt idx="3">
                  <c:v>27</c:v>
                </c:pt>
                <c:pt idx="4">
                  <c:v>34</c:v>
                </c:pt>
                <c:pt idx="5">
                  <c:v>34</c:v>
                </c:pt>
                <c:pt idx="6">
                  <c:v>10</c:v>
                </c:pt>
                <c:pt idx="7">
                  <c:v>10</c:v>
                </c:pt>
                <c:pt idx="8">
                  <c:v>18</c:v>
                </c:pt>
                <c:pt idx="9">
                  <c:v>18</c:v>
                </c:pt>
                <c:pt idx="10">
                  <c:v>28</c:v>
                </c:pt>
                <c:pt idx="11">
                  <c:v>28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14</c:v>
                </c:pt>
                <c:pt idx="17">
                  <c:v>14</c:v>
                </c:pt>
                <c:pt idx="18">
                  <c:v>7</c:v>
                </c:pt>
                <c:pt idx="19">
                  <c:v>7</c:v>
                </c:pt>
                <c:pt idx="20">
                  <c:v>16</c:v>
                </c:pt>
                <c:pt idx="21">
                  <c:v>16</c:v>
                </c:pt>
                <c:pt idx="22">
                  <c:v>3</c:v>
                </c:pt>
                <c:pt idx="23">
                  <c:v>3</c:v>
                </c:pt>
                <c:pt idx="24">
                  <c:v>14</c:v>
                </c:pt>
                <c:pt idx="25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29</c:v>
                </c:pt>
                <c:pt idx="29">
                  <c:v>29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45</c:v>
                </c:pt>
                <c:pt idx="41">
                  <c:v>45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10</c:v>
                </c:pt>
                <c:pt idx="47">
                  <c:v>10</c:v>
                </c:pt>
                <c:pt idx="48">
                  <c:v>14</c:v>
                </c:pt>
                <c:pt idx="49">
                  <c:v>14</c:v>
                </c:pt>
                <c:pt idx="50">
                  <c:v>4</c:v>
                </c:pt>
                <c:pt idx="51">
                  <c:v>4</c:v>
                </c:pt>
                <c:pt idx="52">
                  <c:v>12</c:v>
                </c:pt>
                <c:pt idx="53">
                  <c:v>12</c:v>
                </c:pt>
                <c:pt idx="54">
                  <c:v>6</c:v>
                </c:pt>
                <c:pt idx="55">
                  <c:v>6</c:v>
                </c:pt>
                <c:pt idx="56">
                  <c:v>3</c:v>
                </c:pt>
                <c:pt idx="57">
                  <c:v>3</c:v>
                </c:pt>
                <c:pt idx="58">
                  <c:v>7</c:v>
                </c:pt>
                <c:pt idx="59">
                  <c:v>7</c:v>
                </c:pt>
                <c:pt idx="60">
                  <c:v>3</c:v>
                </c:pt>
                <c:pt idx="61">
                  <c:v>3</c:v>
                </c:pt>
                <c:pt idx="62">
                  <c:v>13</c:v>
                </c:pt>
                <c:pt idx="63">
                  <c:v>13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10</c:v>
                </c:pt>
                <c:pt idx="72">
                  <c:v>30</c:v>
                </c:pt>
                <c:pt idx="73">
                  <c:v>30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13</c:v>
                </c:pt>
                <c:pt idx="89">
                  <c:v>13</c:v>
                </c:pt>
                <c:pt idx="90">
                  <c:v>18</c:v>
                </c:pt>
                <c:pt idx="91">
                  <c:v>18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2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26</c:v>
                </c:pt>
                <c:pt idx="107">
                  <c:v>26</c:v>
                </c:pt>
                <c:pt idx="108">
                  <c:v>12</c:v>
                </c:pt>
                <c:pt idx="109">
                  <c:v>12</c:v>
                </c:pt>
                <c:pt idx="110">
                  <c:v>10</c:v>
                </c:pt>
                <c:pt idx="111">
                  <c:v>10</c:v>
                </c:pt>
                <c:pt idx="112">
                  <c:v>17</c:v>
                </c:pt>
                <c:pt idx="113">
                  <c:v>17</c:v>
                </c:pt>
                <c:pt idx="114">
                  <c:v>7</c:v>
                </c:pt>
                <c:pt idx="115">
                  <c:v>7</c:v>
                </c:pt>
                <c:pt idx="116">
                  <c:v>3</c:v>
                </c:pt>
                <c:pt idx="117">
                  <c:v>3</c:v>
                </c:pt>
                <c:pt idx="118">
                  <c:v>7</c:v>
                </c:pt>
                <c:pt idx="119">
                  <c:v>7</c:v>
                </c:pt>
                <c:pt idx="120">
                  <c:v>11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4</c:v>
                </c:pt>
                <c:pt idx="125">
                  <c:v>4</c:v>
                </c:pt>
                <c:pt idx="126">
                  <c:v>21</c:v>
                </c:pt>
                <c:pt idx="127">
                  <c:v>21</c:v>
                </c:pt>
                <c:pt idx="128">
                  <c:v>24</c:v>
                </c:pt>
                <c:pt idx="129">
                  <c:v>24</c:v>
                </c:pt>
                <c:pt idx="130">
                  <c:v>5</c:v>
                </c:pt>
                <c:pt idx="131">
                  <c:v>5</c:v>
                </c:pt>
                <c:pt idx="132">
                  <c:v>45</c:v>
                </c:pt>
                <c:pt idx="133">
                  <c:v>45</c:v>
                </c:pt>
                <c:pt idx="134">
                  <c:v>9</c:v>
                </c:pt>
                <c:pt idx="135">
                  <c:v>9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14</c:v>
                </c:pt>
                <c:pt idx="143">
                  <c:v>14</c:v>
                </c:pt>
                <c:pt idx="144">
                  <c:v>6</c:v>
                </c:pt>
                <c:pt idx="145">
                  <c:v>6</c:v>
                </c:pt>
                <c:pt idx="146">
                  <c:v>10</c:v>
                </c:pt>
                <c:pt idx="147">
                  <c:v>10</c:v>
                </c:pt>
                <c:pt idx="148">
                  <c:v>21</c:v>
                </c:pt>
                <c:pt idx="149">
                  <c:v>21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7</c:v>
                </c:pt>
                <c:pt idx="155">
                  <c:v>7</c:v>
                </c:pt>
                <c:pt idx="156">
                  <c:v>15</c:v>
                </c:pt>
                <c:pt idx="157">
                  <c:v>15</c:v>
                </c:pt>
                <c:pt idx="158">
                  <c:v>6</c:v>
                </c:pt>
                <c:pt idx="159">
                  <c:v>6</c:v>
                </c:pt>
                <c:pt idx="160">
                  <c:v>4</c:v>
                </c:pt>
                <c:pt idx="161">
                  <c:v>4</c:v>
                </c:pt>
                <c:pt idx="162">
                  <c:v>29</c:v>
                </c:pt>
                <c:pt idx="163">
                  <c:v>29</c:v>
                </c:pt>
                <c:pt idx="164">
                  <c:v>18</c:v>
                </c:pt>
                <c:pt idx="165">
                  <c:v>18</c:v>
                </c:pt>
                <c:pt idx="166">
                  <c:v>6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7</c:v>
                </c:pt>
                <c:pt idx="171">
                  <c:v>7</c:v>
                </c:pt>
                <c:pt idx="172">
                  <c:v>13</c:v>
                </c:pt>
                <c:pt idx="173">
                  <c:v>13</c:v>
                </c:pt>
                <c:pt idx="174">
                  <c:v>3</c:v>
                </c:pt>
                <c:pt idx="175">
                  <c:v>3</c:v>
                </c:pt>
                <c:pt idx="176">
                  <c:v>34</c:v>
                </c:pt>
                <c:pt idx="177">
                  <c:v>34</c:v>
                </c:pt>
                <c:pt idx="178">
                  <c:v>12</c:v>
                </c:pt>
                <c:pt idx="179">
                  <c:v>12</c:v>
                </c:pt>
                <c:pt idx="180">
                  <c:v>28</c:v>
                </c:pt>
                <c:pt idx="181">
                  <c:v>28</c:v>
                </c:pt>
                <c:pt idx="182">
                  <c:v>6</c:v>
                </c:pt>
                <c:pt idx="183">
                  <c:v>6</c:v>
                </c:pt>
                <c:pt idx="184">
                  <c:v>27</c:v>
                </c:pt>
                <c:pt idx="185">
                  <c:v>27</c:v>
                </c:pt>
                <c:pt idx="186">
                  <c:v>55</c:v>
                </c:pt>
                <c:pt idx="187">
                  <c:v>55</c:v>
                </c:pt>
              </c:numCache>
            </c:numRef>
          </c:yVal>
        </c:ser>
        <c:axId val="60994304"/>
        <c:axId val="60995840"/>
      </c:scatterChart>
      <c:valAx>
        <c:axId val="60994304"/>
        <c:scaling>
          <c:orientation val="minMax"/>
        </c:scaling>
        <c:axPos val="b"/>
        <c:numFmt formatCode="0.00" sourceLinked="1"/>
        <c:tickLblPos val="nextTo"/>
        <c:crossAx val="60995840"/>
        <c:crosses val="autoZero"/>
        <c:crossBetween val="midCat"/>
      </c:valAx>
      <c:valAx>
        <c:axId val="60995840"/>
        <c:scaling>
          <c:orientation val="minMax"/>
        </c:scaling>
        <c:axPos val="l"/>
        <c:majorGridlines/>
        <c:numFmt formatCode="0.00" sourceLinked="1"/>
        <c:tickLblPos val="nextTo"/>
        <c:crossAx val="609943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forward val="5"/>
            <c:backward val="5"/>
            <c:dispEq val="1"/>
            <c:trendlineLbl>
              <c:layout>
                <c:manualLayout>
                  <c:x val="0.23340638670166242"/>
                  <c:y val="-0.15555737824438617"/>
                </c:manualLayout>
              </c:layout>
              <c:numFmt formatCode="General" sourceLinked="0"/>
            </c:trendlineLbl>
          </c:trendline>
          <c:xVal>
            <c:numRef>
              <c:f>'Efficiency Math'!$AI$5:$AI$20</c:f>
              <c:numCache>
                <c:formatCode>General</c:formatCode>
                <c:ptCount val="16"/>
                <c:pt idx="0">
                  <c:v>-21</c:v>
                </c:pt>
                <c:pt idx="1">
                  <c:v>-18</c:v>
                </c:pt>
                <c:pt idx="2">
                  <c:v>-14</c:v>
                </c:pt>
                <c:pt idx="3" formatCode="0">
                  <c:v>-10</c:v>
                </c:pt>
                <c:pt idx="4" formatCode="0">
                  <c:v>-7</c:v>
                </c:pt>
                <c:pt idx="5" formatCode="0">
                  <c:v>-5</c:v>
                </c:pt>
                <c:pt idx="6" formatCode="0">
                  <c:v>-3</c:v>
                </c:pt>
                <c:pt idx="7" formatCode="0">
                  <c:v>0</c:v>
                </c:pt>
                <c:pt idx="8" formatCode="0">
                  <c:v>7</c:v>
                </c:pt>
                <c:pt idx="9" formatCode="0">
                  <c:v>14</c:v>
                </c:pt>
                <c:pt idx="10" formatCode="0">
                  <c:v>21</c:v>
                </c:pt>
                <c:pt idx="11" formatCode="0">
                  <c:v>25</c:v>
                </c:pt>
              </c:numCache>
            </c:numRef>
          </c:xVal>
          <c:yVal>
            <c:numRef>
              <c:f>'Efficiency Math'!$AJ$5:$AJ$20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0">
                  <c:v>8</c:v>
                </c:pt>
                <c:pt idx="4" formatCode="0">
                  <c:v>15</c:v>
                </c:pt>
                <c:pt idx="5" formatCode="0">
                  <c:v>23</c:v>
                </c:pt>
                <c:pt idx="6" formatCode="0">
                  <c:v>26</c:v>
                </c:pt>
                <c:pt idx="7" formatCode="0">
                  <c:v>43</c:v>
                </c:pt>
                <c:pt idx="8" formatCode="0">
                  <c:v>75</c:v>
                </c:pt>
                <c:pt idx="9" formatCode="0">
                  <c:v>89</c:v>
                </c:pt>
                <c:pt idx="10" formatCode="0">
                  <c:v>95</c:v>
                </c:pt>
                <c:pt idx="11" formatCode="0">
                  <c:v>99</c:v>
                </c:pt>
              </c:numCache>
            </c:numRef>
          </c:yVal>
        </c:ser>
        <c:axId val="57416320"/>
        <c:axId val="57430400"/>
      </c:scatterChart>
      <c:valAx>
        <c:axId val="57416320"/>
        <c:scaling>
          <c:orientation val="minMax"/>
        </c:scaling>
        <c:axPos val="b"/>
        <c:numFmt formatCode="General" sourceLinked="1"/>
        <c:tickLblPos val="nextTo"/>
        <c:crossAx val="57430400"/>
        <c:crosses val="autoZero"/>
        <c:crossBetween val="midCat"/>
      </c:valAx>
      <c:valAx>
        <c:axId val="57430400"/>
        <c:scaling>
          <c:orientation val="minMax"/>
        </c:scaling>
        <c:axPos val="l"/>
        <c:majorGridlines/>
        <c:numFmt formatCode="General" sourceLinked="1"/>
        <c:tickLblPos val="nextTo"/>
        <c:crossAx val="574163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152400</xdr:rowOff>
    </xdr:from>
    <xdr:to>
      <xdr:col>21</xdr:col>
      <xdr:colOff>400050</xdr:colOff>
      <xdr:row>41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561975</xdr:colOff>
      <xdr:row>4</xdr:row>
      <xdr:rowOff>123825</xdr:rowOff>
    </xdr:from>
    <xdr:to>
      <xdr:col>45</xdr:col>
      <xdr:colOff>257175</xdr:colOff>
      <xdr:row>19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yland User" refreshedDate="40843.687024189814" createdVersion="4" refreshedVersion="4" minRefreshableVersion="3" recordCount="206">
  <cacheSource type="worksheet">
    <worksheetSource name="Table1"/>
  </cacheSource>
  <cacheFields count="45">
    <cacheField name="Team Name" numFmtId="0">
      <sharedItems count="160">
        <s v="Packers"/>
        <s v="Saints"/>
        <s v="Bears"/>
        <s v="Falcons"/>
        <s v="Texans"/>
        <s v="Colts"/>
        <s v="Chiefs"/>
        <s v="Bills"/>
        <s v="Jaguars"/>
        <s v="Titans"/>
        <s v="Browns"/>
        <s v="Bengals"/>
        <s v="Rams"/>
        <s v="Eagles"/>
        <s v="Ravens"/>
        <s v="Steelers"/>
        <s v="Buccaneers"/>
        <s v="Lions"/>
        <s v="Chargers"/>
        <s v="Vikings"/>
        <s v="Redskins"/>
        <s v="Giants"/>
        <s v="Cardinals"/>
        <s v="Panthers"/>
        <s v="49ers"/>
        <s v="Seahawks"/>
        <s v="Jets"/>
        <s v="Cowboys"/>
        <s v="Dolphins"/>
        <s v="Patriots"/>
        <s v="Broncos"/>
        <s v="Raiders"/>
        <s v="Ball St." u="1"/>
        <s v="Kentucky" u="1"/>
        <s v="Maryland" u="1"/>
        <s v="Oklahoma" u="1"/>
        <s v="Utah St." u="1"/>
        <s v="Middle Tenn." u="1"/>
        <s v="Oklahoma St." u="1"/>
        <s v="Stephen F. Austin" u="1"/>
        <s v="Oregon St." u="1"/>
        <s v="South Carolina" u="1"/>
        <s v="FIU" u="1"/>
        <s v="Akron" u="1"/>
        <s v="Baylor" u="1"/>
        <s v="Virginia" u="1"/>
        <s v="Kansas" u="1"/>
        <s v="Iowa" u="1"/>
        <s v="Boston College" u="1"/>
        <s v="North Carolina St." u="1"/>
        <s v="Boise St." u="1"/>
        <s v="Kent St." u="1"/>
        <s v="Washington St." u="1"/>
        <s v="Hawaii" u="1"/>
        <s v="Oregon" u="1"/>
        <s v="Arizona" u="1"/>
        <s v="Indiana" u="1"/>
        <s v="Arizona St." u="1"/>
        <s v="San Jose St." u="1"/>
        <s v="La.-Lafayette" u="1"/>
        <s v="Ohio" u="1"/>
        <s v="Nevada" u="1"/>
        <s v="La.-Monroe" u="1"/>
        <s v="Eastern Mich." u="1"/>
        <s v="Clemson" u="1"/>
        <s v="Colorado" u="1"/>
        <s v="Fresno St." u="1"/>
        <s v="Texas Tech" u="1"/>
        <s v="Colorado St." u="1"/>
        <s v="UNLV" u="1"/>
        <s v="Sam Houston St." u="1"/>
        <s v="Alabama" u="1"/>
        <s v="South Fla." u="1"/>
        <s v="Bowling Green" u="1"/>
        <s v="Southern California" u="1"/>
        <s v="Duke" u="1"/>
        <s v="Texas A&amp;M" u="1"/>
        <s v="Missouri" u="1"/>
        <s v="Northern Ill." u="1"/>
        <s v="West Virginia" u="1"/>
        <s v="Tulane" u="1"/>
        <s v="Wake Forest" u="1"/>
        <s v="Michigan" u="1"/>
        <s v="Air Force" u="1"/>
        <s v="Michigan St." u="1"/>
        <s v="Utah" u="1"/>
        <s v="Memphis" u="1"/>
        <s v="Central Mich." u="1"/>
        <s v="Southern Miss." u="1"/>
        <s v="Vanderbilt" u="1"/>
        <s v="Illinois" u="1"/>
        <s v="Ole Miss" u="1"/>
        <s v="Miami (FL)" u="1"/>
        <s v="Connecticut" u="1"/>
        <s v="Navy" u="1"/>
        <s v="Purdue" u="1"/>
        <s v="Marshall" u="1"/>
        <s v="Mississippi St." u="1"/>
        <s v="UC Davis" u="1"/>
        <s v="Washington" u="1"/>
        <s v="Texas St." u="1"/>
        <s v="Tennessee" u="1"/>
        <s v="New Mexico St." u="1"/>
        <s v="UCLA" u="1"/>
        <s v="Houston" u="1"/>
        <s v="SMU" u="1"/>
        <s v="Army" u="1"/>
        <s v="Florida" u="1"/>
        <s v="Iowa St." u="1"/>
        <s v="Nebraska" u="1"/>
        <s v="Northwestern" u="1"/>
        <s v="Florida St." u="1"/>
        <s v="McNeese St." u="1"/>
        <s v="UTSA" u="1"/>
        <s v="UAB" u="1"/>
        <s v="BYU" u="1"/>
        <s v="Pittsburgh" u="1"/>
        <s v="East Carolina" u="1"/>
        <s v="Troy" u="1"/>
        <s v="Texas" u="1"/>
        <s v="Arkansas" u="1"/>
        <s v="Tulsa" u="1"/>
        <s v="Syracuse" u="1"/>
        <s v="Arkansas St." u="1"/>
        <s v="Ohio St." u="1"/>
        <s v="Minnesota" u="1"/>
        <s v="Cincinnati" u="1"/>
        <s v="LSU" u="1"/>
        <s v="UTEP" u="1"/>
        <s v="Stanford" u="1"/>
        <s v="Louisville" u="1"/>
        <s v="Rice" u="1"/>
        <s v="Wisconsin" u="1"/>
        <s v="San Diego St." u="1"/>
        <s v="TCU" u="1"/>
        <s v="UCF" u="1"/>
        <s v="Idaho" u="1"/>
        <s v="Notre Dame" u="1"/>
        <s v="North Carolina" u="1"/>
        <s v="Rutgers" u="1"/>
        <s v="Wyoming" u="1"/>
        <s v="Penn St." u="1"/>
        <s v="North Texas" u="1"/>
        <s v="California" u="1"/>
        <s v="Toledo" u="1"/>
        <s v="Auburn" u="1"/>
        <s v="Fla. Atlantic" u="1"/>
        <s v="Western Mich." u="1"/>
        <s v="Southern Utah" u="1"/>
        <s v="Buffalo" u="1"/>
        <s v="Georgia" u="1"/>
        <s v="Kansas St." u="1"/>
        <s v="Louisiana Tech" u="1"/>
        <s v="Southeastern La." u="1"/>
        <s v="Temple" u="1"/>
        <s v="Western Ky." u="1"/>
        <s v="Miami (OH)" u="1"/>
        <s v="New Mexico" u="1"/>
        <s v="Georgia Tech" u="1"/>
        <s v="Virginia Tech" u="1"/>
      </sharedItems>
    </cacheField>
    <cacheField name="Team Id" numFmtId="0">
      <sharedItems containsSemiMixedTypes="0" containsString="0" containsNumber="1" containsInteger="1" minValue="0" maxValue="0"/>
    </cacheField>
    <cacheField name="Team Score" numFmtId="0">
      <sharedItems containsSemiMixedTypes="0" containsString="0" containsNumber="1" containsInteger="1" minValue="0" maxValue="62"/>
    </cacheField>
    <cacheField name="Passing Yards" numFmtId="0">
      <sharedItems containsSemiMixedTypes="0" containsString="0" containsNumber="1" containsInteger="1" minValue="28" maxValue="516"/>
    </cacheField>
    <cacheField name="Passing Attempts" numFmtId="0">
      <sharedItems containsSemiMixedTypes="0" containsString="0" containsNumber="1" containsInteger="1" minValue="15" maxValue="61"/>
    </cacheField>
    <cacheField name="Passing TDs" numFmtId="0">
      <sharedItems containsSemiMixedTypes="0" containsString="0" containsNumber="1" containsInteger="1" minValue="0" maxValue="5"/>
    </cacheField>
    <cacheField name="Passing Completions" numFmtId="0">
      <sharedItems containsSemiMixedTypes="0" containsString="0" containsNumber="1" containsInteger="1" minValue="7" maxValue="40"/>
    </cacheField>
    <cacheField name="INTs" numFmtId="0">
      <sharedItems containsSemiMixedTypes="0" containsString="0" containsNumber="1" containsInteger="1" minValue="0" maxValue="6"/>
    </cacheField>
    <cacheField name="Rushing Yards" numFmtId="0">
      <sharedItems containsSemiMixedTypes="0" containsString="0" containsNumber="1" containsInteger="1" minValue="13" maxValue="294"/>
    </cacheField>
    <cacheField name="Rushing Attempts" numFmtId="0">
      <sharedItems containsSemiMixedTypes="0" containsString="0" containsNumber="1" containsInteger="1" minValue="11" maxValue="47"/>
    </cacheField>
    <cacheField name="Rushing TDs" numFmtId="0">
      <sharedItems containsSemiMixedTypes="0" containsString="0" containsNumber="1" containsInteger="1" minValue="0" maxValue="4"/>
    </cacheField>
    <cacheField name="Fumbles" numFmtId="0">
      <sharedItems containsSemiMixedTypes="0" containsString="0" containsNumber="1" containsInteger="1" minValue="0" maxValue="4"/>
    </cacheField>
    <cacheField name="Opp Team Name" numFmtId="0">
      <sharedItems/>
    </cacheField>
    <cacheField name="Opp Team Id" numFmtId="0">
      <sharedItems containsSemiMixedTypes="0" containsString="0" containsNumber="1" containsInteger="1" minValue="0" maxValue="0"/>
    </cacheField>
    <cacheField name="Opp Team Score" numFmtId="0">
      <sharedItems containsSemiMixedTypes="0" containsString="0" containsNumber="1" containsInteger="1" minValue="0" maxValue="62"/>
    </cacheField>
    <cacheField name="Opp Passing Yards" numFmtId="0">
      <sharedItems containsSemiMixedTypes="0" containsString="0" containsNumber="1" containsInteger="1" minValue="28" maxValue="516"/>
    </cacheField>
    <cacheField name="Opp Passing Attempts" numFmtId="0">
      <sharedItems containsSemiMixedTypes="0" containsString="0" containsNumber="1" containsInteger="1" minValue="15" maxValue="61"/>
    </cacheField>
    <cacheField name="Opp Passing TDs" numFmtId="0">
      <sharedItems containsSemiMixedTypes="0" containsString="0" containsNumber="1" containsInteger="1" minValue="0" maxValue="5"/>
    </cacheField>
    <cacheField name="Opp Passing Completions" numFmtId="0">
      <sharedItems containsSemiMixedTypes="0" containsString="0" containsNumber="1" containsInteger="1" minValue="7" maxValue="40"/>
    </cacheField>
    <cacheField name="Opp INTs" numFmtId="0">
      <sharedItems containsSemiMixedTypes="0" containsString="0" containsNumber="1" containsInteger="1" minValue="0" maxValue="6"/>
    </cacheField>
    <cacheField name="Opp Rushing Yards" numFmtId="0">
      <sharedItems containsSemiMixedTypes="0" containsString="0" containsNumber="1" containsInteger="1" minValue="13" maxValue="294"/>
    </cacheField>
    <cacheField name="Opp Rushing Attempts" numFmtId="0">
      <sharedItems containsSemiMixedTypes="0" containsString="0" containsNumber="1" containsInteger="1" minValue="11" maxValue="47"/>
    </cacheField>
    <cacheField name="Opp Rushing TDs" numFmtId="0">
      <sharedItems containsSemiMixedTypes="0" containsString="0" containsNumber="1" containsInteger="1" minValue="0" maxValue="4"/>
    </cacheField>
    <cacheField name="Opp Fumbles" numFmtId="0">
      <sharedItems containsSemiMixedTypes="0" containsString="0" containsNumber="1" containsInteger="1" minValue="0" maxValue="4"/>
    </cacheField>
    <cacheField name="Win" numFmtId="0">
      <sharedItems/>
    </cacheField>
    <cacheField name="Week Number" numFmtId="0">
      <sharedItems containsSemiMixedTypes="0" containsString="0" containsNumber="1" containsInteger="1" minValue="0" maxValue="0"/>
    </cacheField>
    <cacheField name="Passing Efficiency" numFmtId="0">
      <sharedItems containsSemiMixedTypes="0" containsString="0" containsNumber="1" minValue="15.84" maxValue="161.44"/>
    </cacheField>
    <cacheField name="Passing Defense Efficiency" numFmtId="0">
      <sharedItems containsSemiMixedTypes="0" containsString="0" containsNumber="1" minValue="38.56" maxValue="184.16"/>
    </cacheField>
    <cacheField name="Rushing Efficiency" numFmtId="0">
      <sharedItems containsMixedTypes="1" containsNumber="1" minValue="-0.97" maxValue="228.07"/>
    </cacheField>
    <cacheField name="Rushing Defense Efficiency" numFmtId="0">
      <sharedItems containsMixedTypes="1" containsNumber="1" minValue="-28.069999999999993" maxValue="200.97"/>
    </cacheField>
    <cacheField name="Passing Weight" numFmtId="0">
      <sharedItems containsSemiMixedTypes="0" containsString="0" containsNumber="1" minValue="0.32" maxValue="0.83"/>
    </cacheField>
    <cacheField name="Rushing Weight" numFmtId="0">
      <sharedItems containsSemiMixedTypes="0" containsString="0" containsNumber="1" minValue="0.17000000000000004" maxValue="0.67999999999999994"/>
    </cacheField>
    <cacheField name="Against FCS Team" numFmtId="0">
      <sharedItems/>
    </cacheField>
    <cacheField name="Throw Out Pass Eff" numFmtId="0">
      <sharedItems/>
    </cacheField>
    <cacheField name="Throw Out Rush Eff" numFmtId="0">
      <sharedItems/>
    </cacheField>
    <cacheField name="Throw Out Pass Def Eff" numFmtId="0">
      <sharedItems/>
    </cacheField>
    <cacheField name="Throw Out Rush Def Eff" numFmtId="0">
      <sharedItems/>
    </cacheField>
    <cacheField name="Weighted Passing Efficiency" numFmtId="0">
      <sharedItems containsSemiMixedTypes="0" containsString="0" containsNumber="1" minValue="18.899999999999999" maxValue="161.88"/>
    </cacheField>
    <cacheField name="Weighted Passing Defense Efficiency" numFmtId="0">
      <sharedItems containsSemiMixedTypes="0" containsString="0" containsNumber="1" minValue="42.95" maxValue="158.83000000000001"/>
    </cacheField>
    <cacheField name="Weighted Rushing Efficiency" numFmtId="0">
      <sharedItems containsMixedTypes="1" containsNumber="1" minValue="-1.42" maxValue="197.95"/>
    </cacheField>
    <cacheField name="Weighted Rushing Defense Efficiency" numFmtId="0">
      <sharedItems containsMixedTypes="1" containsNumber="1" minValue="-37.1" maxValue="174.09"/>
    </cacheField>
    <cacheField name="Winning Margin" numFmtId="0">
      <sharedItems containsSemiMixedTypes="0" containsString="0" containsNumber="1" containsInteger="1" minValue="1" maxValue="55"/>
    </cacheField>
    <cacheField name="Total Score" numFmtId="0">
      <sharedItems containsSemiMixedTypes="0" containsString="0" containsNumber="1" containsInteger="1" minValue="9" maxValue="76"/>
    </cacheField>
    <cacheField name="Efficiency Difference" numFmtId="0">
      <sharedItems containsMixedTypes="1" containsNumber="1" minValue="0.16000000000002501" maxValue="157.83000000000004"/>
    </cacheField>
    <cacheField name="Efficiency Coefficient" numFmtId="0">
      <sharedItems containsMixedTypes="1" containsNumber="1" minValue="1.77" maxValue="2828.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x v="0"/>
    <n v="0"/>
    <n v="42"/>
    <n v="296"/>
    <n v="35"/>
    <n v="3"/>
    <n v="27"/>
    <n v="0"/>
    <n v="103"/>
    <n v="27"/>
    <n v="2"/>
    <n v="0"/>
    <s v="Saints"/>
    <n v="0"/>
    <n v="34"/>
    <n v="396"/>
    <n v="49"/>
    <n v="3"/>
    <n v="32"/>
    <n v="0"/>
    <n v="81"/>
    <n v="21"/>
    <n v="0"/>
    <n v="1"/>
    <s v="W"/>
    <n v="0"/>
    <n v="136.09"/>
    <n v="81.47"/>
    <n v="99.61"/>
    <n v="124.8"/>
    <n v="0.7"/>
    <n v="0.30000000000000004"/>
    <s v="N"/>
    <s v="N"/>
    <s v="N"/>
    <s v="N"/>
    <s v="N"/>
    <n v="149.58000000000001"/>
    <n v="95.22"/>
    <n v="70.97"/>
    <n v="128.06"/>
    <n v="8"/>
    <n v="76"/>
    <n v="41.96999999999997"/>
    <n v="19.059999999999999"/>
  </r>
  <r>
    <x v="1"/>
    <n v="0"/>
    <n v="34"/>
    <n v="396"/>
    <n v="49"/>
    <n v="3"/>
    <n v="32"/>
    <n v="0"/>
    <n v="81"/>
    <n v="21"/>
    <n v="0"/>
    <n v="1"/>
    <s v="Packers"/>
    <n v="0"/>
    <n v="42"/>
    <n v="296"/>
    <n v="35"/>
    <n v="3"/>
    <n v="27"/>
    <n v="0"/>
    <n v="103"/>
    <n v="27"/>
    <n v="2"/>
    <n v="0"/>
    <s v="L"/>
    <n v="0"/>
    <n v="118.53"/>
    <n v="63.91"/>
    <n v="75.2"/>
    <n v="100.39"/>
    <n v="0.56000000000000005"/>
    <n v="0.43999999999999995"/>
    <s v="N"/>
    <s v="N"/>
    <s v="N"/>
    <s v="N"/>
    <s v="N"/>
    <n v="130.52000000000001"/>
    <n v="83.47"/>
    <n v="69.87"/>
    <n v="87.55"/>
    <n v="8"/>
    <n v="76"/>
    <n v="41.96999999999997"/>
    <n v="19.059999999999999"/>
  </r>
  <r>
    <x v="2"/>
    <n v="0"/>
    <n v="30"/>
    <n v="289"/>
    <n v="32"/>
    <n v="2"/>
    <n v="22"/>
    <n v="1"/>
    <n v="88"/>
    <n v="27"/>
    <n v="0"/>
    <n v="0"/>
    <s v="Falcons"/>
    <n v="0"/>
    <n v="12"/>
    <n v="276"/>
    <n v="47"/>
    <n v="0"/>
    <n v="31"/>
    <n v="1"/>
    <n v="110"/>
    <n v="14"/>
    <n v="0"/>
    <n v="2"/>
    <s v="W"/>
    <n v="0"/>
    <n v="117.97"/>
    <n v="108.42"/>
    <n v="75.61"/>
    <s v=" "/>
    <n v="0.77"/>
    <n v="0.22999999999999998"/>
    <s v="N"/>
    <s v="N"/>
    <s v="N"/>
    <s v="N"/>
    <s v="Y"/>
    <n v="118.51"/>
    <n v="98.44"/>
    <n v="83.06"/>
    <s v=" "/>
    <n v="18"/>
    <n v="42"/>
    <s v=" "/>
    <s v=" "/>
  </r>
  <r>
    <x v="3"/>
    <n v="0"/>
    <n v="12"/>
    <n v="276"/>
    <n v="47"/>
    <n v="0"/>
    <n v="31"/>
    <n v="1"/>
    <n v="110"/>
    <n v="14"/>
    <n v="0"/>
    <n v="2"/>
    <s v="Bears"/>
    <n v="0"/>
    <n v="30"/>
    <n v="289"/>
    <n v="32"/>
    <n v="2"/>
    <n v="22"/>
    <n v="1"/>
    <n v="88"/>
    <n v="27"/>
    <n v="0"/>
    <n v="0"/>
    <s v="L"/>
    <n v="0"/>
    <n v="91.58"/>
    <n v="82.03"/>
    <s v=" "/>
    <n v="124.39"/>
    <n v="0.54"/>
    <n v="0.45999999999999996"/>
    <s v="N"/>
    <s v="N"/>
    <s v="Y"/>
    <s v="N"/>
    <s v="N"/>
    <n v="90.06"/>
    <n v="76.33"/>
    <s v=" "/>
    <n v="147.51"/>
    <n v="18"/>
    <n v="42"/>
    <s v=" "/>
    <s v=" "/>
  </r>
  <r>
    <x v="4"/>
    <n v="0"/>
    <n v="34"/>
    <n v="217"/>
    <n v="24"/>
    <n v="1"/>
    <n v="17"/>
    <n v="2"/>
    <n v="167"/>
    <n v="41"/>
    <n v="2"/>
    <n v="1"/>
    <s v="Colts"/>
    <n v="0"/>
    <n v="7"/>
    <n v="172"/>
    <n v="31"/>
    <n v="1"/>
    <n v="16"/>
    <n v="0"/>
    <n v="64"/>
    <n v="16"/>
    <n v="0"/>
    <n v="2"/>
    <s v="W"/>
    <n v="0"/>
    <n v="101.36"/>
    <n v="113.31"/>
    <n v="94.5"/>
    <n v="144.69999999999999"/>
    <n v="0.66"/>
    <n v="0.33999999999999997"/>
    <s v="N"/>
    <s v="N"/>
    <s v="N"/>
    <s v="N"/>
    <s v="N"/>
    <n v="78.959999999999994"/>
    <n v="97.43"/>
    <n v="97.39"/>
    <n v="121.73"/>
    <n v="27"/>
    <n v="41"/>
    <n v="53.870000000000005"/>
    <n v="50.12"/>
  </r>
  <r>
    <x v="5"/>
    <n v="0"/>
    <n v="7"/>
    <n v="172"/>
    <n v="31"/>
    <n v="1"/>
    <n v="16"/>
    <n v="0"/>
    <n v="64"/>
    <n v="16"/>
    <n v="0"/>
    <n v="2"/>
    <s v="Texans"/>
    <n v="0"/>
    <n v="34"/>
    <n v="217"/>
    <n v="24"/>
    <n v="1"/>
    <n v="17"/>
    <n v="2"/>
    <n v="167"/>
    <n v="41"/>
    <n v="2"/>
    <n v="1"/>
    <s v="L"/>
    <n v="0"/>
    <n v="86.69"/>
    <n v="98.64"/>
    <n v="55.3"/>
    <n v="105.5"/>
    <n v="0.37"/>
    <n v="0.63"/>
    <s v="N"/>
    <s v="N"/>
    <s v="N"/>
    <s v="N"/>
    <s v="N"/>
    <n v="104.35"/>
    <n v="109.87"/>
    <n v="56.07"/>
    <n v="101.79"/>
    <n v="27"/>
    <n v="41"/>
    <n v="53.870000000000005"/>
    <n v="50.12"/>
  </r>
  <r>
    <x v="6"/>
    <n v="0"/>
    <n v="7"/>
    <n v="105"/>
    <n v="36"/>
    <n v="1"/>
    <n v="22"/>
    <n v="1"/>
    <n v="108"/>
    <n v="18"/>
    <n v="0"/>
    <n v="2"/>
    <s v="Bills"/>
    <n v="0"/>
    <n v="41"/>
    <n v="201"/>
    <n v="26"/>
    <n v="4"/>
    <n v="17"/>
    <n v="1"/>
    <n v="163"/>
    <n v="39"/>
    <n v="1"/>
    <n v="0"/>
    <s v="L"/>
    <n v="0"/>
    <n v="72.84"/>
    <n v="80.94"/>
    <n v="105.87"/>
    <n v="99.19"/>
    <n v="0.4"/>
    <n v="0.6"/>
    <s v="N"/>
    <s v="N"/>
    <s v="N"/>
    <s v="N"/>
    <s v="N"/>
    <n v="75.53"/>
    <n v="84.08"/>
    <n v="82.76"/>
    <n v="131.11000000000001"/>
    <n v="34"/>
    <n v="48"/>
    <n v="41.16"/>
    <n v="82.6"/>
  </r>
  <r>
    <x v="7"/>
    <n v="0"/>
    <n v="41"/>
    <n v="201"/>
    <n v="26"/>
    <n v="4"/>
    <n v="17"/>
    <n v="1"/>
    <n v="163"/>
    <n v="39"/>
    <n v="1"/>
    <n v="0"/>
    <s v="Chiefs"/>
    <n v="0"/>
    <n v="7"/>
    <n v="105"/>
    <n v="36"/>
    <n v="1"/>
    <n v="22"/>
    <n v="1"/>
    <n v="108"/>
    <n v="18"/>
    <n v="0"/>
    <n v="2"/>
    <s v="W"/>
    <n v="0"/>
    <n v="119.06"/>
    <n v="127.16"/>
    <n v="100.81"/>
    <n v="94.13"/>
    <n v="0.67"/>
    <n v="0.32999999999999996"/>
    <s v="N"/>
    <s v="N"/>
    <s v="N"/>
    <s v="N"/>
    <s v="N"/>
    <n v="129.11000000000001"/>
    <n v="116.05"/>
    <n v="100.36"/>
    <n v="87.76"/>
    <n v="34"/>
    <n v="48"/>
    <n v="41.16"/>
    <n v="82.6"/>
  </r>
  <r>
    <x v="8"/>
    <n v="0"/>
    <n v="16"/>
    <n v="160"/>
    <n v="24"/>
    <n v="0"/>
    <n v="17"/>
    <n v="0"/>
    <n v="163"/>
    <n v="47"/>
    <n v="1"/>
    <n v="1"/>
    <s v="Titans"/>
    <n v="0"/>
    <n v="14"/>
    <n v="249"/>
    <n v="34"/>
    <n v="2"/>
    <n v="21"/>
    <n v="1"/>
    <n v="43"/>
    <n v="13"/>
    <n v="0"/>
    <n v="0"/>
    <s v="W"/>
    <n v="0"/>
    <n v="107.17"/>
    <n v="98.32"/>
    <n v="77.27"/>
    <s v=" "/>
    <n v="0.72"/>
    <n v="0.28000000000000003"/>
    <s v="N"/>
    <s v="N"/>
    <s v="N"/>
    <s v="N"/>
    <s v="Y"/>
    <n v="102.22"/>
    <n v="96.56"/>
    <n v="87.76"/>
    <s v=" "/>
    <n v="2"/>
    <n v="30"/>
    <s v=" "/>
    <s v=" "/>
  </r>
  <r>
    <x v="9"/>
    <n v="0"/>
    <n v="14"/>
    <n v="249"/>
    <n v="34"/>
    <n v="2"/>
    <n v="21"/>
    <n v="1"/>
    <n v="43"/>
    <n v="13"/>
    <n v="0"/>
    <n v="0"/>
    <s v="Jaguars"/>
    <n v="0"/>
    <n v="16"/>
    <n v="160"/>
    <n v="24"/>
    <n v="0"/>
    <n v="17"/>
    <n v="0"/>
    <n v="163"/>
    <n v="47"/>
    <n v="1"/>
    <n v="1"/>
    <s v="L"/>
    <n v="0"/>
    <n v="101.68"/>
    <n v="92.83"/>
    <s v=" "/>
    <n v="122.73"/>
    <n v="0.34"/>
    <n v="0.65999999999999992"/>
    <s v="N"/>
    <s v="N"/>
    <s v="Y"/>
    <s v="N"/>
    <s v="N"/>
    <n v="109.68"/>
    <n v="65.47"/>
    <s v=" "/>
    <n v="111.72"/>
    <n v="2"/>
    <n v="30"/>
    <s v=" "/>
    <s v=" "/>
  </r>
  <r>
    <x v="10"/>
    <n v="0"/>
    <n v="17"/>
    <n v="202"/>
    <n v="40"/>
    <n v="2"/>
    <n v="19"/>
    <n v="1"/>
    <n v="83"/>
    <n v="26"/>
    <n v="0"/>
    <n v="0"/>
    <s v="Bengals"/>
    <n v="0"/>
    <n v="27"/>
    <n v="155"/>
    <n v="27"/>
    <n v="2"/>
    <n v="15"/>
    <n v="0"/>
    <n v="139"/>
    <n v="33"/>
    <n v="1"/>
    <n v="0"/>
    <s v="L"/>
    <n v="0"/>
    <n v="75.02"/>
    <n v="102.05"/>
    <n v="74.06"/>
    <n v="97.73"/>
    <n v="0.45"/>
    <n v="0.55000000000000004"/>
    <s v="N"/>
    <s v="N"/>
    <s v="N"/>
    <s v="N"/>
    <s v="N"/>
    <n v="79.33"/>
    <n v="97.15"/>
    <n v="96.19"/>
    <n v="86.12"/>
    <n v="10"/>
    <n v="44"/>
    <n v="51.140000000000015"/>
    <n v="19.55"/>
  </r>
  <r>
    <x v="11"/>
    <n v="0"/>
    <n v="27"/>
    <n v="155"/>
    <n v="27"/>
    <n v="2"/>
    <n v="15"/>
    <n v="0"/>
    <n v="139"/>
    <n v="33"/>
    <n v="1"/>
    <n v="0"/>
    <s v="Browns"/>
    <n v="0"/>
    <n v="17"/>
    <n v="202"/>
    <n v="40"/>
    <n v="2"/>
    <n v="19"/>
    <n v="1"/>
    <n v="83"/>
    <n v="26"/>
    <n v="0"/>
    <n v="0"/>
    <s v="W"/>
    <n v="0"/>
    <n v="97.95"/>
    <n v="124.98"/>
    <n v="102.27"/>
    <n v="125.94"/>
    <n v="0.61"/>
    <n v="0.39"/>
    <s v="N"/>
    <s v="N"/>
    <s v="N"/>
    <s v="N"/>
    <s v="N"/>
    <n v="108.22"/>
    <n v="104.94"/>
    <n v="116.31"/>
    <n v="94.59"/>
    <n v="10"/>
    <n v="44"/>
    <n v="51.140000000000015"/>
    <n v="19.55"/>
  </r>
  <r>
    <x v="12"/>
    <n v="0"/>
    <n v="13"/>
    <n v="181"/>
    <n v="35"/>
    <n v="0"/>
    <n v="18"/>
    <n v="0"/>
    <n v="154"/>
    <n v="26"/>
    <n v="1"/>
    <n v="1"/>
    <s v="Eagles"/>
    <n v="0"/>
    <n v="31"/>
    <n v="167"/>
    <n v="32"/>
    <n v="2"/>
    <n v="14"/>
    <n v="0"/>
    <n v="237"/>
    <n v="31"/>
    <n v="1"/>
    <n v="1"/>
    <s v="L"/>
    <n v="0"/>
    <n v="79.61"/>
    <n v="118.43"/>
    <n v="131.65"/>
    <n v="27.47"/>
    <n v="0.51"/>
    <n v="0.49"/>
    <s v="N"/>
    <s v="N"/>
    <s v="N"/>
    <s v="N"/>
    <s v="N"/>
    <n v="79.03"/>
    <n v="108.74"/>
    <n v="107.58"/>
    <n v="35.83"/>
    <n v="18"/>
    <n v="44"/>
    <n v="42.84"/>
    <n v="42.02"/>
  </r>
  <r>
    <x v="13"/>
    <n v="0"/>
    <n v="31"/>
    <n v="167"/>
    <n v="32"/>
    <n v="2"/>
    <n v="14"/>
    <n v="0"/>
    <n v="237"/>
    <n v="31"/>
    <n v="1"/>
    <n v="1"/>
    <s v="Rams"/>
    <n v="0"/>
    <n v="13"/>
    <n v="181"/>
    <n v="35"/>
    <n v="0"/>
    <n v="18"/>
    <n v="0"/>
    <n v="154"/>
    <n v="26"/>
    <n v="1"/>
    <n v="1"/>
    <s v="W"/>
    <n v="0"/>
    <n v="81.569999999999993"/>
    <n v="120.39"/>
    <n v="172.53"/>
    <n v="68.349999999999994"/>
    <n v="0.56999999999999995"/>
    <n v="0.43000000000000005"/>
    <s v="N"/>
    <s v="N"/>
    <s v="N"/>
    <s v="N"/>
    <s v="N"/>
    <n v="83.64"/>
    <n v="96.24"/>
    <n v="122.82"/>
    <n v="55.65"/>
    <n v="18"/>
    <n v="44"/>
    <n v="42.84"/>
    <n v="42.02"/>
  </r>
  <r>
    <x v="14"/>
    <n v="0"/>
    <n v="35"/>
    <n v="215"/>
    <n v="29"/>
    <n v="3"/>
    <n v="17"/>
    <n v="0"/>
    <n v="170"/>
    <n v="31"/>
    <n v="1"/>
    <n v="0"/>
    <s v="Steelers"/>
    <n v="0"/>
    <n v="7"/>
    <n v="246"/>
    <n v="41"/>
    <n v="1"/>
    <n v="22"/>
    <n v="3"/>
    <n v="66"/>
    <n v="16"/>
    <n v="0"/>
    <n v="4"/>
    <s v="W"/>
    <n v="0"/>
    <n v="114.54"/>
    <n v="131.93"/>
    <n v="132.06"/>
    <n v="179.3"/>
    <n v="0.72"/>
    <n v="0.28000000000000003"/>
    <s v="N"/>
    <s v="N"/>
    <s v="N"/>
    <s v="N"/>
    <s v="N"/>
    <n v="126.39"/>
    <n v="140.08000000000001"/>
    <n v="121.28"/>
    <n v="159.96"/>
    <n v="28"/>
    <n v="42"/>
    <n v="157.83000000000004"/>
    <n v="17.739999999999998"/>
  </r>
  <r>
    <x v="15"/>
    <n v="0"/>
    <n v="7"/>
    <n v="246"/>
    <n v="41"/>
    <n v="1"/>
    <n v="22"/>
    <n v="3"/>
    <n v="66"/>
    <n v="16"/>
    <n v="0"/>
    <n v="4"/>
    <s v="Ravens"/>
    <n v="0"/>
    <n v="35"/>
    <n v="215"/>
    <n v="29"/>
    <n v="3"/>
    <n v="17"/>
    <n v="0"/>
    <n v="170"/>
    <n v="31"/>
    <n v="1"/>
    <n v="0"/>
    <s v="L"/>
    <n v="0"/>
    <n v="68.069999999999993"/>
    <n v="85.46"/>
    <n v="20.7"/>
    <n v="67.94"/>
    <n v="0.48"/>
    <n v="0.52"/>
    <s v="N"/>
    <s v="N"/>
    <s v="N"/>
    <s v="N"/>
    <s v="N"/>
    <n v="85.58"/>
    <n v="71.849999999999994"/>
    <n v="30.2"/>
    <n v="61.86"/>
    <n v="28"/>
    <n v="42"/>
    <n v="157.83000000000004"/>
    <n v="17.739999999999998"/>
  </r>
  <r>
    <x v="16"/>
    <n v="0"/>
    <n v="20"/>
    <n v="259"/>
    <n v="46"/>
    <n v="1"/>
    <n v="29"/>
    <n v="1"/>
    <n v="56"/>
    <n v="16"/>
    <n v="0"/>
    <n v="1"/>
    <s v="Lions"/>
    <n v="0"/>
    <n v="27"/>
    <n v="305"/>
    <n v="33"/>
    <n v="3"/>
    <n v="24"/>
    <n v="1"/>
    <n v="126"/>
    <n v="35"/>
    <n v="0"/>
    <n v="0"/>
    <s v="L"/>
    <n v="0"/>
    <n v="90.47"/>
    <n v="72.36"/>
    <n v="62.45"/>
    <n v="116.48"/>
    <n v="0.49"/>
    <n v="0.51"/>
    <s v="N"/>
    <s v="N"/>
    <s v="N"/>
    <s v="N"/>
    <s v="N"/>
    <n v="104.41"/>
    <n v="74.38"/>
    <n v="57.02"/>
    <n v="113.31"/>
    <n v="7"/>
    <n v="47"/>
    <n v="58.239999999999981"/>
    <n v="12.02"/>
  </r>
  <r>
    <x v="17"/>
    <n v="0"/>
    <n v="27"/>
    <n v="305"/>
    <n v="33"/>
    <n v="3"/>
    <n v="24"/>
    <n v="1"/>
    <n v="126"/>
    <n v="35"/>
    <n v="0"/>
    <n v="0"/>
    <s v="Buccaneers"/>
    <n v="0"/>
    <n v="20"/>
    <n v="259"/>
    <n v="46"/>
    <n v="1"/>
    <n v="29"/>
    <n v="1"/>
    <n v="56"/>
    <n v="16"/>
    <n v="0"/>
    <n v="1"/>
    <s v="W"/>
    <n v="0"/>
    <n v="127.64"/>
    <n v="109.53"/>
    <n v="83.52"/>
    <n v="137.55000000000001"/>
    <n v="0.74"/>
    <n v="0.26"/>
    <s v="N"/>
    <s v="N"/>
    <s v="N"/>
    <s v="N"/>
    <s v="N"/>
    <n v="124.44"/>
    <n v="96.31"/>
    <n v="92.06"/>
    <n v="137.34"/>
    <n v="7"/>
    <n v="47"/>
    <n v="58.240000000000009"/>
    <n v="12.02"/>
  </r>
  <r>
    <x v="18"/>
    <n v="0"/>
    <n v="24"/>
    <n v="330"/>
    <n v="48"/>
    <n v="2"/>
    <n v="33"/>
    <n v="2"/>
    <n v="77"/>
    <n v="27"/>
    <n v="1"/>
    <n v="0"/>
    <s v="Vikings"/>
    <n v="0"/>
    <n v="17"/>
    <n v="28"/>
    <n v="15"/>
    <n v="1"/>
    <n v="7"/>
    <n v="1"/>
    <n v="159"/>
    <n v="26"/>
    <n v="0"/>
    <n v="0"/>
    <s v="W"/>
    <n v="0"/>
    <n v="99.97"/>
    <n v="153.16"/>
    <n v="71.72"/>
    <n v="58.120000000000005"/>
    <n v="0.37"/>
    <n v="0.63"/>
    <s v="N"/>
    <s v="N"/>
    <s v="N"/>
    <s v="N"/>
    <s v="N"/>
    <n v="90.93"/>
    <n v="128.66"/>
    <n v="84.31"/>
    <n v="74.239999999999995"/>
    <n v="7"/>
    <n v="41"/>
    <n v="17.03"/>
    <n v="41.1"/>
  </r>
  <r>
    <x v="19"/>
    <n v="0"/>
    <n v="17"/>
    <n v="28"/>
    <n v="15"/>
    <n v="1"/>
    <n v="7"/>
    <n v="1"/>
    <n v="159"/>
    <n v="26"/>
    <n v="0"/>
    <n v="0"/>
    <s v="Chargers"/>
    <n v="0"/>
    <n v="24"/>
    <n v="330"/>
    <n v="48"/>
    <n v="2"/>
    <n v="33"/>
    <n v="2"/>
    <n v="77"/>
    <n v="27"/>
    <n v="1"/>
    <n v="0"/>
    <s v="L"/>
    <n v="0"/>
    <n v="46.84"/>
    <n v="100.03"/>
    <n v="141.88"/>
    <n v="128.28"/>
    <n v="0.64"/>
    <n v="0.36"/>
    <s v="N"/>
    <s v="N"/>
    <s v="N"/>
    <s v="N"/>
    <s v="N"/>
    <n v="52.44"/>
    <n v="97.77"/>
    <n v="125.58"/>
    <n v="118.1"/>
    <n v="7"/>
    <n v="41"/>
    <n v="17.03"/>
    <n v="41.1"/>
  </r>
  <r>
    <x v="20"/>
    <n v="0"/>
    <n v="28"/>
    <n v="258"/>
    <n v="34"/>
    <n v="2"/>
    <n v="21"/>
    <n v="0"/>
    <n v="74"/>
    <n v="26"/>
    <n v="1"/>
    <n v="1"/>
    <s v="Giants"/>
    <n v="0"/>
    <n v="14"/>
    <n v="240"/>
    <n v="32"/>
    <n v="0"/>
    <n v="18"/>
    <n v="1"/>
    <n v="75"/>
    <n v="20"/>
    <n v="2"/>
    <n v="0"/>
    <s v="W"/>
    <n v="0"/>
    <n v="111.94"/>
    <n v="112.25"/>
    <n v="60.26"/>
    <n v="98"/>
    <n v="0.62"/>
    <n v="0.38"/>
    <s v="N"/>
    <s v="N"/>
    <s v="N"/>
    <s v="N"/>
    <s v="N"/>
    <n v="120.04"/>
    <n v="126.47"/>
    <n v="61.44"/>
    <n v="73.89"/>
    <n v="14"/>
    <n v="42"/>
    <n v="17.550000000000011"/>
    <n v="79.77"/>
  </r>
  <r>
    <x v="21"/>
    <n v="0"/>
    <n v="14"/>
    <n v="240"/>
    <n v="32"/>
    <n v="0"/>
    <n v="18"/>
    <n v="1"/>
    <n v="75"/>
    <n v="20"/>
    <n v="2"/>
    <n v="0"/>
    <s v="Redskins"/>
    <n v="0"/>
    <n v="28"/>
    <n v="258"/>
    <n v="34"/>
    <n v="2"/>
    <n v="21"/>
    <n v="0"/>
    <n v="74"/>
    <n v="26"/>
    <n v="1"/>
    <n v="1"/>
    <s v="L"/>
    <n v="0"/>
    <n v="87.75"/>
    <n v="88.06"/>
    <n v="102"/>
    <n v="139.74"/>
    <n v="0.56999999999999995"/>
    <n v="0.43000000000000005"/>
    <s v="N"/>
    <s v="N"/>
    <s v="N"/>
    <s v="N"/>
    <s v="N"/>
    <n v="92.98"/>
    <n v="72.680000000000007"/>
    <n v="98.84"/>
    <n v="117.34"/>
    <n v="14"/>
    <n v="42"/>
    <n v="17.550000000000011"/>
    <n v="79.77"/>
  </r>
  <r>
    <x v="22"/>
    <n v="0"/>
    <n v="28"/>
    <n v="295"/>
    <n v="27"/>
    <n v="2"/>
    <n v="18"/>
    <n v="0"/>
    <n v="99"/>
    <n v="25"/>
    <n v="1"/>
    <n v="1"/>
    <s v="Panthers"/>
    <n v="0"/>
    <n v="21"/>
    <n v="403"/>
    <n v="37"/>
    <n v="2"/>
    <n v="24"/>
    <n v="1"/>
    <n v="74"/>
    <n v="27"/>
    <n v="1"/>
    <n v="0"/>
    <s v="W"/>
    <n v="0"/>
    <n v="137.32"/>
    <n v="75.77"/>
    <n v="85.87"/>
    <n v="130.86000000000001"/>
    <n v="0.57999999999999996"/>
    <n v="0.42000000000000004"/>
    <s v="N"/>
    <s v="N"/>
    <s v="N"/>
    <s v="N"/>
    <s v="N"/>
    <n v="131.6"/>
    <n v="75.599999999999994"/>
    <n v="77.83"/>
    <n v="155.04"/>
    <n v="7"/>
    <n v="49"/>
    <n v="29.819999999999993"/>
    <n v="23.47"/>
  </r>
  <r>
    <x v="23"/>
    <n v="0"/>
    <n v="21"/>
    <n v="403"/>
    <n v="37"/>
    <n v="2"/>
    <n v="24"/>
    <n v="1"/>
    <n v="74"/>
    <n v="27"/>
    <n v="1"/>
    <n v="0"/>
    <s v="Cardinals"/>
    <n v="0"/>
    <n v="28"/>
    <n v="295"/>
    <n v="27"/>
    <n v="2"/>
    <n v="18"/>
    <n v="0"/>
    <n v="99"/>
    <n v="25"/>
    <n v="1"/>
    <n v="1"/>
    <s v="L"/>
    <n v="0"/>
    <n v="124.23"/>
    <n v="62.680000000000007"/>
    <n v="69.14"/>
    <n v="114.13"/>
    <n v="0.52"/>
    <n v="0.48"/>
    <s v="N"/>
    <s v="N"/>
    <s v="N"/>
    <s v="N"/>
    <s v="N"/>
    <n v="120.59"/>
    <n v="57.75"/>
    <n v="79.099999999999994"/>
    <n v="109.81"/>
    <n v="7"/>
    <n v="49"/>
    <n v="29.819999999999993"/>
    <n v="23.47"/>
  </r>
  <r>
    <x v="24"/>
    <n v="0"/>
    <n v="33"/>
    <n v="124"/>
    <n v="20"/>
    <n v="0"/>
    <n v="15"/>
    <n v="0"/>
    <n v="85"/>
    <n v="32"/>
    <n v="1"/>
    <n v="0"/>
    <s v="Seahawks"/>
    <n v="0"/>
    <n v="17"/>
    <n v="155"/>
    <n v="37"/>
    <n v="2"/>
    <n v="21"/>
    <n v="1"/>
    <n v="64"/>
    <n v="22"/>
    <n v="0"/>
    <n v="2"/>
    <s v="W"/>
    <n v="0"/>
    <n v="108.79"/>
    <n v="120.41"/>
    <n v="66.31"/>
    <n v="159.78"/>
    <n v="0.63"/>
    <n v="0.37"/>
    <s v="N"/>
    <s v="N"/>
    <s v="N"/>
    <s v="N"/>
    <s v="N"/>
    <n v="106.7"/>
    <n v="99.85"/>
    <n v="85.02"/>
    <n v="131.62"/>
    <n v="16"/>
    <n v="50"/>
    <n v="55.29000000000002"/>
    <n v="28.94"/>
  </r>
  <r>
    <x v="25"/>
    <n v="0"/>
    <n v="17"/>
    <n v="155"/>
    <n v="37"/>
    <n v="2"/>
    <n v="21"/>
    <n v="1"/>
    <n v="64"/>
    <n v="22"/>
    <n v="0"/>
    <n v="2"/>
    <s v="49ers"/>
    <n v="0"/>
    <n v="33"/>
    <n v="124"/>
    <n v="20"/>
    <n v="0"/>
    <n v="15"/>
    <n v="0"/>
    <n v="85"/>
    <n v="32"/>
    <n v="1"/>
    <n v="0"/>
    <s v="L"/>
    <n v="0"/>
    <n v="79.59"/>
    <n v="91.21"/>
    <n v="40.22"/>
    <n v="133.69"/>
    <n v="0.38"/>
    <n v="0.62"/>
    <s v="N"/>
    <s v="N"/>
    <s v="N"/>
    <s v="N"/>
    <s v="N"/>
    <n v="90.8"/>
    <n v="95"/>
    <n v="52.4"/>
    <n v="138.06"/>
    <n v="16"/>
    <n v="50"/>
    <n v="55.29000000000002"/>
    <n v="28.94"/>
  </r>
  <r>
    <x v="26"/>
    <n v="0"/>
    <n v="27"/>
    <n v="315"/>
    <n v="44"/>
    <n v="2"/>
    <n v="26"/>
    <n v="1"/>
    <n v="45"/>
    <n v="16"/>
    <n v="0"/>
    <n v="1"/>
    <s v="Cowboys"/>
    <n v="0"/>
    <n v="24"/>
    <n v="326"/>
    <n v="36"/>
    <n v="2"/>
    <n v="23"/>
    <n v="1"/>
    <n v="64"/>
    <n v="26"/>
    <n v="1"/>
    <n v="2"/>
    <s v="W"/>
    <n v="0"/>
    <n v="98.11"/>
    <n v="86.76"/>
    <n v="46.5"/>
    <n v="160.19999999999999"/>
    <n v="0.57999999999999996"/>
    <n v="0.42000000000000004"/>
    <s v="N"/>
    <s v="N"/>
    <s v="N"/>
    <s v="N"/>
    <s v="N"/>
    <n v="107.61"/>
    <n v="89.96"/>
    <n v="61.61"/>
    <n v="146.02000000000001"/>
    <n v="3"/>
    <n v="51"/>
    <n v="8.4300000000000068"/>
    <n v="35.590000000000003"/>
  </r>
  <r>
    <x v="27"/>
    <n v="0"/>
    <n v="24"/>
    <n v="326"/>
    <n v="36"/>
    <n v="2"/>
    <n v="23"/>
    <n v="1"/>
    <n v="64"/>
    <n v="26"/>
    <n v="1"/>
    <n v="2"/>
    <s v="Jets"/>
    <n v="0"/>
    <n v="27"/>
    <n v="315"/>
    <n v="44"/>
    <n v="2"/>
    <n v="26"/>
    <n v="1"/>
    <n v="45"/>
    <n v="16"/>
    <n v="0"/>
    <n v="1"/>
    <s v="L"/>
    <n v="0"/>
    <n v="113.24"/>
    <n v="101.89"/>
    <n v="39.799999999999997"/>
    <n v="153.5"/>
    <n v="0.73"/>
    <n v="0.27"/>
    <s v="N"/>
    <s v="N"/>
    <s v="N"/>
    <s v="N"/>
    <s v="N"/>
    <n v="142.76"/>
    <n v="92.97"/>
    <n v="40.93"/>
    <n v="108.73"/>
    <n v="3"/>
    <n v="51"/>
    <n v="8.4299999999999784"/>
    <n v="35.590000000000003"/>
  </r>
  <r>
    <x v="28"/>
    <n v="0"/>
    <n v="24"/>
    <n v="390"/>
    <n v="49"/>
    <n v="2"/>
    <n v="30"/>
    <n v="1"/>
    <n v="98"/>
    <n v="20"/>
    <n v="1"/>
    <n v="0"/>
    <s v="Patriots"/>
    <n v="0"/>
    <n v="38"/>
    <n v="516"/>
    <n v="48"/>
    <n v="4"/>
    <n v="32"/>
    <n v="1"/>
    <n v="106"/>
    <n v="22"/>
    <n v="1"/>
    <n v="0"/>
    <s v="L"/>
    <n v="0"/>
    <n v="104.6"/>
    <n v="68.5"/>
    <n v="121.18"/>
    <n v="81.400000000000006"/>
    <n v="0.69"/>
    <n v="0.31000000000000005"/>
    <s v="N"/>
    <s v="N"/>
    <s v="N"/>
    <s v="N"/>
    <s v="N"/>
    <n v="97.72"/>
    <n v="78.989999999999995"/>
    <n v="121.73"/>
    <n v="86.66"/>
    <n v="14"/>
    <n v="62"/>
    <n v="24.319999999999993"/>
    <n v="57.57"/>
  </r>
  <r>
    <x v="29"/>
    <n v="0"/>
    <n v="38"/>
    <n v="516"/>
    <n v="48"/>
    <n v="4"/>
    <n v="32"/>
    <n v="1"/>
    <n v="106"/>
    <n v="22"/>
    <n v="1"/>
    <n v="0"/>
    <s v="Dolphins"/>
    <n v="0"/>
    <n v="24"/>
    <n v="390"/>
    <n v="49"/>
    <n v="2"/>
    <n v="30"/>
    <n v="1"/>
    <n v="98"/>
    <n v="20"/>
    <n v="1"/>
    <n v="0"/>
    <s v="W"/>
    <n v="0"/>
    <n v="131.5"/>
    <n v="95.4"/>
    <n v="118.6"/>
    <n v="78.819999999999993"/>
    <n v="0.71"/>
    <n v="0.29000000000000004"/>
    <s v="N"/>
    <s v="N"/>
    <s v="N"/>
    <s v="N"/>
    <s v="N"/>
    <n v="121.85"/>
    <n v="81"/>
    <n v="124.99"/>
    <n v="72.849999999999994"/>
    <n v="14"/>
    <n v="62"/>
    <n v="24.319999999999993"/>
    <n v="57.57"/>
  </r>
  <r>
    <x v="30"/>
    <n v="0"/>
    <n v="20"/>
    <n v="272"/>
    <n v="46"/>
    <n v="1"/>
    <n v="24"/>
    <n v="1"/>
    <n v="38"/>
    <n v="13"/>
    <n v="0"/>
    <n v="2"/>
    <s v="Raiders"/>
    <n v="0"/>
    <n v="23"/>
    <n v="99"/>
    <n v="22"/>
    <n v="1"/>
    <n v="13"/>
    <n v="0"/>
    <n v="190"/>
    <n v="39"/>
    <n v="1"/>
    <n v="1"/>
    <s v="L"/>
    <n v="0"/>
    <n v="81.14"/>
    <n v="109.57"/>
    <s v=" "/>
    <n v="90.82"/>
    <n v="0.36"/>
    <n v="0.64"/>
    <s v="N"/>
    <s v="N"/>
    <s v="Y"/>
    <s v="N"/>
    <s v="N"/>
    <n v="91.87"/>
    <n v="95.32"/>
    <s v=" "/>
    <n v="111.98"/>
    <n v="3"/>
    <n v="43"/>
    <s v=" "/>
    <s v=" "/>
  </r>
  <r>
    <x v="31"/>
    <n v="0"/>
    <n v="23"/>
    <n v="99"/>
    <n v="22"/>
    <n v="1"/>
    <n v="13"/>
    <n v="0"/>
    <n v="190"/>
    <n v="39"/>
    <n v="1"/>
    <n v="1"/>
    <s v="Broncos"/>
    <n v="0"/>
    <n v="20"/>
    <n v="272"/>
    <n v="46"/>
    <n v="1"/>
    <n v="24"/>
    <n v="1"/>
    <n v="38"/>
    <n v="13"/>
    <n v="0"/>
    <n v="2"/>
    <s v="W"/>
    <n v="0"/>
    <n v="90.43"/>
    <n v="118.86"/>
    <n v="109.18"/>
    <s v=" "/>
    <n v="0.78"/>
    <n v="0.21999999999999997"/>
    <s v="N"/>
    <s v="N"/>
    <s v="N"/>
    <s v="N"/>
    <s v="Y"/>
    <n v="81.53"/>
    <n v="102.38"/>
    <n v="131.75"/>
    <s v=" "/>
    <n v="3"/>
    <n v="43"/>
    <s v=" "/>
    <s v=" "/>
  </r>
  <r>
    <x v="15"/>
    <n v="0"/>
    <n v="24"/>
    <n v="297"/>
    <n v="31"/>
    <n v="1"/>
    <n v="23"/>
    <n v="0"/>
    <n v="124"/>
    <n v="35"/>
    <n v="2"/>
    <n v="0"/>
    <s v="Seahawks"/>
    <n v="0"/>
    <n v="0"/>
    <n v="133"/>
    <n v="29"/>
    <n v="0"/>
    <n v="20"/>
    <n v="0"/>
    <n v="31"/>
    <n v="13"/>
    <n v="0"/>
    <n v="0"/>
    <s v="W"/>
    <n v="0"/>
    <n v="131.25"/>
    <n v="106.04"/>
    <n v="90.77"/>
    <s v=" "/>
    <n v="0.69"/>
    <n v="0.31000000000000005"/>
    <s v="N"/>
    <s v="N"/>
    <s v="N"/>
    <s v="N"/>
    <s v="Y"/>
    <n v="128.72999999999999"/>
    <n v="87.93"/>
    <n v="116.39"/>
    <s v=" "/>
    <n v="24"/>
    <n v="24"/>
    <s v=" "/>
    <s v=" "/>
  </r>
  <r>
    <x v="25"/>
    <n v="0"/>
    <n v="0"/>
    <n v="133"/>
    <n v="29"/>
    <n v="0"/>
    <n v="20"/>
    <n v="0"/>
    <n v="31"/>
    <n v="13"/>
    <n v="0"/>
    <n v="0"/>
    <s v="Steelers"/>
    <n v="0"/>
    <n v="24"/>
    <n v="297"/>
    <n v="31"/>
    <n v="1"/>
    <n v="23"/>
    <n v="0"/>
    <n v="124"/>
    <n v="35"/>
    <n v="2"/>
    <n v="0"/>
    <s v="L"/>
    <n v="0"/>
    <n v="93.96"/>
    <n v="68.75"/>
    <s v=" "/>
    <n v="109.23"/>
    <n v="0.47"/>
    <n v="0.53"/>
    <s v="N"/>
    <s v="N"/>
    <s v="Y"/>
    <s v="N"/>
    <s v="N"/>
    <n v="103.68"/>
    <n v="73"/>
    <s v=" "/>
    <n v="97.45"/>
    <n v="24"/>
    <n v="24"/>
    <s v=" "/>
    <s v=" "/>
  </r>
  <r>
    <x v="9"/>
    <n v="0"/>
    <n v="26"/>
    <n v="358"/>
    <n v="42"/>
    <n v="1"/>
    <n v="30"/>
    <n v="1"/>
    <n v="74"/>
    <n v="29"/>
    <n v="1"/>
    <n v="0"/>
    <s v="Ravens"/>
    <n v="0"/>
    <n v="13"/>
    <n v="184"/>
    <n v="32"/>
    <n v="1"/>
    <n v="15"/>
    <n v="2"/>
    <n v="45"/>
    <n v="17"/>
    <n v="0"/>
    <n v="1"/>
    <s v="W"/>
    <n v="0"/>
    <n v="114.31"/>
    <n v="135.85"/>
    <n v="64.37"/>
    <n v="156.24"/>
    <n v="0.65"/>
    <n v="0.35"/>
    <s v="N"/>
    <s v="N"/>
    <s v="N"/>
    <s v="N"/>
    <s v="N"/>
    <n v="143.72"/>
    <n v="114.22"/>
    <n v="93.92"/>
    <n v="142.27000000000001"/>
    <n v="13"/>
    <n v="39"/>
    <n v="70.770000000000039"/>
    <n v="18.37"/>
  </r>
  <r>
    <x v="14"/>
    <n v="0"/>
    <n v="13"/>
    <n v="184"/>
    <n v="32"/>
    <n v="1"/>
    <n v="15"/>
    <n v="2"/>
    <n v="45"/>
    <n v="17"/>
    <n v="0"/>
    <n v="1"/>
    <s v="Titans"/>
    <n v="0"/>
    <n v="26"/>
    <n v="358"/>
    <n v="42"/>
    <n v="1"/>
    <n v="30"/>
    <n v="1"/>
    <n v="74"/>
    <n v="29"/>
    <n v="1"/>
    <n v="0"/>
    <s v="L"/>
    <n v="0"/>
    <n v="64.150000000000006"/>
    <n v="85.69"/>
    <n v="43.76"/>
    <n v="135.63"/>
    <n v="0.59"/>
    <n v="0.41000000000000003"/>
    <s v="N"/>
    <s v="N"/>
    <s v="N"/>
    <s v="N"/>
    <s v="N"/>
    <n v="61.19"/>
    <n v="84.15"/>
    <n v="49.7"/>
    <n v="92.66"/>
    <n v="13"/>
    <n v="39"/>
    <n v="70.77000000000001"/>
    <n v="18.37"/>
  </r>
  <r>
    <x v="26"/>
    <n v="0"/>
    <n v="32"/>
    <n v="182"/>
    <n v="24"/>
    <n v="2"/>
    <n v="17"/>
    <n v="2"/>
    <n v="101"/>
    <n v="32"/>
    <n v="1"/>
    <n v="0"/>
    <s v="Jaguars"/>
    <n v="0"/>
    <n v="3"/>
    <n v="91"/>
    <n v="25"/>
    <n v="0"/>
    <n v="11"/>
    <n v="4"/>
    <n v="112"/>
    <n v="27"/>
    <n v="0"/>
    <n v="0"/>
    <s v="W"/>
    <n v="0"/>
    <n v="99.66"/>
    <n v="184.16"/>
    <n v="77.91"/>
    <n v="103.76"/>
    <n v="0.48"/>
    <n v="0.52"/>
    <s v="N"/>
    <s v="N"/>
    <s v="N"/>
    <s v="N"/>
    <s v="N"/>
    <n v="107.5"/>
    <n v="129.88"/>
    <n v="79"/>
    <n v="94.45"/>
    <n v="29"/>
    <n v="35"/>
    <n v="65.490000000000009"/>
    <n v="44.28"/>
  </r>
  <r>
    <x v="8"/>
    <n v="0"/>
    <n v="3"/>
    <n v="91"/>
    <n v="25"/>
    <n v="0"/>
    <n v="11"/>
    <n v="4"/>
    <n v="112"/>
    <n v="27"/>
    <n v="0"/>
    <n v="0"/>
    <s v="Jets"/>
    <n v="0"/>
    <n v="32"/>
    <n v="182"/>
    <n v="24"/>
    <n v="2"/>
    <n v="17"/>
    <n v="2"/>
    <n v="101"/>
    <n v="32"/>
    <n v="1"/>
    <n v="0"/>
    <s v="L"/>
    <n v="0"/>
    <n v="15.84"/>
    <n v="100.34"/>
    <n v="96.24"/>
    <n v="122.09"/>
    <n v="0.43"/>
    <n v="0.57000000000000006"/>
    <s v="N"/>
    <s v="N"/>
    <s v="N"/>
    <s v="N"/>
    <s v="N"/>
    <n v="19.97"/>
    <n v="91.56"/>
    <n v="98.98"/>
    <n v="86.48"/>
    <n v="29"/>
    <n v="35"/>
    <n v="65.489999999999995"/>
    <n v="44.28"/>
  </r>
  <r>
    <x v="20"/>
    <n v="0"/>
    <n v="22"/>
    <n v="283"/>
    <n v="43"/>
    <n v="2"/>
    <n v="25"/>
    <n v="2"/>
    <n v="172"/>
    <n v="35"/>
    <n v="0"/>
    <n v="0"/>
    <s v="Cardinals"/>
    <n v="0"/>
    <n v="21"/>
    <n v="231"/>
    <n v="30"/>
    <n v="2"/>
    <n v="17"/>
    <n v="1"/>
    <n v="93"/>
    <n v="15"/>
    <n v="1"/>
    <n v="1"/>
    <s v="W"/>
    <n v="0"/>
    <n v="87.03"/>
    <n v="101.37"/>
    <n v="114.01"/>
    <n v="66.16"/>
    <n v="0.67"/>
    <n v="0.32999999999999996"/>
    <s v="N"/>
    <s v="N"/>
    <s v="N"/>
    <s v="N"/>
    <s v="N"/>
    <n v="84.48"/>
    <n v="93.39"/>
    <n v="130.44"/>
    <n v="63.65"/>
    <n v="1"/>
    <n v="43"/>
    <n v="31.429999999999978"/>
    <n v="3.18"/>
  </r>
  <r>
    <x v="22"/>
    <n v="0"/>
    <n v="21"/>
    <n v="231"/>
    <n v="30"/>
    <n v="2"/>
    <n v="17"/>
    <n v="1"/>
    <n v="93"/>
    <n v="15"/>
    <n v="1"/>
    <n v="1"/>
    <s v="Redskins"/>
    <n v="0"/>
    <n v="22"/>
    <n v="283"/>
    <n v="43"/>
    <n v="2"/>
    <n v="25"/>
    <n v="2"/>
    <n v="172"/>
    <n v="35"/>
    <n v="0"/>
    <n v="0"/>
    <s v="L"/>
    <n v="0"/>
    <n v="98.63"/>
    <n v="112.97"/>
    <n v="133.84"/>
    <n v="85.99"/>
    <n v="0.55000000000000004"/>
    <n v="0.44999999999999996"/>
    <s v="N"/>
    <s v="N"/>
    <s v="N"/>
    <s v="N"/>
    <s v="N"/>
    <n v="104.51"/>
    <n v="93.24"/>
    <n v="129.69"/>
    <n v="72.2"/>
    <n v="1"/>
    <n v="43"/>
    <n v="31.429999999999978"/>
    <n v="3.18"/>
  </r>
  <r>
    <x v="7"/>
    <n v="0"/>
    <n v="38"/>
    <n v="258"/>
    <n v="46"/>
    <n v="3"/>
    <n v="28"/>
    <n v="1"/>
    <n v="223"/>
    <n v="24"/>
    <n v="2"/>
    <n v="0"/>
    <s v="Raiders"/>
    <n v="0"/>
    <n v="35"/>
    <n v="323"/>
    <n v="33"/>
    <n v="2"/>
    <n v="23"/>
    <n v="1"/>
    <n v="131"/>
    <n v="30"/>
    <n v="3"/>
    <n v="1"/>
    <s v="W"/>
    <n v="0"/>
    <n v="94.7"/>
    <n v="76.959999999999994"/>
    <n v="228.07"/>
    <n v="93.69"/>
    <n v="0.52"/>
    <n v="0.48"/>
    <s v="N"/>
    <s v="N"/>
    <s v="N"/>
    <s v="N"/>
    <s v="N"/>
    <n v="107.23"/>
    <n v="66.95"/>
    <n v="197.95"/>
    <n v="115.52"/>
    <n v="3"/>
    <n v="73"/>
    <n v="93.419999999999959"/>
    <n v="3.21"/>
  </r>
  <r>
    <x v="31"/>
    <n v="0"/>
    <n v="35"/>
    <n v="323"/>
    <n v="33"/>
    <n v="2"/>
    <n v="23"/>
    <n v="1"/>
    <n v="131"/>
    <n v="30"/>
    <n v="3"/>
    <n v="1"/>
    <s v="Bills"/>
    <n v="0"/>
    <n v="38"/>
    <n v="258"/>
    <n v="46"/>
    <n v="3"/>
    <n v="28"/>
    <n v="1"/>
    <n v="223"/>
    <n v="24"/>
    <n v="2"/>
    <n v="0"/>
    <s v="L"/>
    <n v="0"/>
    <n v="123.04"/>
    <n v="105.3"/>
    <n v="106.31"/>
    <n v="-28.069999999999993"/>
    <n v="0.66"/>
    <n v="0.33999999999999997"/>
    <s v="N"/>
    <s v="N"/>
    <s v="N"/>
    <s v="N"/>
    <s v="N"/>
    <n v="127.59"/>
    <n v="109.39"/>
    <n v="83.11"/>
    <n v="-37.1"/>
    <n v="3"/>
    <n v="73"/>
    <n v="93.419999999999959"/>
    <n v="3.21"/>
  </r>
  <r>
    <x v="19"/>
    <n v="0"/>
    <n v="20"/>
    <n v="212"/>
    <n v="30"/>
    <n v="0"/>
    <n v="18"/>
    <n v="0"/>
    <n v="186"/>
    <n v="33"/>
    <n v="2"/>
    <n v="1"/>
    <s v="Buccaneers"/>
    <n v="0"/>
    <n v="24"/>
    <n v="230"/>
    <n v="31"/>
    <n v="1"/>
    <n v="22"/>
    <n v="1"/>
    <n v="105"/>
    <n v="19"/>
    <n v="2"/>
    <n v="0"/>
    <s v="L"/>
    <n v="0"/>
    <n v="98.51"/>
    <n v="93.44"/>
    <n v="130.76"/>
    <n v="56"/>
    <n v="0.62"/>
    <n v="0.38"/>
    <s v="N"/>
    <s v="N"/>
    <s v="N"/>
    <s v="N"/>
    <s v="N"/>
    <n v="96.04"/>
    <n v="82.16"/>
    <n v="144.13"/>
    <n v="55.91"/>
    <n v="4"/>
    <n v="44"/>
    <n v="21.29000000000002"/>
    <n v="18.79"/>
  </r>
  <r>
    <x v="16"/>
    <n v="0"/>
    <n v="24"/>
    <n v="230"/>
    <n v="31"/>
    <n v="1"/>
    <n v="22"/>
    <n v="1"/>
    <n v="105"/>
    <n v="19"/>
    <n v="2"/>
    <n v="0"/>
    <s v="Vikings"/>
    <n v="0"/>
    <n v="20"/>
    <n v="212"/>
    <n v="30"/>
    <n v="0"/>
    <n v="18"/>
    <n v="0"/>
    <n v="186"/>
    <n v="33"/>
    <n v="2"/>
    <n v="1"/>
    <s v="W"/>
    <n v="0"/>
    <n v="106.56"/>
    <n v="101.49"/>
    <n v="144"/>
    <n v="69.240000000000009"/>
    <n v="0.48"/>
    <n v="0.52"/>
    <s v="N"/>
    <s v="N"/>
    <s v="N"/>
    <s v="N"/>
    <s v="N"/>
    <n v="96.92"/>
    <n v="85.25"/>
    <n v="169.29"/>
    <n v="88.45"/>
    <n v="4"/>
    <n v="44"/>
    <n v="21.29000000000002"/>
    <n v="18.79"/>
  </r>
  <r>
    <x v="1"/>
    <n v="0"/>
    <n v="30"/>
    <n v="264"/>
    <n v="37"/>
    <n v="3"/>
    <n v="26"/>
    <n v="0"/>
    <n v="118"/>
    <n v="29"/>
    <n v="0"/>
    <n v="1"/>
    <s v="Bears"/>
    <n v="0"/>
    <n v="13"/>
    <n v="186"/>
    <n v="45"/>
    <n v="1"/>
    <n v="19"/>
    <n v="0"/>
    <n v="60"/>
    <n v="12"/>
    <n v="0"/>
    <n v="1"/>
    <s v="W"/>
    <n v="0"/>
    <n v="121.32"/>
    <n v="131.92000000000002"/>
    <n v="84.06"/>
    <s v=" "/>
    <n v="0.79"/>
    <n v="0.20999999999999996"/>
    <s v="N"/>
    <s v="N"/>
    <s v="N"/>
    <s v="N"/>
    <s v="Y"/>
    <n v="119.3"/>
    <n v="122.75"/>
    <n v="64.78"/>
    <s v=" "/>
    <n v="17"/>
    <n v="43"/>
    <s v=" "/>
    <s v=" "/>
  </r>
  <r>
    <x v="2"/>
    <n v="0"/>
    <n v="13"/>
    <n v="186"/>
    <n v="45"/>
    <n v="1"/>
    <n v="19"/>
    <n v="0"/>
    <n v="60"/>
    <n v="12"/>
    <n v="0"/>
    <n v="1"/>
    <s v="Saints"/>
    <n v="0"/>
    <n v="30"/>
    <n v="264"/>
    <n v="37"/>
    <n v="3"/>
    <n v="26"/>
    <n v="0"/>
    <n v="118"/>
    <n v="29"/>
    <n v="0"/>
    <n v="1"/>
    <s v="L"/>
    <n v="0"/>
    <n v="68.08"/>
    <n v="78.680000000000007"/>
    <s v=" "/>
    <n v="115.94"/>
    <n v="0.56000000000000005"/>
    <n v="0.43999999999999995"/>
    <s v="N"/>
    <s v="N"/>
    <s v="Y"/>
    <s v="N"/>
    <s v="N"/>
    <n v="74.83"/>
    <n v="91.96"/>
    <s v=" "/>
    <n v="118.96"/>
    <n v="17"/>
    <n v="43"/>
    <s v=" "/>
    <s v=" "/>
  </r>
  <r>
    <x v="23"/>
    <n v="0"/>
    <n v="23"/>
    <n v="404"/>
    <n v="46"/>
    <n v="1"/>
    <n v="28"/>
    <n v="3"/>
    <n v="71"/>
    <n v="21"/>
    <n v="1"/>
    <n v="1"/>
    <s v="Packers"/>
    <n v="0"/>
    <n v="30"/>
    <n v="295"/>
    <n v="30"/>
    <n v="2"/>
    <n v="19"/>
    <n v="0"/>
    <n v="124"/>
    <n v="21"/>
    <n v="1"/>
    <n v="1"/>
    <s v="L"/>
    <n v="0"/>
    <n v="92.43"/>
    <n v="73.069999999999993"/>
    <n v="71.3"/>
    <n v="70.150000000000006"/>
    <n v="0.59"/>
    <n v="0.41000000000000003"/>
    <s v="N"/>
    <s v="N"/>
    <s v="N"/>
    <s v="N"/>
    <s v="N"/>
    <n v="101.78"/>
    <n v="95.43"/>
    <n v="66.239999999999995"/>
    <n v="61.18"/>
    <n v="7"/>
    <n v="53"/>
    <n v="93.049999999999955"/>
    <n v="7.52"/>
  </r>
  <r>
    <x v="0"/>
    <n v="0"/>
    <n v="30"/>
    <n v="295"/>
    <n v="30"/>
    <n v="2"/>
    <n v="19"/>
    <n v="0"/>
    <n v="124"/>
    <n v="21"/>
    <n v="1"/>
    <n v="1"/>
    <s v="Panthers"/>
    <n v="0"/>
    <n v="23"/>
    <n v="404"/>
    <n v="46"/>
    <n v="1"/>
    <n v="28"/>
    <n v="3"/>
    <n v="71"/>
    <n v="21"/>
    <n v="1"/>
    <n v="1"/>
    <s v="W"/>
    <n v="0"/>
    <n v="126.93"/>
    <n v="107.57"/>
    <n v="129.85"/>
    <n v="128.69999999999999"/>
    <n v="0.69"/>
    <n v="0.31000000000000005"/>
    <s v="N"/>
    <s v="N"/>
    <s v="N"/>
    <s v="N"/>
    <s v="N"/>
    <n v="121.64"/>
    <n v="107.33"/>
    <n v="117.69"/>
    <n v="152.47999999999999"/>
    <n v="7"/>
    <n v="53"/>
    <n v="93.049999999999955"/>
    <n v="7.52"/>
  </r>
  <r>
    <x v="5"/>
    <n v="0"/>
    <n v="19"/>
    <n v="176"/>
    <n v="38"/>
    <n v="1"/>
    <n v="19"/>
    <n v="1"/>
    <n v="109"/>
    <n v="26"/>
    <n v="0"/>
    <n v="1"/>
    <s v="Browns"/>
    <n v="0"/>
    <n v="27"/>
    <n v="197"/>
    <n v="32"/>
    <n v="1"/>
    <n v="22"/>
    <n v="0"/>
    <n v="106"/>
    <n v="34"/>
    <n v="2"/>
    <n v="1"/>
    <s v="L"/>
    <n v="0"/>
    <n v="71.290000000000006"/>
    <n v="93.01"/>
    <n v="85.72"/>
    <n v="127.67"/>
    <n v="0.48"/>
    <n v="0.52"/>
    <s v="N"/>
    <s v="N"/>
    <s v="N"/>
    <s v="N"/>
    <s v="N"/>
    <n v="78.760000000000005"/>
    <n v="78.099999999999994"/>
    <n v="97.49"/>
    <n v="95.89"/>
    <n v="8"/>
    <n v="46"/>
    <n v="22.310000000000002"/>
    <n v="35.86"/>
  </r>
  <r>
    <x v="10"/>
    <n v="0"/>
    <n v="27"/>
    <n v="197"/>
    <n v="32"/>
    <n v="1"/>
    <n v="22"/>
    <n v="0"/>
    <n v="106"/>
    <n v="34"/>
    <n v="2"/>
    <n v="1"/>
    <s v="Colts"/>
    <n v="0"/>
    <n v="19"/>
    <n v="176"/>
    <n v="38"/>
    <n v="1"/>
    <n v="19"/>
    <n v="1"/>
    <n v="109"/>
    <n v="26"/>
    <n v="0"/>
    <n v="1"/>
    <s v="W"/>
    <n v="0"/>
    <n v="106.99"/>
    <n v="128.70999999999998"/>
    <n v="72.33"/>
    <n v="114.28"/>
    <n v="0.59"/>
    <n v="0.41000000000000003"/>
    <s v="N"/>
    <s v="N"/>
    <s v="N"/>
    <s v="N"/>
    <s v="N"/>
    <n v="83.35"/>
    <n v="110.67"/>
    <n v="74.540000000000006"/>
    <n v="96.14"/>
    <n v="8"/>
    <n v="46"/>
    <n v="22.309999999999974"/>
    <n v="35.86"/>
  </r>
  <r>
    <x v="17"/>
    <n v="0"/>
    <n v="48"/>
    <n v="322"/>
    <n v="40"/>
    <n v="4"/>
    <n v="24"/>
    <n v="1"/>
    <n v="89"/>
    <n v="30"/>
    <n v="2"/>
    <n v="0"/>
    <s v="Chiefs"/>
    <n v="0"/>
    <n v="3"/>
    <n v="116"/>
    <n v="23"/>
    <n v="0"/>
    <n v="15"/>
    <n v="3"/>
    <n v="151"/>
    <n v="29"/>
    <n v="0"/>
    <n v="3"/>
    <s v="W"/>
    <n v="0"/>
    <n v="111.37"/>
    <n v="146.43"/>
    <n v="78.83"/>
    <n v="110.23"/>
    <n v="0.44"/>
    <n v="0.56000000000000005"/>
    <s v="N"/>
    <s v="N"/>
    <s v="N"/>
    <s v="N"/>
    <s v="N"/>
    <n v="120.78"/>
    <n v="133.63"/>
    <n v="78.48"/>
    <n v="102.77"/>
    <n v="45"/>
    <n v="51"/>
    <n v="46.860000000000014"/>
    <n v="96.03"/>
  </r>
  <r>
    <x v="6"/>
    <n v="0"/>
    <n v="3"/>
    <n v="116"/>
    <n v="23"/>
    <n v="0"/>
    <n v="15"/>
    <n v="3"/>
    <n v="151"/>
    <n v="29"/>
    <n v="0"/>
    <n v="3"/>
    <s v="Lions"/>
    <n v="0"/>
    <n v="48"/>
    <n v="322"/>
    <n v="40"/>
    <n v="4"/>
    <n v="24"/>
    <n v="1"/>
    <n v="89"/>
    <n v="30"/>
    <n v="2"/>
    <n v="0"/>
    <s v="L"/>
    <n v="0"/>
    <n v="53.57"/>
    <n v="88.63"/>
    <n v="89.77"/>
    <n v="121.17"/>
    <n v="0.56999999999999995"/>
    <n v="0.43000000000000005"/>
    <s v="N"/>
    <s v="N"/>
    <s v="N"/>
    <s v="N"/>
    <s v="N"/>
    <n v="61.82"/>
    <n v="91.11"/>
    <n v="81.97"/>
    <n v="117.87"/>
    <n v="45"/>
    <n v="51"/>
    <n v="46.859999999999985"/>
    <n v="96.03"/>
  </r>
  <r>
    <x v="24"/>
    <n v="0"/>
    <n v="24"/>
    <n v="132"/>
    <n v="24"/>
    <n v="2"/>
    <n v="16"/>
    <n v="1"/>
    <n v="74"/>
    <n v="24"/>
    <n v="1"/>
    <n v="0"/>
    <s v="Cowboys"/>
    <n v="0"/>
    <n v="27"/>
    <n v="427"/>
    <n v="43"/>
    <n v="3"/>
    <n v="26"/>
    <n v="2"/>
    <n v="45"/>
    <n v="22"/>
    <n v="0"/>
    <n v="0"/>
    <s v="L"/>
    <n v="0"/>
    <n v="96.64"/>
    <n v="88.9"/>
    <n v="77.78"/>
    <n v="152.55000000000001"/>
    <n v="0.66"/>
    <n v="0.33999999999999997"/>
    <s v="N"/>
    <s v="N"/>
    <s v="N"/>
    <s v="N"/>
    <s v="N"/>
    <n v="106"/>
    <n v="92.18"/>
    <n v="103.05"/>
    <n v="139.05000000000001"/>
    <n v="3"/>
    <n v="51"/>
    <n v="15.870000000000033"/>
    <n v="18.899999999999999"/>
  </r>
  <r>
    <x v="27"/>
    <n v="0"/>
    <n v="27"/>
    <n v="427"/>
    <n v="43"/>
    <n v="3"/>
    <n v="26"/>
    <n v="2"/>
    <n v="45"/>
    <n v="22"/>
    <n v="0"/>
    <n v="0"/>
    <s v="49ers"/>
    <n v="0"/>
    <n v="24"/>
    <n v="132"/>
    <n v="24"/>
    <n v="2"/>
    <n v="16"/>
    <n v="1"/>
    <n v="74"/>
    <n v="24"/>
    <n v="1"/>
    <n v="0"/>
    <s v="W"/>
    <n v="0"/>
    <n v="111.1"/>
    <n v="103.36"/>
    <n v="47.45"/>
    <n v="122.22"/>
    <n v="0.5"/>
    <n v="0.5"/>
    <s v="N"/>
    <s v="N"/>
    <s v="N"/>
    <s v="N"/>
    <s v="N"/>
    <n v="126.75"/>
    <n v="107.65"/>
    <n v="61.81"/>
    <n v="126.21"/>
    <n v="3"/>
    <n v="51"/>
    <n v="15.870000000000005"/>
    <n v="18.899999999999999"/>
  </r>
  <r>
    <x v="30"/>
    <n v="0"/>
    <n v="24"/>
    <n v="187"/>
    <n v="25"/>
    <n v="2"/>
    <n v="15"/>
    <n v="0"/>
    <n v="131"/>
    <n v="36"/>
    <n v="1"/>
    <n v="2"/>
    <s v="Bengals"/>
    <n v="0"/>
    <n v="22"/>
    <n v="310"/>
    <n v="41"/>
    <n v="2"/>
    <n v="27"/>
    <n v="0"/>
    <n v="72"/>
    <n v="20"/>
    <n v="0"/>
    <n v="0"/>
    <s v="W"/>
    <n v="0"/>
    <n v="112.77"/>
    <n v="85.62"/>
    <n v="71.92"/>
    <n v="116.48"/>
    <n v="0.67"/>
    <n v="0.32999999999999996"/>
    <s v="N"/>
    <s v="N"/>
    <s v="N"/>
    <s v="N"/>
    <s v="N"/>
    <n v="119.25"/>
    <n v="81.510000000000005"/>
    <n v="93.41"/>
    <n v="102.65"/>
    <n v="2"/>
    <n v="46"/>
    <n v="13.20999999999998"/>
    <n v="15.14"/>
  </r>
  <r>
    <x v="11"/>
    <n v="0"/>
    <n v="22"/>
    <n v="310"/>
    <n v="41"/>
    <n v="2"/>
    <n v="27"/>
    <n v="0"/>
    <n v="72"/>
    <n v="20"/>
    <n v="0"/>
    <n v="0"/>
    <s v="Broncos"/>
    <n v="0"/>
    <n v="24"/>
    <n v="187"/>
    <n v="25"/>
    <n v="2"/>
    <n v="15"/>
    <n v="0"/>
    <n v="131"/>
    <n v="36"/>
    <n v="1"/>
    <n v="2"/>
    <s v="L"/>
    <n v="0"/>
    <n v="114.38"/>
    <n v="87.23"/>
    <n v="83.52"/>
    <n v="128.07999999999998"/>
    <n v="0.41"/>
    <n v="0.59000000000000008"/>
    <s v="N"/>
    <s v="N"/>
    <s v="N"/>
    <s v="N"/>
    <s v="N"/>
    <n v="103.13"/>
    <n v="75.14"/>
    <n v="100.79"/>
    <n v="128.97999999999999"/>
    <n v="2"/>
    <n v="46"/>
    <n v="13.20999999999998"/>
    <n v="15.14"/>
  </r>
  <r>
    <x v="28"/>
    <n v="0"/>
    <n v="13"/>
    <n v="153"/>
    <n v="30"/>
    <n v="1"/>
    <n v="12"/>
    <n v="1"/>
    <n v="153"/>
    <n v="28"/>
    <n v="0"/>
    <n v="1"/>
    <s v="Texans"/>
    <n v="0"/>
    <n v="23"/>
    <n v="207"/>
    <n v="29"/>
    <n v="2"/>
    <n v="21"/>
    <n v="0"/>
    <n v="138"/>
    <n v="36"/>
    <n v="0"/>
    <n v="0"/>
    <s v="L"/>
    <n v="0"/>
    <n v="62.8"/>
    <n v="78.34"/>
    <n v="116.06"/>
    <n v="111.07"/>
    <n v="0.45"/>
    <n v="0.55000000000000004"/>
    <s v="N"/>
    <s v="N"/>
    <s v="N"/>
    <s v="N"/>
    <s v="N"/>
    <n v="75.599999999999994"/>
    <n v="87.26"/>
    <n v="117.69"/>
    <n v="107.17"/>
    <n v="10"/>
    <n v="36"/>
    <n v="31.72999999999999"/>
    <n v="31.52"/>
  </r>
  <r>
    <x v="4"/>
    <n v="0"/>
    <n v="23"/>
    <n v="207"/>
    <n v="29"/>
    <n v="2"/>
    <n v="21"/>
    <n v="0"/>
    <n v="138"/>
    <n v="36"/>
    <n v="0"/>
    <n v="0"/>
    <s v="Dolphins"/>
    <n v="0"/>
    <n v="13"/>
    <n v="153"/>
    <n v="30"/>
    <n v="1"/>
    <n v="12"/>
    <n v="1"/>
    <n v="153"/>
    <n v="28"/>
    <n v="0"/>
    <n v="1"/>
    <s v="W"/>
    <n v="0"/>
    <n v="121.66"/>
    <n v="137.19999999999999"/>
    <n v="88.93"/>
    <n v="83.94"/>
    <n v="0.52"/>
    <n v="0.48"/>
    <s v="N"/>
    <s v="N"/>
    <s v="N"/>
    <s v="N"/>
    <s v="N"/>
    <n v="112.74"/>
    <n v="116.49"/>
    <n v="93.72"/>
    <n v="77.58"/>
    <n v="10"/>
    <n v="36"/>
    <n v="31.72999999999999"/>
    <n v="31.52"/>
  </r>
  <r>
    <x v="29"/>
    <n v="0"/>
    <n v="35"/>
    <n v="410"/>
    <n v="40"/>
    <n v="3"/>
    <n v="31"/>
    <n v="0"/>
    <n v="94"/>
    <n v="25"/>
    <n v="1"/>
    <n v="0"/>
    <s v="Chargers"/>
    <n v="0"/>
    <n v="21"/>
    <n v="372"/>
    <n v="40"/>
    <n v="2"/>
    <n v="29"/>
    <n v="2"/>
    <n v="98"/>
    <n v="24"/>
    <n v="1"/>
    <n v="2"/>
    <s v="W"/>
    <n v="0"/>
    <n v="144.61000000000001"/>
    <n v="84.31"/>
    <n v="93.23"/>
    <n v="124.02"/>
    <n v="0.63"/>
    <n v="0.37"/>
    <s v="N"/>
    <s v="N"/>
    <s v="N"/>
    <s v="N"/>
    <s v="N"/>
    <n v="161.88"/>
    <n v="82.4"/>
    <n v="82.52"/>
    <n v="114.18"/>
    <n v="14"/>
    <n v="56"/>
    <n v="46.170000000000016"/>
    <n v="30.32"/>
  </r>
  <r>
    <x v="18"/>
    <n v="0"/>
    <n v="21"/>
    <n v="372"/>
    <n v="40"/>
    <n v="2"/>
    <n v="29"/>
    <n v="2"/>
    <n v="98"/>
    <n v="24"/>
    <n v="1"/>
    <n v="2"/>
    <s v="Patriots"/>
    <n v="0"/>
    <n v="35"/>
    <n v="410"/>
    <n v="40"/>
    <n v="3"/>
    <n v="31"/>
    <n v="0"/>
    <n v="94"/>
    <n v="25"/>
    <n v="1"/>
    <n v="0"/>
    <s v="L"/>
    <n v="0"/>
    <n v="115.69"/>
    <n v="55.389999999999986"/>
    <n v="75.98"/>
    <n v="106.77"/>
    <n v="0.62"/>
    <n v="0.38"/>
    <s v="N"/>
    <s v="N"/>
    <s v="N"/>
    <s v="N"/>
    <s v="N"/>
    <n v="108.08"/>
    <n v="63.87"/>
    <n v="76.319999999999993"/>
    <n v="113.67"/>
    <n v="14"/>
    <n v="56"/>
    <n v="46.170000000000016"/>
    <n v="30.32"/>
  </r>
  <r>
    <x v="3"/>
    <n v="0"/>
    <n v="35"/>
    <n v="180"/>
    <n v="28"/>
    <n v="4"/>
    <n v="17"/>
    <n v="2"/>
    <n v="138"/>
    <n v="29"/>
    <n v="1"/>
    <n v="0"/>
    <s v="Eagles"/>
    <n v="0"/>
    <n v="31"/>
    <n v="314"/>
    <n v="37"/>
    <n v="2"/>
    <n v="26"/>
    <n v="1"/>
    <n v="133"/>
    <n v="30"/>
    <n v="2"/>
    <n v="2"/>
    <s v="W"/>
    <n v="0"/>
    <n v="95.75"/>
    <n v="83.48"/>
    <n v="115.57"/>
    <n v="107.15"/>
    <n v="0.55000000000000004"/>
    <n v="0.44999999999999996"/>
    <s v="N"/>
    <s v="N"/>
    <s v="N"/>
    <s v="N"/>
    <s v="N"/>
    <n v="95.05"/>
    <n v="76.650000000000006"/>
    <n v="94.44"/>
    <n v="139.76"/>
    <n v="4"/>
    <n v="66"/>
    <n v="1.9499999999999886"/>
    <n v="205.13"/>
  </r>
  <r>
    <x v="13"/>
    <n v="0"/>
    <n v="31"/>
    <n v="314"/>
    <n v="37"/>
    <n v="2"/>
    <n v="26"/>
    <n v="1"/>
    <n v="133"/>
    <n v="30"/>
    <n v="2"/>
    <n v="2"/>
    <s v="Falcons"/>
    <n v="0"/>
    <n v="35"/>
    <n v="180"/>
    <n v="28"/>
    <n v="4"/>
    <n v="17"/>
    <n v="2"/>
    <n v="138"/>
    <n v="29"/>
    <n v="1"/>
    <n v="0"/>
    <s v="L"/>
    <n v="0"/>
    <n v="116.52"/>
    <n v="104.25"/>
    <n v="92.85"/>
    <n v="84.43"/>
    <n v="0.49"/>
    <n v="0.51"/>
    <s v="N"/>
    <s v="N"/>
    <s v="N"/>
    <s v="N"/>
    <s v="N"/>
    <n v="117.06"/>
    <n v="94.65"/>
    <n v="102"/>
    <n v="75.92"/>
    <n v="4"/>
    <n v="66"/>
    <n v="1.9499999999999886"/>
    <n v="205.13"/>
  </r>
  <r>
    <x v="21"/>
    <n v="0"/>
    <n v="28"/>
    <n v="204"/>
    <n v="30"/>
    <n v="2"/>
    <n v="19"/>
    <n v="1"/>
    <n v="119"/>
    <n v="38"/>
    <n v="1"/>
    <n v="0"/>
    <s v="Rams"/>
    <n v="0"/>
    <n v="16"/>
    <n v="308"/>
    <n v="46"/>
    <n v="1"/>
    <n v="22"/>
    <n v="0"/>
    <n v="59"/>
    <n v="19"/>
    <n v="0"/>
    <n v="2"/>
    <s v="W"/>
    <n v="0"/>
    <n v="100.39"/>
    <n v="112.42"/>
    <n v="76.599999999999994"/>
    <n v="159.54"/>
    <n v="0.71"/>
    <n v="0.29000000000000004"/>
    <s v="N"/>
    <s v="N"/>
    <s v="N"/>
    <s v="N"/>
    <s v="N"/>
    <n v="102.93"/>
    <n v="89.87"/>
    <n v="54.53"/>
    <n v="129.9"/>
    <n v="12"/>
    <n v="44"/>
    <n v="48.949999999999989"/>
    <n v="24.51"/>
  </r>
  <r>
    <x v="12"/>
    <n v="0"/>
    <n v="16"/>
    <n v="308"/>
    <n v="46"/>
    <n v="1"/>
    <n v="22"/>
    <n v="0"/>
    <n v="59"/>
    <n v="19"/>
    <n v="0"/>
    <n v="2"/>
    <s v="Giants"/>
    <n v="0"/>
    <n v="28"/>
    <n v="204"/>
    <n v="30"/>
    <n v="2"/>
    <n v="19"/>
    <n v="1"/>
    <n v="119"/>
    <n v="38"/>
    <n v="1"/>
    <n v="0"/>
    <s v="L"/>
    <n v="0"/>
    <n v="87.58"/>
    <n v="99.61"/>
    <n v="40.46"/>
    <n v="123.4"/>
    <n v="0.44"/>
    <n v="0.56000000000000005"/>
    <s v="N"/>
    <s v="N"/>
    <s v="N"/>
    <s v="N"/>
    <s v="N"/>
    <n v="93.91"/>
    <n v="112.23"/>
    <n v="41.25"/>
    <n v="93.04"/>
    <n v="12"/>
    <n v="44"/>
    <n v="48.950000000000017"/>
    <n v="24.51"/>
  </r>
  <r>
    <x v="23"/>
    <n v="0"/>
    <n v="16"/>
    <n v="158"/>
    <n v="34"/>
    <n v="1"/>
    <n v="18"/>
    <n v="0"/>
    <n v="107"/>
    <n v="28"/>
    <n v="0"/>
    <n v="0"/>
    <s v="Jaguars"/>
    <n v="0"/>
    <n v="10"/>
    <n v="129"/>
    <n v="21"/>
    <n v="1"/>
    <n v="12"/>
    <n v="1"/>
    <n v="128"/>
    <n v="34"/>
    <n v="0"/>
    <n v="0"/>
    <s v="W"/>
    <n v="0"/>
    <n v="82.68"/>
    <n v="116.52"/>
    <n v="88.66"/>
    <n v="112.66"/>
    <n v="0.38"/>
    <n v="0.62"/>
    <s v="N"/>
    <s v="N"/>
    <s v="N"/>
    <s v="N"/>
    <s v="N"/>
    <n v="89.18"/>
    <n v="82.17"/>
    <n v="89.9"/>
    <n v="102.56"/>
    <n v="6"/>
    <n v="26"/>
    <n v="0.52000000000001023"/>
    <n v="1153.8499999999999"/>
  </r>
  <r>
    <x v="8"/>
    <n v="0"/>
    <n v="10"/>
    <n v="129"/>
    <n v="21"/>
    <n v="1"/>
    <n v="12"/>
    <n v="1"/>
    <n v="128"/>
    <n v="34"/>
    <n v="0"/>
    <n v="0"/>
    <s v="Panthers"/>
    <n v="0"/>
    <n v="16"/>
    <n v="158"/>
    <n v="34"/>
    <n v="1"/>
    <n v="18"/>
    <n v="0"/>
    <n v="107"/>
    <n v="28"/>
    <n v="0"/>
    <n v="0"/>
    <s v="L"/>
    <n v="0"/>
    <n v="83.48"/>
    <n v="117.32"/>
    <n v="87.34"/>
    <n v="111.34"/>
    <n v="0.55000000000000004"/>
    <n v="0.44999999999999996"/>
    <s v="N"/>
    <s v="N"/>
    <s v="N"/>
    <s v="N"/>
    <s v="N"/>
    <n v="80"/>
    <n v="117.06"/>
    <n v="79.16"/>
    <n v="131.91"/>
    <n v="6"/>
    <n v="26"/>
    <n v="0.52000000000001023"/>
    <n v="1153.8499999999999"/>
  </r>
  <r>
    <x v="9"/>
    <n v="0"/>
    <n v="17"/>
    <n v="295"/>
    <n v="36"/>
    <n v="2"/>
    <n v="27"/>
    <n v="0"/>
    <n v="38"/>
    <n v="23"/>
    <n v="0"/>
    <n v="2"/>
    <s v="Broncos"/>
    <n v="0"/>
    <n v="14"/>
    <n v="172"/>
    <n v="39"/>
    <n v="2"/>
    <n v="24"/>
    <n v="2"/>
    <n v="59"/>
    <n v="23"/>
    <n v="0"/>
    <n v="0"/>
    <s v="W"/>
    <n v="0"/>
    <n v="127.99"/>
    <n v="122.12"/>
    <n v="12.24"/>
    <n v="140.49"/>
    <n v="0.63"/>
    <n v="0.37"/>
    <s v="N"/>
    <s v="N"/>
    <s v="N"/>
    <s v="N"/>
    <s v="N"/>
    <n v="115.4"/>
    <n v="105.19"/>
    <n v="14.77"/>
    <n v="141.47999999999999"/>
    <n v="3"/>
    <n v="31"/>
    <n v="2.8400000000000034"/>
    <n v="105.63"/>
  </r>
  <r>
    <x v="30"/>
    <n v="0"/>
    <n v="14"/>
    <n v="172"/>
    <n v="39"/>
    <n v="2"/>
    <n v="24"/>
    <n v="2"/>
    <n v="59"/>
    <n v="23"/>
    <n v="0"/>
    <n v="0"/>
    <s v="Titans"/>
    <n v="0"/>
    <n v="17"/>
    <n v="295"/>
    <n v="36"/>
    <n v="2"/>
    <n v="27"/>
    <n v="0"/>
    <n v="38"/>
    <n v="23"/>
    <n v="0"/>
    <n v="2"/>
    <s v="L"/>
    <n v="0"/>
    <n v="77.88"/>
    <n v="72.010000000000005"/>
    <n v="59.51"/>
    <n v="187.76"/>
    <n v="0.61"/>
    <n v="0.39"/>
    <s v="N"/>
    <s v="N"/>
    <s v="N"/>
    <s v="N"/>
    <s v="N"/>
    <n v="74.28"/>
    <n v="70.72"/>
    <n v="67.59"/>
    <n v="128.27000000000001"/>
    <n v="3"/>
    <n v="31"/>
    <n v="2.8400000000000318"/>
    <n v="105.63"/>
  </r>
  <r>
    <x v="1"/>
    <n v="0"/>
    <n v="40"/>
    <n v="354"/>
    <n v="44"/>
    <n v="3"/>
    <n v="31"/>
    <n v="2"/>
    <n v="100"/>
    <n v="22"/>
    <n v="2"/>
    <n v="0"/>
    <s v="Texans"/>
    <n v="0"/>
    <n v="33"/>
    <n v="364"/>
    <n v="39"/>
    <n v="3"/>
    <n v="22"/>
    <n v="1"/>
    <n v="109"/>
    <n v="25"/>
    <n v="0"/>
    <n v="0"/>
    <s v="W"/>
    <n v="0"/>
    <n v="110.89"/>
    <n v="88.88"/>
    <n v="119.09"/>
    <n v="98.85"/>
    <n v="0.61"/>
    <n v="0.39"/>
    <s v="N"/>
    <s v="N"/>
    <s v="N"/>
    <s v="N"/>
    <s v="N"/>
    <n v="133.47999999999999"/>
    <n v="99"/>
    <n v="120.76"/>
    <n v="95.38"/>
    <n v="7"/>
    <n v="73"/>
    <n v="17.710000000000008"/>
    <n v="39.53"/>
  </r>
  <r>
    <x v="4"/>
    <n v="0"/>
    <n v="33"/>
    <n v="364"/>
    <n v="39"/>
    <n v="3"/>
    <n v="22"/>
    <n v="1"/>
    <n v="109"/>
    <n v="25"/>
    <n v="0"/>
    <n v="0"/>
    <s v="Saints"/>
    <n v="0"/>
    <n v="40"/>
    <n v="354"/>
    <n v="44"/>
    <n v="3"/>
    <n v="31"/>
    <n v="2"/>
    <n v="100"/>
    <n v="22"/>
    <n v="2"/>
    <n v="0"/>
    <s v="L"/>
    <n v="0"/>
    <n v="111.12"/>
    <n v="89.11"/>
    <n v="101.15"/>
    <n v="80.91"/>
    <n v="0.67"/>
    <n v="0.32999999999999996"/>
    <s v="N"/>
    <s v="N"/>
    <s v="N"/>
    <s v="N"/>
    <s v="N"/>
    <n v="122.14"/>
    <n v="104.15"/>
    <n v="72.069999999999993"/>
    <n v="83.02"/>
    <n v="7"/>
    <n v="73"/>
    <n v="17.710000000000008"/>
    <n v="39.53"/>
  </r>
  <r>
    <x v="19"/>
    <n v="0"/>
    <n v="23"/>
    <n v="189"/>
    <n v="36"/>
    <n v="1"/>
    <n v="22"/>
    <n v="0"/>
    <n v="132"/>
    <n v="23"/>
    <n v="1"/>
    <n v="0"/>
    <s v="Lions"/>
    <n v="0"/>
    <n v="26"/>
    <n v="338"/>
    <n v="46"/>
    <n v="2"/>
    <n v="32"/>
    <n v="0"/>
    <n v="20"/>
    <n v="19"/>
    <n v="0"/>
    <n v="0"/>
    <s v="L"/>
    <n v="0"/>
    <n v="93.89"/>
    <n v="83.87"/>
    <n v="139.66999999999999"/>
    <n v="175.57999999999998"/>
    <n v="0.71"/>
    <n v="0.29000000000000004"/>
    <s v="N"/>
    <s v="N"/>
    <s v="N"/>
    <s v="N"/>
    <s v="N"/>
    <n v="108.36"/>
    <n v="86.21"/>
    <n v="127.53"/>
    <n v="170.79"/>
    <n v="3"/>
    <n v="49"/>
    <n v="93.009999999999991"/>
    <n v="3.23"/>
  </r>
  <r>
    <x v="17"/>
    <n v="0"/>
    <n v="26"/>
    <n v="338"/>
    <n v="46"/>
    <n v="2"/>
    <n v="32"/>
    <n v="0"/>
    <n v="20"/>
    <n v="19"/>
    <n v="0"/>
    <n v="0"/>
    <s v="Vikings"/>
    <n v="0"/>
    <n v="23"/>
    <n v="189"/>
    <n v="36"/>
    <n v="1"/>
    <n v="22"/>
    <n v="0"/>
    <n v="132"/>
    <n v="23"/>
    <n v="1"/>
    <n v="0"/>
    <s v="W"/>
    <n v="0"/>
    <n v="116.13"/>
    <n v="106.11"/>
    <n v="24.42"/>
    <n v="60.330000000000013"/>
    <n v="0.61"/>
    <n v="0.39"/>
    <s v="N"/>
    <s v="N"/>
    <s v="N"/>
    <s v="N"/>
    <s v="N"/>
    <n v="105.62"/>
    <n v="89.13"/>
    <n v="28.71"/>
    <n v="77.069999999999993"/>
    <n v="3"/>
    <n v="49"/>
    <n v="93.009999999999991"/>
    <n v="3.23"/>
  </r>
  <r>
    <x v="13"/>
    <n v="0"/>
    <n v="16"/>
    <n v="199"/>
    <n v="30"/>
    <n v="0"/>
    <n v="20"/>
    <n v="3"/>
    <n v="177"/>
    <n v="40"/>
    <n v="1"/>
    <n v="0"/>
    <s v="Giants"/>
    <n v="0"/>
    <n v="29"/>
    <n v="232"/>
    <n v="23"/>
    <n v="4"/>
    <n v="16"/>
    <n v="0"/>
    <n v="102"/>
    <n v="25"/>
    <n v="0"/>
    <n v="0"/>
    <s v="L"/>
    <n v="0"/>
    <n v="72.819999999999993"/>
    <n v="49.370000000000005"/>
    <n v="106.41"/>
    <n v="105.34"/>
    <n v="0.48"/>
    <n v="0.52"/>
    <s v="N"/>
    <s v="N"/>
    <s v="N"/>
    <s v="N"/>
    <s v="N"/>
    <n v="78.09"/>
    <n v="55.63"/>
    <n v="108.49"/>
    <n v="79.430000000000007"/>
    <n v="13"/>
    <n v="45"/>
    <n v="66.06"/>
    <n v="19.68"/>
  </r>
  <r>
    <x v="21"/>
    <n v="0"/>
    <n v="29"/>
    <n v="232"/>
    <n v="23"/>
    <n v="4"/>
    <n v="16"/>
    <n v="0"/>
    <n v="102"/>
    <n v="25"/>
    <n v="0"/>
    <n v="0"/>
    <s v="Eagles"/>
    <n v="0"/>
    <n v="16"/>
    <n v="199"/>
    <n v="30"/>
    <n v="0"/>
    <n v="20"/>
    <n v="3"/>
    <n v="177"/>
    <n v="40"/>
    <n v="1"/>
    <n v="0"/>
    <s v="W"/>
    <n v="0"/>
    <n v="150.63"/>
    <n v="127.18"/>
    <n v="94.66"/>
    <n v="93.59"/>
    <n v="0.43"/>
    <n v="0.57000000000000006"/>
    <s v="N"/>
    <s v="N"/>
    <s v="N"/>
    <s v="N"/>
    <s v="N"/>
    <n v="149.53"/>
    <n v="116.77"/>
    <n v="77.349999999999994"/>
    <n v="122.07"/>
    <n v="13"/>
    <n v="45"/>
    <n v="66.06"/>
    <n v="19.68"/>
  </r>
  <r>
    <x v="7"/>
    <n v="0"/>
    <n v="34"/>
    <n v="369"/>
    <n v="40"/>
    <n v="2"/>
    <n v="27"/>
    <n v="2"/>
    <n v="79"/>
    <n v="20"/>
    <n v="1"/>
    <n v="0"/>
    <s v="Patriots"/>
    <n v="0"/>
    <n v="31"/>
    <n v="387"/>
    <n v="45"/>
    <n v="4"/>
    <n v="30"/>
    <n v="4"/>
    <n v="108"/>
    <n v="26"/>
    <n v="0"/>
    <n v="0"/>
    <s v="W"/>
    <n v="0"/>
    <n v="110.28"/>
    <n v="99.8"/>
    <n v="99.14"/>
    <n v="103.63"/>
    <n v="0.63"/>
    <n v="0.37"/>
    <s v="N"/>
    <s v="N"/>
    <s v="N"/>
    <s v="N"/>
    <s v="N"/>
    <n v="103.02"/>
    <n v="115.08"/>
    <n v="99.59"/>
    <n v="110.33"/>
    <n v="3"/>
    <n v="65"/>
    <n v="12.850000000000023"/>
    <n v="23.35"/>
  </r>
  <r>
    <x v="29"/>
    <n v="0"/>
    <n v="31"/>
    <n v="387"/>
    <n v="45"/>
    <n v="4"/>
    <n v="30"/>
    <n v="4"/>
    <n v="108"/>
    <n v="26"/>
    <n v="0"/>
    <n v="0"/>
    <s v="Bills"/>
    <n v="0"/>
    <n v="34"/>
    <n v="369"/>
    <n v="40"/>
    <n v="2"/>
    <n v="27"/>
    <n v="2"/>
    <n v="79"/>
    <n v="20"/>
    <n v="1"/>
    <n v="0"/>
    <s v="L"/>
    <n v="0"/>
    <n v="100.2"/>
    <n v="89.72"/>
    <n v="96.37"/>
    <n v="100.86"/>
    <n v="0.67"/>
    <n v="0.32999999999999996"/>
    <s v="N"/>
    <s v="N"/>
    <s v="N"/>
    <s v="N"/>
    <s v="N"/>
    <n v="103.91"/>
    <n v="93.2"/>
    <n v="75.34"/>
    <n v="133.32"/>
    <n v="3"/>
    <n v="65"/>
    <n v="12.850000000000023"/>
    <n v="23.35"/>
  </r>
  <r>
    <x v="10"/>
    <n v="0"/>
    <n v="17"/>
    <n v="210"/>
    <n v="39"/>
    <n v="2"/>
    <n v="19"/>
    <n v="1"/>
    <n v="70"/>
    <n v="19"/>
    <n v="0"/>
    <n v="0"/>
    <s v="Dolphins"/>
    <n v="0"/>
    <n v="16"/>
    <n v="231"/>
    <n v="29"/>
    <n v="1"/>
    <n v="19"/>
    <n v="1"/>
    <n v="138"/>
    <n v="38"/>
    <n v="0"/>
    <n v="1"/>
    <s v="W"/>
    <n v="0"/>
    <n v="78.06"/>
    <n v="96.24"/>
    <n v="85.47"/>
    <n v="123.64"/>
    <n v="0.43"/>
    <n v="0.57000000000000006"/>
    <s v="N"/>
    <s v="N"/>
    <s v="N"/>
    <s v="N"/>
    <s v="N"/>
    <n v="72.33"/>
    <n v="81.72"/>
    <n v="90.08"/>
    <n v="114.27"/>
    <n v="1"/>
    <n v="33"/>
    <n v="16.590000000000003"/>
    <n v="6.03"/>
  </r>
  <r>
    <x v="28"/>
    <n v="0"/>
    <n v="16"/>
    <n v="231"/>
    <n v="29"/>
    <n v="1"/>
    <n v="19"/>
    <n v="1"/>
    <n v="138"/>
    <n v="38"/>
    <n v="0"/>
    <n v="1"/>
    <s v="Browns"/>
    <n v="0"/>
    <n v="17"/>
    <n v="210"/>
    <n v="39"/>
    <n v="2"/>
    <n v="19"/>
    <n v="1"/>
    <n v="70"/>
    <n v="19"/>
    <n v="0"/>
    <n v="0"/>
    <s v="L"/>
    <n v="0"/>
    <n v="103.76"/>
    <n v="121.94"/>
    <n v="76.36"/>
    <n v="114.53"/>
    <n v="0.67"/>
    <n v="0.32999999999999996"/>
    <s v="N"/>
    <s v="N"/>
    <s v="N"/>
    <s v="N"/>
    <s v="N"/>
    <n v="114.64"/>
    <n v="102.39"/>
    <n v="86.84"/>
    <n v="86.02"/>
    <n v="1"/>
    <n v="33"/>
    <n v="16.590000000000003"/>
    <n v="6.03"/>
  </r>
  <r>
    <x v="11"/>
    <n v="0"/>
    <n v="8"/>
    <n v="149"/>
    <n v="32"/>
    <n v="0"/>
    <n v="17"/>
    <n v="2"/>
    <n v="79"/>
    <n v="20"/>
    <n v="0"/>
    <n v="1"/>
    <s v="49ers"/>
    <n v="0"/>
    <n v="13"/>
    <n v="176"/>
    <n v="30"/>
    <n v="0"/>
    <n v="20"/>
    <n v="0"/>
    <n v="50"/>
    <n v="29"/>
    <n v="1"/>
    <n v="1"/>
    <s v="L"/>
    <n v="0"/>
    <n v="59.75"/>
    <n v="101.36"/>
    <n v="76.64"/>
    <n v="165.17000000000002"/>
    <n v="0.51"/>
    <n v="0.49"/>
    <s v="N"/>
    <s v="N"/>
    <s v="N"/>
    <s v="N"/>
    <s v="N"/>
    <n v="68.17"/>
    <n v="105.57"/>
    <n v="99.84"/>
    <n v="170.57"/>
    <n v="5"/>
    <n v="21"/>
    <n v="2.9200000000000159"/>
    <n v="171.23"/>
  </r>
  <r>
    <x v="24"/>
    <n v="0"/>
    <n v="13"/>
    <n v="176"/>
    <n v="30"/>
    <n v="0"/>
    <n v="20"/>
    <n v="0"/>
    <n v="50"/>
    <n v="29"/>
    <n v="1"/>
    <n v="1"/>
    <s v="Bengals"/>
    <n v="0"/>
    <n v="8"/>
    <n v="149"/>
    <n v="32"/>
    <n v="0"/>
    <n v="17"/>
    <n v="2"/>
    <n v="79"/>
    <n v="20"/>
    <n v="0"/>
    <n v="1"/>
    <s v="W"/>
    <n v="0"/>
    <n v="98.64"/>
    <n v="140.25"/>
    <n v="34.83"/>
    <n v="123.36"/>
    <n v="0.62"/>
    <n v="0.38"/>
    <s v="N"/>
    <s v="N"/>
    <s v="N"/>
    <s v="N"/>
    <s v="N"/>
    <n v="104.31"/>
    <n v="133.52000000000001"/>
    <n v="45.24"/>
    <n v="108.71"/>
    <n v="5"/>
    <n v="21"/>
    <n v="2.9199999999999875"/>
    <n v="171.23"/>
  </r>
  <r>
    <x v="31"/>
    <n v="0"/>
    <n v="34"/>
    <n v="149"/>
    <n v="27"/>
    <n v="0"/>
    <n v="18"/>
    <n v="0"/>
    <n v="234"/>
    <n v="32"/>
    <n v="4"/>
    <n v="0"/>
    <s v="Jets"/>
    <n v="0"/>
    <n v="24"/>
    <n v="339"/>
    <n v="43"/>
    <n v="2"/>
    <n v="27"/>
    <n v="1"/>
    <n v="100"/>
    <n v="25"/>
    <n v="1"/>
    <n v="1"/>
    <s v="W"/>
    <n v="0"/>
    <n v="96.74"/>
    <n v="94.24"/>
    <n v="188.4"/>
    <n v="113.2"/>
    <n v="0.63"/>
    <n v="0.37"/>
    <s v="N"/>
    <s v="N"/>
    <s v="N"/>
    <s v="N"/>
    <s v="N"/>
    <n v="121.96"/>
    <n v="85.99"/>
    <n v="193.76"/>
    <n v="80.19"/>
    <n v="10"/>
    <n v="58"/>
    <n v="92.579999999999984"/>
    <n v="10.8"/>
  </r>
  <r>
    <x v="26"/>
    <n v="0"/>
    <n v="24"/>
    <n v="339"/>
    <n v="43"/>
    <n v="2"/>
    <n v="27"/>
    <n v="1"/>
    <n v="100"/>
    <n v="25"/>
    <n v="1"/>
    <n v="1"/>
    <s v="Raiders"/>
    <n v="0"/>
    <n v="34"/>
    <n v="149"/>
    <n v="27"/>
    <n v="0"/>
    <n v="18"/>
    <n v="0"/>
    <n v="234"/>
    <n v="32"/>
    <n v="4"/>
    <n v="0"/>
    <s v="L"/>
    <n v="0"/>
    <n v="105.76"/>
    <n v="103.26"/>
    <n v="86.8"/>
    <n v="11.599999999999994"/>
    <n v="0.46"/>
    <n v="0.54"/>
    <s v="N"/>
    <s v="N"/>
    <s v="N"/>
    <s v="N"/>
    <s v="N"/>
    <n v="119.75"/>
    <n v="89.83"/>
    <n v="75.34"/>
    <n v="14.3"/>
    <n v="10"/>
    <n v="58"/>
    <n v="92.579999999999984"/>
    <n v="10.8"/>
  </r>
  <r>
    <x v="12"/>
    <n v="0"/>
    <n v="7"/>
    <n v="132"/>
    <n v="32"/>
    <n v="1"/>
    <n v="16"/>
    <n v="1"/>
    <n v="112"/>
    <n v="26"/>
    <n v="0"/>
    <n v="1"/>
    <s v="Ravens"/>
    <n v="0"/>
    <n v="37"/>
    <n v="385"/>
    <n v="48"/>
    <n v="3"/>
    <n v="27"/>
    <n v="0"/>
    <n v="168"/>
    <n v="26"/>
    <n v="0"/>
    <n v="1"/>
    <s v="L"/>
    <n v="0"/>
    <n v="67.790000000000006"/>
    <n v="90.66"/>
    <n v="88.4"/>
    <n v="61.629999999999995"/>
    <n v="0.65"/>
    <n v="0.35"/>
    <s v="N"/>
    <s v="N"/>
    <s v="N"/>
    <s v="N"/>
    <s v="N"/>
    <n v="85.23"/>
    <n v="76.23"/>
    <n v="128.97999999999999"/>
    <n v="56.12"/>
    <n v="30"/>
    <n v="44"/>
    <n v="91.52000000000001"/>
    <n v="32.78"/>
  </r>
  <r>
    <x v="14"/>
    <n v="0"/>
    <n v="37"/>
    <n v="385"/>
    <n v="48"/>
    <n v="3"/>
    <n v="27"/>
    <n v="0"/>
    <n v="168"/>
    <n v="26"/>
    <n v="0"/>
    <n v="1"/>
    <s v="Rams"/>
    <n v="0"/>
    <n v="7"/>
    <n v="132"/>
    <n v="32"/>
    <n v="1"/>
    <n v="16"/>
    <n v="1"/>
    <n v="112"/>
    <n v="26"/>
    <n v="0"/>
    <n v="1"/>
    <s v="W"/>
    <n v="0"/>
    <n v="109.34"/>
    <n v="132.20999999999998"/>
    <n v="138.37"/>
    <n v="111.6"/>
    <n v="0.55000000000000004"/>
    <n v="0.44999999999999996"/>
    <s v="N"/>
    <s v="N"/>
    <s v="N"/>
    <s v="N"/>
    <s v="N"/>
    <n v="112.11"/>
    <n v="105.69"/>
    <n v="98.5"/>
    <n v="90.87"/>
    <n v="30"/>
    <n v="44"/>
    <n v="91.519999999999982"/>
    <n v="32.78"/>
  </r>
  <r>
    <x v="18"/>
    <n v="0"/>
    <n v="20"/>
    <n v="258"/>
    <n v="38"/>
    <n v="0"/>
    <n v="24"/>
    <n v="2"/>
    <n v="117"/>
    <n v="30"/>
    <n v="2"/>
    <n v="0"/>
    <s v="Chiefs"/>
    <n v="0"/>
    <n v="17"/>
    <n v="171"/>
    <n v="24"/>
    <n v="2"/>
    <n v="17"/>
    <n v="1"/>
    <n v="81"/>
    <n v="27"/>
    <n v="0"/>
    <n v="0"/>
    <s v="W"/>
    <n v="0"/>
    <n v="84.37"/>
    <n v="90.34"/>
    <n v="100.48"/>
    <n v="130.4"/>
    <n v="0.47"/>
    <n v="0.53"/>
    <s v="N"/>
    <s v="N"/>
    <s v="N"/>
    <s v="N"/>
    <s v="N"/>
    <n v="91.5"/>
    <n v="82.44"/>
    <n v="100.03"/>
    <n v="121.58"/>
    <n v="3"/>
    <n v="37"/>
    <n v="5.5900000000000318"/>
    <n v="53.67"/>
  </r>
  <r>
    <x v="6"/>
    <n v="0"/>
    <n v="17"/>
    <n v="171"/>
    <n v="24"/>
    <n v="2"/>
    <n v="17"/>
    <n v="1"/>
    <n v="81"/>
    <n v="27"/>
    <n v="0"/>
    <n v="0"/>
    <s v="Chargers"/>
    <n v="0"/>
    <n v="20"/>
    <n v="258"/>
    <n v="38"/>
    <n v="0"/>
    <n v="24"/>
    <n v="2"/>
    <n v="117"/>
    <n v="30"/>
    <n v="2"/>
    <n v="0"/>
    <s v="L"/>
    <n v="0"/>
    <n v="109.66"/>
    <n v="115.63"/>
    <n v="69.599999999999994"/>
    <n v="99.52"/>
    <n v="0.56000000000000005"/>
    <n v="0.43999999999999995"/>
    <s v="N"/>
    <s v="N"/>
    <s v="N"/>
    <s v="N"/>
    <s v="N"/>
    <n v="122.76"/>
    <n v="113.02"/>
    <n v="61.6"/>
    <n v="91.62"/>
    <n v="3"/>
    <n v="37"/>
    <n v="5.5900000000000318"/>
    <n v="53.67"/>
  </r>
  <r>
    <x v="16"/>
    <n v="0"/>
    <n v="16"/>
    <n v="180"/>
    <n v="32"/>
    <n v="0"/>
    <n v="22"/>
    <n v="2"/>
    <n v="115"/>
    <n v="36"/>
    <n v="1"/>
    <n v="0"/>
    <s v="Falcons"/>
    <n v="0"/>
    <n v="13"/>
    <n v="295"/>
    <n v="47"/>
    <n v="1"/>
    <n v="26"/>
    <n v="1"/>
    <n v="30"/>
    <n v="15"/>
    <n v="0"/>
    <n v="2"/>
    <s v="W"/>
    <n v="0"/>
    <n v="80.66"/>
    <n v="113.66"/>
    <n v="78.28"/>
    <n v="193.6"/>
    <n v="0.76"/>
    <n v="0.24"/>
    <s v="N"/>
    <s v="N"/>
    <s v="N"/>
    <s v="N"/>
    <s v="N"/>
    <n v="81.03"/>
    <n v="103.19"/>
    <n v="85.99"/>
    <n v="174.09"/>
    <n v="3"/>
    <n v="29"/>
    <n v="66.199999999999989"/>
    <n v="4.53"/>
  </r>
  <r>
    <x v="3"/>
    <n v="0"/>
    <n v="13"/>
    <n v="295"/>
    <n v="47"/>
    <n v="1"/>
    <n v="26"/>
    <n v="1"/>
    <n v="30"/>
    <n v="15"/>
    <n v="0"/>
    <n v="2"/>
    <s v="Buccaneers"/>
    <n v="0"/>
    <n v="16"/>
    <n v="180"/>
    <n v="32"/>
    <n v="0"/>
    <n v="22"/>
    <n v="2"/>
    <n v="115"/>
    <n v="36"/>
    <n v="1"/>
    <n v="0"/>
    <s v="L"/>
    <n v="0"/>
    <n v="86.34"/>
    <n v="119.34"/>
    <n v="6.4"/>
    <n v="121.72"/>
    <n v="0.47"/>
    <n v="0.53"/>
    <s v="N"/>
    <s v="N"/>
    <s v="N"/>
    <s v="N"/>
    <s v="N"/>
    <n v="84.17"/>
    <n v="104.94"/>
    <n v="7.05"/>
    <n v="121.53"/>
    <n v="3"/>
    <n v="29"/>
    <n v="66.199999999999989"/>
    <n v="4.53"/>
  </r>
  <r>
    <x v="2"/>
    <n v="0"/>
    <n v="17"/>
    <n v="278"/>
    <n v="37"/>
    <n v="2"/>
    <n v="21"/>
    <n v="2"/>
    <n v="13"/>
    <n v="12"/>
    <n v="0"/>
    <n v="0"/>
    <s v="Packers"/>
    <n v="0"/>
    <n v="27"/>
    <n v="292"/>
    <n v="38"/>
    <n v="3"/>
    <n v="28"/>
    <n v="1"/>
    <n v="100"/>
    <n v="29"/>
    <n v="0"/>
    <n v="1"/>
    <s v="L"/>
    <n v="0"/>
    <n v="89.6"/>
    <n v="80.489999999999995"/>
    <s v=" "/>
    <n v="130.34"/>
    <n v="0.56999999999999995"/>
    <n v="0.43000000000000005"/>
    <s v="N"/>
    <s v="N"/>
    <s v="Y"/>
    <s v="N"/>
    <s v="N"/>
    <n v="98.67"/>
    <n v="105.12"/>
    <s v=" "/>
    <n v="113.67"/>
    <n v="10"/>
    <n v="44"/>
    <s v=" "/>
    <s v=" "/>
  </r>
  <r>
    <x v="0"/>
    <n v="0"/>
    <n v="27"/>
    <n v="292"/>
    <n v="38"/>
    <n v="3"/>
    <n v="28"/>
    <n v="1"/>
    <n v="100"/>
    <n v="29"/>
    <n v="0"/>
    <n v="1"/>
    <s v="Bears"/>
    <n v="0"/>
    <n v="17"/>
    <n v="278"/>
    <n v="37"/>
    <n v="2"/>
    <n v="21"/>
    <n v="2"/>
    <n v="13"/>
    <n v="12"/>
    <n v="0"/>
    <n v="0"/>
    <s v="W"/>
    <n v="0"/>
    <n v="119.51"/>
    <n v="110.4"/>
    <n v="69.66"/>
    <s v=" "/>
    <n v="0.76"/>
    <n v="0.24"/>
    <s v="N"/>
    <s v="N"/>
    <s v="N"/>
    <s v="N"/>
    <s v="Y"/>
    <n v="117.52"/>
    <n v="102.73"/>
    <n v="53.68"/>
    <s v=" "/>
    <n v="10"/>
    <n v="44"/>
    <s v=" "/>
    <s v=" "/>
  </r>
  <r>
    <x v="25"/>
    <n v="0"/>
    <n v="13"/>
    <n v="139"/>
    <n v="31"/>
    <n v="0"/>
    <n v="18"/>
    <n v="1"/>
    <n v="122"/>
    <n v="30"/>
    <n v="1"/>
    <n v="0"/>
    <s v="Cardinals"/>
    <n v="0"/>
    <n v="10"/>
    <n v="234"/>
    <n v="39"/>
    <n v="1"/>
    <n v="25"/>
    <n v="2"/>
    <n v="90"/>
    <n v="28"/>
    <n v="0"/>
    <n v="0"/>
    <s v="W"/>
    <n v="0"/>
    <n v="72.819999999999993"/>
    <n v="114.74"/>
    <n v="99.35"/>
    <n v="125.43"/>
    <n v="0.57999999999999996"/>
    <n v="0.42000000000000004"/>
    <s v="N"/>
    <s v="N"/>
    <s v="N"/>
    <s v="N"/>
    <s v="N"/>
    <n v="70.69"/>
    <n v="105.71"/>
    <n v="113.66"/>
    <n v="120.68"/>
    <n v="3"/>
    <n v="23"/>
    <n v="12.340000000000003"/>
    <n v="24.31"/>
  </r>
  <r>
    <x v="22"/>
    <n v="0"/>
    <n v="10"/>
    <n v="234"/>
    <n v="39"/>
    <n v="1"/>
    <n v="25"/>
    <n v="2"/>
    <n v="90"/>
    <n v="28"/>
    <n v="0"/>
    <n v="0"/>
    <s v="Seahawks"/>
    <n v="0"/>
    <n v="13"/>
    <n v="139"/>
    <n v="31"/>
    <n v="0"/>
    <n v="18"/>
    <n v="1"/>
    <n v="122"/>
    <n v="30"/>
    <n v="1"/>
    <n v="0"/>
    <s v="L"/>
    <n v="0"/>
    <n v="85.26"/>
    <n v="127.18"/>
    <n v="74.569999999999993"/>
    <n v="100.65"/>
    <n v="0.51"/>
    <n v="0.49"/>
    <s v="N"/>
    <s v="N"/>
    <s v="N"/>
    <s v="N"/>
    <s v="N"/>
    <n v="83.62"/>
    <n v="105.46"/>
    <n v="95.61"/>
    <n v="82.91"/>
    <n v="3"/>
    <n v="23"/>
    <n v="12.340000000000003"/>
    <n v="24.31"/>
  </r>
  <r>
    <x v="5"/>
    <n v="0"/>
    <n v="20"/>
    <n v="144"/>
    <n v="40"/>
    <n v="0"/>
    <n v="18"/>
    <n v="0"/>
    <n v="97"/>
    <n v="21"/>
    <n v="1"/>
    <n v="1"/>
    <s v="Steelers"/>
    <n v="0"/>
    <n v="23"/>
    <n v="341"/>
    <n v="37"/>
    <n v="1"/>
    <n v="25"/>
    <n v="1"/>
    <n v="67"/>
    <n v="28"/>
    <n v="0"/>
    <n v="2"/>
    <s v="L"/>
    <n v="0"/>
    <n v="64.62"/>
    <n v="86.26"/>
    <n v="100.02"/>
    <n v="165.91"/>
    <n v="0.56999999999999995"/>
    <n v="0.43000000000000005"/>
    <s v="N"/>
    <s v="N"/>
    <s v="N"/>
    <s v="N"/>
    <s v="N"/>
    <n v="71.31"/>
    <n v="91.59"/>
    <n v="91.86"/>
    <n v="148.01"/>
    <n v="3"/>
    <n v="43"/>
    <n v="16.810000000000002"/>
    <n v="17.850000000000001"/>
  </r>
  <r>
    <x v="15"/>
    <n v="0"/>
    <n v="23"/>
    <n v="341"/>
    <n v="37"/>
    <n v="1"/>
    <n v="25"/>
    <n v="1"/>
    <n v="67"/>
    <n v="28"/>
    <n v="0"/>
    <n v="2"/>
    <s v="Colts"/>
    <n v="0"/>
    <n v="20"/>
    <n v="144"/>
    <n v="40"/>
    <n v="0"/>
    <n v="18"/>
    <n v="0"/>
    <n v="97"/>
    <n v="21"/>
    <n v="1"/>
    <n v="1"/>
    <s v="W"/>
    <n v="0"/>
    <n v="113.74"/>
    <n v="135.38"/>
    <n v="34.090000000000003"/>
    <n v="99.98"/>
    <n v="0.66"/>
    <n v="0.33999999999999997"/>
    <s v="N"/>
    <s v="N"/>
    <s v="N"/>
    <s v="N"/>
    <s v="N"/>
    <n v="88.61"/>
    <n v="116.41"/>
    <n v="35.130000000000003"/>
    <n v="84.11"/>
    <n v="3"/>
    <n v="43"/>
    <n v="16.810000000000002"/>
    <n v="17.850000000000001"/>
  </r>
  <r>
    <x v="27"/>
    <n v="0"/>
    <n v="18"/>
    <n v="250"/>
    <n v="36"/>
    <n v="0"/>
    <n v="22"/>
    <n v="1"/>
    <n v="125"/>
    <n v="26"/>
    <n v="0"/>
    <n v="1"/>
    <s v="Redskins"/>
    <n v="0"/>
    <n v="16"/>
    <n v="233"/>
    <n v="37"/>
    <n v="1"/>
    <n v="22"/>
    <n v="1"/>
    <n v="65"/>
    <n v="22"/>
    <n v="0"/>
    <n v="1"/>
    <s v="W"/>
    <n v="0"/>
    <n v="90.63"/>
    <n v="110.27"/>
    <n v="100"/>
    <n v="145.09"/>
    <n v="0.63"/>
    <n v="0.37"/>
    <s v="N"/>
    <s v="N"/>
    <s v="N"/>
    <s v="N"/>
    <s v="N"/>
    <n v="96.03"/>
    <n v="91.02"/>
    <n v="96.9"/>
    <n v="121.83"/>
    <n v="2"/>
    <n v="34"/>
    <n v="45.990000000000009"/>
    <n v="4.3499999999999996"/>
  </r>
  <r>
    <x v="20"/>
    <n v="0"/>
    <n v="16"/>
    <n v="233"/>
    <n v="37"/>
    <n v="1"/>
    <n v="22"/>
    <n v="1"/>
    <n v="65"/>
    <n v="22"/>
    <n v="0"/>
    <n v="1"/>
    <s v="Cowboys"/>
    <n v="0"/>
    <n v="18"/>
    <n v="250"/>
    <n v="36"/>
    <n v="0"/>
    <n v="22"/>
    <n v="1"/>
    <n v="125"/>
    <n v="26"/>
    <n v="0"/>
    <n v="1"/>
    <s v="L"/>
    <n v="0"/>
    <n v="89.73"/>
    <n v="109.37"/>
    <n v="54.91"/>
    <n v="100"/>
    <n v="0.57999999999999996"/>
    <n v="0.42000000000000004"/>
    <s v="N"/>
    <s v="N"/>
    <s v="N"/>
    <s v="N"/>
    <s v="N"/>
    <n v="98.42"/>
    <n v="113.41"/>
    <n v="72.75"/>
    <n v="91.15"/>
    <n v="2"/>
    <n v="34"/>
    <n v="45.990000000000009"/>
    <n v="4.3499999999999996"/>
  </r>
  <r>
    <x v="27"/>
    <n v="0"/>
    <n v="30"/>
    <n v="321"/>
    <n v="47"/>
    <n v="3"/>
    <n v="34"/>
    <n v="3"/>
    <n v="113"/>
    <n v="27"/>
    <n v="0"/>
    <n v="0"/>
    <s v="Lions"/>
    <n v="0"/>
    <n v="34"/>
    <n v="240"/>
    <n v="43"/>
    <n v="2"/>
    <n v="21"/>
    <n v="1"/>
    <n v="63"/>
    <n v="17"/>
    <n v="0"/>
    <n v="0"/>
    <s v="L"/>
    <n v="0"/>
    <n v="99.99"/>
    <n v="120.74"/>
    <n v="97.1"/>
    <n v="114.02"/>
    <n v="0.72"/>
    <n v="0.28000000000000003"/>
    <s v="N"/>
    <s v="N"/>
    <s v="N"/>
    <s v="N"/>
    <s v="N"/>
    <n v="115.4"/>
    <n v="124.12"/>
    <n v="88.66"/>
    <n v="110.91"/>
    <n v="4"/>
    <n v="64"/>
    <n v="31.849999999999966"/>
    <n v="12.56"/>
  </r>
  <r>
    <x v="17"/>
    <n v="0"/>
    <n v="34"/>
    <n v="240"/>
    <n v="43"/>
    <n v="2"/>
    <n v="21"/>
    <n v="1"/>
    <n v="63"/>
    <n v="17"/>
    <n v="0"/>
    <n v="0"/>
    <s v="Cowboys"/>
    <n v="0"/>
    <n v="30"/>
    <n v="321"/>
    <n v="47"/>
    <n v="3"/>
    <n v="34"/>
    <n v="3"/>
    <n v="113"/>
    <n v="27"/>
    <n v="0"/>
    <n v="0"/>
    <s v="W"/>
    <n v="0"/>
    <n v="79.260000000000005"/>
    <n v="100.01"/>
    <n v="85.98"/>
    <n v="102.9"/>
    <n v="0.64"/>
    <n v="0.36"/>
    <s v="N"/>
    <s v="N"/>
    <s v="N"/>
    <s v="N"/>
    <s v="N"/>
    <n v="86.94"/>
    <n v="103.7"/>
    <n v="113.91"/>
    <n v="93.79"/>
    <n v="4"/>
    <n v="64"/>
    <n v="31.849999999999966"/>
    <n v="12.56"/>
  </r>
  <r>
    <x v="2"/>
    <n v="0"/>
    <n v="34"/>
    <n v="93"/>
    <n v="17"/>
    <n v="0"/>
    <n v="9"/>
    <n v="1"/>
    <n v="224"/>
    <n v="31"/>
    <n v="2"/>
    <n v="0"/>
    <s v="Panthers"/>
    <n v="0"/>
    <n v="29"/>
    <n v="374"/>
    <n v="46"/>
    <n v="1"/>
    <n v="27"/>
    <n v="1"/>
    <n v="169"/>
    <n v="26"/>
    <n v="2"/>
    <n v="0"/>
    <s v="W"/>
    <n v="0"/>
    <n v="65.11"/>
    <n v="100.25"/>
    <n v="177.32"/>
    <n v="37.659999999999997"/>
    <n v="0.64"/>
    <n v="0.36"/>
    <s v="N"/>
    <s v="N"/>
    <s v="N"/>
    <s v="N"/>
    <s v="N"/>
    <n v="62.4"/>
    <n v="100.03"/>
    <n v="160.72"/>
    <n v="44.62"/>
    <n v="5"/>
    <n v="63"/>
    <n v="19.660000000000025"/>
    <n v="25.43"/>
  </r>
  <r>
    <x v="23"/>
    <n v="0"/>
    <n v="29"/>
    <n v="374"/>
    <n v="46"/>
    <n v="1"/>
    <n v="27"/>
    <n v="1"/>
    <n v="169"/>
    <n v="26"/>
    <n v="2"/>
    <n v="0"/>
    <s v="Bears"/>
    <n v="0"/>
    <n v="34"/>
    <n v="93"/>
    <n v="17"/>
    <n v="0"/>
    <n v="9"/>
    <n v="1"/>
    <n v="224"/>
    <n v="31"/>
    <n v="2"/>
    <n v="0"/>
    <s v="L"/>
    <n v="0"/>
    <n v="99.75"/>
    <n v="134.88999999999999"/>
    <n v="162.34"/>
    <n v="22.680000000000007"/>
    <n v="0.35"/>
    <n v="0.65"/>
    <s v="N"/>
    <s v="N"/>
    <s v="N"/>
    <s v="N"/>
    <s v="N"/>
    <n v="98.09"/>
    <n v="125.52"/>
    <n v="125.11"/>
    <n v="26.89"/>
    <n v="5"/>
    <n v="63"/>
    <n v="19.660000000000025"/>
    <n v="25.43"/>
  </r>
  <r>
    <x v="8"/>
    <n v="0"/>
    <n v="10"/>
    <n v="170"/>
    <n v="42"/>
    <n v="1"/>
    <n v="16"/>
    <n v="1"/>
    <n v="104"/>
    <n v="17"/>
    <n v="0"/>
    <n v="0"/>
    <s v="Saints"/>
    <n v="0"/>
    <n v="23"/>
    <n v="326"/>
    <n v="44"/>
    <n v="1"/>
    <n v="31"/>
    <n v="2"/>
    <n v="177"/>
    <n v="34"/>
    <n v="1"/>
    <n v="0"/>
    <s v="L"/>
    <n v="0"/>
    <n v="56.58"/>
    <n v="99.39"/>
    <n v="141.93"/>
    <n v="74.81"/>
    <n v="0.56000000000000005"/>
    <n v="0.43999999999999995"/>
    <s v="N"/>
    <s v="N"/>
    <s v="N"/>
    <s v="N"/>
    <s v="N"/>
    <n v="62.19"/>
    <n v="116.16"/>
    <n v="101.12"/>
    <n v="76.760000000000005"/>
    <n v="13"/>
    <n v="33"/>
    <n v="27.29000000000002"/>
    <n v="47.64"/>
  </r>
  <r>
    <x v="1"/>
    <n v="0"/>
    <n v="23"/>
    <n v="326"/>
    <n v="44"/>
    <n v="1"/>
    <n v="31"/>
    <n v="2"/>
    <n v="177"/>
    <n v="34"/>
    <n v="1"/>
    <n v="0"/>
    <s v="Jaguars"/>
    <n v="0"/>
    <n v="10"/>
    <n v="170"/>
    <n v="42"/>
    <n v="1"/>
    <n v="16"/>
    <n v="1"/>
    <n v="104"/>
    <n v="17"/>
    <n v="0"/>
    <n v="0"/>
    <s v="W"/>
    <n v="0"/>
    <n v="100.61"/>
    <n v="143.42000000000002"/>
    <n v="125.19"/>
    <n v="58.069999999999993"/>
    <n v="0.71"/>
    <n v="0.29000000000000004"/>
    <s v="N"/>
    <s v="N"/>
    <s v="N"/>
    <s v="N"/>
    <s v="N"/>
    <n v="108.53"/>
    <n v="101.15"/>
    <n v="126.94"/>
    <n v="52.86"/>
    <n v="13"/>
    <n v="33"/>
    <n v="27.29000000000002"/>
    <n v="47.64"/>
  </r>
  <r>
    <x v="10"/>
    <n v="0"/>
    <n v="13"/>
    <n v="332"/>
    <n v="61"/>
    <n v="1"/>
    <n v="40"/>
    <n v="1"/>
    <n v="84"/>
    <n v="22"/>
    <n v="0"/>
    <n v="0"/>
    <s v="Titans"/>
    <n v="0"/>
    <n v="31"/>
    <n v="220"/>
    <n v="21"/>
    <n v="3"/>
    <n v="10"/>
    <n v="1"/>
    <n v="112"/>
    <n v="29"/>
    <n v="0"/>
    <n v="0"/>
    <s v="L"/>
    <n v="0"/>
    <n v="92.78"/>
    <n v="88.14"/>
    <n v="88.58"/>
    <n v="110.4"/>
    <n v="0.42"/>
    <n v="0.58000000000000007"/>
    <s v="N"/>
    <s v="N"/>
    <s v="N"/>
    <s v="N"/>
    <s v="N"/>
    <n v="88.49"/>
    <n v="86.56"/>
    <n v="100.6"/>
    <n v="75.42"/>
    <n v="18"/>
    <n v="44"/>
    <n v="20.099999999999966"/>
    <n v="89.55"/>
  </r>
  <r>
    <x v="9"/>
    <n v="0"/>
    <n v="31"/>
    <n v="220"/>
    <n v="21"/>
    <n v="3"/>
    <n v="10"/>
    <n v="1"/>
    <n v="112"/>
    <n v="29"/>
    <n v="0"/>
    <n v="0"/>
    <s v="Browns"/>
    <n v="0"/>
    <n v="13"/>
    <n v="332"/>
    <n v="61"/>
    <n v="1"/>
    <n v="40"/>
    <n v="1"/>
    <n v="84"/>
    <n v="22"/>
    <n v="0"/>
    <n v="0"/>
    <s v="W"/>
    <n v="0"/>
    <n v="111.86"/>
    <n v="107.22"/>
    <n v="89.6"/>
    <n v="111.42"/>
    <n v="0.73"/>
    <n v="0.27"/>
    <s v="N"/>
    <s v="N"/>
    <s v="N"/>
    <s v="N"/>
    <s v="N"/>
    <n v="123.58"/>
    <n v="90.03"/>
    <n v="101.9"/>
    <n v="83.69"/>
    <n v="18"/>
    <n v="44"/>
    <n v="20.099999999999966"/>
    <n v="89.55"/>
  </r>
  <r>
    <x v="11"/>
    <n v="0"/>
    <n v="23"/>
    <n v="287"/>
    <n v="36"/>
    <n v="1"/>
    <n v="18"/>
    <n v="2"/>
    <n v="171"/>
    <n v="32"/>
    <n v="1"/>
    <n v="0"/>
    <s v="Bills"/>
    <n v="0"/>
    <n v="20"/>
    <n v="190"/>
    <n v="34"/>
    <n v="0"/>
    <n v="20"/>
    <n v="0"/>
    <n v="83"/>
    <n v="21"/>
    <n v="1"/>
    <n v="0"/>
    <s v="W"/>
    <n v="0"/>
    <n v="80.95"/>
    <n v="110.72"/>
    <n v="128.66"/>
    <n v="101.16"/>
    <n v="0.62"/>
    <n v="0.38"/>
    <s v="N"/>
    <s v="N"/>
    <s v="N"/>
    <s v="N"/>
    <s v="N"/>
    <n v="83.94"/>
    <n v="115.02"/>
    <n v="100.58"/>
    <n v="133.71"/>
    <n v="3"/>
    <n v="43"/>
    <n v="21.490000000000009"/>
    <n v="13.96"/>
  </r>
  <r>
    <x v="7"/>
    <n v="0"/>
    <n v="20"/>
    <n v="190"/>
    <n v="34"/>
    <n v="0"/>
    <n v="20"/>
    <n v="0"/>
    <n v="83"/>
    <n v="21"/>
    <n v="1"/>
    <n v="0"/>
    <s v="Bengals"/>
    <n v="0"/>
    <n v="23"/>
    <n v="287"/>
    <n v="36"/>
    <n v="1"/>
    <n v="18"/>
    <n v="2"/>
    <n v="171"/>
    <n v="32"/>
    <n v="1"/>
    <n v="0"/>
    <s v="L"/>
    <n v="0"/>
    <n v="89.28"/>
    <n v="119.05"/>
    <n v="98.84"/>
    <n v="71.34"/>
    <n v="0.53"/>
    <n v="0.47"/>
    <s v="N"/>
    <s v="N"/>
    <s v="N"/>
    <s v="N"/>
    <s v="N"/>
    <n v="94.41"/>
    <n v="113.34"/>
    <n v="128.37"/>
    <n v="62.87"/>
    <n v="3"/>
    <n v="43"/>
    <n v="21.490000000000009"/>
    <n v="13.96"/>
  </r>
  <r>
    <x v="6"/>
    <n v="0"/>
    <n v="22"/>
    <n v="247"/>
    <n v="29"/>
    <n v="1"/>
    <n v="18"/>
    <n v="0"/>
    <n v="103"/>
    <n v="28"/>
    <n v="0"/>
    <n v="0"/>
    <s v="Vikings"/>
    <n v="0"/>
    <n v="17"/>
    <n v="190"/>
    <n v="30"/>
    <n v="2"/>
    <n v="18"/>
    <n v="1"/>
    <n v="151"/>
    <n v="30"/>
    <n v="0"/>
    <n v="0"/>
    <s v="W"/>
    <n v="0"/>
    <n v="113.66"/>
    <n v="105.48"/>
    <n v="85.34"/>
    <n v="83.23"/>
    <n v="0.5"/>
    <n v="0.5"/>
    <s v="N"/>
    <s v="N"/>
    <s v="N"/>
    <s v="N"/>
    <s v="N"/>
    <n v="103.38"/>
    <n v="88.6"/>
    <n v="100.33"/>
    <n v="106.32"/>
    <n v="5"/>
    <n v="39"/>
    <n v="12.289999999999992"/>
    <n v="40.68"/>
  </r>
  <r>
    <x v="19"/>
    <n v="0"/>
    <n v="17"/>
    <n v="190"/>
    <n v="30"/>
    <n v="2"/>
    <n v="18"/>
    <n v="1"/>
    <n v="151"/>
    <n v="30"/>
    <n v="0"/>
    <n v="0"/>
    <s v="Chiefs"/>
    <n v="0"/>
    <n v="22"/>
    <n v="247"/>
    <n v="29"/>
    <n v="1"/>
    <n v="18"/>
    <n v="0"/>
    <n v="103"/>
    <n v="28"/>
    <n v="0"/>
    <n v="0"/>
    <s v="L"/>
    <n v="0"/>
    <n v="94.52"/>
    <n v="86.34"/>
    <n v="116.77"/>
    <n v="114.66"/>
    <n v="0.51"/>
    <n v="0.49"/>
    <s v="N"/>
    <s v="N"/>
    <s v="N"/>
    <s v="N"/>
    <s v="N"/>
    <n v="102.5"/>
    <n v="78.790000000000006"/>
    <n v="116.25"/>
    <n v="106.9"/>
    <n v="5"/>
    <n v="39"/>
    <n v="12.289999999999992"/>
    <n v="40.68"/>
  </r>
  <r>
    <x v="13"/>
    <n v="0"/>
    <n v="23"/>
    <n v="405"/>
    <n v="46"/>
    <n v="2"/>
    <n v="30"/>
    <n v="1"/>
    <n v="108"/>
    <n v="20"/>
    <n v="0"/>
    <n v="2"/>
    <s v="49ers"/>
    <n v="0"/>
    <n v="24"/>
    <n v="278"/>
    <n v="33"/>
    <n v="2"/>
    <n v="21"/>
    <n v="0"/>
    <n v="164"/>
    <n v="25"/>
    <n v="1"/>
    <n v="1"/>
    <s v="L"/>
    <n v="0"/>
    <n v="113.2"/>
    <n v="81.36"/>
    <n v="95.28"/>
    <n v="53.81"/>
    <n v="0.56999999999999995"/>
    <n v="0.43000000000000005"/>
    <s v="N"/>
    <s v="N"/>
    <s v="N"/>
    <s v="N"/>
    <s v="N"/>
    <n v="129.13999999999999"/>
    <n v="84.74"/>
    <n v="124.12"/>
    <n v="55.57"/>
    <n v="1"/>
    <n v="47"/>
    <n v="56.349999999999966"/>
    <n v="1.77"/>
  </r>
  <r>
    <x v="24"/>
    <n v="0"/>
    <n v="24"/>
    <n v="278"/>
    <n v="33"/>
    <n v="2"/>
    <n v="21"/>
    <n v="0"/>
    <n v="164"/>
    <n v="25"/>
    <n v="1"/>
    <n v="1"/>
    <s v="Eagles"/>
    <n v="0"/>
    <n v="23"/>
    <n v="405"/>
    <n v="46"/>
    <n v="2"/>
    <n v="30"/>
    <n v="1"/>
    <n v="108"/>
    <n v="20"/>
    <n v="0"/>
    <n v="2"/>
    <s v="W"/>
    <n v="0"/>
    <n v="118.64"/>
    <n v="86.8"/>
    <n v="146.19"/>
    <n v="104.72"/>
    <n v="0.7"/>
    <n v="0.30000000000000004"/>
    <s v="N"/>
    <s v="N"/>
    <s v="N"/>
    <s v="N"/>
    <s v="N"/>
    <n v="117.77"/>
    <n v="79.7"/>
    <n v="119.46"/>
    <n v="136.59"/>
    <n v="1"/>
    <n v="47"/>
    <n v="56.349999999999966"/>
    <n v="1.77"/>
  </r>
  <r>
    <x v="12"/>
    <n v="0"/>
    <n v="10"/>
    <n v="127"/>
    <n v="43"/>
    <n v="1"/>
    <n v="20"/>
    <n v="0"/>
    <n v="45"/>
    <n v="17"/>
    <n v="0"/>
    <n v="1"/>
    <s v="Redskins"/>
    <n v="0"/>
    <n v="17"/>
    <n v="143"/>
    <n v="29"/>
    <n v="1"/>
    <n v="15"/>
    <n v="2"/>
    <n v="196"/>
    <n v="40"/>
    <n v="1"/>
    <n v="0"/>
    <s v="L"/>
    <n v="0"/>
    <n v="66.099999999999994"/>
    <n v="136.92000000000002"/>
    <n v="43.76"/>
    <n v="82.57"/>
    <n v="0.42"/>
    <n v="0.58000000000000007"/>
    <s v="N"/>
    <s v="N"/>
    <s v="N"/>
    <s v="N"/>
    <s v="N"/>
    <n v="70.040000000000006"/>
    <n v="113.01"/>
    <n v="42.4"/>
    <n v="69.33"/>
    <n v="7"/>
    <n v="27"/>
    <n v="70.650000000000006"/>
    <n v="9.91"/>
  </r>
  <r>
    <x v="20"/>
    <n v="0"/>
    <n v="17"/>
    <n v="143"/>
    <n v="29"/>
    <n v="1"/>
    <n v="15"/>
    <n v="2"/>
    <n v="196"/>
    <n v="40"/>
    <n v="1"/>
    <n v="0"/>
    <s v="Rams"/>
    <n v="0"/>
    <n v="10"/>
    <n v="127"/>
    <n v="43"/>
    <n v="1"/>
    <n v="20"/>
    <n v="0"/>
    <n v="45"/>
    <n v="17"/>
    <n v="0"/>
    <n v="1"/>
    <s v="W"/>
    <n v="0"/>
    <n v="63.08"/>
    <n v="133.9"/>
    <n v="117.43"/>
    <n v="156.24"/>
    <n v="0.72"/>
    <n v="0.28000000000000003"/>
    <s v="N"/>
    <s v="N"/>
    <s v="N"/>
    <s v="N"/>
    <s v="N"/>
    <n v="64.680000000000007"/>
    <n v="107.04"/>
    <n v="83.59"/>
    <n v="127.21"/>
    <n v="7"/>
    <n v="27"/>
    <n v="70.649999999999977"/>
    <n v="9.91"/>
  </r>
  <r>
    <x v="4"/>
    <n v="0"/>
    <n v="17"/>
    <n v="138"/>
    <n v="21"/>
    <n v="1"/>
    <n v="14"/>
    <n v="0"/>
    <n v="180"/>
    <n v="35"/>
    <n v="1"/>
    <n v="0"/>
    <s v="Steelers"/>
    <n v="0"/>
    <n v="10"/>
    <n v="178"/>
    <n v="30"/>
    <n v="0"/>
    <n v="16"/>
    <n v="1"/>
    <n v="118"/>
    <n v="22"/>
    <n v="1"/>
    <n v="0"/>
    <s v="W"/>
    <n v="0"/>
    <n v="109.62"/>
    <n v="124.33"/>
    <n v="123.6"/>
    <n v="68.75"/>
    <n v="0.57999999999999996"/>
    <n v="0.42000000000000004"/>
    <s v="N"/>
    <s v="N"/>
    <s v="N"/>
    <s v="N"/>
    <s v="N"/>
    <n v="120.97"/>
    <n v="132.01"/>
    <n v="113.51"/>
    <n v="61.33"/>
    <n v="7"/>
    <n v="27"/>
    <n v="26.299999999999983"/>
    <n v="26.62"/>
  </r>
  <r>
    <x v="15"/>
    <n v="0"/>
    <n v="10"/>
    <n v="178"/>
    <n v="30"/>
    <n v="0"/>
    <n v="16"/>
    <n v="1"/>
    <n v="118"/>
    <n v="22"/>
    <n v="1"/>
    <n v="0"/>
    <s v="Texans"/>
    <n v="0"/>
    <n v="17"/>
    <n v="138"/>
    <n v="21"/>
    <n v="1"/>
    <n v="14"/>
    <n v="0"/>
    <n v="180"/>
    <n v="35"/>
    <n v="1"/>
    <n v="0"/>
    <s v="L"/>
    <n v="0"/>
    <n v="75.67"/>
    <n v="90.38"/>
    <n v="131.25"/>
    <n v="76.400000000000006"/>
    <n v="0.38"/>
    <n v="0.62"/>
    <s v="N"/>
    <s v="N"/>
    <s v="N"/>
    <s v="N"/>
    <s v="N"/>
    <n v="91.09"/>
    <n v="100.67"/>
    <n v="133.09"/>
    <n v="73.72"/>
    <n v="7"/>
    <n v="27"/>
    <n v="26.299999999999983"/>
    <n v="26.62"/>
  </r>
  <r>
    <x v="25"/>
    <n v="0"/>
    <n v="28"/>
    <n v="319"/>
    <n v="38"/>
    <n v="3"/>
    <n v="25"/>
    <n v="2"/>
    <n v="53"/>
    <n v="15"/>
    <n v="1"/>
    <n v="0"/>
    <s v="Falcons"/>
    <n v="0"/>
    <n v="30"/>
    <n v="291"/>
    <n v="42"/>
    <n v="1"/>
    <n v="28"/>
    <n v="0"/>
    <n v="121"/>
    <n v="36"/>
    <n v="2"/>
    <n v="0"/>
    <s v="L"/>
    <n v="0"/>
    <n v="107.59"/>
    <n v="92"/>
    <n v="91.97"/>
    <n v="113.69"/>
    <n v="0.54"/>
    <n v="0.45999999999999996"/>
    <s v="N"/>
    <s v="N"/>
    <s v="N"/>
    <s v="N"/>
    <s v="N"/>
    <n v="108.08"/>
    <n v="83.53"/>
    <n v="101.03"/>
    <n v="102.24"/>
    <n v="2"/>
    <n v="58"/>
    <n v="5.25"/>
    <n v="38.1"/>
  </r>
  <r>
    <x v="3"/>
    <n v="0"/>
    <n v="30"/>
    <n v="291"/>
    <n v="42"/>
    <n v="1"/>
    <n v="28"/>
    <n v="0"/>
    <n v="121"/>
    <n v="36"/>
    <n v="2"/>
    <n v="0"/>
    <s v="Seahawks"/>
    <n v="0"/>
    <n v="28"/>
    <n v="319"/>
    <n v="38"/>
    <n v="3"/>
    <n v="25"/>
    <n v="2"/>
    <n v="53"/>
    <n v="15"/>
    <n v="1"/>
    <n v="0"/>
    <s v="W"/>
    <n v="0"/>
    <n v="108"/>
    <n v="92.41"/>
    <n v="86.31"/>
    <n v="108.03"/>
    <n v="0.72"/>
    <n v="0.28000000000000003"/>
    <s v="N"/>
    <s v="N"/>
    <s v="N"/>
    <s v="N"/>
    <s v="N"/>
    <n v="105.93"/>
    <n v="76.63"/>
    <n v="110.67"/>
    <n v="88.99"/>
    <n v="2"/>
    <n v="58"/>
    <n v="5.25"/>
    <n v="38.1"/>
  </r>
  <r>
    <x v="22"/>
    <n v="0"/>
    <n v="27"/>
    <n v="212"/>
    <n v="34"/>
    <n v="0"/>
    <n v="20"/>
    <n v="1"/>
    <n v="156"/>
    <n v="32"/>
    <n v="3"/>
    <n v="1"/>
    <s v="Giants"/>
    <n v="0"/>
    <n v="31"/>
    <n v="306"/>
    <n v="40"/>
    <n v="2"/>
    <n v="27"/>
    <n v="0"/>
    <n v="54"/>
    <n v="24"/>
    <n v="2"/>
    <n v="2"/>
    <s v="L"/>
    <n v="0"/>
    <n v="83.98"/>
    <n v="83.31"/>
    <n v="117.79"/>
    <n v="160.30000000000001"/>
    <n v="0.63"/>
    <n v="0.37"/>
    <s v="N"/>
    <s v="N"/>
    <s v="N"/>
    <s v="N"/>
    <s v="N"/>
    <n v="90.05"/>
    <n v="93.87"/>
    <n v="120.09"/>
    <n v="120.87"/>
    <n v="4"/>
    <n v="58"/>
    <n v="45.380000000000024"/>
    <n v="8.81"/>
  </r>
  <r>
    <x v="21"/>
    <n v="0"/>
    <n v="31"/>
    <n v="306"/>
    <n v="40"/>
    <n v="2"/>
    <n v="27"/>
    <n v="0"/>
    <n v="54"/>
    <n v="24"/>
    <n v="2"/>
    <n v="2"/>
    <s v="Cardinals"/>
    <n v="0"/>
    <n v="27"/>
    <n v="212"/>
    <n v="34"/>
    <n v="0"/>
    <n v="20"/>
    <n v="1"/>
    <n v="156"/>
    <n v="32"/>
    <n v="3"/>
    <n v="1"/>
    <s v="W"/>
    <n v="0"/>
    <n v="116.69"/>
    <n v="116.02"/>
    <n v="39.700000000000003"/>
    <n v="82.21"/>
    <n v="0.52"/>
    <n v="0.48"/>
    <s v="N"/>
    <s v="N"/>
    <s v="N"/>
    <s v="N"/>
    <s v="N"/>
    <n v="113.27"/>
    <n v="106.89"/>
    <n v="45.42"/>
    <n v="79.099999999999994"/>
    <n v="4"/>
    <n v="58"/>
    <n v="45.380000000000024"/>
    <n v="8.81"/>
  </r>
  <r>
    <x v="0"/>
    <n v="0"/>
    <n v="49"/>
    <n v="396"/>
    <n v="39"/>
    <n v="4"/>
    <n v="29"/>
    <n v="2"/>
    <n v="111"/>
    <n v="28"/>
    <n v="2"/>
    <n v="0"/>
    <s v="Broncos"/>
    <n v="0"/>
    <n v="23"/>
    <n v="265"/>
    <n v="33"/>
    <n v="3"/>
    <n v="22"/>
    <n v="3"/>
    <n v="119"/>
    <n v="23"/>
    <n v="0"/>
    <n v="1"/>
    <s v="W"/>
    <n v="0"/>
    <n v="129.69999999999999"/>
    <n v="103.2"/>
    <n v="102.69"/>
    <n v="93.01"/>
    <n v="0.59"/>
    <n v="0.41000000000000003"/>
    <s v="N"/>
    <s v="N"/>
    <s v="N"/>
    <s v="N"/>
    <s v="N"/>
    <n v="116.94"/>
    <n v="88.89"/>
    <n v="123.92"/>
    <n v="93.66"/>
    <n v="26"/>
    <n v="72"/>
    <n v="28.599999999999994"/>
    <n v="90.91"/>
  </r>
  <r>
    <x v="30"/>
    <n v="0"/>
    <n v="23"/>
    <n v="265"/>
    <n v="33"/>
    <n v="3"/>
    <n v="22"/>
    <n v="3"/>
    <n v="119"/>
    <n v="23"/>
    <n v="0"/>
    <n v="1"/>
    <s v="Packers"/>
    <n v="0"/>
    <n v="49"/>
    <n v="396"/>
    <n v="39"/>
    <n v="4"/>
    <n v="29"/>
    <n v="2"/>
    <n v="111"/>
    <n v="28"/>
    <n v="2"/>
    <n v="0"/>
    <s v="L"/>
    <n v="0"/>
    <n v="96.8"/>
    <n v="70.300000000000011"/>
    <n v="106.99"/>
    <n v="97.31"/>
    <n v="0.57999999999999996"/>
    <n v="0.42000000000000004"/>
    <s v="N"/>
    <s v="N"/>
    <s v="N"/>
    <s v="N"/>
    <s v="N"/>
    <n v="106.59"/>
    <n v="91.81"/>
    <n v="99.4"/>
    <n v="84.86"/>
    <n v="26"/>
    <n v="72"/>
    <n v="28.599999999999994"/>
    <n v="90.91"/>
  </r>
  <r>
    <x v="31"/>
    <n v="0"/>
    <n v="19"/>
    <n v="344"/>
    <n v="39"/>
    <n v="1"/>
    <n v="25"/>
    <n v="2"/>
    <n v="160"/>
    <n v="27"/>
    <n v="1"/>
    <n v="0"/>
    <s v="Patriots"/>
    <n v="0"/>
    <n v="31"/>
    <n v="226"/>
    <n v="30"/>
    <n v="2"/>
    <n v="16"/>
    <n v="0"/>
    <n v="183"/>
    <n v="30"/>
    <n v="2"/>
    <n v="0"/>
    <s v="L"/>
    <n v="0"/>
    <n v="100.64"/>
    <n v="95.61"/>
    <n v="143.04"/>
    <n v="48.47999999999999"/>
    <n v="0.5"/>
    <n v="0.5"/>
    <s v="N"/>
    <s v="N"/>
    <s v="N"/>
    <s v="N"/>
    <s v="N"/>
    <n v="94.02"/>
    <n v="110.25"/>
    <n v="143.69"/>
    <n v="51.61"/>
    <n v="12"/>
    <n v="50"/>
    <n v="12.230000000000018"/>
    <n v="98.12"/>
  </r>
  <r>
    <x v="29"/>
    <n v="0"/>
    <n v="31"/>
    <n v="226"/>
    <n v="30"/>
    <n v="2"/>
    <n v="16"/>
    <n v="0"/>
    <n v="183"/>
    <n v="30"/>
    <n v="2"/>
    <n v="0"/>
    <s v="Raiders"/>
    <n v="0"/>
    <n v="19"/>
    <n v="344"/>
    <n v="39"/>
    <n v="1"/>
    <n v="25"/>
    <n v="2"/>
    <n v="160"/>
    <n v="27"/>
    <n v="1"/>
    <n v="0"/>
    <s v="W"/>
    <n v="0"/>
    <n v="104.39"/>
    <n v="99.36"/>
    <n v="151.52000000000001"/>
    <n v="56.960000000000008"/>
    <n v="0.59"/>
    <n v="0.41000000000000003"/>
    <s v="N"/>
    <s v="N"/>
    <s v="N"/>
    <s v="N"/>
    <s v="N"/>
    <n v="118.2"/>
    <n v="86.44"/>
    <n v="131.51"/>
    <n v="70.23"/>
    <n v="12"/>
    <n v="50"/>
    <n v="12.230000000000018"/>
    <n v="98.12"/>
  </r>
  <r>
    <x v="18"/>
    <n v="0"/>
    <n v="26"/>
    <n v="295"/>
    <n v="31"/>
    <n v="1"/>
    <n v="21"/>
    <n v="0"/>
    <n v="116"/>
    <n v="28"/>
    <n v="1"/>
    <n v="0"/>
    <s v="Dolphins"/>
    <n v="0"/>
    <n v="16"/>
    <n v="176"/>
    <n v="30"/>
    <n v="0"/>
    <n v="20"/>
    <n v="2"/>
    <n v="72"/>
    <n v="22"/>
    <n v="1"/>
    <n v="0"/>
    <s v="W"/>
    <n v="0"/>
    <n v="124.44"/>
    <n v="121.36"/>
    <n v="101.47"/>
    <n v="117.25"/>
    <n v="0.57999999999999996"/>
    <n v="0.42000000000000004"/>
    <s v="N"/>
    <s v="N"/>
    <s v="N"/>
    <s v="N"/>
    <s v="N"/>
    <n v="115.31"/>
    <n v="103.04"/>
    <n v="106.94"/>
    <n v="108.36"/>
    <n v="10"/>
    <n v="42"/>
    <n v="64.52000000000001"/>
    <n v="15.5"/>
  </r>
  <r>
    <x v="28"/>
    <n v="0"/>
    <n v="16"/>
    <n v="176"/>
    <n v="30"/>
    <n v="0"/>
    <n v="20"/>
    <n v="2"/>
    <n v="72"/>
    <n v="22"/>
    <n v="1"/>
    <n v="0"/>
    <s v="Chargers"/>
    <n v="0"/>
    <n v="26"/>
    <n v="295"/>
    <n v="31"/>
    <n v="1"/>
    <n v="21"/>
    <n v="0"/>
    <n v="116"/>
    <n v="28"/>
    <n v="1"/>
    <n v="0"/>
    <s v="L"/>
    <n v="0"/>
    <n v="78.64"/>
    <n v="75.56"/>
    <n v="82.75"/>
    <n v="98.53"/>
    <n v="0.53"/>
    <n v="0.47"/>
    <s v="N"/>
    <s v="N"/>
    <s v="N"/>
    <s v="N"/>
    <s v="N"/>
    <n v="88.03"/>
    <n v="73.849999999999994"/>
    <n v="73.239999999999995"/>
    <n v="90.71"/>
    <n v="10"/>
    <n v="42"/>
    <n v="64.52000000000001"/>
    <n v="15.5"/>
  </r>
  <r>
    <x v="14"/>
    <n v="0"/>
    <n v="34"/>
    <n v="155"/>
    <n v="31"/>
    <n v="0"/>
    <n v="10"/>
    <n v="1"/>
    <n v="112"/>
    <n v="40"/>
    <n v="1"/>
    <n v="2"/>
    <s v="Jets"/>
    <n v="0"/>
    <n v="17"/>
    <n v="112"/>
    <n v="35"/>
    <n v="0"/>
    <n v="11"/>
    <n v="1"/>
    <n v="38"/>
    <n v="19"/>
    <n v="0"/>
    <n v="3"/>
    <s v="W"/>
    <n v="0"/>
    <n v="49.83"/>
    <n v="159.69999999999999"/>
    <n v="53.71"/>
    <n v="200.97"/>
    <n v="0.65"/>
    <n v="0.35"/>
    <s v="N"/>
    <s v="N"/>
    <s v="N"/>
    <s v="N"/>
    <s v="N"/>
    <n v="62.82"/>
    <n v="145.72"/>
    <n v="55.24"/>
    <n v="142.36000000000001"/>
    <n v="17"/>
    <n v="51"/>
    <n v="64.209999999999951"/>
    <n v="26.48"/>
  </r>
  <r>
    <x v="26"/>
    <n v="0"/>
    <n v="17"/>
    <n v="112"/>
    <n v="35"/>
    <n v="0"/>
    <n v="11"/>
    <n v="1"/>
    <n v="38"/>
    <n v="19"/>
    <n v="0"/>
    <n v="3"/>
    <s v="Ravens"/>
    <n v="0"/>
    <n v="34"/>
    <n v="155"/>
    <n v="31"/>
    <n v="0"/>
    <n v="10"/>
    <n v="1"/>
    <n v="112"/>
    <n v="40"/>
    <n v="1"/>
    <n v="2"/>
    <s v="L"/>
    <n v="0"/>
    <n v="40.299999999999997"/>
    <n v="150.17000000000002"/>
    <n v="-0.97"/>
    <n v="146.29"/>
    <n v="0.44"/>
    <n v="0.56000000000000005"/>
    <s v="N"/>
    <s v="N"/>
    <s v="N"/>
    <s v="N"/>
    <s v="N"/>
    <n v="50.67"/>
    <n v="126.26"/>
    <n v="-1.42"/>
    <n v="133.21"/>
    <n v="17"/>
    <n v="51"/>
    <n v="64.209999999999965"/>
    <n v="26.48"/>
  </r>
  <r>
    <x v="16"/>
    <n v="0"/>
    <n v="24"/>
    <n v="274"/>
    <n v="39"/>
    <n v="1"/>
    <n v="25"/>
    <n v="0"/>
    <n v="192"/>
    <n v="36"/>
    <n v="2"/>
    <n v="0"/>
    <s v="Colts"/>
    <n v="0"/>
    <n v="17"/>
    <n v="256"/>
    <n v="30"/>
    <n v="2"/>
    <n v="13"/>
    <n v="0"/>
    <n v="62"/>
    <n v="18"/>
    <n v="0"/>
    <n v="1"/>
    <s v="W"/>
    <n v="0"/>
    <n v="106.24"/>
    <n v="100.16"/>
    <n v="132.07"/>
    <n v="136.76"/>
    <n v="0.63"/>
    <n v="0.37"/>
    <s v="N"/>
    <s v="N"/>
    <s v="N"/>
    <s v="N"/>
    <s v="N"/>
    <n v="82.77"/>
    <n v="86.12"/>
    <n v="136.11000000000001"/>
    <n v="115.05"/>
    <n v="7"/>
    <n v="41"/>
    <n v="75.22999999999999"/>
    <n v="9.3000000000000007"/>
  </r>
  <r>
    <x v="5"/>
    <n v="0"/>
    <n v="17"/>
    <n v="256"/>
    <n v="30"/>
    <n v="2"/>
    <n v="13"/>
    <n v="0"/>
    <n v="62"/>
    <n v="18"/>
    <n v="0"/>
    <n v="1"/>
    <s v="Buccaneers"/>
    <n v="0"/>
    <n v="24"/>
    <n v="274"/>
    <n v="39"/>
    <n v="1"/>
    <n v="25"/>
    <n v="0"/>
    <n v="192"/>
    <n v="36"/>
    <n v="2"/>
    <n v="0"/>
    <s v="L"/>
    <n v="0"/>
    <n v="99.84"/>
    <n v="93.76"/>
    <n v="63.24"/>
    <n v="67.930000000000007"/>
    <n v="0.52"/>
    <n v="0.48"/>
    <s v="N"/>
    <s v="N"/>
    <s v="N"/>
    <s v="N"/>
    <s v="N"/>
    <n v="97.34"/>
    <n v="82.45"/>
    <n v="69.709999999999994"/>
    <n v="67.83"/>
    <n v="7"/>
    <n v="41"/>
    <n v="75.22999999999999"/>
    <n v="9.3000000000000007"/>
  </r>
  <r>
    <x v="23"/>
    <n v="0"/>
    <n v="27"/>
    <n v="219"/>
    <n v="31"/>
    <n v="2"/>
    <n v="16"/>
    <n v="1"/>
    <n v="162"/>
    <n v="22"/>
    <n v="2"/>
    <n v="0"/>
    <s v="Saints"/>
    <n v="0"/>
    <n v="30"/>
    <n v="343"/>
    <n v="45"/>
    <n v="2"/>
    <n v="32"/>
    <n v="1"/>
    <n v="101"/>
    <n v="28"/>
    <n v="1"/>
    <n v="0"/>
    <s v="L"/>
    <n v="0"/>
    <n v="90.11"/>
    <n v="87.35"/>
    <n v="184.47"/>
    <n v="110.96"/>
    <n v="0.62"/>
    <n v="0.38"/>
    <s v="N"/>
    <s v="N"/>
    <s v="N"/>
    <s v="N"/>
    <s v="N"/>
    <n v="99.04"/>
    <n v="102.09"/>
    <n v="131.43"/>
    <n v="113.85"/>
    <n v="3"/>
    <n v="57"/>
    <n v="72.889999999999986"/>
    <n v="4.12"/>
  </r>
  <r>
    <x v="1"/>
    <n v="0"/>
    <n v="30"/>
    <n v="343"/>
    <n v="45"/>
    <n v="2"/>
    <n v="32"/>
    <n v="1"/>
    <n v="101"/>
    <n v="28"/>
    <n v="1"/>
    <n v="0"/>
    <s v="Panthers"/>
    <n v="0"/>
    <n v="27"/>
    <n v="219"/>
    <n v="31"/>
    <n v="2"/>
    <n v="16"/>
    <n v="1"/>
    <n v="162"/>
    <n v="22"/>
    <n v="2"/>
    <n v="0"/>
    <s v="W"/>
    <n v="0"/>
    <n v="112.65"/>
    <n v="109.89"/>
    <n v="89.04"/>
    <n v="15.530000000000001"/>
    <n v="0.57999999999999996"/>
    <n v="0.42000000000000004"/>
    <s v="N"/>
    <s v="N"/>
    <s v="N"/>
    <s v="N"/>
    <s v="N"/>
    <n v="107.95"/>
    <n v="109.65"/>
    <n v="80.7"/>
    <n v="18.399999999999999"/>
    <n v="3"/>
    <n v="57"/>
    <n v="72.889999999999986"/>
    <n v="4.12"/>
  </r>
  <r>
    <x v="7"/>
    <n v="0"/>
    <n v="31"/>
    <n v="188"/>
    <n v="27"/>
    <n v="1"/>
    <n v="21"/>
    <n v="1"/>
    <n v="143"/>
    <n v="35"/>
    <n v="2"/>
    <n v="0"/>
    <s v="Eagles"/>
    <n v="0"/>
    <n v="24"/>
    <n v="315"/>
    <n v="40"/>
    <n v="2"/>
    <n v="26"/>
    <n v="4"/>
    <n v="174"/>
    <n v="20"/>
    <n v="1"/>
    <n v="1"/>
    <s v="W"/>
    <n v="0"/>
    <n v="110.17"/>
    <n v="114.58"/>
    <n v="103.36"/>
    <n v="5.6599999999999966"/>
    <n v="0.67"/>
    <n v="0.32999999999999996"/>
    <s v="N"/>
    <s v="N"/>
    <s v="N"/>
    <s v="N"/>
    <s v="N"/>
    <n v="109.36"/>
    <n v="105.2"/>
    <n v="84.46"/>
    <n v="7.38"/>
    <n v="7"/>
    <n v="55"/>
    <n v="66.22999999999999"/>
    <n v="10.57"/>
  </r>
  <r>
    <x v="13"/>
    <n v="0"/>
    <n v="24"/>
    <n v="315"/>
    <n v="40"/>
    <n v="2"/>
    <n v="26"/>
    <n v="4"/>
    <n v="174"/>
    <n v="20"/>
    <n v="1"/>
    <n v="1"/>
    <s v="Bills"/>
    <n v="0"/>
    <n v="31"/>
    <n v="188"/>
    <n v="27"/>
    <n v="1"/>
    <n v="21"/>
    <n v="1"/>
    <n v="143"/>
    <n v="35"/>
    <n v="2"/>
    <n v="0"/>
    <s v="L"/>
    <n v="0"/>
    <n v="85.42"/>
    <n v="89.83"/>
    <n v="194.34"/>
    <n v="96.64"/>
    <n v="0.44"/>
    <n v="0.56000000000000005"/>
    <s v="N"/>
    <s v="N"/>
    <s v="N"/>
    <s v="N"/>
    <s v="N"/>
    <n v="88.58"/>
    <n v="93.32"/>
    <n v="151.91999999999999"/>
    <n v="127.74"/>
    <n v="7"/>
    <n v="55"/>
    <n v="66.22999999999999"/>
    <n v="10.57"/>
  </r>
  <r>
    <x v="21"/>
    <n v="0"/>
    <n v="25"/>
    <n v="395"/>
    <n v="39"/>
    <n v="3"/>
    <n v="24"/>
    <n v="3"/>
    <n v="69"/>
    <n v="25"/>
    <n v="0"/>
    <n v="2"/>
    <s v="Seahawks"/>
    <n v="0"/>
    <n v="36"/>
    <n v="279"/>
    <n v="41"/>
    <n v="2"/>
    <n v="26"/>
    <n v="1"/>
    <n v="145"/>
    <n v="29"/>
    <n v="1"/>
    <n v="2"/>
    <s v="L"/>
    <n v="0"/>
    <n v="105.2"/>
    <n v="99.5"/>
    <n v="40.03"/>
    <n v="99.52"/>
    <n v="0.59"/>
    <n v="0.41000000000000003"/>
    <s v="N"/>
    <s v="N"/>
    <s v="N"/>
    <s v="N"/>
    <s v="N"/>
    <n v="103.18"/>
    <n v="82.51"/>
    <n v="51.33"/>
    <n v="81.98"/>
    <n v="11"/>
    <n v="61"/>
    <n v="55.75"/>
    <n v="19.73"/>
  </r>
  <r>
    <x v="25"/>
    <n v="0"/>
    <n v="36"/>
    <n v="279"/>
    <n v="41"/>
    <n v="2"/>
    <n v="26"/>
    <n v="1"/>
    <n v="145"/>
    <n v="29"/>
    <n v="1"/>
    <n v="2"/>
    <s v="Giants"/>
    <n v="0"/>
    <n v="25"/>
    <n v="395"/>
    <n v="39"/>
    <n v="3"/>
    <n v="24"/>
    <n v="3"/>
    <n v="69"/>
    <n v="25"/>
    <n v="0"/>
    <n v="2"/>
    <s v="W"/>
    <n v="0"/>
    <n v="100.5"/>
    <n v="94.8"/>
    <n v="100.48"/>
    <n v="159.97"/>
    <n v="0.61"/>
    <n v="0.39"/>
    <s v="N"/>
    <s v="N"/>
    <s v="N"/>
    <s v="N"/>
    <s v="N"/>
    <n v="107.77"/>
    <n v="106.81"/>
    <n v="102.44"/>
    <n v="120.62"/>
    <n v="11"/>
    <n v="61"/>
    <n v="55.75"/>
    <n v="19.73"/>
  </r>
  <r>
    <x v="8"/>
    <n v="0"/>
    <n v="20"/>
    <n v="200"/>
    <n v="28"/>
    <n v="1"/>
    <n v="15"/>
    <n v="0"/>
    <n v="96"/>
    <n v="27"/>
    <n v="1"/>
    <n v="2"/>
    <s v="Bengals"/>
    <n v="0"/>
    <n v="30"/>
    <n v="162"/>
    <n v="33"/>
    <n v="2"/>
    <n v="21"/>
    <n v="1"/>
    <n v="77"/>
    <n v="31"/>
    <n v="1"/>
    <n v="0"/>
    <s v="L"/>
    <n v="0"/>
    <n v="97.86"/>
    <n v="109.61"/>
    <n v="65.819999999999993"/>
    <n v="137.54"/>
    <n v="0.52"/>
    <n v="0.48"/>
    <s v="N"/>
    <s v="N"/>
    <s v="N"/>
    <s v="N"/>
    <s v="N"/>
    <n v="103.49"/>
    <n v="104.35"/>
    <n v="85.49"/>
    <n v="121.2"/>
    <n v="10"/>
    <n v="50"/>
    <n v="10.829999999999984"/>
    <n v="92.34"/>
  </r>
  <r>
    <x v="11"/>
    <n v="0"/>
    <n v="30"/>
    <n v="162"/>
    <n v="33"/>
    <n v="2"/>
    <n v="21"/>
    <n v="1"/>
    <n v="77"/>
    <n v="31"/>
    <n v="1"/>
    <n v="0"/>
    <s v="Jaguars"/>
    <n v="0"/>
    <n v="20"/>
    <n v="200"/>
    <n v="28"/>
    <n v="1"/>
    <n v="15"/>
    <n v="0"/>
    <n v="96"/>
    <n v="27"/>
    <n v="1"/>
    <n v="2"/>
    <s v="W"/>
    <n v="0"/>
    <n v="90.39"/>
    <n v="102.14"/>
    <n v="62.46"/>
    <n v="134.18"/>
    <n v="0.51"/>
    <n v="0.49"/>
    <s v="N"/>
    <s v="N"/>
    <s v="N"/>
    <s v="N"/>
    <s v="N"/>
    <n v="97.5"/>
    <n v="72.03"/>
    <n v="63.33"/>
    <n v="122.15"/>
    <n v="10"/>
    <n v="50"/>
    <n v="10.830000000000013"/>
    <n v="92.34"/>
  </r>
  <r>
    <x v="5"/>
    <n v="0"/>
    <n v="24"/>
    <n v="277"/>
    <n v="27"/>
    <n v="2"/>
    <n v="15"/>
    <n v="0"/>
    <n v="78"/>
    <n v="27"/>
    <n v="1"/>
    <n v="0"/>
    <s v="Chiefs"/>
    <n v="0"/>
    <n v="28"/>
    <n v="242"/>
    <n v="29"/>
    <n v="4"/>
    <n v="21"/>
    <n v="0"/>
    <n v="194"/>
    <n v="38"/>
    <n v="0"/>
    <n v="0"/>
    <s v="L"/>
    <n v="0"/>
    <n v="122.58"/>
    <n v="61.419999999999987"/>
    <n v="72.58"/>
    <n v="81.56"/>
    <n v="0.43"/>
    <n v="0.57000000000000006"/>
    <s v="N"/>
    <s v="N"/>
    <s v="N"/>
    <s v="N"/>
    <s v="N"/>
    <n v="132.93"/>
    <n v="56.05"/>
    <n v="72.260000000000005"/>
    <n v="76.040000000000006"/>
    <n v="4"/>
    <n v="52"/>
    <n v="61.859999999999985"/>
    <n v="6.47"/>
  </r>
  <r>
    <x v="6"/>
    <n v="0"/>
    <n v="28"/>
    <n v="242"/>
    <n v="29"/>
    <n v="4"/>
    <n v="21"/>
    <n v="0"/>
    <n v="194"/>
    <n v="38"/>
    <n v="0"/>
    <n v="0"/>
    <s v="Colts"/>
    <n v="0"/>
    <n v="24"/>
    <n v="277"/>
    <n v="27"/>
    <n v="2"/>
    <n v="15"/>
    <n v="0"/>
    <n v="78"/>
    <n v="27"/>
    <n v="1"/>
    <n v="0"/>
    <s v="W"/>
    <n v="0"/>
    <n v="138.58000000000001"/>
    <n v="77.42"/>
    <n v="118.44"/>
    <n v="127.42"/>
    <n v="0.5"/>
    <n v="0.5"/>
    <s v="N"/>
    <s v="N"/>
    <s v="N"/>
    <s v="N"/>
    <s v="N"/>
    <n v="107.96"/>
    <n v="66.569999999999993"/>
    <n v="122.06"/>
    <n v="107.19"/>
    <n v="4"/>
    <n v="52"/>
    <n v="61.859999999999985"/>
    <n v="6.47"/>
  </r>
  <r>
    <x v="15"/>
    <n v="0"/>
    <n v="38"/>
    <n v="257"/>
    <n v="35"/>
    <n v="5"/>
    <n v="25"/>
    <n v="1"/>
    <n v="174"/>
    <n v="28"/>
    <n v="0"/>
    <n v="1"/>
    <s v="Titans"/>
    <n v="0"/>
    <n v="17"/>
    <n v="240"/>
    <n v="49"/>
    <n v="1"/>
    <n v="29"/>
    <n v="1"/>
    <n v="66"/>
    <n v="18"/>
    <n v="1"/>
    <n v="0"/>
    <s v="W"/>
    <n v="0"/>
    <n v="124.3"/>
    <n v="117.18"/>
    <n v="133.46"/>
    <n v="106.6"/>
    <n v="0.73"/>
    <n v="0.27"/>
    <s v="N"/>
    <s v="N"/>
    <s v="N"/>
    <s v="N"/>
    <s v="N"/>
    <n v="118.56"/>
    <n v="115.08"/>
    <n v="151.58000000000001"/>
    <n v="72.819999999999993"/>
    <n v="21"/>
    <n v="55"/>
    <n v="81.539999999999992"/>
    <n v="25.75"/>
  </r>
  <r>
    <x v="9"/>
    <n v="0"/>
    <n v="17"/>
    <n v="240"/>
    <n v="49"/>
    <n v="1"/>
    <n v="29"/>
    <n v="1"/>
    <n v="66"/>
    <n v="18"/>
    <n v="1"/>
    <n v="0"/>
    <s v="Steelers"/>
    <n v="0"/>
    <n v="38"/>
    <n v="257"/>
    <n v="35"/>
    <n v="5"/>
    <n v="25"/>
    <n v="1"/>
    <n v="174"/>
    <n v="28"/>
    <n v="0"/>
    <n v="1"/>
    <s v="L"/>
    <n v="0"/>
    <n v="82.82"/>
    <n v="75.7"/>
    <n v="93.4"/>
    <n v="66.539999999999992"/>
    <n v="0.56000000000000005"/>
    <n v="0.43999999999999995"/>
    <s v="N"/>
    <s v="N"/>
    <s v="N"/>
    <s v="N"/>
    <s v="N"/>
    <n v="91.39"/>
    <n v="80.38"/>
    <n v="85.78"/>
    <n v="59.36"/>
    <n v="21"/>
    <n v="55"/>
    <n v="81.539999999999992"/>
    <n v="25.75"/>
  </r>
  <r>
    <x v="19"/>
    <n v="0"/>
    <n v="34"/>
    <n v="160"/>
    <n v="21"/>
    <n v="0"/>
    <n v="10"/>
    <n v="0"/>
    <n v="172"/>
    <n v="37"/>
    <n v="4"/>
    <n v="1"/>
    <s v="Cardinals"/>
    <n v="0"/>
    <n v="10"/>
    <n v="214"/>
    <n v="48"/>
    <n v="0"/>
    <n v="23"/>
    <n v="3"/>
    <n v="77"/>
    <n v="24"/>
    <n v="1"/>
    <n v="1"/>
    <s v="W"/>
    <n v="0"/>
    <n v="89.14"/>
    <n v="146.54"/>
    <n v="115.96"/>
    <n v="131.82"/>
    <n v="0.67"/>
    <n v="0.32999999999999996"/>
    <s v="N"/>
    <s v="N"/>
    <s v="N"/>
    <s v="N"/>
    <s v="N"/>
    <n v="86.53"/>
    <n v="135.01"/>
    <n v="132.66999999999999"/>
    <n v="126.83"/>
    <n v="24"/>
    <n v="44"/>
    <n v="83.460000000000008"/>
    <n v="28.76"/>
  </r>
  <r>
    <x v="22"/>
    <n v="0"/>
    <n v="10"/>
    <n v="214"/>
    <n v="48"/>
    <n v="0"/>
    <n v="23"/>
    <n v="3"/>
    <n v="77"/>
    <n v="24"/>
    <n v="1"/>
    <n v="1"/>
    <s v="Vikings"/>
    <n v="0"/>
    <n v="34"/>
    <n v="160"/>
    <n v="21"/>
    <n v="0"/>
    <n v="10"/>
    <n v="0"/>
    <n v="172"/>
    <n v="37"/>
    <n v="4"/>
    <n v="1"/>
    <s v="L"/>
    <n v="0"/>
    <n v="53.46"/>
    <n v="110.86"/>
    <n v="68.180000000000007"/>
    <n v="84.04"/>
    <n v="0.36"/>
    <n v="0.64"/>
    <s v="N"/>
    <s v="N"/>
    <s v="N"/>
    <s v="N"/>
    <s v="N"/>
    <n v="48.62"/>
    <n v="93.12"/>
    <n v="80.150000000000006"/>
    <n v="107.35"/>
    <n v="24"/>
    <n v="44"/>
    <n v="83.45999999999998"/>
    <n v="28.76"/>
  </r>
  <r>
    <x v="4"/>
    <n v="0"/>
    <n v="20"/>
    <n v="403"/>
    <n v="51"/>
    <n v="2"/>
    <n v="24"/>
    <n v="2"/>
    <n v="70"/>
    <n v="25"/>
    <n v="0"/>
    <n v="0"/>
    <s v="Raiders"/>
    <n v="0"/>
    <n v="25"/>
    <n v="184"/>
    <n v="35"/>
    <n v="2"/>
    <n v="15"/>
    <n v="1"/>
    <n v="94"/>
    <n v="22"/>
    <n v="0"/>
    <n v="0"/>
    <s v="L"/>
    <n v="0"/>
    <n v="84.24"/>
    <n v="128.49"/>
    <n v="64.959999999999994"/>
    <n v="100.87"/>
    <n v="0.61"/>
    <n v="0.39"/>
    <s v="N"/>
    <s v="N"/>
    <s v="N"/>
    <s v="N"/>
    <s v="N"/>
    <n v="95.38"/>
    <n v="111.78"/>
    <n v="56.38"/>
    <n v="124.37"/>
    <n v="5"/>
    <n v="45"/>
    <n v="21.439999999999998"/>
    <n v="23.32"/>
  </r>
  <r>
    <x v="31"/>
    <n v="0"/>
    <n v="25"/>
    <n v="184"/>
    <n v="35"/>
    <n v="2"/>
    <n v="15"/>
    <n v="1"/>
    <n v="94"/>
    <n v="22"/>
    <n v="0"/>
    <n v="0"/>
    <s v="Texans"/>
    <n v="0"/>
    <n v="20"/>
    <n v="403"/>
    <n v="51"/>
    <n v="2"/>
    <n v="24"/>
    <n v="2"/>
    <n v="70"/>
    <n v="25"/>
    <n v="0"/>
    <n v="0"/>
    <s v="W"/>
    <n v="0"/>
    <n v="71.510000000000005"/>
    <n v="115.76"/>
    <n v="99.13"/>
    <n v="135.04000000000002"/>
    <n v="0.67"/>
    <n v="0.32999999999999996"/>
    <s v="N"/>
    <s v="N"/>
    <s v="N"/>
    <s v="N"/>
    <s v="N"/>
    <n v="86.08"/>
    <n v="128.94"/>
    <n v="100.52"/>
    <n v="130.30000000000001"/>
    <n v="5"/>
    <n v="45"/>
    <n v="21.439999999999998"/>
    <n v="23.32"/>
  </r>
  <r>
    <x v="24"/>
    <n v="0"/>
    <n v="48"/>
    <n v="205"/>
    <n v="22"/>
    <n v="3"/>
    <n v="14"/>
    <n v="0"/>
    <n v="213"/>
    <n v="36"/>
    <n v="2"/>
    <n v="1"/>
    <s v="Buccaneers"/>
    <n v="0"/>
    <n v="3"/>
    <n v="186"/>
    <n v="35"/>
    <n v="0"/>
    <n v="18"/>
    <n v="2"/>
    <n v="86"/>
    <n v="23"/>
    <n v="0"/>
    <n v="1"/>
    <s v="W"/>
    <n v="0"/>
    <n v="134.88"/>
    <n v="136.75"/>
    <n v="137.27000000000001"/>
    <n v="126.3"/>
    <n v="0.6"/>
    <n v="0.4"/>
    <s v="N"/>
    <s v="N"/>
    <s v="N"/>
    <s v="N"/>
    <s v="N"/>
    <n v="131.5"/>
    <n v="120.25"/>
    <n v="151.31"/>
    <n v="126.11"/>
    <n v="45"/>
    <n v="51"/>
    <n v="135.19999999999999"/>
    <n v="33.28"/>
  </r>
  <r>
    <x v="16"/>
    <n v="0"/>
    <n v="3"/>
    <n v="186"/>
    <n v="35"/>
    <n v="0"/>
    <n v="18"/>
    <n v="2"/>
    <n v="86"/>
    <n v="23"/>
    <n v="0"/>
    <n v="1"/>
    <s v="49ers"/>
    <n v="0"/>
    <n v="48"/>
    <n v="205"/>
    <n v="22"/>
    <n v="3"/>
    <n v="14"/>
    <n v="0"/>
    <n v="213"/>
    <n v="36"/>
    <n v="2"/>
    <n v="1"/>
    <s v="L"/>
    <n v="0"/>
    <n v="63.25"/>
    <n v="65.12"/>
    <n v="73.7"/>
    <n v="62.72999999999999"/>
    <n v="0.38"/>
    <n v="0.62"/>
    <s v="N"/>
    <s v="N"/>
    <s v="N"/>
    <s v="N"/>
    <s v="N"/>
    <n v="72.16"/>
    <n v="67.83"/>
    <n v="96.01"/>
    <n v="64.78"/>
    <n v="45"/>
    <n v="51"/>
    <n v="135.19999999999999"/>
    <n v="33.28"/>
  </r>
  <r>
    <x v="29"/>
    <n v="0"/>
    <n v="30"/>
    <n v="294"/>
    <n v="33"/>
    <n v="1"/>
    <n v="24"/>
    <n v="1"/>
    <n v="152"/>
    <n v="35"/>
    <n v="2"/>
    <n v="0"/>
    <s v="Jets"/>
    <n v="0"/>
    <n v="21"/>
    <n v="158"/>
    <n v="26"/>
    <n v="2"/>
    <n v="16"/>
    <n v="0"/>
    <n v="97"/>
    <n v="25"/>
    <n v="1"/>
    <n v="0"/>
    <s v="W"/>
    <n v="0"/>
    <n v="116.74"/>
    <n v="93.8"/>
    <n v="109.33"/>
    <n v="103.98"/>
    <n v="0.51"/>
    <n v="0.49"/>
    <s v="N"/>
    <s v="N"/>
    <s v="N"/>
    <s v="N"/>
    <s v="N"/>
    <n v="147.18"/>
    <n v="85.59"/>
    <n v="112.44"/>
    <n v="73.650000000000006"/>
    <n v="9"/>
    <n v="51"/>
    <n v="23.849999999999994"/>
    <n v="37.74"/>
  </r>
  <r>
    <x v="26"/>
    <n v="0"/>
    <n v="21"/>
    <n v="158"/>
    <n v="26"/>
    <n v="2"/>
    <n v="16"/>
    <n v="0"/>
    <n v="97"/>
    <n v="25"/>
    <n v="1"/>
    <n v="0"/>
    <s v="Patriots"/>
    <n v="0"/>
    <n v="30"/>
    <n v="294"/>
    <n v="33"/>
    <n v="1"/>
    <n v="24"/>
    <n v="1"/>
    <n v="152"/>
    <n v="35"/>
    <n v="2"/>
    <n v="0"/>
    <s v="L"/>
    <n v="0"/>
    <n v="106.2"/>
    <n v="83.26"/>
    <n v="96.02"/>
    <n v="90.67"/>
    <n v="0.49"/>
    <n v="0.51"/>
    <s v="N"/>
    <s v="N"/>
    <s v="N"/>
    <s v="N"/>
    <s v="N"/>
    <n v="99.21"/>
    <n v="96.01"/>
    <n v="96.45"/>
    <n v="96.53"/>
    <n v="9"/>
    <n v="51"/>
    <n v="23.849999999999994"/>
    <n v="37.74"/>
  </r>
  <r>
    <x v="30"/>
    <n v="0"/>
    <n v="24"/>
    <n v="113"/>
    <n v="23"/>
    <n v="1"/>
    <n v="10"/>
    <n v="1"/>
    <n v="162"/>
    <n v="23"/>
    <n v="1"/>
    <n v="0"/>
    <s v="Chargers"/>
    <n v="0"/>
    <n v="29"/>
    <n v="212"/>
    <n v="29"/>
    <n v="1"/>
    <n v="18"/>
    <n v="1"/>
    <n v="206"/>
    <n v="43"/>
    <n v="1"/>
    <n v="1"/>
    <s v="L"/>
    <n v="0"/>
    <n v="63.73"/>
    <n v="103.26"/>
    <n v="169.93"/>
    <n v="92.34"/>
    <n v="0.4"/>
    <n v="0.6"/>
    <s v="N"/>
    <s v="N"/>
    <s v="N"/>
    <s v="N"/>
    <s v="N"/>
    <n v="71.34"/>
    <n v="100.93"/>
    <n v="150.4"/>
    <n v="85.01"/>
    <n v="5"/>
    <n v="53"/>
    <n v="29.260000000000019"/>
    <n v="17.09"/>
  </r>
  <r>
    <x v="18"/>
    <n v="0"/>
    <n v="29"/>
    <n v="212"/>
    <n v="29"/>
    <n v="1"/>
    <n v="18"/>
    <n v="1"/>
    <n v="206"/>
    <n v="43"/>
    <n v="1"/>
    <n v="1"/>
    <s v="Broncos"/>
    <n v="0"/>
    <n v="24"/>
    <n v="113"/>
    <n v="23"/>
    <n v="1"/>
    <n v="10"/>
    <n v="1"/>
    <n v="162"/>
    <n v="23"/>
    <n v="1"/>
    <n v="0"/>
    <s v="W"/>
    <n v="0"/>
    <n v="96.74"/>
    <n v="136.27000000000001"/>
    <n v="107.66"/>
    <n v="30.069999999999993"/>
    <n v="0.5"/>
    <n v="0.5"/>
    <s v="N"/>
    <s v="N"/>
    <s v="N"/>
    <s v="N"/>
    <s v="N"/>
    <n v="87.22"/>
    <n v="117.38"/>
    <n v="129.91999999999999"/>
    <n v="30.28"/>
    <n v="5"/>
    <n v="53"/>
    <n v="29.260000000000019"/>
    <n v="17.09"/>
  </r>
  <r>
    <x v="3"/>
    <n v="0"/>
    <n v="14"/>
    <n v="156"/>
    <n v="32"/>
    <n v="1"/>
    <n v="18"/>
    <n v="2"/>
    <n v="95"/>
    <n v="22"/>
    <n v="1"/>
    <n v="0"/>
    <s v="Packers"/>
    <n v="0"/>
    <n v="25"/>
    <n v="369"/>
    <n v="39"/>
    <n v="2"/>
    <n v="26"/>
    <n v="0"/>
    <n v="57"/>
    <n v="20"/>
    <n v="0"/>
    <n v="1"/>
    <s v="L"/>
    <n v="0"/>
    <n v="68.760000000000005"/>
    <n v="74.08"/>
    <n v="107"/>
    <n v="148.88"/>
    <n v="0.66"/>
    <n v="0.33999999999999997"/>
    <s v="N"/>
    <s v="N"/>
    <s v="N"/>
    <s v="N"/>
    <s v="N"/>
    <n v="75.72"/>
    <n v="96.75"/>
    <n v="99.41"/>
    <n v="129.84"/>
    <n v="11"/>
    <n v="39"/>
    <n v="1.2800000000000296"/>
    <n v="859.37"/>
  </r>
  <r>
    <x v="0"/>
    <n v="0"/>
    <n v="25"/>
    <n v="369"/>
    <n v="39"/>
    <n v="2"/>
    <n v="26"/>
    <n v="0"/>
    <n v="57"/>
    <n v="20"/>
    <n v="0"/>
    <n v="1"/>
    <s v="Falcons"/>
    <n v="0"/>
    <n v="14"/>
    <n v="156"/>
    <n v="32"/>
    <n v="1"/>
    <n v="18"/>
    <n v="2"/>
    <n v="95"/>
    <n v="22"/>
    <n v="1"/>
    <n v="0"/>
    <s v="W"/>
    <n v="0"/>
    <n v="125.92"/>
    <n v="131.24"/>
    <n v="51.12"/>
    <n v="93"/>
    <n v="0.59"/>
    <n v="0.41000000000000003"/>
    <s v="N"/>
    <s v="N"/>
    <s v="N"/>
    <s v="N"/>
    <s v="N"/>
    <n v="126.5"/>
    <n v="119.15"/>
    <n v="56.16"/>
    <n v="83.63"/>
    <n v="11"/>
    <n v="39"/>
    <n v="1.2800000000000011"/>
    <n v="859.37"/>
  </r>
  <r>
    <x v="17"/>
    <n v="0"/>
    <n v="24"/>
    <n v="214"/>
    <n v="26"/>
    <n v="2"/>
    <n v="19"/>
    <n v="1"/>
    <n v="181"/>
    <n v="20"/>
    <n v="1"/>
    <n v="0"/>
    <s v="Bears"/>
    <n v="0"/>
    <n v="13"/>
    <n v="237"/>
    <n v="38"/>
    <n v="1"/>
    <n v="28"/>
    <n v="0"/>
    <n v="122"/>
    <n v="25"/>
    <n v="0"/>
    <n v="0"/>
    <s v="W"/>
    <n v="0"/>
    <n v="117.93"/>
    <n v="88.38"/>
    <n v="217.46"/>
    <n v="86.78"/>
    <n v="0.6"/>
    <n v="0.4"/>
    <s v="N"/>
    <s v="N"/>
    <s v="N"/>
    <s v="N"/>
    <s v="N"/>
    <n v="115.97"/>
    <n v="82.24"/>
    <n v="167.59"/>
    <n v="102.91"/>
    <n v="11"/>
    <n v="37"/>
    <n v="110.54999999999998"/>
    <n v="9.9499999999999993"/>
  </r>
  <r>
    <x v="2"/>
    <n v="0"/>
    <n v="13"/>
    <n v="237"/>
    <n v="38"/>
    <n v="1"/>
    <n v="28"/>
    <n v="0"/>
    <n v="122"/>
    <n v="25"/>
    <n v="0"/>
    <n v="0"/>
    <s v="Lions"/>
    <n v="0"/>
    <n v="24"/>
    <n v="214"/>
    <n v="26"/>
    <n v="2"/>
    <n v="19"/>
    <n v="1"/>
    <n v="181"/>
    <n v="20"/>
    <n v="1"/>
    <n v="0"/>
    <s v="L"/>
    <n v="0"/>
    <n v="111.62"/>
    <n v="82.07"/>
    <n v="113.22"/>
    <n v="-17.460000000000008"/>
    <n v="0.56999999999999995"/>
    <n v="0.43000000000000005"/>
    <s v="N"/>
    <s v="N"/>
    <s v="N"/>
    <s v="N"/>
    <s v="N"/>
    <n v="128.82"/>
    <n v="84.36"/>
    <n v="103.38"/>
    <n v="-16.98"/>
    <n v="11"/>
    <n v="37"/>
    <n v="110.54999999999998"/>
    <n v="9.9499999999999993"/>
  </r>
  <r>
    <x v="3"/>
    <n v="0"/>
    <n v="31"/>
    <n v="159"/>
    <n v="22"/>
    <n v="1"/>
    <n v="14"/>
    <n v="0"/>
    <n v="166"/>
    <n v="35"/>
    <n v="3"/>
    <n v="0"/>
    <s v="Panthers"/>
    <n v="0"/>
    <n v="17"/>
    <n v="226"/>
    <n v="35"/>
    <n v="0"/>
    <n v="21"/>
    <n v="3"/>
    <n v="139"/>
    <n v="26"/>
    <n v="2"/>
    <n v="0"/>
    <s v="W"/>
    <n v="0"/>
    <n v="109.84"/>
    <n v="130.51999999999998"/>
    <n v="122.89"/>
    <n v="64.430000000000007"/>
    <n v="0.56999999999999995"/>
    <n v="0.43000000000000005"/>
    <s v="N"/>
    <s v="N"/>
    <s v="N"/>
    <s v="N"/>
    <s v="N"/>
    <n v="105.26"/>
    <n v="130.22999999999999"/>
    <n v="111.38"/>
    <n v="76.33"/>
    <n v="14"/>
    <n v="48"/>
    <n v="27.680000000000007"/>
    <n v="50.58"/>
  </r>
  <r>
    <x v="23"/>
    <n v="0"/>
    <n v="17"/>
    <n v="226"/>
    <n v="35"/>
    <n v="0"/>
    <n v="21"/>
    <n v="3"/>
    <n v="139"/>
    <n v="26"/>
    <n v="2"/>
    <n v="0"/>
    <s v="Falcons"/>
    <n v="0"/>
    <n v="31"/>
    <n v="159"/>
    <n v="22"/>
    <n v="1"/>
    <n v="14"/>
    <n v="0"/>
    <n v="166"/>
    <n v="35"/>
    <n v="3"/>
    <n v="0"/>
    <s v="L"/>
    <n v="0"/>
    <n v="69.48"/>
    <n v="90.16"/>
    <n v="135.57"/>
    <n v="77.11"/>
    <n v="0.39"/>
    <n v="0.61"/>
    <s v="N"/>
    <s v="N"/>
    <s v="N"/>
    <s v="N"/>
    <s v="N"/>
    <n v="69.8"/>
    <n v="81.86"/>
    <n v="148.93"/>
    <n v="69.34"/>
    <n v="14"/>
    <n v="48"/>
    <n v="27.680000000000007"/>
    <n v="50.58"/>
  </r>
  <r>
    <x v="17"/>
    <n v="0"/>
    <n v="19"/>
    <n v="244"/>
    <n v="50"/>
    <n v="2"/>
    <n v="28"/>
    <n v="0"/>
    <n v="66"/>
    <n v="18"/>
    <n v="0"/>
    <n v="0"/>
    <s v="49ers"/>
    <n v="0"/>
    <n v="25"/>
    <n v="111"/>
    <n v="32"/>
    <n v="1"/>
    <n v="17"/>
    <n v="1"/>
    <n v="203"/>
    <n v="29"/>
    <n v="1"/>
    <n v="1"/>
    <s v="L"/>
    <n v="0"/>
    <n v="88.6"/>
    <n v="132.66"/>
    <n v="85.07"/>
    <n v="42.77000000000001"/>
    <n v="0.52"/>
    <n v="0.48"/>
    <s v="N"/>
    <s v="N"/>
    <s v="N"/>
    <s v="N"/>
    <s v="N"/>
    <n v="101.08"/>
    <n v="138.16999999999999"/>
    <n v="110.82"/>
    <n v="44.17"/>
    <n v="6"/>
    <n v="44"/>
    <n v="50.900000000000006"/>
    <n v="11.79"/>
  </r>
  <r>
    <x v="24"/>
    <n v="0"/>
    <n v="25"/>
    <n v="111"/>
    <n v="32"/>
    <n v="1"/>
    <n v="17"/>
    <n v="1"/>
    <n v="203"/>
    <n v="29"/>
    <n v="1"/>
    <n v="1"/>
    <s v="Lions"/>
    <n v="0"/>
    <n v="19"/>
    <n v="244"/>
    <n v="50"/>
    <n v="2"/>
    <n v="28"/>
    <n v="0"/>
    <n v="66"/>
    <n v="18"/>
    <n v="0"/>
    <n v="0"/>
    <s v="W"/>
    <n v="0"/>
    <n v="67.34"/>
    <n v="111.4"/>
    <n v="157.22999999999999"/>
    <n v="114.93"/>
    <n v="0.74"/>
    <n v="0.26"/>
    <s v="N"/>
    <s v="N"/>
    <s v="N"/>
    <s v="N"/>
    <s v="N"/>
    <n v="77.72"/>
    <n v="114.51"/>
    <n v="143.57"/>
    <n v="111.8"/>
    <n v="6"/>
    <n v="44"/>
    <n v="50.900000000000006"/>
    <n v="11.79"/>
  </r>
  <r>
    <x v="11"/>
    <n v="0"/>
    <n v="27"/>
    <n v="264"/>
    <n v="32"/>
    <n v="1"/>
    <n v="25"/>
    <n v="0"/>
    <n v="94"/>
    <n v="31"/>
    <n v="1"/>
    <n v="0"/>
    <s v="Colts"/>
    <n v="0"/>
    <n v="17"/>
    <n v="179"/>
    <n v="34"/>
    <n v="1"/>
    <n v="23"/>
    <n v="1"/>
    <n v="94"/>
    <n v="23"/>
    <n v="1"/>
    <n v="2"/>
    <s v="W"/>
    <n v="0"/>
    <n v="127.78"/>
    <n v="108.07"/>
    <n v="75.19"/>
    <n v="124.75"/>
    <n v="0.6"/>
    <n v="0.4"/>
    <s v="N"/>
    <s v="N"/>
    <s v="N"/>
    <s v="N"/>
    <s v="N"/>
    <n v="99.55"/>
    <n v="92.92"/>
    <n v="77.489999999999995"/>
    <n v="104.95"/>
    <n v="10"/>
    <n v="44"/>
    <n v="35.789999999999992"/>
    <n v="27.94"/>
  </r>
  <r>
    <x v="5"/>
    <n v="0"/>
    <n v="17"/>
    <n v="179"/>
    <n v="34"/>
    <n v="1"/>
    <n v="23"/>
    <n v="1"/>
    <n v="94"/>
    <n v="23"/>
    <n v="1"/>
    <n v="2"/>
    <s v="Bengals"/>
    <n v="0"/>
    <n v="27"/>
    <n v="264"/>
    <n v="32"/>
    <n v="1"/>
    <n v="25"/>
    <n v="0"/>
    <n v="94"/>
    <n v="31"/>
    <n v="1"/>
    <n v="0"/>
    <s v="L"/>
    <n v="0"/>
    <n v="91.93"/>
    <n v="72.22"/>
    <n v="75.25"/>
    <n v="124.81"/>
    <n v="0.51"/>
    <n v="0.49"/>
    <s v="N"/>
    <s v="N"/>
    <s v="N"/>
    <s v="N"/>
    <s v="N"/>
    <n v="97.22"/>
    <n v="68.75"/>
    <n v="97.73"/>
    <n v="109.99"/>
    <n v="10"/>
    <n v="44"/>
    <n v="35.789999999999992"/>
    <n v="27.94"/>
  </r>
  <r>
    <x v="20"/>
    <n v="0"/>
    <n v="13"/>
    <n v="245"/>
    <n v="37"/>
    <n v="0"/>
    <n v="17"/>
    <n v="4"/>
    <n v="42"/>
    <n v="14"/>
    <n v="1"/>
    <n v="0"/>
    <s v="Eagles"/>
    <n v="0"/>
    <n v="20"/>
    <n v="230"/>
    <n v="32"/>
    <n v="1"/>
    <n v="18"/>
    <n v="2"/>
    <n v="192"/>
    <n v="38"/>
    <n v="1"/>
    <n v="0"/>
    <s v="L"/>
    <n v="0"/>
    <n v="49.6"/>
    <n v="118.64"/>
    <s v=" "/>
    <n v="78.83"/>
    <n v="0.46"/>
    <n v="0.54"/>
    <s v="N"/>
    <s v="N"/>
    <s v="Y"/>
    <s v="N"/>
    <s v="N"/>
    <n v="49.24"/>
    <n v="108.93"/>
    <s v=" "/>
    <n v="102.82"/>
    <n v="7"/>
    <n v="33"/>
    <s v=" "/>
    <s v=" "/>
  </r>
  <r>
    <x v="13"/>
    <n v="0"/>
    <n v="20"/>
    <n v="230"/>
    <n v="32"/>
    <n v="1"/>
    <n v="18"/>
    <n v="2"/>
    <n v="192"/>
    <n v="38"/>
    <n v="1"/>
    <n v="0"/>
    <s v="Redskins"/>
    <n v="0"/>
    <n v="13"/>
    <n v="245"/>
    <n v="37"/>
    <n v="0"/>
    <n v="17"/>
    <n v="4"/>
    <n v="42"/>
    <n v="14"/>
    <n v="1"/>
    <n v="0"/>
    <s v="W"/>
    <n v="0"/>
    <n v="81.36"/>
    <n v="150.4"/>
    <n v="121.17"/>
    <s v=" "/>
    <n v="0.73"/>
    <n v="0.27"/>
    <s v="N"/>
    <s v="N"/>
    <s v="N"/>
    <s v="N"/>
    <s v="Y"/>
    <n v="86.21"/>
    <n v="124.14"/>
    <n v="117.41"/>
    <s v=" "/>
    <n v="7"/>
    <n v="33"/>
    <s v=" "/>
    <s v=" "/>
  </r>
  <r>
    <x v="0"/>
    <n v="0"/>
    <n v="24"/>
    <n v="309"/>
    <n v="29"/>
    <n v="3"/>
    <n v="18"/>
    <n v="1"/>
    <n v="90"/>
    <n v="31"/>
    <n v="0"/>
    <n v="0"/>
    <s v="Rams"/>
    <n v="0"/>
    <n v="3"/>
    <n v="306"/>
    <n v="45"/>
    <n v="0"/>
    <n v="29"/>
    <n v="1"/>
    <n v="118"/>
    <n v="24"/>
    <n v="0"/>
    <n v="0"/>
    <s v="W"/>
    <n v="0"/>
    <n v="125.31"/>
    <n v="105.16"/>
    <n v="67.349999999999994"/>
    <n v="85.93"/>
    <n v="0.65"/>
    <n v="0.35"/>
    <s v="N"/>
    <s v="N"/>
    <s v="N"/>
    <s v="N"/>
    <s v="N"/>
    <n v="128.47999999999999"/>
    <n v="84.06"/>
    <n v="47.94"/>
    <n v="69.97"/>
    <n v="21"/>
    <n v="27"/>
    <n v="16.25"/>
    <n v="129.22999999999999"/>
  </r>
  <r>
    <x v="12"/>
    <n v="0"/>
    <n v="3"/>
    <n v="306"/>
    <n v="45"/>
    <n v="0"/>
    <n v="29"/>
    <n v="1"/>
    <n v="118"/>
    <n v="24"/>
    <n v="0"/>
    <n v="0"/>
    <s v="Packers"/>
    <n v="0"/>
    <n v="24"/>
    <n v="309"/>
    <n v="29"/>
    <n v="3"/>
    <n v="18"/>
    <n v="1"/>
    <n v="90"/>
    <n v="31"/>
    <n v="0"/>
    <n v="0"/>
    <s v="L"/>
    <n v="0"/>
    <n v="94.84"/>
    <n v="74.69"/>
    <n v="114.07"/>
    <n v="132.65"/>
    <n v="0.48"/>
    <n v="0.52"/>
    <s v="N"/>
    <s v="N"/>
    <s v="N"/>
    <s v="N"/>
    <s v="N"/>
    <n v="104.44"/>
    <n v="97.55"/>
    <n v="105.98"/>
    <n v="115.68"/>
    <n v="21"/>
    <n v="27"/>
    <n v="16.25"/>
    <n v="129.22999999999999"/>
  </r>
  <r>
    <x v="15"/>
    <n v="0"/>
    <n v="17"/>
    <n v="185"/>
    <n v="23"/>
    <n v="1"/>
    <n v="12"/>
    <n v="0"/>
    <n v="185"/>
    <n v="32"/>
    <n v="1"/>
    <n v="0"/>
    <s v="Jaguars"/>
    <n v="0"/>
    <n v="13"/>
    <n v="76"/>
    <n v="26"/>
    <n v="1"/>
    <n v="12"/>
    <n v="0"/>
    <n v="133"/>
    <n v="30"/>
    <n v="0"/>
    <n v="0"/>
    <s v="W"/>
    <n v="0"/>
    <n v="102.53"/>
    <n v="132.15"/>
    <n v="138.81"/>
    <n v="97.15"/>
    <n v="0.46"/>
    <n v="0.54"/>
    <s v="N"/>
    <s v="N"/>
    <s v="N"/>
    <s v="N"/>
    <s v="N"/>
    <n v="110.6"/>
    <n v="93.2"/>
    <n v="140.75"/>
    <n v="88.44"/>
    <n v="4"/>
    <n v="30"/>
    <n v="70.640000000000015"/>
    <n v="5.66"/>
  </r>
  <r>
    <x v="8"/>
    <n v="0"/>
    <n v="13"/>
    <n v="76"/>
    <n v="26"/>
    <n v="1"/>
    <n v="12"/>
    <n v="0"/>
    <n v="133"/>
    <n v="30"/>
    <n v="0"/>
    <n v="0"/>
    <s v="Steelers"/>
    <n v="0"/>
    <n v="17"/>
    <n v="185"/>
    <n v="23"/>
    <n v="1"/>
    <n v="12"/>
    <n v="0"/>
    <n v="185"/>
    <n v="32"/>
    <n v="1"/>
    <n v="0"/>
    <s v="L"/>
    <n v="0"/>
    <n v="67.849999999999994"/>
    <n v="97.47"/>
    <n v="102.85"/>
    <n v="61.19"/>
    <n v="0.42"/>
    <n v="0.58000000000000007"/>
    <s v="N"/>
    <s v="N"/>
    <s v="N"/>
    <s v="N"/>
    <s v="N"/>
    <n v="74.87"/>
    <n v="103.49"/>
    <n v="94.46"/>
    <n v="54.59"/>
    <n v="4"/>
    <n v="30"/>
    <n v="70.640000000000015"/>
    <n v="5.66"/>
  </r>
  <r>
    <x v="21"/>
    <n v="0"/>
    <n v="27"/>
    <n v="292"/>
    <n v="32"/>
    <n v="0"/>
    <n v="21"/>
    <n v="0"/>
    <n v="122"/>
    <n v="33"/>
    <n v="3"/>
    <n v="0"/>
    <s v="Bills"/>
    <n v="0"/>
    <n v="24"/>
    <n v="219"/>
    <n v="30"/>
    <n v="2"/>
    <n v="21"/>
    <n v="2"/>
    <n v="155"/>
    <n v="23"/>
    <n v="1"/>
    <n v="0"/>
    <s v="W"/>
    <n v="0"/>
    <n v="115.36"/>
    <n v="100.21"/>
    <n v="99.41"/>
    <n v="37.129999999999995"/>
    <n v="0.56999999999999995"/>
    <n v="0.43000000000000005"/>
    <s v="N"/>
    <s v="N"/>
    <s v="N"/>
    <s v="N"/>
    <s v="N"/>
    <n v="119.63"/>
    <n v="104.1"/>
    <n v="77.709999999999994"/>
    <n v="49.08"/>
    <n v="3"/>
    <n v="51"/>
    <n v="47.890000000000043"/>
    <n v="6.26"/>
  </r>
  <r>
    <x v="7"/>
    <n v="0"/>
    <n v="24"/>
    <n v="219"/>
    <n v="30"/>
    <n v="2"/>
    <n v="21"/>
    <n v="2"/>
    <n v="155"/>
    <n v="23"/>
    <n v="1"/>
    <n v="0"/>
    <s v="Giants"/>
    <n v="0"/>
    <n v="27"/>
    <n v="292"/>
    <n v="32"/>
    <n v="0"/>
    <n v="21"/>
    <n v="0"/>
    <n v="122"/>
    <n v="33"/>
    <n v="3"/>
    <n v="0"/>
    <s v="L"/>
    <n v="0"/>
    <n v="99.79"/>
    <n v="84.64"/>
    <n v="162.87"/>
    <n v="100.59"/>
    <n v="0.49"/>
    <n v="0.51"/>
    <s v="N"/>
    <s v="N"/>
    <s v="N"/>
    <s v="N"/>
    <s v="N"/>
    <n v="107.01"/>
    <n v="95.36"/>
    <n v="166.05"/>
    <n v="75.84"/>
    <n v="3"/>
    <n v="51"/>
    <n v="47.890000000000043"/>
    <n v="6.26"/>
  </r>
  <r>
    <x v="31"/>
    <n v="0"/>
    <n v="24"/>
    <n v="178"/>
    <n v="24"/>
    <n v="1"/>
    <n v="15"/>
    <n v="0"/>
    <n v="151"/>
    <n v="40"/>
    <n v="1"/>
    <n v="1"/>
    <s v="Browns"/>
    <n v="0"/>
    <n v="17"/>
    <n v="203"/>
    <n v="45"/>
    <n v="2"/>
    <n v="21"/>
    <n v="0"/>
    <n v="65"/>
    <n v="21"/>
    <n v="0"/>
    <n v="1"/>
    <s v="W"/>
    <n v="0"/>
    <n v="109.17"/>
    <n v="122.08"/>
    <n v="83.83"/>
    <n v="142.47999999999999"/>
    <n v="0.68"/>
    <n v="0.31999999999999995"/>
    <s v="N"/>
    <s v="N"/>
    <s v="N"/>
    <s v="N"/>
    <s v="N"/>
    <n v="120.61"/>
    <n v="102.5"/>
    <n v="95.34"/>
    <n v="107.01"/>
    <n v="7"/>
    <n v="41"/>
    <n v="57.56"/>
    <n v="12.16"/>
  </r>
  <r>
    <x v="10"/>
    <n v="0"/>
    <n v="17"/>
    <n v="203"/>
    <n v="45"/>
    <n v="2"/>
    <n v="21"/>
    <n v="0"/>
    <n v="65"/>
    <n v="21"/>
    <n v="0"/>
    <n v="1"/>
    <s v="Raiders"/>
    <n v="0"/>
    <n v="24"/>
    <n v="178"/>
    <n v="24"/>
    <n v="1"/>
    <n v="15"/>
    <n v="0"/>
    <n v="151"/>
    <n v="40"/>
    <n v="1"/>
    <n v="1"/>
    <s v="L"/>
    <n v="0"/>
    <n v="77.92"/>
    <n v="90.83"/>
    <n v="57.52"/>
    <n v="116.17"/>
    <n v="0.38"/>
    <n v="0.62"/>
    <s v="N"/>
    <s v="N"/>
    <s v="N"/>
    <s v="N"/>
    <s v="N"/>
    <n v="88.23"/>
    <n v="79.02"/>
    <n v="49.92"/>
    <n v="143.22999999999999"/>
    <n v="7"/>
    <n v="41"/>
    <n v="57.56"/>
    <n v="12.16"/>
  </r>
  <r>
    <x v="14"/>
    <n v="0"/>
    <n v="29"/>
    <n v="289"/>
    <n v="33"/>
    <n v="0"/>
    <n v="20"/>
    <n v="1"/>
    <n v="113"/>
    <n v="30"/>
    <n v="2"/>
    <n v="1"/>
    <s v="Texans"/>
    <n v="0"/>
    <n v="14"/>
    <n v="200"/>
    <n v="37"/>
    <n v="1"/>
    <n v="21"/>
    <n v="0"/>
    <n v="93"/>
    <n v="25"/>
    <n v="0"/>
    <n v="0"/>
    <s v="W"/>
    <n v="0"/>
    <n v="99.24"/>
    <n v="109.73"/>
    <n v="87.39"/>
    <n v="113.7"/>
    <n v="0.6"/>
    <n v="0.4"/>
    <s v="N"/>
    <s v="N"/>
    <s v="N"/>
    <s v="N"/>
    <s v="N"/>
    <n v="119.46"/>
    <n v="122.23"/>
    <n v="88.61"/>
    <n v="109.71"/>
    <n v="15"/>
    <n v="43"/>
    <n v="10.060000000000002"/>
    <n v="149.11000000000001"/>
  </r>
  <r>
    <x v="4"/>
    <n v="0"/>
    <n v="14"/>
    <n v="200"/>
    <n v="37"/>
    <n v="1"/>
    <n v="21"/>
    <n v="0"/>
    <n v="93"/>
    <n v="25"/>
    <n v="0"/>
    <n v="0"/>
    <s v="Ravens"/>
    <n v="0"/>
    <n v="29"/>
    <n v="289"/>
    <n v="33"/>
    <n v="0"/>
    <n v="20"/>
    <n v="1"/>
    <n v="113"/>
    <n v="30"/>
    <n v="2"/>
    <n v="1"/>
    <s v="L"/>
    <n v="0"/>
    <n v="90.27"/>
    <n v="100.76"/>
    <n v="86.3"/>
    <n v="112.61"/>
    <n v="0.52"/>
    <n v="0.48"/>
    <s v="N"/>
    <s v="N"/>
    <s v="N"/>
    <s v="N"/>
    <s v="N"/>
    <n v="113.49"/>
    <n v="84.72"/>
    <n v="125.92"/>
    <n v="102.54"/>
    <n v="15"/>
    <n v="43"/>
    <n v="10.060000000000002"/>
    <n v="149.11000000000001"/>
  </r>
  <r>
    <x v="16"/>
    <n v="0"/>
    <n v="26"/>
    <n v="303"/>
    <n v="41"/>
    <n v="2"/>
    <n v="23"/>
    <n v="0"/>
    <n v="117"/>
    <n v="25"/>
    <n v="0"/>
    <n v="0"/>
    <s v="Saints"/>
    <n v="0"/>
    <n v="20"/>
    <n v="383"/>
    <n v="45"/>
    <n v="1"/>
    <n v="29"/>
    <n v="3"/>
    <n v="70"/>
    <n v="20"/>
    <n v="1"/>
    <n v="1"/>
    <s v="W"/>
    <n v="0"/>
    <n v="103.69"/>
    <n v="105.84"/>
    <n v="108.58"/>
    <n v="126.3"/>
    <n v="0.69"/>
    <n v="0.31000000000000005"/>
    <s v="N"/>
    <s v="N"/>
    <s v="N"/>
    <s v="N"/>
    <s v="N"/>
    <n v="113.97"/>
    <n v="123.7"/>
    <n v="77.36"/>
    <n v="129.59"/>
    <n v="6"/>
    <n v="46"/>
    <n v="44.409999999999968"/>
    <n v="13.51"/>
  </r>
  <r>
    <x v="1"/>
    <n v="0"/>
    <n v="20"/>
    <n v="383"/>
    <n v="45"/>
    <n v="1"/>
    <n v="29"/>
    <n v="3"/>
    <n v="70"/>
    <n v="20"/>
    <n v="1"/>
    <n v="1"/>
    <s v="Buccaneers"/>
    <n v="0"/>
    <n v="26"/>
    <n v="303"/>
    <n v="41"/>
    <n v="2"/>
    <n v="23"/>
    <n v="0"/>
    <n v="117"/>
    <n v="25"/>
    <n v="0"/>
    <n v="0"/>
    <s v="L"/>
    <n v="0"/>
    <n v="94.16"/>
    <n v="96.31"/>
    <n v="73.7"/>
    <n v="91.42"/>
    <n v="0.62"/>
    <n v="0.38"/>
    <s v="N"/>
    <s v="N"/>
    <s v="N"/>
    <s v="N"/>
    <s v="N"/>
    <n v="91.8"/>
    <n v="84.69"/>
    <n v="81.239999999999995"/>
    <n v="91.28"/>
    <n v="6"/>
    <n v="46"/>
    <n v="44.409999999999968"/>
    <n v="13.51"/>
  </r>
  <r>
    <x v="29"/>
    <n v="0"/>
    <n v="20"/>
    <n v="270"/>
    <n v="41"/>
    <n v="2"/>
    <n v="27"/>
    <n v="2"/>
    <n v="101"/>
    <n v="25"/>
    <n v="0"/>
    <n v="2"/>
    <s v="Cowboys"/>
    <n v="0"/>
    <n v="16"/>
    <n v="300"/>
    <n v="41"/>
    <n v="1"/>
    <n v="27"/>
    <n v="1"/>
    <n v="77"/>
    <n v="24"/>
    <n v="0"/>
    <n v="1"/>
    <s v="W"/>
    <n v="0"/>
    <n v="94.43"/>
    <n v="97.93"/>
    <n v="69.73"/>
    <n v="138.07"/>
    <n v="0.63"/>
    <n v="0.37"/>
    <s v="N"/>
    <s v="N"/>
    <s v="N"/>
    <s v="N"/>
    <s v="N"/>
    <n v="103.58"/>
    <n v="101.55"/>
    <n v="92.38"/>
    <n v="125.85"/>
    <n v="4"/>
    <n v="36"/>
    <n v="0.16000000000002501"/>
    <n v="2500"/>
  </r>
  <r>
    <x v="27"/>
    <n v="0"/>
    <n v="16"/>
    <n v="300"/>
    <n v="41"/>
    <n v="1"/>
    <n v="27"/>
    <n v="1"/>
    <n v="77"/>
    <n v="24"/>
    <n v="0"/>
    <n v="1"/>
    <s v="Patriots"/>
    <n v="0"/>
    <n v="20"/>
    <n v="270"/>
    <n v="41"/>
    <n v="2"/>
    <n v="27"/>
    <n v="2"/>
    <n v="101"/>
    <n v="25"/>
    <n v="0"/>
    <n v="2"/>
    <s v="L"/>
    <n v="0"/>
    <n v="102.07"/>
    <n v="105.57"/>
    <n v="61.93"/>
    <n v="130.26999999999998"/>
    <n v="0.62"/>
    <n v="0.38"/>
    <s v="N"/>
    <s v="N"/>
    <s v="N"/>
    <s v="N"/>
    <s v="N"/>
    <n v="95.35"/>
    <n v="121.73"/>
    <n v="62.21"/>
    <n v="138.69"/>
    <n v="4"/>
    <n v="36"/>
    <n v="0.16000000000002501"/>
    <n v="2500"/>
  </r>
  <r>
    <x v="2"/>
    <n v="0"/>
    <n v="39"/>
    <n v="258"/>
    <n v="31"/>
    <n v="2"/>
    <n v="21"/>
    <n v="0"/>
    <n v="119"/>
    <n v="28"/>
    <n v="1"/>
    <n v="1"/>
    <s v="Vikings"/>
    <n v="0"/>
    <n v="10"/>
    <n v="233"/>
    <n v="42"/>
    <n v="0"/>
    <n v="28"/>
    <n v="0"/>
    <n v="53"/>
    <n v="17"/>
    <n v="1"/>
    <n v="0"/>
    <s v="W"/>
    <n v="0"/>
    <n v="122.78"/>
    <n v="103.1"/>
    <n v="93.24"/>
    <n v="118.85"/>
    <n v="0.71"/>
    <n v="0.29000000000000004"/>
    <s v="N"/>
    <s v="N"/>
    <s v="N"/>
    <s v="N"/>
    <s v="N"/>
    <n v="111.67"/>
    <n v="86.61"/>
    <n v="109.61"/>
    <n v="151.82"/>
    <n v="29"/>
    <n v="49"/>
    <n v="37.96999999999997"/>
    <n v="76.38"/>
  </r>
  <r>
    <x v="19"/>
    <n v="0"/>
    <n v="10"/>
    <n v="233"/>
    <n v="42"/>
    <n v="0"/>
    <n v="28"/>
    <n v="0"/>
    <n v="53"/>
    <n v="17"/>
    <n v="1"/>
    <n v="0"/>
    <s v="Bears"/>
    <n v="0"/>
    <n v="39"/>
    <n v="258"/>
    <n v="31"/>
    <n v="2"/>
    <n v="21"/>
    <n v="0"/>
    <n v="119"/>
    <n v="28"/>
    <n v="1"/>
    <n v="1"/>
    <s v="L"/>
    <n v="0"/>
    <n v="96.9"/>
    <n v="77.22"/>
    <n v="81.150000000000006"/>
    <n v="106.76"/>
    <n v="0.53"/>
    <n v="0.47"/>
    <s v="N"/>
    <s v="N"/>
    <s v="N"/>
    <s v="N"/>
    <s v="N"/>
    <n v="95.29"/>
    <n v="71.849999999999994"/>
    <n v="62.54"/>
    <n v="126.6"/>
    <n v="29"/>
    <n v="49"/>
    <n v="37.96999999999997"/>
    <n v="76.38"/>
  </r>
  <r>
    <x v="26"/>
    <n v="0"/>
    <n v="24"/>
    <n v="192"/>
    <n v="25"/>
    <n v="1"/>
    <n v="14"/>
    <n v="0"/>
    <n v="104"/>
    <n v="29"/>
    <n v="1"/>
    <n v="1"/>
    <s v="Dolphins"/>
    <n v="0"/>
    <n v="6"/>
    <n v="190"/>
    <n v="34"/>
    <n v="0"/>
    <n v="16"/>
    <n v="2"/>
    <n v="118"/>
    <n v="25"/>
    <n v="0"/>
    <n v="1"/>
    <s v="W"/>
    <n v="0"/>
    <n v="103.86"/>
    <n v="140.13"/>
    <n v="78.03"/>
    <n v="102.5"/>
    <n v="0.57999999999999996"/>
    <n v="0.42000000000000004"/>
    <s v="N"/>
    <s v="N"/>
    <s v="N"/>
    <s v="N"/>
    <s v="N"/>
    <n v="96.24"/>
    <n v="118.98"/>
    <n v="82.24"/>
    <n v="94.73"/>
    <n v="18"/>
    <n v="30"/>
    <n v="24.519999999999982"/>
    <n v="73.41"/>
  </r>
  <r>
    <x v="28"/>
    <n v="0"/>
    <n v="6"/>
    <n v="190"/>
    <n v="34"/>
    <n v="0"/>
    <n v="16"/>
    <n v="2"/>
    <n v="118"/>
    <n v="25"/>
    <n v="0"/>
    <n v="1"/>
    <s v="Jets"/>
    <n v="0"/>
    <n v="24"/>
    <n v="192"/>
    <n v="25"/>
    <n v="1"/>
    <n v="14"/>
    <n v="0"/>
    <n v="104"/>
    <n v="29"/>
    <n v="1"/>
    <n v="1"/>
    <s v="L"/>
    <n v="0"/>
    <n v="59.87"/>
    <n v="96.14"/>
    <n v="97.5"/>
    <n v="121.97"/>
    <n v="0.46"/>
    <n v="0.54"/>
    <s v="N"/>
    <s v="N"/>
    <s v="N"/>
    <s v="N"/>
    <s v="N"/>
    <n v="75.48"/>
    <n v="87.73"/>
    <n v="100.28"/>
    <n v="86.4"/>
    <n v="18"/>
    <n v="30"/>
    <n v="24.519999999999982"/>
    <n v="73.41"/>
  </r>
  <r>
    <x v="26"/>
    <n v="0"/>
    <n v="27"/>
    <n v="156"/>
    <n v="33"/>
    <n v="3"/>
    <n v="18"/>
    <n v="1"/>
    <n v="162"/>
    <n v="31"/>
    <n v="0"/>
    <n v="1"/>
    <s v="Chargers"/>
    <n v="0"/>
    <n v="21"/>
    <n v="172"/>
    <n v="32"/>
    <n v="1"/>
    <n v="16"/>
    <n v="2"/>
    <n v="96"/>
    <n v="25"/>
    <n v="1"/>
    <n v="0"/>
    <s v="W"/>
    <n v="0"/>
    <n v="84.85"/>
    <n v="134.76999999999998"/>
    <n v="111.56"/>
    <n v="104.91"/>
    <n v="0.56000000000000005"/>
    <n v="0.43999999999999995"/>
    <s v="N"/>
    <s v="N"/>
    <s v="N"/>
    <s v="N"/>
    <s v="N"/>
    <n v="94.99"/>
    <n v="131.72"/>
    <n v="98.74"/>
    <n v="96.59"/>
    <n v="6"/>
    <n v="48"/>
    <n v="36.089999999999975"/>
    <n v="16.63"/>
  </r>
  <r>
    <x v="18"/>
    <n v="0"/>
    <n v="21"/>
    <n v="172"/>
    <n v="32"/>
    <n v="1"/>
    <n v="16"/>
    <n v="2"/>
    <n v="96"/>
    <n v="25"/>
    <n v="1"/>
    <n v="0"/>
    <s v="Jets"/>
    <n v="0"/>
    <n v="27"/>
    <n v="156"/>
    <n v="33"/>
    <n v="3"/>
    <n v="18"/>
    <n v="1"/>
    <n v="162"/>
    <n v="31"/>
    <n v="0"/>
    <n v="1"/>
    <s v="L"/>
    <n v="0"/>
    <n v="65.23"/>
    <n v="115.15"/>
    <n v="95.09"/>
    <n v="88.44"/>
    <n v="0.52"/>
    <n v="0.48"/>
    <s v="N"/>
    <s v="N"/>
    <s v="N"/>
    <s v="N"/>
    <s v="N"/>
    <n v="82.24"/>
    <n v="105.07"/>
    <n v="97.8"/>
    <n v="62.65"/>
    <n v="6"/>
    <n v="48"/>
    <n v="36.090000000000003"/>
    <n v="16.63"/>
  </r>
  <r>
    <x v="10"/>
    <n v="0"/>
    <n v="6"/>
    <n v="157"/>
    <n v="35"/>
    <n v="0"/>
    <n v="20"/>
    <n v="1"/>
    <n v="141"/>
    <n v="45"/>
    <n v="0"/>
    <n v="0"/>
    <s v="Seahawks"/>
    <n v="0"/>
    <n v="3"/>
    <n v="72"/>
    <n v="30"/>
    <n v="0"/>
    <n v="12"/>
    <n v="1"/>
    <n v="68"/>
    <n v="16"/>
    <n v="0"/>
    <n v="1"/>
    <s v="W"/>
    <n v="0"/>
    <n v="73.02"/>
    <n v="156.92000000000002"/>
    <n v="72.69"/>
    <n v="120.15"/>
    <n v="0.65"/>
    <n v="0.35"/>
    <s v="N"/>
    <s v="N"/>
    <s v="N"/>
    <s v="N"/>
    <s v="N"/>
    <n v="71.62"/>
    <n v="130.12"/>
    <n v="93.2"/>
    <n v="98.97"/>
    <n v="3"/>
    <n v="9"/>
    <n v="22.78000000000003"/>
    <n v="13.17"/>
  </r>
  <r>
    <x v="25"/>
    <n v="0"/>
    <n v="3"/>
    <n v="72"/>
    <n v="30"/>
    <n v="0"/>
    <n v="12"/>
    <n v="1"/>
    <n v="68"/>
    <n v="16"/>
    <n v="0"/>
    <n v="1"/>
    <s v="Browns"/>
    <n v="0"/>
    <n v="6"/>
    <n v="157"/>
    <n v="35"/>
    <n v="0"/>
    <n v="20"/>
    <n v="1"/>
    <n v="141"/>
    <n v="45"/>
    <n v="0"/>
    <n v="0"/>
    <s v="L"/>
    <n v="0"/>
    <n v="43.08"/>
    <n v="126.98"/>
    <n v="79.849999999999994"/>
    <n v="127.31"/>
    <n v="0.44"/>
    <n v="0.56000000000000005"/>
    <s v="N"/>
    <s v="N"/>
    <s v="N"/>
    <s v="N"/>
    <s v="N"/>
    <n v="47.6"/>
    <n v="106.62"/>
    <n v="90.81"/>
    <n v="95.62"/>
    <n v="3"/>
    <n v="9"/>
    <n v="22.779999999999987"/>
    <n v="13.17"/>
  </r>
  <r>
    <x v="17"/>
    <n v="0"/>
    <n v="16"/>
    <n v="159"/>
    <n v="32"/>
    <n v="1"/>
    <n v="15"/>
    <n v="0"/>
    <n v="104"/>
    <n v="20"/>
    <n v="0"/>
    <n v="1"/>
    <s v="Falcons"/>
    <n v="0"/>
    <n v="23"/>
    <n v="199"/>
    <n v="35"/>
    <n v="1"/>
    <n v="20"/>
    <n v="2"/>
    <n v="129"/>
    <n v="31"/>
    <n v="1"/>
    <n v="0"/>
    <s v="L"/>
    <n v="0"/>
    <n v="78.64"/>
    <n v="124.73"/>
    <n v="105.64"/>
    <n v="98.62"/>
    <n v="0.53"/>
    <n v="0.47"/>
    <s v="N"/>
    <s v="N"/>
    <s v="N"/>
    <s v="N"/>
    <s v="N"/>
    <n v="79"/>
    <n v="113.24"/>
    <n v="116.05"/>
    <n v="88.68"/>
    <n v="7"/>
    <n v="39"/>
    <n v="7.6300000000000239"/>
    <n v="91.74"/>
  </r>
  <r>
    <x v="3"/>
    <n v="0"/>
    <n v="23"/>
    <n v="199"/>
    <n v="35"/>
    <n v="1"/>
    <n v="20"/>
    <n v="2"/>
    <n v="129"/>
    <n v="31"/>
    <n v="1"/>
    <n v="0"/>
    <s v="Lions"/>
    <n v="0"/>
    <n v="16"/>
    <n v="159"/>
    <n v="32"/>
    <n v="1"/>
    <n v="15"/>
    <n v="0"/>
    <n v="104"/>
    <n v="20"/>
    <n v="0"/>
    <n v="1"/>
    <s v="W"/>
    <n v="0"/>
    <n v="75.27"/>
    <n v="121.36"/>
    <n v="101.38"/>
    <n v="94.36"/>
    <n v="0.62"/>
    <n v="0.38"/>
    <s v="N"/>
    <s v="N"/>
    <s v="N"/>
    <s v="N"/>
    <s v="N"/>
    <n v="86.87"/>
    <n v="124.75"/>
    <n v="92.57"/>
    <n v="91.79"/>
    <n v="7"/>
    <n v="39"/>
    <n v="7.6300000000000239"/>
    <n v="91.74"/>
  </r>
  <r>
    <x v="23"/>
    <n v="0"/>
    <n v="33"/>
    <n v="232"/>
    <n v="23"/>
    <n v="1"/>
    <n v="18"/>
    <n v="0"/>
    <n v="175"/>
    <n v="37"/>
    <n v="2"/>
    <n v="0"/>
    <s v="Redskins"/>
    <n v="0"/>
    <n v="20"/>
    <n v="261"/>
    <n v="37"/>
    <n v="1"/>
    <n v="22"/>
    <n v="1"/>
    <n v="92"/>
    <n v="23"/>
    <n v="1"/>
    <n v="2"/>
    <s v="W"/>
    <n v="0"/>
    <n v="139.76"/>
    <n v="106.15"/>
    <n v="117.84"/>
    <n v="126.77"/>
    <n v="0.62"/>
    <n v="0.38"/>
    <s v="N"/>
    <s v="N"/>
    <s v="N"/>
    <s v="N"/>
    <s v="N"/>
    <n v="148.09"/>
    <n v="87.61"/>
    <n v="114.18"/>
    <n v="106.45"/>
    <n v="13"/>
    <n v="53"/>
    <n v="90.520000000000039"/>
    <n v="14.36"/>
  </r>
  <r>
    <x v="20"/>
    <n v="0"/>
    <n v="20"/>
    <n v="261"/>
    <n v="37"/>
    <n v="1"/>
    <n v="22"/>
    <n v="1"/>
    <n v="92"/>
    <n v="23"/>
    <n v="1"/>
    <n v="2"/>
    <s v="Panthers"/>
    <n v="0"/>
    <n v="33"/>
    <n v="232"/>
    <n v="23"/>
    <n v="1"/>
    <n v="18"/>
    <n v="0"/>
    <n v="175"/>
    <n v="37"/>
    <n v="2"/>
    <n v="0"/>
    <s v="L"/>
    <n v="0"/>
    <n v="93.85"/>
    <n v="60.240000000000009"/>
    <n v="73.23"/>
    <n v="82.16"/>
    <n v="0.38"/>
    <n v="0.62"/>
    <s v="N"/>
    <s v="N"/>
    <s v="N"/>
    <s v="N"/>
    <s v="N"/>
    <n v="89.94"/>
    <n v="60.11"/>
    <n v="66.37"/>
    <n v="97.34"/>
    <n v="13"/>
    <n v="53"/>
    <n v="90.520000000000039"/>
    <n v="14.36"/>
  </r>
  <r>
    <x v="16"/>
    <n v="0"/>
    <n v="18"/>
    <n v="250"/>
    <n v="52"/>
    <n v="2"/>
    <n v="29"/>
    <n v="4"/>
    <n v="30"/>
    <n v="11"/>
    <n v="0"/>
    <n v="0"/>
    <s v="Bears"/>
    <n v="0"/>
    <n v="24"/>
    <n v="218"/>
    <n v="32"/>
    <n v="1"/>
    <n v="17"/>
    <n v="2"/>
    <n v="177"/>
    <n v="33"/>
    <n v="2"/>
    <n v="0"/>
    <s v="L"/>
    <n v="0"/>
    <n v="64.66"/>
    <n v="123.81"/>
    <s v=" "/>
    <n v="66.47"/>
    <n v="0.49"/>
    <n v="0.51"/>
    <s v="N"/>
    <s v="N"/>
    <s v="Y"/>
    <s v="N"/>
    <s v="N"/>
    <n v="63.58"/>
    <n v="115.21"/>
    <s v=" "/>
    <n v="78.819999999999993"/>
    <n v="6"/>
    <n v="42"/>
    <s v=" "/>
    <s v=" "/>
  </r>
  <r>
    <x v="2"/>
    <n v="0"/>
    <n v="24"/>
    <n v="218"/>
    <n v="32"/>
    <n v="1"/>
    <n v="17"/>
    <n v="2"/>
    <n v="177"/>
    <n v="33"/>
    <n v="2"/>
    <n v="0"/>
    <s v="Buccaneers"/>
    <n v="0"/>
    <n v="18"/>
    <n v="250"/>
    <n v="52"/>
    <n v="2"/>
    <n v="29"/>
    <n v="4"/>
    <n v="30"/>
    <n v="11"/>
    <n v="0"/>
    <n v="0"/>
    <s v="W"/>
    <n v="0"/>
    <n v="76.19"/>
    <n v="135.34"/>
    <n v="133.53"/>
    <s v=" "/>
    <n v="0.83"/>
    <n v="0.17000000000000004"/>
    <s v="N"/>
    <s v="N"/>
    <s v="N"/>
    <s v="N"/>
    <s v="Y"/>
    <n v="74.28"/>
    <n v="119.01"/>
    <n v="147.18"/>
    <s v=" "/>
    <n v="6"/>
    <n v="42"/>
    <s v=" "/>
    <s v=" "/>
  </r>
  <r>
    <x v="28"/>
    <n v="0"/>
    <n v="15"/>
    <n v="173"/>
    <n v="33"/>
    <n v="1"/>
    <n v="22"/>
    <n v="0"/>
    <n v="94"/>
    <n v="31"/>
    <n v="0"/>
    <n v="1"/>
    <s v="Broncos"/>
    <n v="0"/>
    <n v="18"/>
    <n v="125"/>
    <n v="27"/>
    <n v="2"/>
    <n v="13"/>
    <n v="0"/>
    <n v="177"/>
    <n v="40"/>
    <n v="0"/>
    <n v="1"/>
    <s v="L"/>
    <n v="0"/>
    <n v="99.78"/>
    <n v="115.51"/>
    <n v="60.67"/>
    <n v="104.84"/>
    <n v="0.4"/>
    <n v="0.6"/>
    <s v="N"/>
    <s v="N"/>
    <s v="N"/>
    <s v="N"/>
    <s v="N"/>
    <n v="89.96"/>
    <n v="99.49"/>
    <n v="73.209999999999994"/>
    <n v="105.58"/>
    <n v="3"/>
    <n v="33"/>
    <n v="19.199999999999989"/>
    <n v="15.63"/>
  </r>
  <r>
    <x v="30"/>
    <n v="0"/>
    <n v="18"/>
    <n v="125"/>
    <n v="27"/>
    <n v="2"/>
    <n v="13"/>
    <n v="0"/>
    <n v="177"/>
    <n v="40"/>
    <n v="0"/>
    <n v="1"/>
    <s v="Dolphins"/>
    <n v="0"/>
    <n v="15"/>
    <n v="173"/>
    <n v="33"/>
    <n v="1"/>
    <n v="22"/>
    <n v="0"/>
    <n v="94"/>
    <n v="31"/>
    <n v="0"/>
    <n v="1"/>
    <s v="W"/>
    <n v="0"/>
    <n v="84.49"/>
    <n v="100.22"/>
    <n v="95.16"/>
    <n v="139.32999999999998"/>
    <n v="0.52"/>
    <n v="0.48"/>
    <s v="N"/>
    <s v="N"/>
    <s v="N"/>
    <s v="N"/>
    <s v="N"/>
    <n v="78.290000000000006"/>
    <n v="85.1"/>
    <n v="100.29"/>
    <n v="128.77000000000001"/>
    <n v="3"/>
    <n v="33"/>
    <n v="19.19999999999996"/>
    <n v="15.63"/>
  </r>
  <r>
    <x v="9"/>
    <n v="0"/>
    <n v="7"/>
    <n v="95"/>
    <n v="31"/>
    <n v="1"/>
    <n v="15"/>
    <n v="2"/>
    <n v="53"/>
    <n v="15"/>
    <n v="0"/>
    <n v="0"/>
    <s v="Texans"/>
    <n v="0"/>
    <n v="41"/>
    <n v="296"/>
    <n v="23"/>
    <n v="2"/>
    <n v="18"/>
    <n v="0"/>
    <n v="222"/>
    <n v="47"/>
    <n v="2"/>
    <n v="0"/>
    <s v="L"/>
    <n v="0"/>
    <n v="50.57"/>
    <n v="38.56"/>
    <n v="81.97"/>
    <n v="84.03"/>
    <n v="0.33"/>
    <n v="0.66999999999999993"/>
    <s v="N"/>
    <s v="N"/>
    <s v="N"/>
    <s v="N"/>
    <s v="N"/>
    <n v="60.87"/>
    <n v="42.95"/>
    <n v="83.12"/>
    <n v="81.08"/>
    <n v="34"/>
    <n v="48"/>
    <n v="144.86999999999998"/>
    <n v="23.47"/>
  </r>
  <r>
    <x v="4"/>
    <n v="0"/>
    <n v="41"/>
    <n v="296"/>
    <n v="23"/>
    <n v="2"/>
    <n v="18"/>
    <n v="0"/>
    <n v="222"/>
    <n v="47"/>
    <n v="2"/>
    <n v="0"/>
    <s v="Titans"/>
    <n v="0"/>
    <n v="7"/>
    <n v="95"/>
    <n v="31"/>
    <n v="1"/>
    <n v="15"/>
    <n v="2"/>
    <n v="53"/>
    <n v="15"/>
    <n v="0"/>
    <n v="0"/>
    <s v="W"/>
    <n v="0"/>
    <n v="161.44"/>
    <n v="149.43"/>
    <n v="115.97"/>
    <n v="118.03"/>
    <n v="0.67"/>
    <n v="0.32999999999999996"/>
    <s v="N"/>
    <s v="N"/>
    <s v="N"/>
    <s v="N"/>
    <s v="N"/>
    <n v="153.97999999999999"/>
    <n v="146.75"/>
    <n v="131.71"/>
    <n v="80.63"/>
    <n v="34"/>
    <n v="48"/>
    <n v="144.87"/>
    <n v="23.47"/>
  </r>
  <r>
    <x v="22"/>
    <n v="0"/>
    <n v="20"/>
    <n v="257"/>
    <n v="34"/>
    <n v="2"/>
    <n v="18"/>
    <n v="1"/>
    <n v="73"/>
    <n v="19"/>
    <n v="1"/>
    <n v="0"/>
    <s v="Steelers"/>
    <n v="0"/>
    <n v="32"/>
    <n v="354"/>
    <n v="39"/>
    <n v="3"/>
    <n v="26"/>
    <n v="0"/>
    <n v="91"/>
    <n v="28"/>
    <n v="0"/>
    <n v="0"/>
    <s v="L"/>
    <n v="0"/>
    <n v="94.14"/>
    <n v="72.33"/>
    <n v="97.03"/>
    <n v="124.6"/>
    <n v="0.57999999999999996"/>
    <n v="0.42000000000000004"/>
    <s v="N"/>
    <s v="N"/>
    <s v="N"/>
    <s v="N"/>
    <s v="N"/>
    <n v="103.88"/>
    <n v="76.8"/>
    <n v="89.11"/>
    <n v="111.16"/>
    <n v="12"/>
    <n v="52"/>
    <n v="11.899999999999977"/>
    <n v="100.84"/>
  </r>
  <r>
    <x v="15"/>
    <n v="0"/>
    <n v="32"/>
    <n v="354"/>
    <n v="39"/>
    <n v="3"/>
    <n v="26"/>
    <n v="0"/>
    <n v="91"/>
    <n v="28"/>
    <n v="0"/>
    <n v="0"/>
    <s v="Cardinals"/>
    <n v="0"/>
    <n v="20"/>
    <n v="257"/>
    <n v="34"/>
    <n v="2"/>
    <n v="18"/>
    <n v="1"/>
    <n v="73"/>
    <n v="19"/>
    <n v="1"/>
    <n v="0"/>
    <s v="W"/>
    <n v="0"/>
    <n v="127.67"/>
    <n v="105.86"/>
    <n v="75.400000000000006"/>
    <n v="102.97"/>
    <n v="0.64"/>
    <n v="0.36"/>
    <s v="N"/>
    <s v="N"/>
    <s v="N"/>
    <s v="N"/>
    <s v="N"/>
    <n v="123.93"/>
    <n v="97.53"/>
    <n v="86.26"/>
    <n v="99.07"/>
    <n v="12"/>
    <n v="52"/>
    <n v="11.899999999999977"/>
    <n v="100.84"/>
  </r>
  <r>
    <x v="31"/>
    <n v="0"/>
    <n v="0"/>
    <n v="167"/>
    <n v="35"/>
    <n v="0"/>
    <n v="15"/>
    <n v="6"/>
    <n v="155"/>
    <n v="27"/>
    <n v="0"/>
    <n v="0"/>
    <s v="Chiefs"/>
    <n v="0"/>
    <n v="28"/>
    <n v="161"/>
    <n v="30"/>
    <n v="0"/>
    <n v="15"/>
    <n v="2"/>
    <n v="139"/>
    <n v="39"/>
    <n v="2"/>
    <n v="0"/>
    <s v="L"/>
    <n v="0"/>
    <n v="17.43"/>
    <n v="140.75"/>
    <n v="133.19"/>
    <n v="109.62"/>
    <n v="0.43"/>
    <n v="0.57000000000000006"/>
    <s v="N"/>
    <s v="N"/>
    <s v="N"/>
    <s v="N"/>
    <s v="N"/>
    <n v="18.899999999999999"/>
    <n v="128.44999999999999"/>
    <n v="132.6"/>
    <n v="102.2"/>
    <n v="28"/>
    <n v="28"/>
    <n v="0.99000000000000909"/>
    <n v="2828.28"/>
  </r>
  <r>
    <x v="6"/>
    <n v="0"/>
    <n v="28"/>
    <n v="161"/>
    <n v="30"/>
    <n v="0"/>
    <n v="15"/>
    <n v="2"/>
    <n v="139"/>
    <n v="39"/>
    <n v="2"/>
    <n v="0"/>
    <s v="Raiders"/>
    <n v="0"/>
    <n v="0"/>
    <n v="167"/>
    <n v="35"/>
    <n v="0"/>
    <n v="15"/>
    <n v="6"/>
    <n v="155"/>
    <n v="27"/>
    <n v="0"/>
    <n v="0"/>
    <s v="W"/>
    <n v="0"/>
    <n v="59.25"/>
    <n v="182.57"/>
    <n v="90.38"/>
    <n v="66.81"/>
    <n v="0.56000000000000005"/>
    <n v="0.43999999999999995"/>
    <s v="N"/>
    <s v="N"/>
    <s v="N"/>
    <s v="N"/>
    <s v="N"/>
    <n v="67.09"/>
    <n v="158.83000000000001"/>
    <n v="78.44"/>
    <n v="82.37"/>
    <n v="28"/>
    <n v="28"/>
    <n v="0.99000000000000909"/>
    <n v="2828.28"/>
  </r>
  <r>
    <x v="19"/>
    <n v="0"/>
    <n v="27"/>
    <n v="217"/>
    <n v="32"/>
    <n v="2"/>
    <n v="13"/>
    <n v="2"/>
    <n v="218"/>
    <n v="31"/>
    <n v="1"/>
    <n v="0"/>
    <s v="Packers"/>
    <n v="0"/>
    <n v="33"/>
    <n v="307"/>
    <n v="30"/>
    <n v="3"/>
    <n v="24"/>
    <n v="0"/>
    <n v="114"/>
    <n v="26"/>
    <n v="0"/>
    <n v="1"/>
    <s v="L"/>
    <n v="0"/>
    <n v="68.209999999999994"/>
    <n v="49.22999999999999"/>
    <n v="167.99"/>
    <n v="109.82"/>
    <n v="0.54"/>
    <n v="0.45999999999999996"/>
    <s v="N"/>
    <s v="N"/>
    <s v="N"/>
    <s v="N"/>
    <s v="N"/>
    <n v="75.11"/>
    <n v="64.3"/>
    <n v="156.08000000000001"/>
    <n v="95.77"/>
    <n v="6"/>
    <n v="60"/>
    <n v="4.7500000000000284"/>
    <n v="126.32"/>
  </r>
  <r>
    <x v="0"/>
    <n v="0"/>
    <n v="33"/>
    <n v="307"/>
    <n v="30"/>
    <n v="3"/>
    <n v="24"/>
    <n v="0"/>
    <n v="114"/>
    <n v="26"/>
    <n v="0"/>
    <n v="1"/>
    <s v="Vikings"/>
    <n v="0"/>
    <n v="27"/>
    <n v="217"/>
    <n v="32"/>
    <n v="2"/>
    <n v="13"/>
    <n v="2"/>
    <n v="218"/>
    <n v="31"/>
    <n v="1"/>
    <n v="0"/>
    <s v="W"/>
    <n v="0"/>
    <n v="150.77000000000001"/>
    <n v="131.79000000000002"/>
    <n v="90.18"/>
    <n v="32.009999999999991"/>
    <n v="0.51"/>
    <n v="0.49"/>
    <s v="N"/>
    <s v="N"/>
    <s v="N"/>
    <s v="N"/>
    <s v="N"/>
    <n v="137.13"/>
    <n v="110.71"/>
    <n v="106.02"/>
    <n v="40.89"/>
    <n v="6"/>
    <n v="60"/>
    <n v="4.7500000000000284"/>
    <n v="126.32"/>
  </r>
  <r>
    <x v="27"/>
    <n v="0"/>
    <n v="34"/>
    <n v="151"/>
    <n v="24"/>
    <n v="2"/>
    <n v="14"/>
    <n v="0"/>
    <n v="294"/>
    <n v="34"/>
    <n v="2"/>
    <n v="1"/>
    <s v="Rams"/>
    <n v="0"/>
    <n v="7"/>
    <n v="195"/>
    <n v="33"/>
    <n v="0"/>
    <n v="20"/>
    <n v="1"/>
    <n v="70"/>
    <n v="21"/>
    <n v="1"/>
    <n v="1"/>
    <s v="W"/>
    <n v="0"/>
    <n v="105.12"/>
    <n v="116.28"/>
    <n v="200.61"/>
    <n v="129.81"/>
    <n v="0.61"/>
    <n v="0.39"/>
    <s v="N"/>
    <s v="N"/>
    <s v="N"/>
    <s v="N"/>
    <s v="N"/>
    <n v="107.78"/>
    <n v="92.95"/>
    <n v="142.80000000000001"/>
    <n v="105.69"/>
    <n v="27"/>
    <n v="41"/>
    <n v="151.82000000000002"/>
    <n v="17.78"/>
  </r>
  <r>
    <x v="12"/>
    <n v="0"/>
    <n v="7"/>
    <n v="195"/>
    <n v="33"/>
    <n v="0"/>
    <n v="20"/>
    <n v="1"/>
    <n v="70"/>
    <n v="21"/>
    <n v="1"/>
    <n v="1"/>
    <s v="Cowboys"/>
    <n v="0"/>
    <n v="34"/>
    <n v="151"/>
    <n v="24"/>
    <n v="2"/>
    <n v="14"/>
    <n v="0"/>
    <n v="294"/>
    <n v="34"/>
    <n v="2"/>
    <n v="1"/>
    <s v="L"/>
    <n v="0"/>
    <n v="83.72"/>
    <n v="94.88"/>
    <n v="70.19"/>
    <n v="-0.61000000000001364"/>
    <n v="0.41"/>
    <n v="0.59000000000000008"/>
    <s v="N"/>
    <s v="N"/>
    <s v="N"/>
    <s v="N"/>
    <s v="N"/>
    <n v="91.83"/>
    <n v="98.38"/>
    <n v="92.99"/>
    <n v="-0.56000000000000005"/>
    <n v="27"/>
    <n v="41"/>
    <n v="151.82000000000002"/>
    <n v="17.78"/>
  </r>
  <r>
    <x v="1"/>
    <n v="0"/>
    <n v="62"/>
    <n v="321"/>
    <n v="35"/>
    <n v="5"/>
    <n v="31"/>
    <n v="0"/>
    <n v="236"/>
    <n v="38"/>
    <n v="2"/>
    <n v="0"/>
    <s v="Colts"/>
    <n v="0"/>
    <n v="7"/>
    <n v="97"/>
    <n v="22"/>
    <n v="0"/>
    <n v="12"/>
    <n v="1"/>
    <n v="155"/>
    <n v="23"/>
    <n v="1"/>
    <n v="2"/>
    <s v="W"/>
    <n v="0"/>
    <n v="159.97999999999999"/>
    <n v="135.06"/>
    <n v="151.97999999999999"/>
    <n v="63.22"/>
    <n v="0.49"/>
    <n v="0.51"/>
    <s v="N"/>
    <s v="N"/>
    <s v="N"/>
    <s v="N"/>
    <s v="N"/>
    <n v="124.63"/>
    <n v="116.13"/>
    <n v="156.63"/>
    <n v="53.19"/>
    <n v="55"/>
    <n v="69"/>
    <n v="110.23999999999998"/>
    <n v="49.89"/>
  </r>
  <r>
    <x v="5"/>
    <n v="0"/>
    <n v="7"/>
    <n v="97"/>
    <n v="22"/>
    <n v="0"/>
    <n v="12"/>
    <n v="1"/>
    <n v="155"/>
    <n v="23"/>
    <n v="1"/>
    <n v="2"/>
    <s v="Saints"/>
    <n v="0"/>
    <n v="62"/>
    <n v="321"/>
    <n v="35"/>
    <n v="5"/>
    <n v="31"/>
    <n v="0"/>
    <n v="236"/>
    <n v="38"/>
    <n v="2"/>
    <n v="0"/>
    <s v="L"/>
    <n v="0"/>
    <n v="64.94"/>
    <n v="40.02000000000001"/>
    <n v="136.78"/>
    <n v="48.02000000000001"/>
    <n v="0.48"/>
    <n v="0.52"/>
    <s v="N"/>
    <s v="N"/>
    <s v="N"/>
    <s v="N"/>
    <s v="N"/>
    <n v="71.38"/>
    <n v="46.77"/>
    <n v="97.45"/>
    <n v="49.27"/>
    <n v="55"/>
    <n v="69"/>
    <n v="110.23999999999998"/>
    <n v="49.89"/>
  </r>
  <r>
    <x v="8"/>
    <n v="0"/>
    <n v="12"/>
    <n v="73"/>
    <n v="20"/>
    <n v="0"/>
    <n v="9"/>
    <n v="0"/>
    <n v="132"/>
    <n v="42"/>
    <n v="0"/>
    <n v="1"/>
    <s v="Ravens"/>
    <n v="0"/>
    <n v="7"/>
    <n v="112"/>
    <n v="38"/>
    <n v="1"/>
    <n v="21"/>
    <n v="1"/>
    <n v="34"/>
    <n v="12"/>
    <n v="0"/>
    <n v="1"/>
    <s v="W"/>
    <n v="0"/>
    <n v="64.89"/>
    <n v="132.62"/>
    <n v="65.77"/>
    <s v=" "/>
    <n v="0.76"/>
    <n v="0.24"/>
    <s v="N"/>
    <s v="N"/>
    <s v="N"/>
    <s v="N"/>
    <s v="Y"/>
    <n v="81.59"/>
    <n v="111.51"/>
    <n v="95.96"/>
    <s v=" "/>
    <n v="5"/>
    <n v="19"/>
    <s v=" "/>
    <s v=" "/>
  </r>
  <r>
    <x v="14"/>
    <n v="0"/>
    <n v="7"/>
    <n v="112"/>
    <n v="38"/>
    <n v="1"/>
    <n v="21"/>
    <n v="1"/>
    <n v="34"/>
    <n v="12"/>
    <n v="0"/>
    <n v="1"/>
    <s v="Jaguars"/>
    <n v="0"/>
    <n v="12"/>
    <n v="73"/>
    <n v="20"/>
    <n v="0"/>
    <n v="9"/>
    <n v="0"/>
    <n v="132"/>
    <n v="42"/>
    <n v="0"/>
    <n v="1"/>
    <s v="L"/>
    <n v="0"/>
    <n v="67.38"/>
    <n v="135.11000000000001"/>
    <s v=" "/>
    <n v="134.23000000000002"/>
    <n v="0.32"/>
    <n v="0.67999999999999994"/>
    <s v="N"/>
    <s v="N"/>
    <s v="Y"/>
    <s v="N"/>
    <s v="N"/>
    <n v="72.680000000000007"/>
    <n v="95.29"/>
    <s v=" "/>
    <n v="122.19"/>
    <n v="5"/>
    <n v="19"/>
    <s v=" "/>
    <s v="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K36" firstHeaderRow="0" firstDataRow="1" firstDataCol="1"/>
  <pivotFields count="45">
    <pivotField axis="axisRow" compact="0" outline="0" showAll="0">
      <items count="161">
        <item m="1" x="83"/>
        <item m="1" x="43"/>
        <item m="1" x="71"/>
        <item m="1" x="55"/>
        <item m="1" x="57"/>
        <item m="1" x="120"/>
        <item m="1" x="123"/>
        <item m="1" x="106"/>
        <item m="1" x="145"/>
        <item m="1" x="32"/>
        <item m="1" x="44"/>
        <item m="1" x="50"/>
        <item m="1" x="48"/>
        <item m="1" x="73"/>
        <item m="1" x="149"/>
        <item m="1" x="115"/>
        <item m="1" x="143"/>
        <item m="1" x="87"/>
        <item m="1" x="126"/>
        <item m="1" x="64"/>
        <item m="1" x="65"/>
        <item m="1" x="68"/>
        <item m="1" x="93"/>
        <item m="1" x="75"/>
        <item m="1" x="117"/>
        <item m="1" x="63"/>
        <item m="1" x="42"/>
        <item m="1" x="146"/>
        <item m="1" x="107"/>
        <item m="1" x="111"/>
        <item m="1" x="66"/>
        <item m="1" x="150"/>
        <item m="1" x="158"/>
        <item m="1" x="53"/>
        <item m="1" x="104"/>
        <item m="1" x="136"/>
        <item m="1" x="90"/>
        <item m="1" x="56"/>
        <item m="1" x="47"/>
        <item m="1" x="108"/>
        <item m="1" x="46"/>
        <item m="1" x="151"/>
        <item m="1" x="51"/>
        <item m="1" x="33"/>
        <item m="1" x="59"/>
        <item m="1" x="62"/>
        <item m="1" x="152"/>
        <item m="1" x="130"/>
        <item m="1" x="127"/>
        <item m="1" x="96"/>
        <item m="1" x="34"/>
        <item m="1" x="112"/>
        <item m="1" x="86"/>
        <item m="1" x="92"/>
        <item m="1" x="156"/>
        <item m="1" x="82"/>
        <item m="1" x="84"/>
        <item m="1" x="37"/>
        <item m="1" x="125"/>
        <item m="1" x="97"/>
        <item m="1" x="77"/>
        <item m="1" x="94"/>
        <item m="1" x="109"/>
        <item m="1" x="61"/>
        <item m="1" x="157"/>
        <item m="1" x="102"/>
        <item m="1" x="138"/>
        <item m="1" x="49"/>
        <item m="1" x="142"/>
        <item m="1" x="78"/>
        <item m="1" x="110"/>
        <item m="1" x="137"/>
        <item m="1" x="60"/>
        <item m="1" x="124"/>
        <item m="1" x="35"/>
        <item m="1" x="38"/>
        <item m="1" x="91"/>
        <item m="1" x="54"/>
        <item m="1" x="40"/>
        <item m="1" x="141"/>
        <item m="1" x="116"/>
        <item m="1" x="95"/>
        <item m="1" x="131"/>
        <item m="1" x="139"/>
        <item m="1" x="70"/>
        <item m="1" x="133"/>
        <item m="1" x="58"/>
        <item m="1" x="105"/>
        <item m="1" x="41"/>
        <item m="1" x="72"/>
        <item m="1" x="153"/>
        <item m="1" x="74"/>
        <item m="1" x="88"/>
        <item m="1" x="148"/>
        <item m="1" x="129"/>
        <item m="1" x="39"/>
        <item m="1" x="122"/>
        <item m="1" x="134"/>
        <item m="1" x="154"/>
        <item m="1" x="101"/>
        <item m="1" x="119"/>
        <item m="1" x="76"/>
        <item m="1" x="100"/>
        <item m="1" x="67"/>
        <item m="1" x="144"/>
        <item m="1" x="118"/>
        <item m="1" x="80"/>
        <item m="1" x="121"/>
        <item m="1" x="114"/>
        <item m="1" x="98"/>
        <item m="1" x="135"/>
        <item m="1" x="103"/>
        <item m="1" x="69"/>
        <item m="1" x="85"/>
        <item m="1" x="36"/>
        <item m="1" x="128"/>
        <item m="1" x="113"/>
        <item m="1" x="89"/>
        <item m="1" x="45"/>
        <item m="1" x="159"/>
        <item m="1" x="81"/>
        <item m="1" x="99"/>
        <item m="1" x="52"/>
        <item m="1" x="79"/>
        <item m="1" x="155"/>
        <item m="1" x="147"/>
        <item m="1" x="132"/>
        <item m="1" x="1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Passing Efficiency" fld="26" subtotal="average" baseField="0" baseItem="0"/>
    <dataField name="Average of Passing Defense Efficiency" fld="27" subtotal="average" baseField="0" baseItem="0"/>
    <dataField name="Average of Rushing Efficiency" fld="28" subtotal="average" baseField="0" baseItem="0"/>
    <dataField name="Average of Rushing Defense Efficiency" fld="29" subtotal="average" baseField="0" baseItem="0"/>
    <dataField name="Average of Weighted Passing Efficiency" fld="37" subtotal="average" baseField="40" baseItem="115"/>
    <dataField name="Average of Weighted Passing Defense Efficiency" fld="38" subtotal="average" baseField="40" baseItem="115"/>
    <dataField name="Average of Weighted Rushing Efficiency" fld="39" subtotal="average" baseField="40" baseItem="115"/>
    <dataField name="Average of Weighted Rushing Defense Efficiency" fld="40" subtotal="average" baseField="0" baseItem="97"/>
    <dataField name="Average of Passing Weight" fld="30" subtotal="average" baseField="0" baseItem="51"/>
    <dataField name="Average of Rushing Weight" fld="31" subtotal="average" baseField="0" baseItem="51"/>
  </dataFields>
  <formats count="2">
    <format dxfId="37">
      <pivotArea outline="0" collapsedLevelsAreSubtotals="1" fieldPosition="0"/>
    </format>
    <format dxfId="36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S207" totalsRowShown="0" headerRowDxfId="35">
  <autoFilter ref="A1:AS207"/>
  <sortState ref="A2:AG881">
    <sortCondition ref="A1:A881"/>
  </sortState>
  <tableColumns count="45">
    <tableColumn id="1" name="Team Name"/>
    <tableColumn id="2" name="Team Id"/>
    <tableColumn id="3" name="Team Score"/>
    <tableColumn id="4" name="Passing Yards"/>
    <tableColumn id="5" name="Passing Attempts"/>
    <tableColumn id="6" name="Passing TDs"/>
    <tableColumn id="7" name="Passing Completions"/>
    <tableColumn id="8" name="INTs"/>
    <tableColumn id="9" name="Rushing Yards"/>
    <tableColumn id="10" name="Rushing Attempts"/>
    <tableColumn id="11" name="Rushing TDs"/>
    <tableColumn id="12" name="Fumbles"/>
    <tableColumn id="13" name="Opp Team Name"/>
    <tableColumn id="14" name="Opp Team Id"/>
    <tableColumn id="15" name="Opp Team Score"/>
    <tableColumn id="16" name="Opp Passing Yards"/>
    <tableColumn id="17" name="Opp Passing Attempts"/>
    <tableColumn id="18" name="Opp Passing TDs"/>
    <tableColumn id="19" name="Opp Passing Completions"/>
    <tableColumn id="20" name="Opp INTs"/>
    <tableColumn id="21" name="Opp Rushing Yards"/>
    <tableColumn id="22" name="Opp Rushing Attempts"/>
    <tableColumn id="23" name="Opp Rushing TDs"/>
    <tableColumn id="24" name="Opp Fumbles"/>
    <tableColumn id="25" name="Win"/>
    <tableColumn id="26" name="Week Number"/>
    <tableColumn id="27" name="Passing Efficiency" dataDxfId="34">
      <calculatedColumnFormula>IF(AND(Table1[[#This Row],[Throw Out Pass Eff]]="N", Table1[[#This Row],[Against FCS Team]]="N"), ROUND(((5.45 * D2) + (150 * F2) + (100 * G2) - (300 * H2)) / E2, 2), " ")</calculatedColumnFormula>
    </tableColumn>
    <tableColumn id="28" name="Passing Defense Efficiency" dataDxfId="33">
      <calculatedColumnFormula>IF(AND(Table1[[#This Row],[Throw Out Pass Def Eff]]="N", Table1[[#This Row],[Against FCS Team]]="N"),200 - ROUND(((5.45 * P2) + (150 * R2) + (100 * S2) - (300 * T2)) / Q2, 2), " ")</calculatedColumnFormula>
    </tableColumn>
    <tableColumn id="29" name="Rushing Efficiency" dataDxfId="32">
      <calculatedColumnFormula>IF(AND(Table1[[#This Row],[Throw Out Rush Eff]]="N", Table1[[#This Row],[Against FCS Team]]="N"), ROUND(((23.2 * I2) + (150 * K2) - (300 * L2)) / J2, 2), " ")</calculatedColumnFormula>
    </tableColumn>
    <tableColumn id="30" name="Rushing Defense Efficiency" dataDxfId="31">
      <calculatedColumnFormula>IF(AND(Table1[[#This Row],[Throw Out Rush Def Eff]]="N", Table1[[#This Row],[Against FCS Team]]="N"), 200 - ROUND(((23.2 * U2) + (150 * W2) - (300 * X2)) / V2, 2), " ")</calculatedColumnFormula>
    </tableColumn>
    <tableColumn id="31" name="Passing Weight" dataDxfId="30">
      <calculatedColumnFormula>ROUND(Table1[[#This Row],[Opp Passing Attempts]]/(Table1[[#This Row],[Opp Passing Attempts]]+Table1[[#This Row],[Opp Rushing Attempts]]), 2)</calculatedColumnFormula>
    </tableColumn>
    <tableColumn id="32" name="Rushing Weight" dataDxfId="29">
      <calculatedColumnFormula>1-Table1[[#This Row],[Passing Weight]]</calculatedColumnFormula>
    </tableColumn>
    <tableColumn id="33" name="Against FCS Team" dataDxfId="28">
      <calculatedColumnFormula>IF(COUNTIF(A:A,Table1[[#This Row],[Opp Team Name]]) &gt; 0, "N", "Y")</calculatedColumnFormula>
    </tableColumn>
    <tableColumn id="34" name="Throw Out Pass Eff" dataDxfId="27">
      <calculatedColumnFormula>IF(Table1[[#This Row],[Passing Attempts]] &lt;15, "Y", "N")</calculatedColumnFormula>
    </tableColumn>
    <tableColumn id="35" name="Throw Out Rush Eff" dataDxfId="26">
      <calculatedColumnFormula>IF(Table1[[#This Row],[Rushing Attempts]] &lt; 15, "Y", "N")</calculatedColumnFormula>
    </tableColumn>
    <tableColumn id="36" name="Throw Out Pass Def Eff" dataDxfId="25">
      <calculatedColumnFormula>IF(Table1[[#This Row],[Opp Passing Attempts]]&lt;15, "Y", "N")</calculatedColumnFormula>
    </tableColumn>
    <tableColumn id="37" name="Throw Out Rush Def Eff" dataDxfId="24">
      <calculatedColumnFormula>IF(Table1[[#This Row],[Opp Rushing Attempts]]&lt;15, "Y", "N")</calculatedColumnFormula>
    </tableColumn>
    <tableColumn id="38" name="Weighted Passing Efficiency" dataDxfId="23">
      <calculatedColumnFormula>IF(AND(Table1[[#This Row],[Throw Out Pass Eff]]="N", Table1[[#This Row],[Against FCS Team]]="N"), ROUND(Table1[[#This Row],[Passing Efficiency]]*(GETPIVOTDATA("Passing Defense Efficiency",'Team Stats'!$A$3,"Team Name",Table1[[#This Row],[Opp Team Name]]) / 100), 2), " ")</calculatedColumnFormula>
    </tableColumn>
    <tableColumn id="39" name="Weighted Passing Defense Efficiency" dataDxfId="22">
      <calculatedColumnFormula>IF(AND(Table1[[#This Row],[Throw Out Pass Def Eff]]="N", Table1[[#This Row],[Against FCS Team]]="N"), ROUND(Table1[[#This Row],[Passing Defense Efficiency]]*(GETPIVOTDATA("Passing Efficiency",'Team Stats'!$A$3,"Team Name",Table1[[#This Row],[Opp Team Name]]) / 100), 2), " ")</calculatedColumnFormula>
    </tableColumn>
    <tableColumn id="40" name="Weighted Rushing Efficiency" dataDxfId="21">
      <calculatedColumnFormula>IF(AND(Table1[[#This Row],[Throw Out Rush Eff]]="N", Table1[[#This Row],[Against FCS Team]]="N"), ROUND(Table1[[#This Row],[Rushing Efficiency]]*(GETPIVOTDATA("Rushing Defense Efficiency",'Team Stats'!$A$3,"Team Name",Table1[[#This Row],[Opp Team Name]]) / 100), 2), " ")</calculatedColumnFormula>
    </tableColumn>
    <tableColumn id="41" name="Weighted Rushing Defense Efficiency" dataDxfId="20">
      <calculatedColumnFormula>IF(AND(Table1[[#This Row],[Throw Out Rush Def Eff]]="N", Table1[[#This Row],[Against FCS Team]]="N"), ROUND(Table1[[#This Row],[Rushing Defense Efficiency]]*(GETPIVOTDATA("Rushing Efficiency",'Team Stats'!$A$3,"Team Name",Table1[[#This Row],[Opp Team Name]]) / 100), 2), " ")</calculatedColumnFormula>
    </tableColumn>
    <tableColumn id="42" name="Winning Margin" dataDxfId="19">
      <calculatedColumnFormula>ABS(Table1[[#This Row],[Team Score]]-Table1[[#This Row],[Opp Team Score]])</calculatedColumnFormula>
    </tableColumn>
    <tableColumn id="43" name="Total Score" dataDxfId="18">
      <calculatedColumnFormula>SUM(Table1[[#This Row],[Team Score]], Table1[[#This Row],[Opp Team Score]])</calculatedColumnFormula>
    </tableColumn>
    <tableColumn id="44" name="Efficiency Difference" dataDxfId="17">
      <calculatedColumnFormula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calculatedColumnFormula>
    </tableColumn>
    <tableColumn id="45" name="Efficiency Coefficient" dataDxfId="16">
      <calculatedColumnFormula>IF(Table1[[#This Row],[Efficiency Difference]] = " ", " ", ROUND((Table1[[#This Row],[Winning Margin]]*100)/Table1[[#This Row],[Efficiency Difference]], 2))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X1:AG189" totalsRowShown="0">
  <autoFilter ref="X1:AG189"/>
  <tableColumns count="10">
    <tableColumn id="1" name="Efficiency Difference" dataDxfId="9"/>
    <tableColumn id="2" name="Scoring Margin" dataDxfId="8"/>
    <tableColumn id="3" name="Below y=0.2146x" dataDxfId="7">
      <calculatedColumnFormula>IF(Table3[[#This Row],[Efficiency Difference]]*0.2146 &gt; Table3[[#This Row],[Scoring Margin]], 1, 0)</calculatedColumnFormula>
    </tableColumn>
    <tableColumn id="4" name="Below y=0.2146x + 7" dataDxfId="6">
      <calculatedColumnFormula>IF(Table3[[#This Row],[Efficiency Difference]]*0.2146 + 7 &gt; Table3[[#This Row],[Scoring Margin]], 1, 0)</calculatedColumnFormula>
    </tableColumn>
    <tableColumn id="5" name="&quot;+14&quot;" dataDxfId="5">
      <calculatedColumnFormula>IF(Table3[[#This Row],[Efficiency Difference]]*0.2146 + 14 &gt; Table3[[#This Row],[Scoring Margin]], 1, 0)</calculatedColumnFormula>
    </tableColumn>
    <tableColumn id="6" name="&quot;+21&quot;" dataDxfId="4">
      <calculatedColumnFormula>IF(Table3[[#This Row],[Efficiency Difference]]*0.2146 + 21 &gt; Table3[[#This Row],[Scoring Margin]], 1, 0)</calculatedColumnFormula>
    </tableColumn>
    <tableColumn id="7" name="&quot;-7&quot;" dataDxfId="3">
      <calculatedColumnFormula>IF(Table3[[#This Row],[Efficiency Difference]]*0.2146 -7 &gt; Table3[[#This Row],[Scoring Margin]], 1, 0)</calculatedColumnFormula>
    </tableColumn>
    <tableColumn id="8" name="&quot;-3&quot;" dataDxfId="2">
      <calculatedColumnFormula>IF(Table3[[#This Row],[Efficiency Difference]]*0.2146 -3 &gt; Table3[[#This Row],[Scoring Margin]], 1, 0)</calculatedColumnFormula>
    </tableColumn>
    <tableColumn id="9" name="&quot;-5&quot;" dataDxfId="1">
      <calculatedColumnFormula>IF(Table3[[#This Row],[Efficiency Difference]]*0.2146 -5 &gt; Table3[[#This Row],[Scoring Margin]], 1, 0)</calculatedColumnFormula>
    </tableColumn>
    <tableColumn id="10" name="&quot;-10&quot;" dataDxfId="0">
      <calculatedColumnFormula>IF(Table3[[#This Row],[Efficiency Difference]]*0.2146 -10 &gt; Table3[[#This Row],[Scoring Margin]], 1, 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004"/>
  <sheetViews>
    <sheetView workbookViewId="0">
      <selection activeCell="C10" sqref="C10"/>
    </sheetView>
  </sheetViews>
  <sheetFormatPr defaultRowHeight="15"/>
  <cols>
    <col min="1" max="1" width="13.85546875" customWidth="1"/>
    <col min="2" max="2" width="27.140625" style="5" customWidth="1"/>
    <col min="3" max="3" width="35.28515625" style="5" customWidth="1"/>
    <col min="4" max="4" width="27.5703125" style="5" customWidth="1"/>
    <col min="5" max="5" width="35.7109375" style="5" customWidth="1"/>
    <col min="6" max="6" width="36.7109375" customWidth="1"/>
    <col min="7" max="7" width="44.85546875" customWidth="1"/>
    <col min="8" max="8" width="37.140625" customWidth="1"/>
    <col min="9" max="9" width="45.28515625" customWidth="1"/>
    <col min="10" max="10" width="25" customWidth="1"/>
    <col min="11" max="11" width="25.5703125" customWidth="1"/>
    <col min="12" max="29" width="6" customWidth="1"/>
    <col min="30" max="30" width="5" customWidth="1"/>
    <col min="31" max="43" width="6" customWidth="1"/>
    <col min="44" max="44" width="5" customWidth="1"/>
    <col min="45" max="68" width="6" customWidth="1"/>
    <col min="69" max="69" width="5" customWidth="1"/>
    <col min="70" max="93" width="6" customWidth="1"/>
    <col min="94" max="95" width="5" customWidth="1"/>
    <col min="96" max="101" width="6" customWidth="1"/>
    <col min="102" max="102" width="3" customWidth="1"/>
    <col min="103" max="116" width="6" customWidth="1"/>
    <col min="117" max="117" width="5" customWidth="1"/>
    <col min="118" max="131" width="6" customWidth="1"/>
    <col min="132" max="132" width="5" customWidth="1"/>
    <col min="133" max="133" width="6" customWidth="1"/>
    <col min="134" max="134" width="5" customWidth="1"/>
    <col min="135" max="136" width="6" customWidth="1"/>
    <col min="137" max="138" width="5" customWidth="1"/>
    <col min="139" max="148" width="6" customWidth="1"/>
    <col min="149" max="149" width="5" customWidth="1"/>
    <col min="150" max="181" width="6" customWidth="1"/>
    <col min="182" max="182" width="5" customWidth="1"/>
    <col min="183" max="188" width="6" customWidth="1"/>
    <col min="189" max="189" width="5" customWidth="1"/>
    <col min="190" max="208" width="6" customWidth="1"/>
    <col min="209" max="209" width="5" customWidth="1"/>
    <col min="210" max="212" width="6" customWidth="1"/>
    <col min="213" max="213" width="5" customWidth="1"/>
    <col min="214" max="216" width="6" customWidth="1"/>
    <col min="217" max="217" width="5" customWidth="1"/>
    <col min="218" max="230" width="6" customWidth="1"/>
    <col min="231" max="231" width="5" customWidth="1"/>
    <col min="232" max="254" width="6" customWidth="1"/>
    <col min="255" max="256" width="5" customWidth="1"/>
    <col min="257" max="258" width="6" customWidth="1"/>
    <col min="259" max="259" width="5" customWidth="1"/>
    <col min="260" max="266" width="6" customWidth="1"/>
    <col min="267" max="267" width="5" customWidth="1"/>
    <col min="268" max="272" width="6" customWidth="1"/>
    <col min="273" max="273" width="5" customWidth="1"/>
    <col min="274" max="277" width="6" customWidth="1"/>
    <col min="278" max="278" width="5" customWidth="1"/>
    <col min="279" max="288" width="6" customWidth="1"/>
    <col min="289" max="289" width="5" customWidth="1"/>
    <col min="290" max="293" width="6" customWidth="1"/>
    <col min="294" max="294" width="5" customWidth="1"/>
    <col min="295" max="304" width="6" customWidth="1"/>
    <col min="305" max="305" width="3" customWidth="1"/>
    <col min="306" max="307" width="6" customWidth="1"/>
    <col min="308" max="308" width="5" customWidth="1"/>
    <col min="309" max="315" width="6" customWidth="1"/>
    <col min="316" max="316" width="5" customWidth="1"/>
    <col min="317" max="317" width="6" customWidth="1"/>
    <col min="318" max="318" width="5" customWidth="1"/>
    <col min="319" max="320" width="6" customWidth="1"/>
    <col min="321" max="321" width="5" customWidth="1"/>
    <col min="322" max="322" width="3" customWidth="1"/>
    <col min="323" max="332" width="6" customWidth="1"/>
    <col min="333" max="333" width="3" customWidth="1"/>
    <col min="334" max="339" width="6" customWidth="1"/>
    <col min="340" max="340" width="5" customWidth="1"/>
    <col min="341" max="341" width="6" customWidth="1"/>
    <col min="342" max="342" width="3" customWidth="1"/>
    <col min="343" max="346" width="6" customWidth="1"/>
    <col min="347" max="347" width="5" customWidth="1"/>
    <col min="348" max="355" width="6" customWidth="1"/>
    <col min="356" max="356" width="5" customWidth="1"/>
    <col min="357" max="363" width="6" customWidth="1"/>
    <col min="364" max="364" width="3" customWidth="1"/>
    <col min="365" max="379" width="6" customWidth="1"/>
    <col min="380" max="381" width="5" customWidth="1"/>
    <col min="382" max="383" width="6" customWidth="1"/>
    <col min="384" max="401" width="7" customWidth="1"/>
    <col min="402" max="402" width="6" customWidth="1"/>
    <col min="403" max="411" width="7" customWidth="1"/>
    <col min="412" max="412" width="6" customWidth="1"/>
    <col min="413" max="414" width="7" customWidth="1"/>
    <col min="415" max="415" width="6" customWidth="1"/>
    <col min="416" max="417" width="7" customWidth="1"/>
    <col min="418" max="418" width="6" customWidth="1"/>
    <col min="419" max="424" width="7" customWidth="1"/>
    <col min="425" max="425" width="6" customWidth="1"/>
    <col min="426" max="426" width="7" customWidth="1"/>
    <col min="427" max="427" width="6" customWidth="1"/>
    <col min="428" max="430" width="7" customWidth="1"/>
    <col min="431" max="431" width="6" customWidth="1"/>
    <col min="432" max="433" width="7" customWidth="1"/>
    <col min="434" max="434" width="6" customWidth="1"/>
    <col min="435" max="439" width="7" customWidth="1"/>
    <col min="440" max="440" width="6" customWidth="1"/>
    <col min="441" max="441" width="7" customWidth="1"/>
    <col min="442" max="442" width="6" customWidth="1"/>
    <col min="443" max="458" width="7" customWidth="1"/>
    <col min="459" max="459" width="6" customWidth="1"/>
    <col min="460" max="461" width="7" customWidth="1"/>
    <col min="462" max="462" width="6" customWidth="1"/>
    <col min="463" max="465" width="7" customWidth="1"/>
    <col min="466" max="466" width="6" customWidth="1"/>
    <col min="467" max="468" width="7" customWidth="1"/>
    <col min="469" max="469" width="6" customWidth="1"/>
    <col min="470" max="486" width="7" customWidth="1"/>
    <col min="487" max="487" width="6" customWidth="1"/>
    <col min="488" max="497" width="7" customWidth="1"/>
    <col min="498" max="498" width="6" customWidth="1"/>
    <col min="499" max="501" width="7" customWidth="1"/>
    <col min="502" max="502" width="6" customWidth="1"/>
    <col min="503" max="515" width="7" customWidth="1"/>
    <col min="516" max="516" width="6" customWidth="1"/>
    <col min="517" max="523" width="7" customWidth="1"/>
    <col min="524" max="524" width="6" customWidth="1"/>
    <col min="525" max="526" width="7" customWidth="1"/>
    <col min="527" max="527" width="6" customWidth="1"/>
    <col min="528" max="564" width="7" customWidth="1"/>
    <col min="565" max="565" width="6" customWidth="1"/>
    <col min="566" max="602" width="7" customWidth="1"/>
    <col min="603" max="603" width="6" customWidth="1"/>
    <col min="604" max="606" width="7" customWidth="1"/>
    <col min="607" max="607" width="6" customWidth="1"/>
    <col min="608" max="624" width="7" customWidth="1"/>
    <col min="625" max="625" width="6" customWidth="1"/>
    <col min="626" max="631" width="7" customWidth="1"/>
    <col min="632" max="632" width="6" customWidth="1"/>
    <col min="633" max="635" width="7" customWidth="1"/>
    <col min="636" max="636" width="6" customWidth="1"/>
    <col min="637" max="645" width="7" customWidth="1"/>
    <col min="646" max="646" width="6" customWidth="1"/>
    <col min="647" max="647" width="7" customWidth="1"/>
    <col min="648" max="648" width="6" customWidth="1"/>
    <col min="649" max="659" width="7" customWidth="1"/>
    <col min="660" max="660" width="6" customWidth="1"/>
    <col min="661" max="663" width="7" customWidth="1"/>
    <col min="664" max="664" width="6" customWidth="1"/>
    <col min="665" max="676" width="7" customWidth="1"/>
    <col min="677" max="677" width="6" customWidth="1"/>
    <col min="678" max="678" width="7" customWidth="1"/>
    <col min="679" max="679" width="6" customWidth="1"/>
    <col min="680" max="686" width="7" customWidth="1"/>
    <col min="687" max="687" width="6" customWidth="1"/>
    <col min="688" max="693" width="7" customWidth="1"/>
    <col min="694" max="694" width="6" customWidth="1"/>
    <col min="695" max="695" width="7" customWidth="1"/>
    <col min="696" max="696" width="6" customWidth="1"/>
    <col min="697" max="698" width="7" customWidth="1"/>
    <col min="699" max="699" width="6" customWidth="1"/>
    <col min="700" max="714" width="7" customWidth="1"/>
    <col min="715" max="716" width="6" customWidth="1"/>
    <col min="717" max="722" width="7" customWidth="1"/>
    <col min="723" max="723" width="4" customWidth="1"/>
    <col min="724" max="724" width="7" customWidth="1"/>
    <col min="725" max="725" width="6" customWidth="1"/>
    <col min="726" max="732" width="7" customWidth="1"/>
    <col min="733" max="733" width="1.42578125" customWidth="1"/>
    <col min="734" max="734" width="11.28515625" bestFit="1" customWidth="1"/>
  </cols>
  <sheetData>
    <row r="3" spans="1:11">
      <c r="A3" s="4" t="s">
        <v>0</v>
      </c>
      <c r="B3" t="s">
        <v>41</v>
      </c>
      <c r="C3" t="s">
        <v>42</v>
      </c>
      <c r="D3" t="s">
        <v>43</v>
      </c>
      <c r="E3" t="s">
        <v>44</v>
      </c>
      <c r="F3" t="s">
        <v>49</v>
      </c>
      <c r="G3" t="s">
        <v>50</v>
      </c>
      <c r="H3" t="s">
        <v>51</v>
      </c>
      <c r="I3" t="s">
        <v>52</v>
      </c>
      <c r="J3" t="s">
        <v>58</v>
      </c>
      <c r="K3" t="s">
        <v>59</v>
      </c>
    </row>
    <row r="4" spans="1:11">
      <c r="A4" t="s">
        <v>80</v>
      </c>
      <c r="B4" s="5">
        <v>130.60428571428571</v>
      </c>
      <c r="C4" s="5">
        <v>110.11857142857141</v>
      </c>
      <c r="D4" s="5">
        <v>87.208571428571432</v>
      </c>
      <c r="E4" s="5">
        <v>92.908333333333346</v>
      </c>
      <c r="F4" s="5">
        <v>128.2557142857143</v>
      </c>
      <c r="G4" s="5">
        <v>101.15571428571431</v>
      </c>
      <c r="H4" s="5">
        <v>82.34</v>
      </c>
      <c r="I4" s="5">
        <v>94.781666666666652</v>
      </c>
      <c r="J4" s="5">
        <v>0.64142857142857135</v>
      </c>
      <c r="K4" s="5">
        <v>0.35857142857142865</v>
      </c>
    </row>
    <row r="5" spans="1:11">
      <c r="A5" t="s">
        <v>81</v>
      </c>
      <c r="B5" s="5">
        <v>116.87714285714286</v>
      </c>
      <c r="C5" s="5">
        <v>109.91285714285716</v>
      </c>
      <c r="D5" s="5">
        <v>102.60857142857144</v>
      </c>
      <c r="E5" s="5">
        <v>71.24666666666667</v>
      </c>
      <c r="F5" s="5">
        <v>116.60142857142856</v>
      </c>
      <c r="G5" s="5">
        <v>102.4057142857143</v>
      </c>
      <c r="H5" s="5">
        <v>100.13142857142857</v>
      </c>
      <c r="I5" s="5">
        <v>66.443333333333342</v>
      </c>
      <c r="J5" s="5">
        <v>0.62285714285714289</v>
      </c>
      <c r="K5" s="5">
        <v>0.37714285714285711</v>
      </c>
    </row>
    <row r="6" spans="1:11">
      <c r="A6" t="s">
        <v>82</v>
      </c>
      <c r="B6" s="5">
        <v>93.049999999999983</v>
      </c>
      <c r="C6" s="5">
        <v>98.335714285714289</v>
      </c>
      <c r="D6" s="5">
        <v>118.58399999999999</v>
      </c>
      <c r="E6" s="5">
        <v>77.066000000000003</v>
      </c>
      <c r="F6" s="5">
        <v>95.597142857142856</v>
      </c>
      <c r="G6" s="5">
        <v>97.932857142857145</v>
      </c>
      <c r="H6" s="5">
        <v>120.79</v>
      </c>
      <c r="I6" s="5">
        <v>82.417999999999992</v>
      </c>
      <c r="J6" s="5">
        <v>0.66428571428571426</v>
      </c>
      <c r="K6" s="5">
        <v>0.33571428571428574</v>
      </c>
    </row>
    <row r="7" spans="1:11">
      <c r="A7" t="s">
        <v>83</v>
      </c>
      <c r="B7" s="5">
        <v>90.791428571428568</v>
      </c>
      <c r="C7" s="5">
        <v>100.46</v>
      </c>
      <c r="D7" s="5">
        <v>89.924999999999997</v>
      </c>
      <c r="E7" s="5">
        <v>109.85142857142856</v>
      </c>
      <c r="F7" s="5">
        <v>91.86571428571429</v>
      </c>
      <c r="G7" s="5">
        <v>98.039999999999992</v>
      </c>
      <c r="H7" s="5">
        <v>85.92</v>
      </c>
      <c r="I7" s="5">
        <v>113.67857142857143</v>
      </c>
      <c r="J7" s="5">
        <v>0.59</v>
      </c>
      <c r="K7" s="5">
        <v>0.41000000000000003</v>
      </c>
    </row>
    <row r="8" spans="1:11">
      <c r="A8" t="s">
        <v>84</v>
      </c>
      <c r="B8" s="5">
        <v>111.38714285714286</v>
      </c>
      <c r="C8" s="5">
        <v>120.3757142857143</v>
      </c>
      <c r="D8" s="5">
        <v>96.487142857142871</v>
      </c>
      <c r="E8" s="5">
        <v>101.40142857142857</v>
      </c>
      <c r="F8" s="5">
        <v>113.95142857142856</v>
      </c>
      <c r="G8" s="5">
        <v>113.33285714285715</v>
      </c>
      <c r="H8" s="5">
        <v>98.671428571428578</v>
      </c>
      <c r="I8" s="5">
        <v>93.028571428571425</v>
      </c>
      <c r="J8" s="5">
        <v>0.60428571428571431</v>
      </c>
      <c r="K8" s="5">
        <v>0.39571428571428574</v>
      </c>
    </row>
    <row r="9" spans="1:11">
      <c r="A9" t="s">
        <v>85</v>
      </c>
      <c r="B9" s="5">
        <v>85.984285714285733</v>
      </c>
      <c r="C9" s="5">
        <v>77.90428571428572</v>
      </c>
      <c r="D9" s="5">
        <v>84.127142857142857</v>
      </c>
      <c r="E9" s="5">
        <v>103.05714285714286</v>
      </c>
      <c r="F9" s="5">
        <v>93.327142857142846</v>
      </c>
      <c r="G9" s="5">
        <v>76.22571428571429</v>
      </c>
      <c r="H9" s="5">
        <v>83.224285714285728</v>
      </c>
      <c r="I9" s="5">
        <v>92.688571428571422</v>
      </c>
      <c r="J9" s="5">
        <v>0.48</v>
      </c>
      <c r="K9" s="5">
        <v>0.52</v>
      </c>
    </row>
    <row r="10" spans="1:11">
      <c r="A10" t="s">
        <v>86</v>
      </c>
      <c r="B10" s="5">
        <v>91.26</v>
      </c>
      <c r="C10" s="5">
        <v>108.44500000000001</v>
      </c>
      <c r="D10" s="5">
        <v>93.233333333333348</v>
      </c>
      <c r="E10" s="5">
        <v>99.556666666666658</v>
      </c>
      <c r="F10" s="5">
        <v>89.756666666666661</v>
      </c>
      <c r="G10" s="5">
        <v>100.36833333333333</v>
      </c>
      <c r="H10" s="5">
        <v>87.860000000000014</v>
      </c>
      <c r="I10" s="5">
        <v>106.08</v>
      </c>
      <c r="J10" s="5">
        <v>0.51500000000000001</v>
      </c>
      <c r="K10" s="5">
        <v>0.48499999999999993</v>
      </c>
    </row>
    <row r="11" spans="1:11">
      <c r="A11" t="s">
        <v>87</v>
      </c>
      <c r="B11" s="5">
        <v>103.87999999999998</v>
      </c>
      <c r="C11" s="5">
        <v>103.69833333333334</v>
      </c>
      <c r="D11" s="5">
        <v>132.18166666666667</v>
      </c>
      <c r="E11" s="5">
        <v>78.173333333333332</v>
      </c>
      <c r="F11" s="5">
        <v>108.35666666666667</v>
      </c>
      <c r="G11" s="5">
        <v>101.99666666666667</v>
      </c>
      <c r="H11" s="5">
        <v>129.46333333333334</v>
      </c>
      <c r="I11" s="5">
        <v>76.616666666666674</v>
      </c>
      <c r="J11" s="5">
        <v>0.58499999999999996</v>
      </c>
      <c r="K11" s="5">
        <v>0.41500000000000004</v>
      </c>
    </row>
    <row r="12" spans="1:11">
      <c r="A12" t="s">
        <v>88</v>
      </c>
      <c r="B12" s="5">
        <v>70.52428571428571</v>
      </c>
      <c r="C12" s="5">
        <v>107.86714285714287</v>
      </c>
      <c r="D12" s="5">
        <v>91.031428571428577</v>
      </c>
      <c r="E12" s="5">
        <v>101.39399999999999</v>
      </c>
      <c r="F12" s="5">
        <v>74.90428571428572</v>
      </c>
      <c r="G12" s="5">
        <v>105.81285714285715</v>
      </c>
      <c r="H12" s="5">
        <v>91.84714285714287</v>
      </c>
      <c r="I12" s="5">
        <v>94.187999999999988</v>
      </c>
      <c r="J12" s="5">
        <v>0.56571428571428573</v>
      </c>
      <c r="K12" s="5">
        <v>0.43428571428571427</v>
      </c>
    </row>
    <row r="13" spans="1:11">
      <c r="A13" t="s">
        <v>89</v>
      </c>
      <c r="B13" s="5">
        <v>98.205000000000027</v>
      </c>
      <c r="C13" s="5">
        <v>95.38</v>
      </c>
      <c r="D13" s="5">
        <v>68.316000000000003</v>
      </c>
      <c r="E13" s="5">
        <v>113.57499999999999</v>
      </c>
      <c r="F13" s="5">
        <v>107.44</v>
      </c>
      <c r="G13" s="5">
        <v>83.039999999999992</v>
      </c>
      <c r="H13" s="5">
        <v>75.897999999999996</v>
      </c>
      <c r="I13" s="5">
        <v>103.26666666666667</v>
      </c>
      <c r="J13" s="5">
        <v>0.54</v>
      </c>
      <c r="K13" s="5">
        <v>0.45999999999999996</v>
      </c>
    </row>
    <row r="14" spans="1:11">
      <c r="A14" t="s">
        <v>90</v>
      </c>
      <c r="B14" s="5">
        <v>83.965000000000003</v>
      </c>
      <c r="C14" s="5">
        <v>110.48166666666667</v>
      </c>
      <c r="D14" s="5">
        <v>75.108333333333334</v>
      </c>
      <c r="E14" s="5">
        <v>113.72833333333331</v>
      </c>
      <c r="F14" s="5">
        <v>80.558333333333337</v>
      </c>
      <c r="G14" s="5">
        <v>97.54</v>
      </c>
      <c r="H14" s="5">
        <v>84.088333333333324</v>
      </c>
      <c r="I14" s="5">
        <v>102.35833333333333</v>
      </c>
      <c r="J14" s="5">
        <v>0.48666666666666664</v>
      </c>
      <c r="K14" s="5">
        <v>0.51333333333333342</v>
      </c>
    </row>
    <row r="15" spans="1:11">
      <c r="A15" t="s">
        <v>91</v>
      </c>
      <c r="B15" s="5">
        <v>95.199999999999989</v>
      </c>
      <c r="C15" s="5">
        <v>105.75</v>
      </c>
      <c r="D15" s="5">
        <v>88.123333333333335</v>
      </c>
      <c r="E15" s="5">
        <v>129.88</v>
      </c>
      <c r="F15" s="5">
        <v>93.418333333333337</v>
      </c>
      <c r="G15" s="5">
        <v>94.269999999999982</v>
      </c>
      <c r="H15" s="5">
        <v>93.056666666666672</v>
      </c>
      <c r="I15" s="5">
        <v>125.825</v>
      </c>
      <c r="J15" s="5">
        <v>0.54333333333333333</v>
      </c>
      <c r="K15" s="5">
        <v>0.45666666666666661</v>
      </c>
    </row>
    <row r="16" spans="1:11">
      <c r="A16" t="s">
        <v>92</v>
      </c>
      <c r="B16" s="5">
        <v>79.940000000000012</v>
      </c>
      <c r="C16" s="5">
        <v>102.53166666666668</v>
      </c>
      <c r="D16" s="5">
        <v>81.421666666666667</v>
      </c>
      <c r="E16" s="5">
        <v>71.185000000000002</v>
      </c>
      <c r="F16" s="5">
        <v>87.413333333333341</v>
      </c>
      <c r="G16" s="5">
        <v>101.02333333333333</v>
      </c>
      <c r="H16" s="5">
        <v>86.529999999999987</v>
      </c>
      <c r="I16" s="5">
        <v>61.573333333333331</v>
      </c>
      <c r="J16" s="5">
        <v>0.48500000000000004</v>
      </c>
      <c r="K16" s="5">
        <v>0.51500000000000001</v>
      </c>
    </row>
    <row r="17" spans="1:11">
      <c r="A17" t="s">
        <v>93</v>
      </c>
      <c r="B17" s="5">
        <v>91.814999999999998</v>
      </c>
      <c r="C17" s="5">
        <v>99.266666666666666</v>
      </c>
      <c r="D17" s="5">
        <v>130.42999999999998</v>
      </c>
      <c r="E17" s="5">
        <v>81.713999999999999</v>
      </c>
      <c r="F17" s="5">
        <v>97.11999999999999</v>
      </c>
      <c r="G17" s="5">
        <v>91.453333333333333</v>
      </c>
      <c r="H17" s="5">
        <v>121.12666666666667</v>
      </c>
      <c r="I17" s="5">
        <v>78.861999999999995</v>
      </c>
      <c r="J17" s="5">
        <v>0.54666666666666663</v>
      </c>
      <c r="K17" s="5">
        <v>0.45333333333333337</v>
      </c>
    </row>
    <row r="18" spans="1:11">
      <c r="A18" t="s">
        <v>94</v>
      </c>
      <c r="B18" s="5">
        <v>84.08</v>
      </c>
      <c r="C18" s="5">
        <v>125.72833333333334</v>
      </c>
      <c r="D18" s="5">
        <v>91.057999999999993</v>
      </c>
      <c r="E18" s="5">
        <v>145.905</v>
      </c>
      <c r="F18" s="5">
        <v>92.441666666666663</v>
      </c>
      <c r="G18" s="5">
        <v>115.52666666666666</v>
      </c>
      <c r="H18" s="5">
        <v>82.666000000000011</v>
      </c>
      <c r="I18" s="5">
        <v>119.625</v>
      </c>
      <c r="J18" s="5">
        <v>0.57166666666666666</v>
      </c>
      <c r="K18" s="5">
        <v>0.4283333333333334</v>
      </c>
    </row>
    <row r="19" spans="1:11">
      <c r="A19" t="s">
        <v>95</v>
      </c>
      <c r="B19" s="5">
        <v>106.17571428571428</v>
      </c>
      <c r="C19" s="5">
        <v>110.35000000000001</v>
      </c>
      <c r="D19" s="5">
        <v>89.211428571428556</v>
      </c>
      <c r="E19" s="5">
        <v>91.840000000000018</v>
      </c>
      <c r="F19" s="5">
        <v>106.72857142857141</v>
      </c>
      <c r="G19" s="5">
        <v>97.52428571428571</v>
      </c>
      <c r="H19" s="5">
        <v>99.05714285714285</v>
      </c>
      <c r="I19" s="5">
        <v>80.00333333333333</v>
      </c>
      <c r="J19" s="5">
        <v>0.57714285714285718</v>
      </c>
      <c r="K19" s="5">
        <v>0.42285714285714288</v>
      </c>
    </row>
    <row r="20" spans="1:11">
      <c r="A20" t="s">
        <v>96</v>
      </c>
      <c r="B20" s="5">
        <v>87.932857142857145</v>
      </c>
      <c r="C20" s="5">
        <v>97.491428571428585</v>
      </c>
      <c r="D20" s="5">
        <v>99.846666666666678</v>
      </c>
      <c r="E20" s="5">
        <v>110.22571428571429</v>
      </c>
      <c r="F20" s="5">
        <v>87.834285714285713</v>
      </c>
      <c r="G20" s="5">
        <v>93.66857142857144</v>
      </c>
      <c r="H20" s="5">
        <v>103.63000000000001</v>
      </c>
      <c r="I20" s="5">
        <v>109.15571428571431</v>
      </c>
      <c r="J20" s="5">
        <v>0.55999999999999994</v>
      </c>
      <c r="K20" s="5">
        <v>0.44</v>
      </c>
    </row>
    <row r="21" spans="1:11">
      <c r="A21" t="s">
        <v>97</v>
      </c>
      <c r="B21" s="5">
        <v>102.79571428571428</v>
      </c>
      <c r="C21" s="5">
        <v>115.40714285714286</v>
      </c>
      <c r="D21" s="5">
        <v>97.27428571428571</v>
      </c>
      <c r="E21" s="5">
        <v>91.311428571428564</v>
      </c>
      <c r="F21" s="5">
        <v>104.83285714285715</v>
      </c>
      <c r="G21" s="5">
        <v>108.05999999999999</v>
      </c>
      <c r="H21" s="5">
        <v>101.08857142857141</v>
      </c>
      <c r="I21" s="5">
        <v>92.39</v>
      </c>
      <c r="J21" s="5">
        <v>0.58285714285714285</v>
      </c>
      <c r="K21" s="5">
        <v>0.41714285714285715</v>
      </c>
    </row>
    <row r="22" spans="1:11">
      <c r="A22" t="s">
        <v>98</v>
      </c>
      <c r="B22" s="5">
        <v>97.74</v>
      </c>
      <c r="C22" s="5">
        <v>111.94499999999999</v>
      </c>
      <c r="D22" s="5">
        <v>92.066666666666663</v>
      </c>
      <c r="E22" s="5">
        <v>88.508333333333326</v>
      </c>
      <c r="F22" s="5">
        <v>95.88</v>
      </c>
      <c r="G22" s="5">
        <v>100.07666666666667</v>
      </c>
      <c r="H22" s="5">
        <v>99.219999999999985</v>
      </c>
      <c r="I22" s="5">
        <v>85.13</v>
      </c>
      <c r="J22" s="5">
        <v>0.51</v>
      </c>
      <c r="K22" s="5">
        <v>0.49</v>
      </c>
    </row>
    <row r="23" spans="1:11">
      <c r="A23" t="s">
        <v>99</v>
      </c>
      <c r="B23" s="5">
        <v>84.001428571428576</v>
      </c>
      <c r="C23" s="5">
        <v>90.952857142857155</v>
      </c>
      <c r="D23" s="5">
        <v>127.74</v>
      </c>
      <c r="E23" s="5">
        <v>117.55999999999997</v>
      </c>
      <c r="F23" s="5">
        <v>88.03857142857143</v>
      </c>
      <c r="G23" s="5">
        <v>88.012857142857129</v>
      </c>
      <c r="H23" s="5">
        <v>123.53999999999999</v>
      </c>
      <c r="I23" s="5">
        <v>114.41428571428571</v>
      </c>
      <c r="J23" s="5">
        <v>0.60285714285714287</v>
      </c>
      <c r="K23" s="5">
        <v>0.39714285714285719</v>
      </c>
    </row>
    <row r="24" spans="1:11">
      <c r="A24" t="s">
        <v>100</v>
      </c>
      <c r="B24" s="5">
        <v>82.538333333333341</v>
      </c>
      <c r="C24" s="5">
        <v>105.96166666666666</v>
      </c>
      <c r="D24" s="5">
        <v>83.968000000000004</v>
      </c>
      <c r="E24" s="5">
        <v>96.898333333333326</v>
      </c>
      <c r="F24" s="5">
        <v>84.466666666666669</v>
      </c>
      <c r="G24" s="5">
        <v>101.55833333333334</v>
      </c>
      <c r="H24" s="5">
        <v>82.918000000000006</v>
      </c>
      <c r="I24" s="5">
        <v>92.676666666666662</v>
      </c>
      <c r="J24" s="5">
        <v>0.57166666666666666</v>
      </c>
      <c r="K24" s="5">
        <v>0.42833333333333329</v>
      </c>
    </row>
    <row r="25" spans="1:11">
      <c r="A25" t="s">
        <v>101</v>
      </c>
      <c r="B25" s="5">
        <v>112.67</v>
      </c>
      <c r="C25" s="5">
        <v>107.23166666666668</v>
      </c>
      <c r="D25" s="5">
        <v>75.399999999999991</v>
      </c>
      <c r="E25" s="5">
        <v>101.955</v>
      </c>
      <c r="F25" s="5">
        <v>113.58666666666669</v>
      </c>
      <c r="G25" s="5">
        <v>95.469999999999985</v>
      </c>
      <c r="H25" s="5">
        <v>67.529999999999987</v>
      </c>
      <c r="I25" s="5">
        <v>96.578333333333333</v>
      </c>
      <c r="J25" s="5">
        <v>0.56499999999999984</v>
      </c>
      <c r="K25" s="5">
        <v>0.43500000000000005</v>
      </c>
    </row>
    <row r="26" spans="1:11">
      <c r="A26" t="s">
        <v>102</v>
      </c>
      <c r="B26" s="5">
        <v>92.131666666666661</v>
      </c>
      <c r="C26" s="5">
        <v>97.070000000000007</v>
      </c>
      <c r="D26" s="5">
        <v>96.213333333333324</v>
      </c>
      <c r="E26" s="5">
        <v>114.40666666666668</v>
      </c>
      <c r="F26" s="5">
        <v>93.713333333333324</v>
      </c>
      <c r="G26" s="5">
        <v>89.681666666666658</v>
      </c>
      <c r="H26" s="5">
        <v>98.74666666666667</v>
      </c>
      <c r="I26" s="5">
        <v>108.255</v>
      </c>
      <c r="J26" s="5">
        <v>0.53500000000000003</v>
      </c>
      <c r="K26" s="5">
        <v>0.46500000000000002</v>
      </c>
    </row>
    <row r="27" spans="1:11">
      <c r="A27" t="s">
        <v>103</v>
      </c>
      <c r="B27" s="5">
        <v>99.777142857142863</v>
      </c>
      <c r="C27" s="5">
        <v>95.83142857142856</v>
      </c>
      <c r="D27" s="5">
        <v>118.47428571428573</v>
      </c>
      <c r="E27" s="5">
        <v>90.637142857142862</v>
      </c>
      <c r="F27" s="5">
        <v>103.7957142857143</v>
      </c>
      <c r="G27" s="5">
        <v>90.34714285714287</v>
      </c>
      <c r="H27" s="5">
        <v>107.84142857142858</v>
      </c>
      <c r="I27" s="5">
        <v>84.297142857142859</v>
      </c>
      <c r="J27" s="5">
        <v>0.49571428571428572</v>
      </c>
      <c r="K27" s="5">
        <v>0.50428571428571423</v>
      </c>
    </row>
    <row r="28" spans="1:11">
      <c r="A28" t="s">
        <v>104</v>
      </c>
      <c r="B28" s="5">
        <v>104.15499999999999</v>
      </c>
      <c r="C28" s="5">
        <v>114.08499999999999</v>
      </c>
      <c r="D28" s="5">
        <v>103.26833333333333</v>
      </c>
      <c r="E28" s="5">
        <v>130.27333333333334</v>
      </c>
      <c r="F28" s="5">
        <v>107.33333333333333</v>
      </c>
      <c r="G28" s="5">
        <v>106.66833333333334</v>
      </c>
      <c r="H28" s="5">
        <v>107.94166666666666</v>
      </c>
      <c r="I28" s="5">
        <v>125.64666666666666</v>
      </c>
      <c r="J28" s="5">
        <v>0.65833333333333333</v>
      </c>
      <c r="K28" s="5">
        <v>0.34166666666666662</v>
      </c>
    </row>
    <row r="29" spans="1:11">
      <c r="A29" t="s">
        <v>105</v>
      </c>
      <c r="B29" s="5">
        <v>82.923333333333332</v>
      </c>
      <c r="C29" s="5">
        <v>98.08</v>
      </c>
      <c r="D29" s="5">
        <v>82.373999999999995</v>
      </c>
      <c r="E29" s="5">
        <v>128.22</v>
      </c>
      <c r="F29" s="5">
        <v>88.103333333333339</v>
      </c>
      <c r="G29" s="5">
        <v>95.111666666666679</v>
      </c>
      <c r="H29" s="5">
        <v>92.068000000000012</v>
      </c>
      <c r="I29" s="5">
        <v>112.44499999999999</v>
      </c>
      <c r="J29" s="5">
        <v>0.5033333333333333</v>
      </c>
      <c r="K29" s="5">
        <v>0.49666666666666665</v>
      </c>
    </row>
    <row r="30" spans="1:11">
      <c r="A30" t="s">
        <v>106</v>
      </c>
      <c r="B30" s="5">
        <v>91.248571428571424</v>
      </c>
      <c r="C30" s="5">
        <v>126.07285714285715</v>
      </c>
      <c r="D30" s="5">
        <v>70.835714285714275</v>
      </c>
      <c r="E30" s="5">
        <v>102.84714285714283</v>
      </c>
      <c r="F30" s="5">
        <v>96.567142857142855</v>
      </c>
      <c r="G30" s="5">
        <v>111.80571428571429</v>
      </c>
      <c r="H30" s="5">
        <v>70.28</v>
      </c>
      <c r="I30" s="5">
        <v>96.547142857142859</v>
      </c>
      <c r="J30" s="5">
        <v>0.5128571428571429</v>
      </c>
      <c r="K30" s="5">
        <v>0.4871428571428571</v>
      </c>
    </row>
    <row r="31" spans="1:11">
      <c r="A31" t="s">
        <v>107</v>
      </c>
      <c r="B31" s="5">
        <v>103.69166666666666</v>
      </c>
      <c r="C31" s="5">
        <v>109.68499999999999</v>
      </c>
      <c r="D31" s="5">
        <v>91.148333333333355</v>
      </c>
      <c r="E31" s="5">
        <v>132.48500000000001</v>
      </c>
      <c r="F31" s="5">
        <v>114.01166666666666</v>
      </c>
      <c r="G31" s="5">
        <v>105.07333333333334</v>
      </c>
      <c r="H31" s="5">
        <v>82.218333333333334</v>
      </c>
      <c r="I31" s="5">
        <v>118.67666666666666</v>
      </c>
      <c r="J31" s="5">
        <v>0.63500000000000001</v>
      </c>
      <c r="K31" s="5">
        <v>0.36500000000000005</v>
      </c>
    </row>
    <row r="32" spans="1:11">
      <c r="A32" t="s">
        <v>108</v>
      </c>
      <c r="B32" s="5">
        <v>84.908333333333317</v>
      </c>
      <c r="C32" s="5">
        <v>92.665000000000006</v>
      </c>
      <c r="D32" s="5">
        <v>92.42</v>
      </c>
      <c r="E32" s="5">
        <v>105.39</v>
      </c>
      <c r="F32" s="5">
        <v>90.238333333333344</v>
      </c>
      <c r="G32" s="5">
        <v>88.285000000000011</v>
      </c>
      <c r="H32" s="5">
        <v>95.498333333333335</v>
      </c>
      <c r="I32" s="5">
        <v>93.756666666666661</v>
      </c>
      <c r="J32" s="5">
        <v>0.53333333333333333</v>
      </c>
      <c r="K32" s="5">
        <v>0.46666666666666673</v>
      </c>
    </row>
    <row r="33" spans="1:11">
      <c r="A33" t="s">
        <v>109</v>
      </c>
      <c r="B33" s="5">
        <v>115.31166666666665</v>
      </c>
      <c r="C33" s="5">
        <v>93.42</v>
      </c>
      <c r="D33" s="5">
        <v>106.46333333333335</v>
      </c>
      <c r="E33" s="5">
        <v>100.45166666666667</v>
      </c>
      <c r="F33" s="5">
        <v>126.10000000000001</v>
      </c>
      <c r="G33" s="5">
        <v>88.36333333333333</v>
      </c>
      <c r="H33" s="5">
        <v>103.19666666666666</v>
      </c>
      <c r="I33" s="5">
        <v>98.346666666666678</v>
      </c>
      <c r="J33" s="5">
        <v>0.62333333333333318</v>
      </c>
      <c r="K33" s="5">
        <v>0.37666666666666665</v>
      </c>
    </row>
    <row r="34" spans="1:11">
      <c r="A34" t="s">
        <v>110</v>
      </c>
      <c r="B34" s="5">
        <v>86.134999999999991</v>
      </c>
      <c r="C34" s="5">
        <v>90.163333333333341</v>
      </c>
      <c r="D34" s="5">
        <v>100.702</v>
      </c>
      <c r="E34" s="5">
        <v>120.67333333333333</v>
      </c>
      <c r="F34" s="5">
        <v>90.27</v>
      </c>
      <c r="G34" s="5">
        <v>87.564999999999998</v>
      </c>
      <c r="H34" s="5">
        <v>102.21799999999999</v>
      </c>
      <c r="I34" s="5">
        <v>106.92333333333333</v>
      </c>
      <c r="J34" s="5">
        <v>0.52333333333333332</v>
      </c>
      <c r="K34" s="5">
        <v>0.47666666666666663</v>
      </c>
    </row>
    <row r="35" spans="1:11">
      <c r="A35" t="s">
        <v>111</v>
      </c>
      <c r="B35" s="5">
        <v>86.994285714285709</v>
      </c>
      <c r="C35" s="5">
        <v>113.22857142857143</v>
      </c>
      <c r="D35" s="5">
        <v>123.29714285714284</v>
      </c>
      <c r="E35" s="5">
        <v>86.791666666666671</v>
      </c>
      <c r="F35" s="5">
        <v>92.955714285714279</v>
      </c>
      <c r="G35" s="5">
        <v>109.70000000000002</v>
      </c>
      <c r="H35" s="5">
        <v>125.82428571428571</v>
      </c>
      <c r="I35" s="5">
        <v>72.368333333333325</v>
      </c>
      <c r="J35" s="5">
        <v>0.62142857142857133</v>
      </c>
      <c r="K35" s="5">
        <v>0.3785714285714285</v>
      </c>
    </row>
    <row r="36" spans="1:11">
      <c r="A36" t="s">
        <v>40</v>
      </c>
      <c r="B36" s="5">
        <v>95.389854368932006</v>
      </c>
      <c r="C36" s="5">
        <v>104.61014563106798</v>
      </c>
      <c r="D36" s="5">
        <v>96.581624365482242</v>
      </c>
      <c r="E36" s="5">
        <v>103.41837563451774</v>
      </c>
      <c r="F36" s="5">
        <v>98.679805825242724</v>
      </c>
      <c r="G36" s="5">
        <v>98.138834951456346</v>
      </c>
      <c r="H36" s="5">
        <v>96.679543147208122</v>
      </c>
      <c r="I36" s="5">
        <v>97.131979695431468</v>
      </c>
      <c r="J36" s="5">
        <v>0.56524271844660168</v>
      </c>
      <c r="K36" s="5">
        <v>0.43475728155339827</v>
      </c>
    </row>
    <row r="37" spans="1:11">
      <c r="B37"/>
      <c r="C37"/>
      <c r="D37"/>
      <c r="E37"/>
    </row>
    <row r="38" spans="1:11">
      <c r="B38"/>
      <c r="C38"/>
      <c r="D38"/>
      <c r="E38"/>
    </row>
    <row r="39" spans="1:11">
      <c r="B39"/>
      <c r="C39"/>
      <c r="D39"/>
      <c r="E39"/>
    </row>
    <row r="40" spans="1:11">
      <c r="B40"/>
      <c r="C40"/>
      <c r="D40"/>
      <c r="E40"/>
    </row>
    <row r="41" spans="1:11">
      <c r="B41"/>
      <c r="C41"/>
      <c r="D41"/>
      <c r="E41"/>
    </row>
    <row r="42" spans="1:11">
      <c r="B42"/>
      <c r="C42"/>
      <c r="D42"/>
      <c r="E42"/>
    </row>
    <row r="43" spans="1:11">
      <c r="B43"/>
      <c r="C43"/>
      <c r="D43"/>
      <c r="E43"/>
    </row>
    <row r="44" spans="1:11">
      <c r="B44"/>
      <c r="C44"/>
      <c r="D44"/>
      <c r="E44"/>
    </row>
    <row r="45" spans="1:11">
      <c r="B45"/>
      <c r="C45"/>
      <c r="D45"/>
      <c r="E45"/>
    </row>
    <row r="46" spans="1:11">
      <c r="B46"/>
      <c r="C46"/>
      <c r="D46"/>
      <c r="E46"/>
    </row>
    <row r="47" spans="1:11">
      <c r="B47"/>
      <c r="C47"/>
      <c r="D47"/>
      <c r="E47"/>
    </row>
    <row r="48" spans="1:11">
      <c r="B48"/>
      <c r="C48"/>
      <c r="D48"/>
      <c r="E48"/>
    </row>
    <row r="49" spans="2:5">
      <c r="B49"/>
      <c r="C49"/>
      <c r="D49"/>
      <c r="E49"/>
    </row>
    <row r="50" spans="2:5">
      <c r="B50"/>
      <c r="C50"/>
      <c r="D50"/>
      <c r="E50"/>
    </row>
    <row r="51" spans="2:5">
      <c r="B51"/>
      <c r="C51"/>
      <c r="D51"/>
      <c r="E51"/>
    </row>
    <row r="52" spans="2:5">
      <c r="B52"/>
      <c r="C52"/>
      <c r="D52"/>
      <c r="E52"/>
    </row>
    <row r="53" spans="2:5">
      <c r="B53"/>
      <c r="C53"/>
      <c r="D53"/>
      <c r="E53"/>
    </row>
    <row r="54" spans="2:5">
      <c r="B54"/>
      <c r="C54"/>
      <c r="D54"/>
      <c r="E54"/>
    </row>
    <row r="55" spans="2:5">
      <c r="B55"/>
      <c r="C55"/>
      <c r="D55"/>
      <c r="E55"/>
    </row>
    <row r="56" spans="2:5">
      <c r="B56"/>
      <c r="C56"/>
      <c r="D56"/>
      <c r="E56"/>
    </row>
    <row r="57" spans="2:5">
      <c r="B57"/>
      <c r="C57"/>
      <c r="D57"/>
      <c r="E57"/>
    </row>
    <row r="58" spans="2:5">
      <c r="B58"/>
      <c r="C58"/>
      <c r="D58"/>
      <c r="E58"/>
    </row>
    <row r="59" spans="2:5">
      <c r="B59"/>
      <c r="C59"/>
      <c r="D59"/>
      <c r="E59"/>
    </row>
    <row r="60" spans="2:5">
      <c r="B60"/>
      <c r="C60"/>
      <c r="D60"/>
      <c r="E60"/>
    </row>
    <row r="61" spans="2:5">
      <c r="B61"/>
      <c r="C61"/>
      <c r="D61"/>
      <c r="E61"/>
    </row>
    <row r="62" spans="2:5">
      <c r="B62"/>
      <c r="C62"/>
      <c r="D62"/>
      <c r="E62"/>
    </row>
    <row r="63" spans="2:5">
      <c r="B63"/>
      <c r="C63"/>
      <c r="D63"/>
      <c r="E63"/>
    </row>
    <row r="64" spans="2:5">
      <c r="B64"/>
      <c r="C64"/>
      <c r="D64"/>
      <c r="E64"/>
    </row>
    <row r="65" spans="2:5">
      <c r="B65"/>
      <c r="C65"/>
      <c r="D65"/>
      <c r="E65"/>
    </row>
    <row r="66" spans="2:5">
      <c r="B66"/>
      <c r="C66"/>
      <c r="D66"/>
      <c r="E66"/>
    </row>
    <row r="67" spans="2:5">
      <c r="B67"/>
      <c r="C67"/>
      <c r="D67"/>
      <c r="E67"/>
    </row>
    <row r="68" spans="2:5">
      <c r="B68"/>
      <c r="C68"/>
      <c r="D68"/>
      <c r="E68"/>
    </row>
    <row r="69" spans="2:5">
      <c r="B69"/>
      <c r="C69"/>
      <c r="D69"/>
      <c r="E69"/>
    </row>
    <row r="70" spans="2:5">
      <c r="B70"/>
      <c r="C70"/>
      <c r="D70"/>
      <c r="E70"/>
    </row>
    <row r="71" spans="2:5">
      <c r="B71"/>
      <c r="C71"/>
      <c r="D71"/>
      <c r="E71"/>
    </row>
    <row r="72" spans="2:5">
      <c r="B72"/>
      <c r="C72"/>
      <c r="D72"/>
      <c r="E72"/>
    </row>
    <row r="73" spans="2:5">
      <c r="B73"/>
      <c r="C73"/>
      <c r="D73"/>
      <c r="E73"/>
    </row>
    <row r="74" spans="2:5">
      <c r="B74"/>
      <c r="C74"/>
      <c r="D74"/>
      <c r="E74"/>
    </row>
    <row r="75" spans="2:5">
      <c r="B75"/>
      <c r="C75"/>
      <c r="D75"/>
      <c r="E75"/>
    </row>
    <row r="76" spans="2:5">
      <c r="B76"/>
      <c r="C76"/>
      <c r="D76"/>
      <c r="E76"/>
    </row>
    <row r="77" spans="2:5">
      <c r="B77"/>
      <c r="C77"/>
      <c r="D77"/>
      <c r="E77"/>
    </row>
    <row r="78" spans="2:5">
      <c r="B78"/>
      <c r="C78"/>
      <c r="D78"/>
      <c r="E78"/>
    </row>
    <row r="79" spans="2:5">
      <c r="B79"/>
      <c r="C79"/>
      <c r="D79"/>
      <c r="E79"/>
    </row>
    <row r="80" spans="2:5">
      <c r="B80"/>
      <c r="C80"/>
      <c r="D80"/>
      <c r="E80"/>
    </row>
    <row r="81" spans="2:5">
      <c r="B81"/>
      <c r="C81"/>
      <c r="D81"/>
      <c r="E81"/>
    </row>
    <row r="82" spans="2:5">
      <c r="B82"/>
      <c r="C82"/>
      <c r="D82"/>
      <c r="E82"/>
    </row>
    <row r="83" spans="2:5">
      <c r="B83"/>
      <c r="C83"/>
      <c r="D83"/>
      <c r="E83"/>
    </row>
    <row r="84" spans="2:5">
      <c r="B84"/>
      <c r="C84"/>
      <c r="D84"/>
      <c r="E84"/>
    </row>
    <row r="85" spans="2:5">
      <c r="B85"/>
      <c r="C85"/>
      <c r="D85"/>
      <c r="E85"/>
    </row>
    <row r="86" spans="2:5">
      <c r="B86"/>
      <c r="C86"/>
      <c r="D86"/>
      <c r="E86"/>
    </row>
    <row r="87" spans="2:5">
      <c r="B87"/>
      <c r="C87"/>
      <c r="D87"/>
      <c r="E87"/>
    </row>
    <row r="88" spans="2:5">
      <c r="B88"/>
      <c r="C88"/>
      <c r="D88"/>
      <c r="E88"/>
    </row>
    <row r="89" spans="2:5">
      <c r="B89"/>
      <c r="C89"/>
      <c r="D89"/>
      <c r="E89"/>
    </row>
    <row r="90" spans="2:5">
      <c r="B90"/>
      <c r="C90"/>
      <c r="D90"/>
      <c r="E90"/>
    </row>
    <row r="91" spans="2:5">
      <c r="B91"/>
      <c r="C91"/>
      <c r="D91"/>
      <c r="E91"/>
    </row>
    <row r="92" spans="2:5">
      <c r="B92"/>
      <c r="C92"/>
      <c r="D92"/>
      <c r="E92"/>
    </row>
    <row r="93" spans="2:5">
      <c r="B93"/>
      <c r="C93"/>
      <c r="D93"/>
      <c r="E93"/>
    </row>
    <row r="94" spans="2:5">
      <c r="B94"/>
      <c r="C94"/>
      <c r="D94"/>
      <c r="E94"/>
    </row>
    <row r="95" spans="2:5">
      <c r="B95"/>
      <c r="C95"/>
      <c r="D95"/>
      <c r="E95"/>
    </row>
    <row r="96" spans="2:5">
      <c r="B96"/>
      <c r="C96"/>
      <c r="D96"/>
      <c r="E96"/>
    </row>
    <row r="97" spans="2:5">
      <c r="B97"/>
      <c r="C97"/>
      <c r="D97"/>
      <c r="E97"/>
    </row>
    <row r="98" spans="2:5">
      <c r="B98"/>
      <c r="C98"/>
      <c r="D98"/>
      <c r="E98"/>
    </row>
    <row r="99" spans="2:5">
      <c r="B99"/>
      <c r="C99"/>
      <c r="D99"/>
      <c r="E99"/>
    </row>
    <row r="100" spans="2:5">
      <c r="B100"/>
      <c r="C100"/>
      <c r="D100"/>
      <c r="E100"/>
    </row>
    <row r="101" spans="2:5">
      <c r="B101"/>
      <c r="C101"/>
      <c r="D101"/>
      <c r="E101"/>
    </row>
    <row r="102" spans="2:5">
      <c r="B102"/>
      <c r="C102"/>
      <c r="D102"/>
      <c r="E102"/>
    </row>
    <row r="103" spans="2:5">
      <c r="B103"/>
      <c r="C103"/>
      <c r="D103"/>
      <c r="E103"/>
    </row>
    <row r="104" spans="2:5">
      <c r="B104"/>
      <c r="C104"/>
      <c r="D104"/>
      <c r="E104"/>
    </row>
    <row r="105" spans="2:5">
      <c r="B105"/>
      <c r="C105"/>
      <c r="D105"/>
      <c r="E105"/>
    </row>
    <row r="106" spans="2:5">
      <c r="B106"/>
      <c r="C106"/>
      <c r="D106"/>
      <c r="E106"/>
    </row>
    <row r="107" spans="2:5">
      <c r="B107"/>
      <c r="C107"/>
      <c r="D107"/>
      <c r="E107"/>
    </row>
    <row r="108" spans="2:5">
      <c r="B108"/>
      <c r="C108"/>
      <c r="D108"/>
      <c r="E108"/>
    </row>
    <row r="109" spans="2:5">
      <c r="B109"/>
      <c r="C109"/>
      <c r="D109"/>
      <c r="E109"/>
    </row>
    <row r="110" spans="2:5">
      <c r="B110"/>
      <c r="C110"/>
      <c r="D110"/>
      <c r="E110"/>
    </row>
    <row r="111" spans="2:5">
      <c r="B111"/>
      <c r="C111"/>
      <c r="D111"/>
      <c r="E111"/>
    </row>
    <row r="112" spans="2:5">
      <c r="B112"/>
      <c r="C112"/>
      <c r="D112"/>
      <c r="E112"/>
    </row>
    <row r="113" spans="2:5">
      <c r="B113"/>
      <c r="C113"/>
      <c r="D113"/>
      <c r="E113"/>
    </row>
    <row r="114" spans="2:5">
      <c r="B114"/>
      <c r="C114"/>
      <c r="D114"/>
      <c r="E114"/>
    </row>
    <row r="115" spans="2:5">
      <c r="B115"/>
      <c r="C115"/>
      <c r="D115"/>
      <c r="E115"/>
    </row>
    <row r="116" spans="2:5">
      <c r="B116"/>
      <c r="C116"/>
      <c r="D116"/>
      <c r="E116"/>
    </row>
    <row r="117" spans="2:5">
      <c r="B117"/>
      <c r="C117"/>
      <c r="D117"/>
      <c r="E117"/>
    </row>
    <row r="118" spans="2:5">
      <c r="B118"/>
      <c r="C118"/>
      <c r="D118"/>
      <c r="E118"/>
    </row>
    <row r="119" spans="2:5">
      <c r="B119"/>
      <c r="C119"/>
      <c r="D119"/>
      <c r="E119"/>
    </row>
    <row r="120" spans="2:5">
      <c r="B120"/>
      <c r="C120"/>
      <c r="D120"/>
      <c r="E120"/>
    </row>
    <row r="121" spans="2:5">
      <c r="B121"/>
      <c r="C121"/>
      <c r="D121"/>
      <c r="E121"/>
    </row>
    <row r="122" spans="2:5">
      <c r="B122"/>
      <c r="C122"/>
      <c r="D122"/>
      <c r="E122"/>
    </row>
    <row r="123" spans="2:5">
      <c r="B123"/>
      <c r="C123"/>
      <c r="D123"/>
      <c r="E123"/>
    </row>
    <row r="124" spans="2:5">
      <c r="B124"/>
      <c r="C124"/>
      <c r="D124"/>
      <c r="E124"/>
    </row>
    <row r="125" spans="2:5">
      <c r="B125"/>
      <c r="C125"/>
      <c r="D125"/>
      <c r="E125"/>
    </row>
    <row r="126" spans="2:5">
      <c r="B126"/>
      <c r="C126"/>
      <c r="D126"/>
      <c r="E126"/>
    </row>
    <row r="127" spans="2:5">
      <c r="B127"/>
      <c r="C127"/>
      <c r="D127"/>
      <c r="E127"/>
    </row>
    <row r="128" spans="2:5">
      <c r="B128"/>
      <c r="C128"/>
      <c r="D128"/>
      <c r="E128"/>
    </row>
    <row r="129" spans="2:5">
      <c r="B129"/>
      <c r="C129"/>
      <c r="D129"/>
      <c r="E129"/>
    </row>
    <row r="130" spans="2:5">
      <c r="B130"/>
      <c r="C130"/>
      <c r="D130"/>
      <c r="E130"/>
    </row>
    <row r="131" spans="2:5">
      <c r="B131"/>
      <c r="C131"/>
      <c r="D131"/>
      <c r="E131"/>
    </row>
    <row r="132" spans="2:5">
      <c r="B132"/>
      <c r="C132"/>
      <c r="D132"/>
      <c r="E132"/>
    </row>
    <row r="133" spans="2:5">
      <c r="B133"/>
      <c r="C133"/>
      <c r="D133"/>
      <c r="E133"/>
    </row>
    <row r="134" spans="2:5">
      <c r="B134"/>
      <c r="C134"/>
      <c r="D134"/>
      <c r="E134"/>
    </row>
    <row r="135" spans="2:5">
      <c r="B135"/>
      <c r="C135"/>
      <c r="D135"/>
      <c r="E135"/>
    </row>
    <row r="136" spans="2:5">
      <c r="B136"/>
      <c r="C136"/>
      <c r="D136"/>
      <c r="E136"/>
    </row>
    <row r="137" spans="2:5">
      <c r="B137"/>
      <c r="C137"/>
      <c r="D137"/>
      <c r="E137"/>
    </row>
    <row r="138" spans="2:5">
      <c r="B138"/>
      <c r="C138"/>
      <c r="D138"/>
      <c r="E138"/>
    </row>
    <row r="139" spans="2:5">
      <c r="B139"/>
      <c r="C139"/>
      <c r="D139"/>
      <c r="E139"/>
    </row>
    <row r="140" spans="2:5">
      <c r="B140"/>
      <c r="C140"/>
      <c r="D140"/>
      <c r="E140"/>
    </row>
    <row r="141" spans="2:5">
      <c r="B141"/>
      <c r="C141"/>
      <c r="D141"/>
      <c r="E141"/>
    </row>
    <row r="142" spans="2:5">
      <c r="B142"/>
      <c r="C142"/>
      <c r="D142"/>
      <c r="E142"/>
    </row>
    <row r="143" spans="2:5">
      <c r="B143"/>
      <c r="C143"/>
      <c r="D143"/>
      <c r="E143"/>
    </row>
    <row r="144" spans="2:5">
      <c r="B144"/>
      <c r="C144"/>
      <c r="D144"/>
      <c r="E144"/>
    </row>
    <row r="145" spans="2:5">
      <c r="B145"/>
      <c r="C145"/>
      <c r="D145"/>
      <c r="E145"/>
    </row>
    <row r="146" spans="2:5">
      <c r="B146"/>
      <c r="C146"/>
      <c r="D146"/>
      <c r="E146"/>
    </row>
    <row r="147" spans="2:5">
      <c r="B147"/>
      <c r="C147"/>
      <c r="D147"/>
      <c r="E147"/>
    </row>
    <row r="148" spans="2:5">
      <c r="B148"/>
      <c r="C148"/>
      <c r="D148"/>
      <c r="E148"/>
    </row>
    <row r="149" spans="2:5">
      <c r="B149"/>
      <c r="C149"/>
      <c r="D149"/>
      <c r="E149"/>
    </row>
    <row r="150" spans="2:5">
      <c r="B150"/>
      <c r="C150"/>
      <c r="D150"/>
      <c r="E150"/>
    </row>
    <row r="151" spans="2:5">
      <c r="B151"/>
      <c r="C151"/>
      <c r="D151"/>
      <c r="E151"/>
    </row>
    <row r="152" spans="2:5">
      <c r="B152"/>
      <c r="C152"/>
      <c r="D152"/>
      <c r="E152"/>
    </row>
    <row r="153" spans="2:5">
      <c r="B153"/>
      <c r="C153"/>
      <c r="D153"/>
      <c r="E153"/>
    </row>
    <row r="154" spans="2:5">
      <c r="B154"/>
      <c r="C154"/>
      <c r="D154"/>
      <c r="E154"/>
    </row>
    <row r="155" spans="2:5">
      <c r="B155"/>
      <c r="C155"/>
      <c r="D155"/>
      <c r="E155"/>
    </row>
    <row r="156" spans="2:5">
      <c r="B156"/>
      <c r="C156"/>
      <c r="D156"/>
      <c r="E156"/>
    </row>
    <row r="157" spans="2:5">
      <c r="B157"/>
      <c r="C157"/>
      <c r="D157"/>
      <c r="E157"/>
    </row>
    <row r="158" spans="2:5">
      <c r="B158"/>
      <c r="C158"/>
      <c r="D158"/>
      <c r="E158"/>
    </row>
    <row r="159" spans="2:5">
      <c r="B159"/>
      <c r="C159"/>
      <c r="D159"/>
      <c r="E159"/>
    </row>
    <row r="160" spans="2:5">
      <c r="B160"/>
      <c r="C160"/>
      <c r="D160"/>
      <c r="E160"/>
    </row>
    <row r="161" spans="2:5">
      <c r="B161"/>
      <c r="C161"/>
      <c r="D161"/>
      <c r="E161"/>
    </row>
    <row r="162" spans="2:5">
      <c r="B162"/>
      <c r="C162"/>
      <c r="D162"/>
      <c r="E162"/>
    </row>
    <row r="163" spans="2:5">
      <c r="B163"/>
      <c r="C163"/>
      <c r="D163"/>
      <c r="E163"/>
    </row>
    <row r="164" spans="2:5">
      <c r="B164"/>
      <c r="C164"/>
      <c r="D164"/>
      <c r="E164"/>
    </row>
    <row r="165" spans="2:5">
      <c r="B165"/>
      <c r="C165"/>
      <c r="D165"/>
      <c r="E165"/>
    </row>
    <row r="166" spans="2:5">
      <c r="B166"/>
      <c r="C166"/>
      <c r="D166"/>
      <c r="E166"/>
    </row>
    <row r="167" spans="2:5">
      <c r="B167"/>
      <c r="C167"/>
      <c r="D167"/>
      <c r="E167"/>
    </row>
    <row r="168" spans="2:5">
      <c r="B168"/>
      <c r="C168"/>
      <c r="D168"/>
      <c r="E168"/>
    </row>
    <row r="169" spans="2:5">
      <c r="B169"/>
      <c r="C169"/>
      <c r="D169"/>
      <c r="E169"/>
    </row>
    <row r="170" spans="2:5">
      <c r="B170"/>
      <c r="C170"/>
      <c r="D170"/>
      <c r="E170"/>
    </row>
    <row r="171" spans="2:5">
      <c r="B171"/>
      <c r="C171"/>
      <c r="D171"/>
      <c r="E171"/>
    </row>
    <row r="172" spans="2:5">
      <c r="B172"/>
      <c r="C172"/>
      <c r="D172"/>
      <c r="E172"/>
    </row>
    <row r="173" spans="2:5">
      <c r="B173"/>
      <c r="C173"/>
      <c r="D173"/>
      <c r="E173"/>
    </row>
    <row r="174" spans="2:5">
      <c r="B174"/>
      <c r="C174"/>
      <c r="D174"/>
      <c r="E174"/>
    </row>
    <row r="175" spans="2:5">
      <c r="B175"/>
      <c r="C175"/>
      <c r="D175"/>
      <c r="E175"/>
    </row>
    <row r="176" spans="2:5">
      <c r="B176"/>
      <c r="C176"/>
      <c r="D176"/>
      <c r="E176"/>
    </row>
    <row r="177" spans="2:5">
      <c r="B177"/>
      <c r="C177"/>
      <c r="D177"/>
      <c r="E177"/>
    </row>
    <row r="178" spans="2:5">
      <c r="B178"/>
      <c r="C178"/>
      <c r="D178"/>
      <c r="E178"/>
    </row>
    <row r="179" spans="2:5">
      <c r="B179"/>
      <c r="C179"/>
      <c r="D179"/>
      <c r="E179"/>
    </row>
    <row r="180" spans="2:5">
      <c r="B180"/>
      <c r="C180"/>
      <c r="D180"/>
      <c r="E180"/>
    </row>
    <row r="181" spans="2:5">
      <c r="B181"/>
      <c r="C181"/>
      <c r="D181"/>
      <c r="E181"/>
    </row>
    <row r="182" spans="2:5">
      <c r="B182"/>
      <c r="C182"/>
      <c r="D182"/>
      <c r="E182"/>
    </row>
    <row r="183" spans="2:5">
      <c r="B183"/>
      <c r="C183"/>
      <c r="D183"/>
      <c r="E183"/>
    </row>
    <row r="184" spans="2:5">
      <c r="B184"/>
      <c r="C184"/>
      <c r="D184"/>
      <c r="E184"/>
    </row>
    <row r="185" spans="2:5">
      <c r="B185"/>
      <c r="C185"/>
      <c r="D185"/>
      <c r="E185"/>
    </row>
    <row r="186" spans="2:5">
      <c r="B186"/>
      <c r="C186"/>
      <c r="D186"/>
      <c r="E186"/>
    </row>
    <row r="187" spans="2:5">
      <c r="B187"/>
      <c r="C187"/>
      <c r="D187"/>
      <c r="E187"/>
    </row>
    <row r="188" spans="2:5">
      <c r="B188"/>
      <c r="C188"/>
      <c r="D188"/>
      <c r="E188"/>
    </row>
    <row r="189" spans="2:5">
      <c r="B189"/>
      <c r="C189"/>
      <c r="D189"/>
      <c r="E189"/>
    </row>
    <row r="190" spans="2:5">
      <c r="B190"/>
      <c r="C190"/>
      <c r="D190"/>
      <c r="E190"/>
    </row>
    <row r="191" spans="2:5">
      <c r="B191"/>
      <c r="C191"/>
      <c r="D191"/>
      <c r="E191"/>
    </row>
    <row r="192" spans="2:5">
      <c r="B192"/>
      <c r="C192"/>
      <c r="D192"/>
      <c r="E192"/>
    </row>
    <row r="193" spans="2:5">
      <c r="B193"/>
      <c r="C193"/>
      <c r="D193"/>
      <c r="E193"/>
    </row>
    <row r="194" spans="2:5">
      <c r="B194"/>
      <c r="C194"/>
      <c r="D194"/>
      <c r="E194"/>
    </row>
    <row r="195" spans="2:5">
      <c r="B195"/>
      <c r="C195"/>
      <c r="D195"/>
      <c r="E195"/>
    </row>
    <row r="196" spans="2:5">
      <c r="B196"/>
      <c r="C196"/>
      <c r="D196"/>
      <c r="E196"/>
    </row>
    <row r="197" spans="2:5">
      <c r="B197"/>
      <c r="C197"/>
      <c r="D197"/>
      <c r="E197"/>
    </row>
    <row r="198" spans="2:5">
      <c r="B198"/>
      <c r="C198"/>
      <c r="D198"/>
      <c r="E198"/>
    </row>
    <row r="199" spans="2:5">
      <c r="B199"/>
      <c r="C199"/>
      <c r="D199"/>
      <c r="E199"/>
    </row>
    <row r="200" spans="2:5">
      <c r="B200"/>
      <c r="C200"/>
      <c r="D200"/>
      <c r="E200"/>
    </row>
    <row r="201" spans="2:5">
      <c r="B201"/>
      <c r="C201"/>
      <c r="D201"/>
      <c r="E201"/>
    </row>
    <row r="202" spans="2:5">
      <c r="B202"/>
      <c r="C202"/>
      <c r="D202"/>
      <c r="E202"/>
    </row>
    <row r="203" spans="2:5">
      <c r="B203"/>
      <c r="C203"/>
      <c r="D203"/>
      <c r="E203"/>
    </row>
    <row r="204" spans="2:5">
      <c r="B204"/>
      <c r="C204"/>
      <c r="D204"/>
      <c r="E204"/>
    </row>
    <row r="205" spans="2:5">
      <c r="B205"/>
      <c r="C205"/>
      <c r="D205"/>
      <c r="E205"/>
    </row>
    <row r="206" spans="2:5">
      <c r="B206"/>
      <c r="C206"/>
      <c r="D206"/>
      <c r="E206"/>
    </row>
    <row r="207" spans="2:5">
      <c r="B207"/>
      <c r="C207"/>
      <c r="D207"/>
      <c r="E207"/>
    </row>
    <row r="208" spans="2:5">
      <c r="B208"/>
      <c r="C208"/>
      <c r="D208"/>
      <c r="E208"/>
    </row>
    <row r="209" spans="2:5">
      <c r="B209"/>
      <c r="C209"/>
      <c r="D209"/>
      <c r="E209"/>
    </row>
    <row r="210" spans="2:5">
      <c r="B210"/>
      <c r="C210"/>
      <c r="D210"/>
      <c r="E210"/>
    </row>
    <row r="211" spans="2:5">
      <c r="B211"/>
      <c r="C211"/>
      <c r="D211"/>
      <c r="E211"/>
    </row>
    <row r="212" spans="2:5">
      <c r="B212"/>
      <c r="C212"/>
      <c r="D212"/>
      <c r="E212"/>
    </row>
    <row r="213" spans="2:5">
      <c r="B213"/>
      <c r="C213"/>
      <c r="D213"/>
      <c r="E213"/>
    </row>
    <row r="214" spans="2:5">
      <c r="B214"/>
      <c r="C214"/>
      <c r="D214"/>
      <c r="E214"/>
    </row>
    <row r="215" spans="2:5">
      <c r="B215"/>
      <c r="C215"/>
      <c r="D215"/>
      <c r="E215"/>
    </row>
    <row r="216" spans="2:5">
      <c r="B216"/>
      <c r="C216"/>
      <c r="D216"/>
      <c r="E216"/>
    </row>
    <row r="217" spans="2:5">
      <c r="B217"/>
      <c r="C217"/>
      <c r="D217"/>
      <c r="E217"/>
    </row>
    <row r="218" spans="2:5">
      <c r="B218"/>
      <c r="C218"/>
      <c r="D218"/>
      <c r="E218"/>
    </row>
    <row r="219" spans="2:5">
      <c r="B219"/>
      <c r="C219"/>
      <c r="D219"/>
      <c r="E219"/>
    </row>
    <row r="220" spans="2:5">
      <c r="B220"/>
      <c r="C220"/>
      <c r="D220"/>
      <c r="E220"/>
    </row>
    <row r="221" spans="2:5">
      <c r="B221"/>
      <c r="C221"/>
      <c r="D221"/>
      <c r="E221"/>
    </row>
    <row r="222" spans="2:5">
      <c r="B222"/>
      <c r="C222"/>
      <c r="D222"/>
      <c r="E222"/>
    </row>
    <row r="223" spans="2:5">
      <c r="B223"/>
      <c r="C223"/>
      <c r="D223"/>
      <c r="E223"/>
    </row>
    <row r="224" spans="2:5">
      <c r="B224"/>
      <c r="C224"/>
      <c r="D224"/>
      <c r="E224"/>
    </row>
    <row r="225" spans="2:5">
      <c r="B225"/>
      <c r="C225"/>
      <c r="D225"/>
      <c r="E225"/>
    </row>
    <row r="226" spans="2:5">
      <c r="B226"/>
      <c r="C226"/>
      <c r="D226"/>
      <c r="E226"/>
    </row>
    <row r="227" spans="2:5">
      <c r="B227"/>
      <c r="C227"/>
      <c r="D227"/>
      <c r="E227"/>
    </row>
    <row r="228" spans="2:5">
      <c r="B228"/>
      <c r="C228"/>
      <c r="D228"/>
      <c r="E228"/>
    </row>
    <row r="229" spans="2:5">
      <c r="B229"/>
      <c r="C229"/>
      <c r="D229"/>
      <c r="E229"/>
    </row>
    <row r="230" spans="2:5">
      <c r="B230"/>
      <c r="C230"/>
      <c r="D230"/>
      <c r="E230"/>
    </row>
    <row r="231" spans="2:5">
      <c r="B231"/>
      <c r="C231"/>
      <c r="D231"/>
      <c r="E231"/>
    </row>
    <row r="232" spans="2:5">
      <c r="B232"/>
      <c r="C232"/>
      <c r="D232"/>
      <c r="E232"/>
    </row>
    <row r="233" spans="2:5">
      <c r="B233"/>
      <c r="C233"/>
      <c r="D233"/>
      <c r="E233"/>
    </row>
    <row r="234" spans="2:5">
      <c r="B234"/>
      <c r="C234"/>
      <c r="D234"/>
      <c r="E234"/>
    </row>
    <row r="235" spans="2:5">
      <c r="B235"/>
      <c r="C235"/>
      <c r="D235"/>
      <c r="E235"/>
    </row>
    <row r="236" spans="2:5">
      <c r="B236"/>
      <c r="C236"/>
      <c r="D236"/>
      <c r="E236"/>
    </row>
    <row r="237" spans="2:5">
      <c r="B237"/>
      <c r="C237"/>
      <c r="D237"/>
      <c r="E237"/>
    </row>
    <row r="238" spans="2:5">
      <c r="B238"/>
      <c r="C238"/>
      <c r="D238"/>
      <c r="E238"/>
    </row>
    <row r="239" spans="2:5">
      <c r="B239"/>
      <c r="C239"/>
      <c r="D239"/>
      <c r="E239"/>
    </row>
    <row r="240" spans="2:5">
      <c r="B240"/>
      <c r="C240"/>
      <c r="D240"/>
      <c r="E240"/>
    </row>
    <row r="241" spans="2:5">
      <c r="B241"/>
      <c r="C241"/>
      <c r="D241"/>
      <c r="E241"/>
    </row>
    <row r="242" spans="2:5">
      <c r="B242"/>
      <c r="C242"/>
      <c r="D242"/>
      <c r="E242"/>
    </row>
    <row r="243" spans="2:5">
      <c r="B243"/>
      <c r="C243"/>
      <c r="D243"/>
      <c r="E243"/>
    </row>
    <row r="244" spans="2:5">
      <c r="B244"/>
      <c r="C244"/>
      <c r="D244"/>
      <c r="E244"/>
    </row>
    <row r="245" spans="2:5">
      <c r="B245"/>
      <c r="C245"/>
      <c r="D245"/>
      <c r="E245"/>
    </row>
    <row r="246" spans="2:5">
      <c r="B246"/>
      <c r="C246"/>
      <c r="D246"/>
      <c r="E246"/>
    </row>
    <row r="247" spans="2:5">
      <c r="B247"/>
      <c r="C247"/>
      <c r="D247"/>
      <c r="E247"/>
    </row>
    <row r="248" spans="2:5">
      <c r="B248"/>
      <c r="C248"/>
      <c r="D248"/>
      <c r="E248"/>
    </row>
    <row r="249" spans="2:5">
      <c r="B249"/>
      <c r="C249"/>
      <c r="D249"/>
      <c r="E249"/>
    </row>
    <row r="250" spans="2:5">
      <c r="B250"/>
      <c r="C250"/>
      <c r="D250"/>
      <c r="E250"/>
    </row>
    <row r="251" spans="2:5">
      <c r="B251"/>
      <c r="C251"/>
      <c r="D251"/>
      <c r="E251"/>
    </row>
    <row r="252" spans="2:5">
      <c r="B252"/>
      <c r="C252"/>
      <c r="D252"/>
      <c r="E252"/>
    </row>
    <row r="253" spans="2:5">
      <c r="B253"/>
      <c r="C253"/>
      <c r="D253"/>
      <c r="E253"/>
    </row>
    <row r="254" spans="2:5">
      <c r="B254"/>
      <c r="C254"/>
      <c r="D254"/>
      <c r="E254"/>
    </row>
    <row r="255" spans="2:5">
      <c r="B255"/>
      <c r="C255"/>
      <c r="D255"/>
      <c r="E255"/>
    </row>
    <row r="256" spans="2:5">
      <c r="B256"/>
      <c r="C256"/>
      <c r="D256"/>
      <c r="E256"/>
    </row>
    <row r="257" spans="2:5">
      <c r="B257"/>
      <c r="C257"/>
      <c r="D257"/>
      <c r="E257"/>
    </row>
    <row r="258" spans="2:5">
      <c r="B258"/>
      <c r="C258"/>
      <c r="D258"/>
      <c r="E258"/>
    </row>
    <row r="259" spans="2:5">
      <c r="B259"/>
      <c r="C259"/>
      <c r="D259"/>
      <c r="E259"/>
    </row>
    <row r="260" spans="2:5">
      <c r="B260"/>
      <c r="C260"/>
      <c r="D260"/>
      <c r="E260"/>
    </row>
    <row r="261" spans="2:5">
      <c r="B261"/>
      <c r="C261"/>
      <c r="D261"/>
      <c r="E261"/>
    </row>
    <row r="262" spans="2:5">
      <c r="B262"/>
      <c r="C262"/>
      <c r="D262"/>
      <c r="E262"/>
    </row>
    <row r="263" spans="2:5">
      <c r="B263"/>
      <c r="C263"/>
      <c r="D263"/>
      <c r="E263"/>
    </row>
    <row r="264" spans="2:5">
      <c r="B264"/>
      <c r="C264"/>
      <c r="D264"/>
      <c r="E264"/>
    </row>
    <row r="265" spans="2:5">
      <c r="B265"/>
      <c r="C265"/>
      <c r="D265"/>
      <c r="E265"/>
    </row>
    <row r="266" spans="2:5">
      <c r="B266"/>
      <c r="C266"/>
      <c r="D266"/>
      <c r="E266"/>
    </row>
    <row r="267" spans="2:5">
      <c r="B267"/>
      <c r="C267"/>
      <c r="D267"/>
      <c r="E267"/>
    </row>
    <row r="268" spans="2:5">
      <c r="B268"/>
      <c r="C268"/>
      <c r="D268"/>
      <c r="E268"/>
    </row>
    <row r="269" spans="2:5">
      <c r="B269"/>
      <c r="C269"/>
      <c r="D269"/>
      <c r="E269"/>
    </row>
    <row r="270" spans="2:5">
      <c r="B270"/>
      <c r="C270"/>
      <c r="D270"/>
      <c r="E270"/>
    </row>
    <row r="271" spans="2:5">
      <c r="B271"/>
      <c r="C271"/>
      <c r="D271"/>
      <c r="E271"/>
    </row>
    <row r="272" spans="2:5">
      <c r="B272"/>
      <c r="C272"/>
      <c r="D272"/>
      <c r="E272"/>
    </row>
    <row r="273" spans="2:5">
      <c r="B273"/>
      <c r="C273"/>
      <c r="D273"/>
      <c r="E273"/>
    </row>
    <row r="274" spans="2:5">
      <c r="B274"/>
      <c r="C274"/>
      <c r="D274"/>
      <c r="E274"/>
    </row>
    <row r="275" spans="2:5">
      <c r="B275"/>
      <c r="C275"/>
      <c r="D275"/>
      <c r="E275"/>
    </row>
    <row r="276" spans="2:5">
      <c r="B276"/>
      <c r="C276"/>
      <c r="D276"/>
      <c r="E276"/>
    </row>
    <row r="277" spans="2:5">
      <c r="B277"/>
      <c r="C277"/>
      <c r="D277"/>
      <c r="E277"/>
    </row>
    <row r="278" spans="2:5">
      <c r="B278"/>
      <c r="C278"/>
      <c r="D278"/>
      <c r="E278"/>
    </row>
    <row r="279" spans="2:5">
      <c r="B279"/>
      <c r="C279"/>
      <c r="D279"/>
      <c r="E279"/>
    </row>
    <row r="280" spans="2:5">
      <c r="B280"/>
      <c r="C280"/>
      <c r="D280"/>
      <c r="E280"/>
    </row>
    <row r="281" spans="2:5">
      <c r="B281"/>
      <c r="C281"/>
      <c r="D281"/>
      <c r="E281"/>
    </row>
    <row r="282" spans="2:5">
      <c r="B282"/>
      <c r="C282"/>
      <c r="D282"/>
      <c r="E282"/>
    </row>
    <row r="283" spans="2:5">
      <c r="B283"/>
      <c r="C283"/>
      <c r="D283"/>
      <c r="E283"/>
    </row>
    <row r="284" spans="2:5">
      <c r="B284"/>
      <c r="C284"/>
      <c r="D284"/>
      <c r="E284"/>
    </row>
    <row r="285" spans="2:5">
      <c r="B285"/>
      <c r="C285"/>
      <c r="D285"/>
      <c r="E285"/>
    </row>
    <row r="286" spans="2:5">
      <c r="B286"/>
      <c r="C286"/>
      <c r="D286"/>
      <c r="E286"/>
    </row>
    <row r="287" spans="2:5">
      <c r="B287"/>
      <c r="C287"/>
      <c r="D287"/>
      <c r="E287"/>
    </row>
    <row r="288" spans="2:5">
      <c r="B288"/>
      <c r="C288"/>
      <c r="D288"/>
      <c r="E288"/>
    </row>
    <row r="289" spans="2:5">
      <c r="B289"/>
      <c r="C289"/>
      <c r="D289"/>
      <c r="E289"/>
    </row>
    <row r="290" spans="2:5">
      <c r="B290"/>
      <c r="C290"/>
      <c r="D290"/>
      <c r="E290"/>
    </row>
    <row r="291" spans="2:5">
      <c r="B291"/>
      <c r="C291"/>
      <c r="D291"/>
      <c r="E291"/>
    </row>
    <row r="292" spans="2:5">
      <c r="B292"/>
      <c r="C292"/>
      <c r="D292"/>
      <c r="E292"/>
    </row>
    <row r="293" spans="2:5">
      <c r="B293"/>
      <c r="C293"/>
      <c r="D293"/>
      <c r="E293"/>
    </row>
    <row r="294" spans="2:5">
      <c r="B294"/>
      <c r="C294"/>
      <c r="D294"/>
      <c r="E294"/>
    </row>
    <row r="295" spans="2:5">
      <c r="B295"/>
      <c r="C295"/>
      <c r="D295"/>
      <c r="E295"/>
    </row>
    <row r="296" spans="2:5">
      <c r="B296"/>
      <c r="C296"/>
      <c r="D296"/>
      <c r="E296"/>
    </row>
    <row r="297" spans="2:5">
      <c r="B297"/>
      <c r="C297"/>
      <c r="D297"/>
      <c r="E297"/>
    </row>
    <row r="298" spans="2:5">
      <c r="B298"/>
      <c r="C298"/>
      <c r="D298"/>
      <c r="E298"/>
    </row>
    <row r="299" spans="2:5">
      <c r="B299"/>
      <c r="C299"/>
      <c r="D299"/>
      <c r="E299"/>
    </row>
    <row r="300" spans="2:5">
      <c r="B300"/>
      <c r="C300"/>
      <c r="D300"/>
      <c r="E300"/>
    </row>
    <row r="301" spans="2:5">
      <c r="B301"/>
      <c r="C301"/>
      <c r="D301"/>
      <c r="E301"/>
    </row>
    <row r="302" spans="2:5">
      <c r="B302"/>
      <c r="C302"/>
      <c r="D302"/>
      <c r="E302"/>
    </row>
    <row r="303" spans="2:5">
      <c r="B303"/>
      <c r="C303"/>
      <c r="D303"/>
      <c r="E303"/>
    </row>
    <row r="304" spans="2:5">
      <c r="B304"/>
      <c r="C304"/>
      <c r="D304"/>
      <c r="E304"/>
    </row>
    <row r="305" spans="2:5">
      <c r="B305"/>
      <c r="C305"/>
      <c r="D305"/>
      <c r="E305"/>
    </row>
    <row r="306" spans="2:5">
      <c r="B306"/>
      <c r="C306"/>
      <c r="D306"/>
      <c r="E306"/>
    </row>
    <row r="307" spans="2:5">
      <c r="B307"/>
      <c r="C307"/>
      <c r="D307"/>
      <c r="E307"/>
    </row>
    <row r="308" spans="2:5">
      <c r="B308"/>
      <c r="C308"/>
      <c r="D308"/>
      <c r="E308"/>
    </row>
    <row r="309" spans="2:5">
      <c r="B309"/>
      <c r="C309"/>
      <c r="D309"/>
      <c r="E309"/>
    </row>
    <row r="310" spans="2:5">
      <c r="B310"/>
      <c r="C310"/>
      <c r="D310"/>
      <c r="E310"/>
    </row>
    <row r="311" spans="2:5">
      <c r="B311"/>
      <c r="C311"/>
      <c r="D311"/>
      <c r="E311"/>
    </row>
    <row r="312" spans="2:5">
      <c r="B312"/>
      <c r="C312"/>
      <c r="D312"/>
      <c r="E312"/>
    </row>
    <row r="313" spans="2:5">
      <c r="B313"/>
      <c r="C313"/>
      <c r="D313"/>
      <c r="E313"/>
    </row>
    <row r="314" spans="2:5">
      <c r="B314"/>
      <c r="C314"/>
      <c r="D314"/>
      <c r="E314"/>
    </row>
    <row r="315" spans="2:5">
      <c r="B315"/>
      <c r="C315"/>
      <c r="D315"/>
      <c r="E315"/>
    </row>
    <row r="316" spans="2:5">
      <c r="B316"/>
      <c r="C316"/>
      <c r="D316"/>
      <c r="E316"/>
    </row>
    <row r="317" spans="2:5">
      <c r="B317"/>
      <c r="C317"/>
      <c r="D317"/>
      <c r="E317"/>
    </row>
    <row r="318" spans="2:5">
      <c r="B318"/>
      <c r="C318"/>
      <c r="D318"/>
      <c r="E318"/>
    </row>
    <row r="319" spans="2:5">
      <c r="B319"/>
      <c r="C319"/>
      <c r="D319"/>
      <c r="E319"/>
    </row>
    <row r="320" spans="2:5">
      <c r="B320"/>
      <c r="C320"/>
      <c r="D320"/>
      <c r="E320"/>
    </row>
    <row r="321" spans="2:5">
      <c r="B321"/>
      <c r="C321"/>
      <c r="D321"/>
      <c r="E321"/>
    </row>
    <row r="322" spans="2:5">
      <c r="B322"/>
      <c r="C322"/>
      <c r="D322"/>
      <c r="E322"/>
    </row>
    <row r="323" spans="2:5">
      <c r="B323"/>
      <c r="C323"/>
      <c r="D323"/>
      <c r="E323"/>
    </row>
    <row r="324" spans="2:5">
      <c r="B324"/>
      <c r="C324"/>
      <c r="D324"/>
      <c r="E324"/>
    </row>
    <row r="325" spans="2:5">
      <c r="B325"/>
      <c r="C325"/>
      <c r="D325"/>
      <c r="E325"/>
    </row>
    <row r="326" spans="2:5">
      <c r="B326"/>
      <c r="C326"/>
      <c r="D326"/>
      <c r="E326"/>
    </row>
    <row r="327" spans="2:5">
      <c r="B327"/>
      <c r="C327"/>
      <c r="D327"/>
      <c r="E327"/>
    </row>
    <row r="328" spans="2:5">
      <c r="B328"/>
      <c r="C328"/>
      <c r="D328"/>
      <c r="E328"/>
    </row>
    <row r="329" spans="2:5">
      <c r="B329"/>
      <c r="C329"/>
      <c r="D329"/>
      <c r="E329"/>
    </row>
    <row r="330" spans="2:5">
      <c r="B330"/>
      <c r="C330"/>
      <c r="D330"/>
      <c r="E330"/>
    </row>
    <row r="331" spans="2:5">
      <c r="B331"/>
      <c r="C331"/>
      <c r="D331"/>
      <c r="E331"/>
    </row>
    <row r="332" spans="2:5">
      <c r="B332"/>
      <c r="C332"/>
      <c r="D332"/>
      <c r="E332"/>
    </row>
    <row r="333" spans="2:5">
      <c r="B333"/>
      <c r="C333"/>
      <c r="D333"/>
      <c r="E333"/>
    </row>
    <row r="334" spans="2:5">
      <c r="B334"/>
      <c r="C334"/>
      <c r="D334"/>
      <c r="E334"/>
    </row>
    <row r="335" spans="2:5">
      <c r="B335"/>
      <c r="C335"/>
      <c r="D335"/>
      <c r="E335"/>
    </row>
    <row r="336" spans="2:5">
      <c r="B336"/>
      <c r="C336"/>
      <c r="D336"/>
      <c r="E336"/>
    </row>
    <row r="337" spans="2:5">
      <c r="B337"/>
      <c r="C337"/>
      <c r="D337"/>
      <c r="E337"/>
    </row>
    <row r="338" spans="2:5">
      <c r="B338"/>
      <c r="C338"/>
      <c r="D338"/>
      <c r="E338"/>
    </row>
    <row r="339" spans="2:5">
      <c r="B339"/>
      <c r="C339"/>
      <c r="D339"/>
      <c r="E339"/>
    </row>
    <row r="340" spans="2:5">
      <c r="B340"/>
      <c r="C340"/>
      <c r="D340"/>
      <c r="E340"/>
    </row>
    <row r="341" spans="2:5">
      <c r="B341"/>
      <c r="C341"/>
      <c r="D341"/>
      <c r="E341"/>
    </row>
    <row r="342" spans="2:5">
      <c r="B342"/>
      <c r="C342"/>
      <c r="D342"/>
      <c r="E342"/>
    </row>
    <row r="343" spans="2:5">
      <c r="B343"/>
      <c r="C343"/>
      <c r="D343"/>
      <c r="E343"/>
    </row>
    <row r="344" spans="2:5">
      <c r="B344"/>
      <c r="C344"/>
      <c r="D344"/>
      <c r="E344"/>
    </row>
    <row r="345" spans="2:5">
      <c r="B345"/>
      <c r="C345"/>
      <c r="D345"/>
      <c r="E345"/>
    </row>
    <row r="346" spans="2:5">
      <c r="B346"/>
      <c r="C346"/>
      <c r="D346"/>
      <c r="E346"/>
    </row>
    <row r="347" spans="2:5">
      <c r="B347"/>
      <c r="C347"/>
      <c r="D347"/>
      <c r="E347"/>
    </row>
    <row r="348" spans="2:5">
      <c r="B348"/>
      <c r="C348"/>
      <c r="D348"/>
      <c r="E348"/>
    </row>
    <row r="349" spans="2:5">
      <c r="B349"/>
      <c r="C349"/>
      <c r="D349"/>
      <c r="E349"/>
    </row>
    <row r="350" spans="2:5">
      <c r="B350"/>
      <c r="C350"/>
      <c r="D350"/>
      <c r="E350"/>
    </row>
    <row r="351" spans="2:5">
      <c r="B351"/>
      <c r="C351"/>
      <c r="D351"/>
      <c r="E351"/>
    </row>
    <row r="352" spans="2:5">
      <c r="B352"/>
      <c r="C352"/>
      <c r="D352"/>
      <c r="E352"/>
    </row>
    <row r="353" spans="2:5">
      <c r="B353"/>
      <c r="C353"/>
      <c r="D353"/>
      <c r="E353"/>
    </row>
    <row r="354" spans="2:5">
      <c r="B354"/>
      <c r="C354"/>
      <c r="D354"/>
      <c r="E354"/>
    </row>
    <row r="355" spans="2:5">
      <c r="B355"/>
      <c r="C355"/>
      <c r="D355"/>
      <c r="E355"/>
    </row>
    <row r="356" spans="2:5">
      <c r="B356"/>
      <c r="C356"/>
      <c r="D356"/>
      <c r="E356"/>
    </row>
    <row r="357" spans="2:5">
      <c r="B357"/>
      <c r="C357"/>
      <c r="D357"/>
      <c r="E357"/>
    </row>
    <row r="358" spans="2:5">
      <c r="B358"/>
      <c r="C358"/>
      <c r="D358"/>
      <c r="E358"/>
    </row>
    <row r="359" spans="2:5">
      <c r="B359"/>
      <c r="C359"/>
      <c r="D359"/>
      <c r="E359"/>
    </row>
    <row r="360" spans="2:5">
      <c r="B360"/>
      <c r="C360"/>
      <c r="D360"/>
      <c r="E360"/>
    </row>
    <row r="361" spans="2:5">
      <c r="B361"/>
      <c r="C361"/>
      <c r="D361"/>
      <c r="E361"/>
    </row>
    <row r="362" spans="2:5">
      <c r="B362"/>
      <c r="C362"/>
      <c r="D362"/>
      <c r="E362"/>
    </row>
    <row r="363" spans="2:5">
      <c r="B363"/>
      <c r="C363"/>
      <c r="D363"/>
      <c r="E363"/>
    </row>
    <row r="364" spans="2:5">
      <c r="B364"/>
      <c r="C364"/>
      <c r="D364"/>
      <c r="E364"/>
    </row>
    <row r="365" spans="2:5">
      <c r="B365"/>
      <c r="C365"/>
      <c r="D365"/>
      <c r="E365"/>
    </row>
    <row r="366" spans="2:5">
      <c r="B366"/>
      <c r="C366"/>
      <c r="D366"/>
      <c r="E366"/>
    </row>
    <row r="367" spans="2:5">
      <c r="B367"/>
      <c r="C367"/>
      <c r="D367"/>
      <c r="E367"/>
    </row>
    <row r="368" spans="2:5">
      <c r="B368"/>
      <c r="C368"/>
      <c r="D368"/>
      <c r="E368"/>
    </row>
    <row r="369" spans="2:5">
      <c r="B369"/>
      <c r="C369"/>
      <c r="D369"/>
      <c r="E369"/>
    </row>
    <row r="370" spans="2:5">
      <c r="B370"/>
      <c r="C370"/>
      <c r="D370"/>
      <c r="E370"/>
    </row>
    <row r="371" spans="2:5">
      <c r="B371"/>
      <c r="C371"/>
      <c r="D371"/>
      <c r="E371"/>
    </row>
    <row r="372" spans="2:5">
      <c r="B372"/>
      <c r="C372"/>
      <c r="D372"/>
      <c r="E372"/>
    </row>
    <row r="373" spans="2:5">
      <c r="B373"/>
      <c r="C373"/>
      <c r="D373"/>
      <c r="E373"/>
    </row>
    <row r="374" spans="2:5">
      <c r="B374"/>
      <c r="C374"/>
      <c r="D374"/>
      <c r="E374"/>
    </row>
    <row r="375" spans="2:5">
      <c r="B375"/>
      <c r="C375"/>
      <c r="D375"/>
      <c r="E375"/>
    </row>
    <row r="376" spans="2:5">
      <c r="B376"/>
      <c r="C376"/>
      <c r="D376"/>
      <c r="E376"/>
    </row>
    <row r="377" spans="2:5">
      <c r="B377"/>
      <c r="C377"/>
      <c r="D377"/>
      <c r="E377"/>
    </row>
    <row r="378" spans="2:5">
      <c r="B378"/>
      <c r="C378"/>
      <c r="D378"/>
      <c r="E378"/>
    </row>
    <row r="379" spans="2:5">
      <c r="B379"/>
      <c r="C379"/>
      <c r="D379"/>
      <c r="E379"/>
    </row>
    <row r="380" spans="2:5">
      <c r="B380"/>
      <c r="C380"/>
      <c r="D380"/>
      <c r="E380"/>
    </row>
    <row r="381" spans="2:5">
      <c r="B381"/>
      <c r="C381"/>
      <c r="D381"/>
      <c r="E381"/>
    </row>
    <row r="382" spans="2:5">
      <c r="B382"/>
      <c r="C382"/>
      <c r="D382"/>
      <c r="E382"/>
    </row>
    <row r="383" spans="2:5">
      <c r="B383"/>
      <c r="C383"/>
      <c r="D383"/>
      <c r="E383"/>
    </row>
    <row r="384" spans="2:5">
      <c r="B384"/>
      <c r="C384"/>
      <c r="D384"/>
      <c r="E384"/>
    </row>
    <row r="385" spans="2:5">
      <c r="B385"/>
      <c r="C385"/>
      <c r="D385"/>
      <c r="E385"/>
    </row>
    <row r="386" spans="2:5">
      <c r="B386"/>
      <c r="C386"/>
      <c r="D386"/>
      <c r="E386"/>
    </row>
    <row r="387" spans="2:5">
      <c r="B387"/>
      <c r="C387"/>
      <c r="D387"/>
      <c r="E387"/>
    </row>
    <row r="388" spans="2:5">
      <c r="B388"/>
      <c r="C388"/>
      <c r="D388"/>
      <c r="E388"/>
    </row>
    <row r="389" spans="2:5">
      <c r="B389"/>
      <c r="C389"/>
      <c r="D389"/>
      <c r="E389"/>
    </row>
    <row r="390" spans="2:5">
      <c r="B390"/>
      <c r="C390"/>
      <c r="D390"/>
      <c r="E390"/>
    </row>
    <row r="391" spans="2:5">
      <c r="B391"/>
      <c r="C391"/>
      <c r="D391"/>
      <c r="E391"/>
    </row>
    <row r="392" spans="2:5">
      <c r="B392"/>
      <c r="C392"/>
      <c r="D392"/>
      <c r="E392"/>
    </row>
    <row r="393" spans="2:5">
      <c r="B393"/>
      <c r="C393"/>
      <c r="D393"/>
      <c r="E393"/>
    </row>
    <row r="394" spans="2:5">
      <c r="B394"/>
      <c r="C394"/>
      <c r="D394"/>
      <c r="E394"/>
    </row>
    <row r="395" spans="2:5">
      <c r="B395"/>
      <c r="C395"/>
      <c r="D395"/>
      <c r="E395"/>
    </row>
    <row r="396" spans="2:5">
      <c r="B396"/>
      <c r="C396"/>
      <c r="D396"/>
      <c r="E396"/>
    </row>
    <row r="397" spans="2:5">
      <c r="B397"/>
      <c r="C397"/>
      <c r="D397"/>
      <c r="E397"/>
    </row>
    <row r="398" spans="2:5">
      <c r="B398"/>
      <c r="C398"/>
      <c r="D398"/>
      <c r="E398"/>
    </row>
    <row r="399" spans="2:5">
      <c r="B399"/>
      <c r="C399"/>
      <c r="D399"/>
      <c r="E399"/>
    </row>
    <row r="400" spans="2:5">
      <c r="B400"/>
      <c r="C400"/>
      <c r="D400"/>
      <c r="E400"/>
    </row>
    <row r="401" spans="2:5">
      <c r="B401"/>
      <c r="C401"/>
      <c r="D401"/>
      <c r="E401"/>
    </row>
    <row r="402" spans="2:5">
      <c r="B402"/>
      <c r="C402"/>
      <c r="D402"/>
      <c r="E402"/>
    </row>
    <row r="403" spans="2:5">
      <c r="B403"/>
      <c r="C403"/>
      <c r="D403"/>
      <c r="E403"/>
    </row>
    <row r="404" spans="2:5">
      <c r="B404"/>
      <c r="C404"/>
      <c r="D404"/>
      <c r="E404"/>
    </row>
    <row r="405" spans="2:5">
      <c r="B405"/>
      <c r="C405"/>
      <c r="D405"/>
      <c r="E405"/>
    </row>
    <row r="406" spans="2:5">
      <c r="B406"/>
      <c r="C406"/>
      <c r="D406"/>
      <c r="E406"/>
    </row>
    <row r="407" spans="2:5">
      <c r="B407"/>
      <c r="C407"/>
      <c r="D407"/>
      <c r="E407"/>
    </row>
    <row r="408" spans="2:5">
      <c r="B408"/>
      <c r="C408"/>
      <c r="D408"/>
      <c r="E408"/>
    </row>
    <row r="409" spans="2:5">
      <c r="B409"/>
      <c r="C409"/>
      <c r="D409"/>
      <c r="E409"/>
    </row>
    <row r="410" spans="2:5">
      <c r="B410"/>
      <c r="C410"/>
      <c r="D410"/>
      <c r="E410"/>
    </row>
    <row r="411" spans="2:5">
      <c r="B411"/>
      <c r="C411"/>
      <c r="D411"/>
      <c r="E411"/>
    </row>
    <row r="412" spans="2:5">
      <c r="B412"/>
      <c r="C412"/>
      <c r="D412"/>
      <c r="E412"/>
    </row>
    <row r="413" spans="2:5">
      <c r="B413"/>
      <c r="C413"/>
      <c r="D413"/>
      <c r="E413"/>
    </row>
    <row r="414" spans="2:5">
      <c r="B414"/>
      <c r="C414"/>
      <c r="D414"/>
      <c r="E414"/>
    </row>
    <row r="415" spans="2:5">
      <c r="B415"/>
      <c r="C415"/>
      <c r="D415"/>
      <c r="E415"/>
    </row>
    <row r="416" spans="2:5">
      <c r="B416"/>
      <c r="C416"/>
      <c r="D416"/>
      <c r="E416"/>
    </row>
    <row r="417" spans="2:5">
      <c r="B417"/>
      <c r="C417"/>
      <c r="D417"/>
      <c r="E417"/>
    </row>
    <row r="418" spans="2:5">
      <c r="B418"/>
      <c r="C418"/>
      <c r="D418"/>
      <c r="E418"/>
    </row>
    <row r="419" spans="2:5">
      <c r="B419"/>
      <c r="C419"/>
      <c r="D419"/>
      <c r="E419"/>
    </row>
    <row r="420" spans="2:5">
      <c r="B420"/>
      <c r="C420"/>
      <c r="D420"/>
      <c r="E420"/>
    </row>
    <row r="421" spans="2:5">
      <c r="B421"/>
      <c r="C421"/>
      <c r="D421"/>
      <c r="E421"/>
    </row>
    <row r="422" spans="2:5">
      <c r="B422"/>
      <c r="C422"/>
      <c r="D422"/>
      <c r="E422"/>
    </row>
    <row r="423" spans="2:5">
      <c r="B423"/>
      <c r="C423"/>
      <c r="D423"/>
      <c r="E423"/>
    </row>
    <row r="424" spans="2:5">
      <c r="B424"/>
      <c r="C424"/>
      <c r="D424"/>
      <c r="E424"/>
    </row>
    <row r="425" spans="2:5">
      <c r="B425"/>
      <c r="C425"/>
      <c r="D425"/>
      <c r="E425"/>
    </row>
    <row r="426" spans="2:5">
      <c r="B426"/>
      <c r="C426"/>
      <c r="D426"/>
      <c r="E426"/>
    </row>
    <row r="427" spans="2:5">
      <c r="B427"/>
      <c r="C427"/>
      <c r="D427"/>
      <c r="E427"/>
    </row>
    <row r="428" spans="2:5">
      <c r="B428"/>
      <c r="C428"/>
      <c r="D428"/>
      <c r="E428"/>
    </row>
    <row r="429" spans="2:5">
      <c r="B429"/>
      <c r="C429"/>
      <c r="D429"/>
      <c r="E429"/>
    </row>
    <row r="430" spans="2:5">
      <c r="B430"/>
      <c r="C430"/>
      <c r="D430"/>
      <c r="E430"/>
    </row>
    <row r="431" spans="2:5">
      <c r="B431"/>
      <c r="C431"/>
      <c r="D431"/>
      <c r="E431"/>
    </row>
    <row r="432" spans="2:5">
      <c r="B432"/>
      <c r="C432"/>
      <c r="D432"/>
      <c r="E432"/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  <row r="468" spans="2:5">
      <c r="B468"/>
      <c r="C468"/>
      <c r="D468"/>
      <c r="E468"/>
    </row>
    <row r="469" spans="2:5">
      <c r="B469"/>
      <c r="C469"/>
      <c r="D469"/>
      <c r="E469"/>
    </row>
    <row r="470" spans="2:5">
      <c r="B470"/>
      <c r="C470"/>
      <c r="D470"/>
      <c r="E470"/>
    </row>
    <row r="471" spans="2:5">
      <c r="B471"/>
      <c r="C471"/>
      <c r="D471"/>
      <c r="E471"/>
    </row>
    <row r="472" spans="2:5">
      <c r="B472"/>
      <c r="C472"/>
      <c r="D472"/>
      <c r="E472"/>
    </row>
    <row r="473" spans="2:5">
      <c r="B473"/>
      <c r="C473"/>
      <c r="D473"/>
      <c r="E473"/>
    </row>
    <row r="474" spans="2:5">
      <c r="B474"/>
      <c r="C474"/>
      <c r="D474"/>
      <c r="E474"/>
    </row>
    <row r="475" spans="2:5">
      <c r="B475"/>
      <c r="C475"/>
      <c r="D475"/>
      <c r="E475"/>
    </row>
    <row r="476" spans="2:5">
      <c r="B476"/>
      <c r="C476"/>
      <c r="D476"/>
      <c r="E476"/>
    </row>
    <row r="477" spans="2:5">
      <c r="B477"/>
      <c r="C477"/>
      <c r="D477"/>
      <c r="E477"/>
    </row>
    <row r="478" spans="2:5">
      <c r="B478"/>
      <c r="C478"/>
      <c r="D478"/>
      <c r="E478"/>
    </row>
    <row r="479" spans="2:5">
      <c r="B479"/>
      <c r="C479"/>
      <c r="D479"/>
      <c r="E479"/>
    </row>
    <row r="480" spans="2:5">
      <c r="B480"/>
      <c r="C480"/>
      <c r="D480"/>
      <c r="E480"/>
    </row>
    <row r="481" spans="2:5">
      <c r="B481"/>
      <c r="C481"/>
      <c r="D481"/>
      <c r="E481"/>
    </row>
    <row r="482" spans="2:5">
      <c r="B482"/>
      <c r="C482"/>
      <c r="D482"/>
      <c r="E482"/>
    </row>
    <row r="483" spans="2:5">
      <c r="B483"/>
      <c r="C483"/>
      <c r="D483"/>
      <c r="E483"/>
    </row>
    <row r="484" spans="2:5">
      <c r="B484"/>
      <c r="C484"/>
      <c r="D484"/>
      <c r="E484"/>
    </row>
    <row r="485" spans="2:5">
      <c r="B485"/>
      <c r="C485"/>
      <c r="D485"/>
      <c r="E485"/>
    </row>
    <row r="486" spans="2:5">
      <c r="B486"/>
      <c r="C486"/>
      <c r="D486"/>
      <c r="E486"/>
    </row>
    <row r="487" spans="2:5">
      <c r="B487"/>
      <c r="C487"/>
      <c r="D487"/>
      <c r="E487"/>
    </row>
    <row r="488" spans="2:5">
      <c r="B488"/>
      <c r="C488"/>
      <c r="D488"/>
      <c r="E488"/>
    </row>
    <row r="489" spans="2:5">
      <c r="B489"/>
      <c r="C489"/>
      <c r="D489"/>
      <c r="E489"/>
    </row>
    <row r="490" spans="2:5">
      <c r="B490"/>
      <c r="C490"/>
      <c r="D490"/>
      <c r="E490"/>
    </row>
    <row r="491" spans="2:5">
      <c r="B491"/>
      <c r="C491"/>
      <c r="D491"/>
      <c r="E491"/>
    </row>
    <row r="492" spans="2:5">
      <c r="B492"/>
      <c r="C492"/>
      <c r="D492"/>
      <c r="E492"/>
    </row>
    <row r="493" spans="2:5">
      <c r="B493"/>
      <c r="C493"/>
      <c r="D493"/>
      <c r="E493"/>
    </row>
    <row r="494" spans="2:5">
      <c r="B494"/>
      <c r="C494"/>
      <c r="D494"/>
      <c r="E494"/>
    </row>
    <row r="495" spans="2:5">
      <c r="B495"/>
      <c r="C495"/>
      <c r="D495"/>
      <c r="E495"/>
    </row>
    <row r="496" spans="2:5">
      <c r="B496"/>
      <c r="C496"/>
      <c r="D496"/>
      <c r="E496"/>
    </row>
    <row r="497" spans="2:5">
      <c r="B497"/>
      <c r="C497"/>
      <c r="D497"/>
      <c r="E497"/>
    </row>
    <row r="498" spans="2:5">
      <c r="B498"/>
      <c r="C498"/>
      <c r="D498"/>
      <c r="E498"/>
    </row>
    <row r="499" spans="2:5">
      <c r="B499"/>
      <c r="C499"/>
      <c r="D499"/>
      <c r="E499"/>
    </row>
    <row r="500" spans="2:5">
      <c r="B500"/>
      <c r="C500"/>
      <c r="D500"/>
      <c r="E500"/>
    </row>
    <row r="501" spans="2:5">
      <c r="B501"/>
      <c r="C501"/>
      <c r="D501"/>
      <c r="E501"/>
    </row>
    <row r="502" spans="2:5">
      <c r="B502"/>
      <c r="C502"/>
      <c r="D502"/>
      <c r="E502"/>
    </row>
    <row r="503" spans="2:5">
      <c r="B503"/>
      <c r="C503"/>
      <c r="D503"/>
      <c r="E503"/>
    </row>
    <row r="504" spans="2:5">
      <c r="B504"/>
      <c r="C504"/>
      <c r="D504"/>
      <c r="E504"/>
    </row>
    <row r="505" spans="2:5">
      <c r="B505"/>
      <c r="C505"/>
      <c r="D505"/>
      <c r="E505"/>
    </row>
    <row r="506" spans="2:5">
      <c r="B506"/>
      <c r="C506"/>
      <c r="D506"/>
      <c r="E506"/>
    </row>
    <row r="507" spans="2:5">
      <c r="B507"/>
      <c r="C507"/>
      <c r="D507"/>
      <c r="E507"/>
    </row>
    <row r="508" spans="2:5">
      <c r="B508"/>
      <c r="C508"/>
      <c r="D508"/>
      <c r="E508"/>
    </row>
    <row r="509" spans="2:5">
      <c r="B509"/>
      <c r="C509"/>
      <c r="D509"/>
      <c r="E509"/>
    </row>
    <row r="510" spans="2:5">
      <c r="B510"/>
      <c r="C510"/>
      <c r="D510"/>
      <c r="E510"/>
    </row>
    <row r="511" spans="2:5">
      <c r="B511"/>
      <c r="C511"/>
      <c r="D511"/>
      <c r="E511"/>
    </row>
    <row r="512" spans="2:5">
      <c r="B512"/>
      <c r="C512"/>
      <c r="D512"/>
      <c r="E512"/>
    </row>
    <row r="513" spans="2:5">
      <c r="B513"/>
      <c r="C513"/>
      <c r="D513"/>
      <c r="E513"/>
    </row>
    <row r="514" spans="2:5">
      <c r="B514"/>
      <c r="C514"/>
      <c r="D514"/>
      <c r="E514"/>
    </row>
    <row r="515" spans="2:5">
      <c r="B515"/>
      <c r="C515"/>
      <c r="D515"/>
      <c r="E515"/>
    </row>
    <row r="516" spans="2:5">
      <c r="B516"/>
      <c r="C516"/>
      <c r="D516"/>
      <c r="E516"/>
    </row>
    <row r="517" spans="2:5">
      <c r="B517"/>
      <c r="C517"/>
      <c r="D517"/>
      <c r="E517"/>
    </row>
    <row r="518" spans="2:5">
      <c r="B518"/>
      <c r="C518"/>
      <c r="D518"/>
      <c r="E518"/>
    </row>
    <row r="519" spans="2:5">
      <c r="B519"/>
      <c r="C519"/>
      <c r="D519"/>
      <c r="E519"/>
    </row>
    <row r="520" spans="2:5">
      <c r="B520"/>
      <c r="C520"/>
      <c r="D520"/>
      <c r="E520"/>
    </row>
    <row r="521" spans="2:5">
      <c r="B521"/>
      <c r="C521"/>
      <c r="D521"/>
      <c r="E521"/>
    </row>
    <row r="522" spans="2:5">
      <c r="B522"/>
      <c r="C522"/>
      <c r="D522"/>
      <c r="E522"/>
    </row>
    <row r="523" spans="2:5">
      <c r="B523"/>
      <c r="C523"/>
      <c r="D523"/>
      <c r="E523"/>
    </row>
    <row r="524" spans="2:5">
      <c r="B524"/>
      <c r="C524"/>
      <c r="D524"/>
      <c r="E524"/>
    </row>
    <row r="525" spans="2:5">
      <c r="B525"/>
      <c r="C525"/>
      <c r="D525"/>
      <c r="E525"/>
    </row>
    <row r="526" spans="2:5">
      <c r="B526"/>
      <c r="C526"/>
      <c r="D526"/>
      <c r="E526"/>
    </row>
    <row r="527" spans="2:5">
      <c r="B527"/>
      <c r="C527"/>
      <c r="D527"/>
      <c r="E527"/>
    </row>
    <row r="528" spans="2:5">
      <c r="B528"/>
      <c r="C528"/>
      <c r="D528"/>
      <c r="E528"/>
    </row>
    <row r="529" spans="2:5">
      <c r="B529"/>
      <c r="C529"/>
      <c r="D529"/>
      <c r="E529"/>
    </row>
    <row r="530" spans="2:5">
      <c r="B530"/>
      <c r="C530"/>
      <c r="D530"/>
      <c r="E530"/>
    </row>
    <row r="531" spans="2:5">
      <c r="B531"/>
      <c r="C531"/>
      <c r="D531"/>
      <c r="E531"/>
    </row>
    <row r="532" spans="2:5">
      <c r="B532"/>
      <c r="C532"/>
      <c r="D532"/>
      <c r="E532"/>
    </row>
    <row r="533" spans="2:5">
      <c r="B533"/>
      <c r="C533"/>
      <c r="D533"/>
      <c r="E533"/>
    </row>
    <row r="534" spans="2:5">
      <c r="B534"/>
      <c r="C534"/>
      <c r="D534"/>
      <c r="E534"/>
    </row>
    <row r="535" spans="2:5">
      <c r="B535"/>
      <c r="C535"/>
      <c r="D535"/>
      <c r="E535"/>
    </row>
    <row r="536" spans="2:5">
      <c r="B536"/>
      <c r="C536"/>
      <c r="D536"/>
      <c r="E536"/>
    </row>
    <row r="537" spans="2:5">
      <c r="B537"/>
      <c r="C537"/>
      <c r="D537"/>
      <c r="E537"/>
    </row>
    <row r="538" spans="2:5">
      <c r="B538"/>
      <c r="C538"/>
      <c r="D538"/>
      <c r="E538"/>
    </row>
    <row r="539" spans="2:5">
      <c r="B539"/>
      <c r="C539"/>
      <c r="D539"/>
      <c r="E539"/>
    </row>
    <row r="540" spans="2:5">
      <c r="B540"/>
      <c r="C540"/>
      <c r="D540"/>
      <c r="E540"/>
    </row>
    <row r="541" spans="2:5">
      <c r="B541"/>
      <c r="C541"/>
      <c r="D541"/>
      <c r="E541"/>
    </row>
    <row r="542" spans="2:5">
      <c r="B542"/>
      <c r="C542"/>
      <c r="D542"/>
      <c r="E542"/>
    </row>
    <row r="543" spans="2:5">
      <c r="B543"/>
      <c r="C543"/>
      <c r="D543"/>
      <c r="E543"/>
    </row>
    <row r="544" spans="2:5">
      <c r="B544"/>
      <c r="C544"/>
      <c r="D544"/>
      <c r="E544"/>
    </row>
    <row r="545" spans="2:5">
      <c r="B545"/>
      <c r="C545"/>
      <c r="D545"/>
      <c r="E545"/>
    </row>
    <row r="546" spans="2:5">
      <c r="B546"/>
      <c r="C546"/>
      <c r="D546"/>
      <c r="E546"/>
    </row>
    <row r="547" spans="2:5">
      <c r="B547"/>
      <c r="C547"/>
      <c r="D547"/>
      <c r="E547"/>
    </row>
    <row r="548" spans="2:5">
      <c r="B548"/>
      <c r="C548"/>
      <c r="D548"/>
      <c r="E548"/>
    </row>
    <row r="549" spans="2:5">
      <c r="B549"/>
      <c r="C549"/>
      <c r="D549"/>
      <c r="E549"/>
    </row>
    <row r="550" spans="2:5">
      <c r="B550"/>
      <c r="C550"/>
      <c r="D550"/>
      <c r="E550"/>
    </row>
    <row r="551" spans="2:5">
      <c r="B551"/>
      <c r="C551"/>
      <c r="D551"/>
      <c r="E551"/>
    </row>
    <row r="552" spans="2:5">
      <c r="B552"/>
      <c r="C552"/>
      <c r="D552"/>
      <c r="E552"/>
    </row>
    <row r="553" spans="2:5">
      <c r="B553"/>
      <c r="C553"/>
      <c r="D553"/>
      <c r="E553"/>
    </row>
    <row r="554" spans="2:5">
      <c r="B554"/>
      <c r="C554"/>
      <c r="D554"/>
      <c r="E554"/>
    </row>
    <row r="555" spans="2:5">
      <c r="B555"/>
      <c r="C555"/>
      <c r="D555"/>
      <c r="E555"/>
    </row>
    <row r="556" spans="2:5">
      <c r="B556"/>
      <c r="C556"/>
      <c r="D556"/>
      <c r="E556"/>
    </row>
    <row r="557" spans="2:5">
      <c r="B557"/>
      <c r="C557"/>
      <c r="D557"/>
      <c r="E557"/>
    </row>
    <row r="558" spans="2:5">
      <c r="B558"/>
      <c r="C558"/>
      <c r="D558"/>
      <c r="E558"/>
    </row>
    <row r="559" spans="2:5">
      <c r="B559"/>
      <c r="C559"/>
      <c r="D559"/>
      <c r="E559"/>
    </row>
    <row r="560" spans="2:5">
      <c r="B560"/>
      <c r="C560"/>
      <c r="D560"/>
      <c r="E560"/>
    </row>
    <row r="561" spans="2:5">
      <c r="B561"/>
      <c r="C561"/>
      <c r="D561"/>
      <c r="E561"/>
    </row>
    <row r="562" spans="2:5">
      <c r="B562"/>
      <c r="C562"/>
      <c r="D562"/>
      <c r="E562"/>
    </row>
    <row r="563" spans="2:5">
      <c r="B563"/>
      <c r="C563"/>
      <c r="D563"/>
      <c r="E563"/>
    </row>
    <row r="564" spans="2:5">
      <c r="B564"/>
      <c r="C564"/>
      <c r="D564"/>
      <c r="E564"/>
    </row>
    <row r="565" spans="2:5">
      <c r="B565"/>
      <c r="C565"/>
      <c r="D565"/>
      <c r="E565"/>
    </row>
    <row r="566" spans="2:5">
      <c r="B566"/>
      <c r="C566"/>
      <c r="D566"/>
      <c r="E566"/>
    </row>
    <row r="567" spans="2:5">
      <c r="B567"/>
      <c r="C567"/>
      <c r="D567"/>
      <c r="E567"/>
    </row>
    <row r="568" spans="2:5">
      <c r="B568"/>
      <c r="C568"/>
      <c r="D568"/>
      <c r="E568"/>
    </row>
    <row r="569" spans="2:5">
      <c r="B569"/>
      <c r="C569"/>
      <c r="D569"/>
      <c r="E569"/>
    </row>
    <row r="570" spans="2:5">
      <c r="B570"/>
      <c r="C570"/>
      <c r="D570"/>
      <c r="E570"/>
    </row>
    <row r="571" spans="2:5">
      <c r="B571"/>
      <c r="C571"/>
      <c r="D571"/>
      <c r="E571"/>
    </row>
    <row r="572" spans="2:5">
      <c r="B572"/>
      <c r="C572"/>
      <c r="D572"/>
      <c r="E572"/>
    </row>
    <row r="573" spans="2:5">
      <c r="B573"/>
      <c r="C573"/>
      <c r="D573"/>
      <c r="E573"/>
    </row>
    <row r="574" spans="2:5">
      <c r="B574"/>
      <c r="C574"/>
      <c r="D574"/>
      <c r="E574"/>
    </row>
    <row r="575" spans="2:5">
      <c r="B575"/>
      <c r="C575"/>
      <c r="D575"/>
      <c r="E575"/>
    </row>
    <row r="576" spans="2:5">
      <c r="B576"/>
      <c r="C576"/>
      <c r="D576"/>
      <c r="E576"/>
    </row>
    <row r="577" spans="2:5">
      <c r="B577"/>
      <c r="C577"/>
      <c r="D577"/>
      <c r="E577"/>
    </row>
    <row r="578" spans="2:5">
      <c r="B578"/>
      <c r="C578"/>
      <c r="D578"/>
      <c r="E578"/>
    </row>
    <row r="579" spans="2:5">
      <c r="B579"/>
      <c r="C579"/>
      <c r="D579"/>
      <c r="E579"/>
    </row>
    <row r="580" spans="2:5">
      <c r="B580"/>
      <c r="C580"/>
      <c r="D580"/>
      <c r="E580"/>
    </row>
    <row r="581" spans="2:5">
      <c r="B581"/>
      <c r="C581"/>
      <c r="D581"/>
      <c r="E581"/>
    </row>
    <row r="582" spans="2:5">
      <c r="B582"/>
      <c r="C582"/>
      <c r="D582"/>
      <c r="E582"/>
    </row>
    <row r="583" spans="2:5">
      <c r="B583"/>
      <c r="C583"/>
      <c r="D583"/>
      <c r="E583"/>
    </row>
    <row r="584" spans="2:5">
      <c r="B584"/>
      <c r="C584"/>
      <c r="D584"/>
      <c r="E584"/>
    </row>
    <row r="585" spans="2:5">
      <c r="B585"/>
      <c r="C585"/>
      <c r="D585"/>
      <c r="E585"/>
    </row>
    <row r="586" spans="2:5">
      <c r="B586"/>
      <c r="C586"/>
      <c r="D586"/>
      <c r="E586"/>
    </row>
    <row r="587" spans="2:5">
      <c r="B587"/>
      <c r="C587"/>
      <c r="D587"/>
      <c r="E587"/>
    </row>
    <row r="588" spans="2:5">
      <c r="B588"/>
      <c r="C588"/>
      <c r="D588"/>
      <c r="E588"/>
    </row>
    <row r="589" spans="2:5">
      <c r="B589"/>
      <c r="C589"/>
      <c r="D589"/>
      <c r="E589"/>
    </row>
    <row r="590" spans="2:5">
      <c r="B590"/>
      <c r="C590"/>
      <c r="D590"/>
      <c r="E590"/>
    </row>
    <row r="591" spans="2:5">
      <c r="B591"/>
      <c r="C591"/>
      <c r="D591"/>
      <c r="E591"/>
    </row>
    <row r="592" spans="2:5">
      <c r="B592"/>
      <c r="C592"/>
      <c r="D592"/>
      <c r="E592"/>
    </row>
    <row r="593" spans="2:5">
      <c r="B593"/>
      <c r="C593"/>
      <c r="D593"/>
      <c r="E593"/>
    </row>
    <row r="594" spans="2:5">
      <c r="B594"/>
      <c r="C594"/>
      <c r="D594"/>
      <c r="E594"/>
    </row>
    <row r="595" spans="2:5">
      <c r="B595"/>
      <c r="C595"/>
      <c r="D595"/>
      <c r="E595"/>
    </row>
    <row r="596" spans="2:5">
      <c r="B596"/>
      <c r="C596"/>
      <c r="D596"/>
      <c r="E596"/>
    </row>
    <row r="597" spans="2:5">
      <c r="B597"/>
      <c r="C597"/>
      <c r="D597"/>
      <c r="E597"/>
    </row>
    <row r="598" spans="2:5">
      <c r="B598"/>
      <c r="C598"/>
      <c r="D598"/>
      <c r="E598"/>
    </row>
    <row r="599" spans="2:5">
      <c r="B599"/>
      <c r="C599"/>
      <c r="D599"/>
      <c r="E599"/>
    </row>
    <row r="600" spans="2:5">
      <c r="B600"/>
      <c r="C600"/>
      <c r="D600"/>
      <c r="E600"/>
    </row>
    <row r="601" spans="2:5">
      <c r="B601"/>
      <c r="C601"/>
      <c r="D601"/>
      <c r="E601"/>
    </row>
    <row r="602" spans="2:5">
      <c r="B602"/>
      <c r="C602"/>
      <c r="D602"/>
      <c r="E602"/>
    </row>
    <row r="603" spans="2:5">
      <c r="B603"/>
      <c r="C603"/>
      <c r="D603"/>
      <c r="E603"/>
    </row>
    <row r="604" spans="2:5">
      <c r="B604"/>
      <c r="C604"/>
      <c r="D604"/>
      <c r="E604"/>
    </row>
    <row r="605" spans="2:5">
      <c r="B605"/>
      <c r="C605"/>
      <c r="D605"/>
      <c r="E605"/>
    </row>
    <row r="606" spans="2:5">
      <c r="B606"/>
      <c r="C606"/>
      <c r="D606"/>
      <c r="E606"/>
    </row>
    <row r="607" spans="2:5">
      <c r="B607"/>
      <c r="C607"/>
      <c r="D607"/>
      <c r="E607"/>
    </row>
    <row r="608" spans="2:5">
      <c r="B608"/>
      <c r="C608"/>
      <c r="D608"/>
      <c r="E608"/>
    </row>
    <row r="609" spans="2:5">
      <c r="B609"/>
      <c r="C609"/>
      <c r="D609"/>
      <c r="E609"/>
    </row>
    <row r="610" spans="2:5">
      <c r="B610"/>
      <c r="C610"/>
      <c r="D610"/>
      <c r="E610"/>
    </row>
    <row r="611" spans="2:5">
      <c r="B611"/>
      <c r="C611"/>
      <c r="D611"/>
      <c r="E611"/>
    </row>
    <row r="612" spans="2:5">
      <c r="B612"/>
      <c r="C612"/>
      <c r="D612"/>
      <c r="E612"/>
    </row>
    <row r="613" spans="2:5">
      <c r="B613"/>
      <c r="C613"/>
      <c r="D613"/>
      <c r="E613"/>
    </row>
    <row r="614" spans="2:5">
      <c r="B614"/>
      <c r="C614"/>
      <c r="D614"/>
      <c r="E614"/>
    </row>
    <row r="615" spans="2:5">
      <c r="B615"/>
      <c r="C615"/>
      <c r="D615"/>
      <c r="E615"/>
    </row>
    <row r="616" spans="2:5">
      <c r="B616"/>
      <c r="C616"/>
      <c r="D616"/>
      <c r="E616"/>
    </row>
    <row r="617" spans="2:5">
      <c r="B617"/>
      <c r="C617"/>
      <c r="D617"/>
      <c r="E617"/>
    </row>
    <row r="618" spans="2:5">
      <c r="B618"/>
      <c r="C618"/>
      <c r="D618"/>
      <c r="E618"/>
    </row>
    <row r="619" spans="2:5">
      <c r="B619"/>
      <c r="C619"/>
      <c r="D619"/>
      <c r="E619"/>
    </row>
    <row r="620" spans="2:5">
      <c r="B620"/>
      <c r="C620"/>
      <c r="D620"/>
      <c r="E620"/>
    </row>
    <row r="621" spans="2:5">
      <c r="B621"/>
      <c r="C621"/>
      <c r="D621"/>
      <c r="E621"/>
    </row>
    <row r="622" spans="2:5">
      <c r="B622"/>
      <c r="C622"/>
      <c r="D622"/>
      <c r="E622"/>
    </row>
    <row r="623" spans="2:5">
      <c r="B623"/>
      <c r="C623"/>
      <c r="D623"/>
      <c r="E623"/>
    </row>
    <row r="624" spans="2:5">
      <c r="B624"/>
      <c r="C624"/>
      <c r="D624"/>
      <c r="E624"/>
    </row>
    <row r="625" spans="2:5">
      <c r="B625"/>
      <c r="C625"/>
      <c r="D625"/>
      <c r="E625"/>
    </row>
    <row r="626" spans="2:5">
      <c r="B626"/>
      <c r="C626"/>
      <c r="D626"/>
      <c r="E626"/>
    </row>
    <row r="627" spans="2:5">
      <c r="B627"/>
      <c r="C627"/>
      <c r="D627"/>
      <c r="E627"/>
    </row>
    <row r="628" spans="2:5">
      <c r="B628"/>
      <c r="C628"/>
      <c r="D628"/>
      <c r="E628"/>
    </row>
    <row r="629" spans="2:5">
      <c r="B629"/>
      <c r="C629"/>
      <c r="D629"/>
      <c r="E629"/>
    </row>
    <row r="630" spans="2:5">
      <c r="B630"/>
      <c r="C630"/>
      <c r="D630"/>
      <c r="E630"/>
    </row>
    <row r="631" spans="2:5">
      <c r="B631"/>
      <c r="C631"/>
      <c r="D631"/>
      <c r="E631"/>
    </row>
    <row r="632" spans="2:5">
      <c r="B632"/>
      <c r="C632"/>
      <c r="D632"/>
      <c r="E632"/>
    </row>
    <row r="633" spans="2:5">
      <c r="B633"/>
      <c r="C633"/>
      <c r="D633"/>
      <c r="E633"/>
    </row>
    <row r="634" spans="2:5">
      <c r="B634"/>
      <c r="C634"/>
      <c r="D634"/>
      <c r="E634"/>
    </row>
    <row r="635" spans="2:5">
      <c r="B635"/>
      <c r="C635"/>
      <c r="D635"/>
      <c r="E635"/>
    </row>
    <row r="636" spans="2:5">
      <c r="B636"/>
      <c r="C636"/>
      <c r="D636"/>
      <c r="E636"/>
    </row>
    <row r="637" spans="2:5">
      <c r="B637"/>
      <c r="C637"/>
      <c r="D637"/>
      <c r="E637"/>
    </row>
    <row r="638" spans="2:5">
      <c r="B638"/>
      <c r="C638"/>
      <c r="D638"/>
      <c r="E638"/>
    </row>
    <row r="639" spans="2:5">
      <c r="B639"/>
      <c r="C639"/>
      <c r="D639"/>
      <c r="E639"/>
    </row>
    <row r="640" spans="2:5">
      <c r="B640"/>
      <c r="C640"/>
      <c r="D640"/>
      <c r="E640"/>
    </row>
    <row r="641" spans="2:5">
      <c r="B641"/>
      <c r="C641"/>
      <c r="D641"/>
      <c r="E641"/>
    </row>
    <row r="642" spans="2:5">
      <c r="B642"/>
      <c r="C642"/>
      <c r="D642"/>
      <c r="E642"/>
    </row>
    <row r="643" spans="2:5">
      <c r="B643"/>
      <c r="C643"/>
      <c r="D643"/>
      <c r="E643"/>
    </row>
    <row r="644" spans="2:5">
      <c r="B644"/>
      <c r="C644"/>
      <c r="D644"/>
      <c r="E644"/>
    </row>
    <row r="645" spans="2:5">
      <c r="B645"/>
      <c r="C645"/>
      <c r="D645"/>
      <c r="E645"/>
    </row>
    <row r="646" spans="2:5">
      <c r="B646"/>
      <c r="C646"/>
      <c r="D646"/>
      <c r="E646"/>
    </row>
    <row r="647" spans="2:5">
      <c r="B647"/>
      <c r="C647"/>
      <c r="D647"/>
      <c r="E647"/>
    </row>
    <row r="648" spans="2:5">
      <c r="B648"/>
      <c r="C648"/>
      <c r="D648"/>
      <c r="E648"/>
    </row>
    <row r="649" spans="2:5">
      <c r="B649"/>
      <c r="C649"/>
      <c r="D649"/>
      <c r="E649"/>
    </row>
    <row r="650" spans="2:5">
      <c r="B650"/>
      <c r="C650"/>
      <c r="D650"/>
      <c r="E650"/>
    </row>
    <row r="651" spans="2:5">
      <c r="B651"/>
      <c r="C651"/>
      <c r="D651"/>
      <c r="E651"/>
    </row>
    <row r="652" spans="2:5">
      <c r="B652"/>
      <c r="C652"/>
      <c r="D652"/>
      <c r="E652"/>
    </row>
    <row r="653" spans="2:5">
      <c r="B653"/>
      <c r="C653"/>
      <c r="D653"/>
      <c r="E653"/>
    </row>
    <row r="654" spans="2:5">
      <c r="B654"/>
      <c r="C654"/>
      <c r="D654"/>
      <c r="E654"/>
    </row>
    <row r="655" spans="2:5">
      <c r="B655"/>
      <c r="C655"/>
      <c r="D655"/>
      <c r="E655"/>
    </row>
    <row r="656" spans="2:5">
      <c r="B656"/>
      <c r="C656"/>
      <c r="D656"/>
      <c r="E656"/>
    </row>
    <row r="657" spans="2:5">
      <c r="B657"/>
      <c r="C657"/>
      <c r="D657"/>
      <c r="E657"/>
    </row>
    <row r="658" spans="2:5">
      <c r="B658"/>
      <c r="C658"/>
      <c r="D658"/>
      <c r="E658"/>
    </row>
    <row r="659" spans="2:5">
      <c r="B659"/>
      <c r="C659"/>
      <c r="D659"/>
      <c r="E659"/>
    </row>
    <row r="660" spans="2:5">
      <c r="B660"/>
      <c r="C660"/>
      <c r="D660"/>
      <c r="E660"/>
    </row>
    <row r="661" spans="2:5">
      <c r="B661"/>
      <c r="C661"/>
      <c r="D661"/>
      <c r="E661"/>
    </row>
    <row r="662" spans="2:5">
      <c r="B662"/>
      <c r="C662"/>
      <c r="D662"/>
      <c r="E662"/>
    </row>
    <row r="663" spans="2:5">
      <c r="B663"/>
      <c r="C663"/>
      <c r="D663"/>
      <c r="E663"/>
    </row>
    <row r="664" spans="2:5">
      <c r="B664"/>
      <c r="C664"/>
      <c r="D664"/>
      <c r="E664"/>
    </row>
    <row r="665" spans="2:5">
      <c r="B665"/>
      <c r="C665"/>
      <c r="D665"/>
      <c r="E665"/>
    </row>
    <row r="666" spans="2:5">
      <c r="B666"/>
      <c r="C666"/>
      <c r="D666"/>
      <c r="E666"/>
    </row>
    <row r="667" spans="2:5">
      <c r="B667"/>
      <c r="C667"/>
      <c r="D667"/>
      <c r="E667"/>
    </row>
    <row r="668" spans="2:5">
      <c r="B668"/>
      <c r="C668"/>
      <c r="D668"/>
      <c r="E668"/>
    </row>
    <row r="669" spans="2:5">
      <c r="B669"/>
      <c r="C669"/>
      <c r="D669"/>
      <c r="E669"/>
    </row>
    <row r="670" spans="2:5">
      <c r="B670"/>
      <c r="C670"/>
      <c r="D670"/>
      <c r="E670"/>
    </row>
    <row r="671" spans="2:5">
      <c r="B671"/>
      <c r="C671"/>
      <c r="D671"/>
      <c r="E671"/>
    </row>
    <row r="672" spans="2:5">
      <c r="B672"/>
      <c r="C672"/>
      <c r="D672"/>
      <c r="E672"/>
    </row>
    <row r="673" spans="2:5">
      <c r="B673"/>
      <c r="C673"/>
      <c r="D673"/>
      <c r="E673"/>
    </row>
    <row r="674" spans="2:5">
      <c r="B674"/>
      <c r="C674"/>
      <c r="D674"/>
      <c r="E674"/>
    </row>
    <row r="675" spans="2:5">
      <c r="B675"/>
      <c r="C675"/>
      <c r="D675"/>
      <c r="E675"/>
    </row>
    <row r="676" spans="2:5">
      <c r="B676"/>
      <c r="C676"/>
      <c r="D676"/>
      <c r="E676"/>
    </row>
    <row r="677" spans="2:5">
      <c r="B677"/>
      <c r="C677"/>
      <c r="D677"/>
      <c r="E677"/>
    </row>
    <row r="678" spans="2:5">
      <c r="B678"/>
      <c r="C678"/>
      <c r="D678"/>
      <c r="E678"/>
    </row>
    <row r="679" spans="2:5">
      <c r="B679"/>
      <c r="C679"/>
      <c r="D679"/>
      <c r="E679"/>
    </row>
    <row r="680" spans="2:5">
      <c r="B680"/>
      <c r="C680"/>
      <c r="D680"/>
      <c r="E680"/>
    </row>
    <row r="681" spans="2:5">
      <c r="B681"/>
      <c r="C681"/>
      <c r="D681"/>
      <c r="E681"/>
    </row>
    <row r="682" spans="2:5">
      <c r="B682"/>
      <c r="C682"/>
      <c r="D682"/>
      <c r="E682"/>
    </row>
    <row r="683" spans="2:5">
      <c r="B683"/>
      <c r="C683"/>
      <c r="D683"/>
      <c r="E683"/>
    </row>
    <row r="684" spans="2:5">
      <c r="B684"/>
      <c r="C684"/>
      <c r="D684"/>
      <c r="E684"/>
    </row>
    <row r="685" spans="2:5">
      <c r="B685"/>
      <c r="C685"/>
      <c r="D685"/>
      <c r="E685"/>
    </row>
    <row r="686" spans="2:5">
      <c r="B686"/>
      <c r="C686"/>
      <c r="D686"/>
      <c r="E686"/>
    </row>
    <row r="687" spans="2:5">
      <c r="B687"/>
      <c r="C687"/>
      <c r="D687"/>
      <c r="E687"/>
    </row>
    <row r="688" spans="2:5">
      <c r="B688"/>
      <c r="C688"/>
      <c r="D688"/>
      <c r="E688"/>
    </row>
    <row r="689" spans="2:5">
      <c r="B689"/>
      <c r="C689"/>
      <c r="D689"/>
      <c r="E689"/>
    </row>
    <row r="690" spans="2:5">
      <c r="B690"/>
      <c r="C690"/>
      <c r="D690"/>
      <c r="E690"/>
    </row>
    <row r="691" spans="2:5">
      <c r="B691"/>
      <c r="C691"/>
      <c r="D691"/>
      <c r="E691"/>
    </row>
    <row r="692" spans="2:5">
      <c r="B692"/>
      <c r="C692"/>
      <c r="D692"/>
      <c r="E692"/>
    </row>
    <row r="693" spans="2:5">
      <c r="B693"/>
      <c r="C693"/>
      <c r="D693"/>
      <c r="E693"/>
    </row>
    <row r="694" spans="2:5">
      <c r="B694"/>
      <c r="C694"/>
      <c r="D694"/>
      <c r="E694"/>
    </row>
    <row r="695" spans="2:5">
      <c r="B695"/>
      <c r="C695"/>
      <c r="D695"/>
      <c r="E695"/>
    </row>
    <row r="696" spans="2:5">
      <c r="B696"/>
      <c r="C696"/>
      <c r="D696"/>
      <c r="E696"/>
    </row>
    <row r="697" spans="2:5">
      <c r="B697"/>
      <c r="C697"/>
      <c r="D697"/>
      <c r="E697"/>
    </row>
    <row r="698" spans="2:5">
      <c r="B698"/>
      <c r="C698"/>
      <c r="D698"/>
      <c r="E698"/>
    </row>
    <row r="699" spans="2:5">
      <c r="B699"/>
      <c r="C699"/>
      <c r="D699"/>
      <c r="E699"/>
    </row>
    <row r="700" spans="2:5">
      <c r="B700"/>
      <c r="C700"/>
      <c r="D700"/>
      <c r="E700"/>
    </row>
    <row r="701" spans="2:5">
      <c r="B701"/>
      <c r="C701"/>
      <c r="D701"/>
      <c r="E701"/>
    </row>
    <row r="702" spans="2:5">
      <c r="B702"/>
      <c r="C702"/>
      <c r="D702"/>
      <c r="E702"/>
    </row>
    <row r="703" spans="2:5">
      <c r="B703"/>
      <c r="C703"/>
      <c r="D703"/>
      <c r="E703"/>
    </row>
    <row r="704" spans="2:5">
      <c r="B704"/>
      <c r="C704"/>
      <c r="D704"/>
      <c r="E704"/>
    </row>
    <row r="705" spans="2:5">
      <c r="B705"/>
      <c r="C705"/>
      <c r="D705"/>
      <c r="E705"/>
    </row>
    <row r="706" spans="2:5">
      <c r="B706"/>
      <c r="C706"/>
      <c r="D706"/>
      <c r="E706"/>
    </row>
    <row r="707" spans="2:5">
      <c r="B707"/>
      <c r="C707"/>
      <c r="D707"/>
      <c r="E707"/>
    </row>
    <row r="708" spans="2:5">
      <c r="B708"/>
      <c r="C708"/>
      <c r="D708"/>
      <c r="E708"/>
    </row>
    <row r="709" spans="2:5">
      <c r="B709"/>
      <c r="C709"/>
      <c r="D709"/>
      <c r="E709"/>
    </row>
    <row r="710" spans="2:5">
      <c r="B710"/>
      <c r="C710"/>
      <c r="D710"/>
      <c r="E710"/>
    </row>
    <row r="711" spans="2:5">
      <c r="B711"/>
      <c r="C711"/>
      <c r="D711"/>
      <c r="E711"/>
    </row>
    <row r="712" spans="2:5">
      <c r="B712"/>
      <c r="C712"/>
      <c r="D712"/>
      <c r="E712"/>
    </row>
    <row r="713" spans="2:5">
      <c r="B713"/>
      <c r="C713"/>
      <c r="D713"/>
      <c r="E713"/>
    </row>
    <row r="714" spans="2:5">
      <c r="B714"/>
      <c r="C714"/>
      <c r="D714"/>
      <c r="E714"/>
    </row>
    <row r="715" spans="2:5">
      <c r="B715"/>
      <c r="C715"/>
      <c r="D715"/>
      <c r="E715"/>
    </row>
    <row r="716" spans="2:5">
      <c r="B716"/>
      <c r="C716"/>
      <c r="D716"/>
      <c r="E716"/>
    </row>
    <row r="717" spans="2:5">
      <c r="B717"/>
      <c r="C717"/>
      <c r="D717"/>
      <c r="E717"/>
    </row>
    <row r="718" spans="2:5">
      <c r="B718"/>
      <c r="C718"/>
      <c r="D718"/>
      <c r="E718"/>
    </row>
    <row r="719" spans="2:5">
      <c r="B719"/>
      <c r="C719"/>
      <c r="D719"/>
      <c r="E719"/>
    </row>
    <row r="720" spans="2:5">
      <c r="B720"/>
      <c r="C720"/>
      <c r="D720"/>
      <c r="E720"/>
    </row>
    <row r="721" spans="2:5">
      <c r="B721"/>
      <c r="C721"/>
      <c r="D721"/>
      <c r="E721"/>
    </row>
    <row r="722" spans="2:5">
      <c r="B722"/>
      <c r="C722"/>
      <c r="D722"/>
      <c r="E722"/>
    </row>
    <row r="723" spans="2:5">
      <c r="B723"/>
      <c r="C723"/>
      <c r="D723"/>
      <c r="E723"/>
    </row>
    <row r="724" spans="2:5">
      <c r="B724"/>
      <c r="C724"/>
      <c r="D724"/>
      <c r="E724"/>
    </row>
    <row r="725" spans="2:5">
      <c r="B725"/>
      <c r="C725"/>
      <c r="D725"/>
      <c r="E725"/>
    </row>
    <row r="726" spans="2:5">
      <c r="B726"/>
      <c r="C726"/>
      <c r="D726"/>
      <c r="E726"/>
    </row>
    <row r="727" spans="2:5">
      <c r="B727"/>
      <c r="C727"/>
      <c r="D727"/>
      <c r="E727"/>
    </row>
    <row r="728" spans="2:5">
      <c r="B728"/>
      <c r="C728"/>
      <c r="D728"/>
      <c r="E728"/>
    </row>
    <row r="729" spans="2:5">
      <c r="B729"/>
      <c r="C729"/>
      <c r="D729"/>
      <c r="E729"/>
    </row>
    <row r="730" spans="2:5">
      <c r="B730"/>
      <c r="C730"/>
      <c r="D730"/>
      <c r="E730"/>
    </row>
    <row r="731" spans="2:5">
      <c r="B731"/>
      <c r="C731"/>
      <c r="D731"/>
      <c r="E731"/>
    </row>
    <row r="732" spans="2:5">
      <c r="B732"/>
      <c r="C732"/>
      <c r="D732"/>
      <c r="E732"/>
    </row>
    <row r="733" spans="2:5">
      <c r="B733"/>
      <c r="C733"/>
      <c r="D733"/>
      <c r="E733"/>
    </row>
    <row r="734" spans="2:5">
      <c r="B734"/>
      <c r="C734"/>
      <c r="D734"/>
      <c r="E734"/>
    </row>
    <row r="735" spans="2:5">
      <c r="B735"/>
      <c r="C735"/>
      <c r="D735"/>
      <c r="E735"/>
    </row>
    <row r="736" spans="2:5">
      <c r="B736"/>
      <c r="C736"/>
      <c r="D736"/>
      <c r="E736"/>
    </row>
    <row r="737" spans="2:5">
      <c r="B737"/>
      <c r="C737"/>
      <c r="D737"/>
      <c r="E737"/>
    </row>
    <row r="738" spans="2:5">
      <c r="B738"/>
      <c r="C738"/>
      <c r="D738"/>
      <c r="E738"/>
    </row>
    <row r="739" spans="2:5">
      <c r="B739"/>
      <c r="C739"/>
      <c r="D739"/>
      <c r="E739"/>
    </row>
    <row r="740" spans="2:5">
      <c r="B740"/>
      <c r="C740"/>
      <c r="D740"/>
      <c r="E740"/>
    </row>
    <row r="741" spans="2:5">
      <c r="B741"/>
      <c r="C741"/>
      <c r="D741"/>
      <c r="E741"/>
    </row>
    <row r="742" spans="2:5">
      <c r="B742"/>
      <c r="C742"/>
      <c r="D742"/>
      <c r="E742"/>
    </row>
    <row r="743" spans="2:5">
      <c r="B743"/>
      <c r="C743"/>
      <c r="D743"/>
      <c r="E743"/>
    </row>
    <row r="744" spans="2:5">
      <c r="B744"/>
      <c r="C744"/>
      <c r="D744"/>
      <c r="E744"/>
    </row>
    <row r="745" spans="2:5">
      <c r="B745"/>
      <c r="C745"/>
      <c r="D745"/>
      <c r="E745"/>
    </row>
    <row r="746" spans="2:5">
      <c r="B746"/>
      <c r="C746"/>
      <c r="D746"/>
      <c r="E746"/>
    </row>
    <row r="747" spans="2:5">
      <c r="B747"/>
      <c r="C747"/>
      <c r="D747"/>
      <c r="E747"/>
    </row>
    <row r="748" spans="2:5">
      <c r="B748"/>
      <c r="C748"/>
      <c r="D748"/>
      <c r="E748"/>
    </row>
    <row r="749" spans="2:5">
      <c r="B749"/>
      <c r="C749"/>
      <c r="D749"/>
      <c r="E749"/>
    </row>
    <row r="750" spans="2:5">
      <c r="B750"/>
      <c r="C750"/>
      <c r="D750"/>
      <c r="E750"/>
    </row>
    <row r="751" spans="2:5">
      <c r="B751"/>
      <c r="C751"/>
      <c r="D751"/>
      <c r="E751"/>
    </row>
    <row r="752" spans="2:5">
      <c r="B752"/>
      <c r="C752"/>
      <c r="D752"/>
      <c r="E752"/>
    </row>
    <row r="753" spans="2:5">
      <c r="B753"/>
      <c r="C753"/>
      <c r="D753"/>
      <c r="E753"/>
    </row>
    <row r="754" spans="2:5">
      <c r="B754"/>
      <c r="C754"/>
      <c r="D754"/>
      <c r="E754"/>
    </row>
    <row r="755" spans="2:5">
      <c r="B755"/>
      <c r="C755"/>
      <c r="D755"/>
      <c r="E755"/>
    </row>
    <row r="756" spans="2:5">
      <c r="B756"/>
      <c r="C756"/>
      <c r="D756"/>
      <c r="E756"/>
    </row>
    <row r="757" spans="2:5">
      <c r="B757"/>
      <c r="C757"/>
      <c r="D757"/>
      <c r="E757"/>
    </row>
    <row r="758" spans="2:5">
      <c r="B758"/>
      <c r="C758"/>
      <c r="D758"/>
      <c r="E758"/>
    </row>
    <row r="759" spans="2:5">
      <c r="B759"/>
      <c r="C759"/>
      <c r="D759"/>
      <c r="E759"/>
    </row>
    <row r="760" spans="2:5">
      <c r="B760"/>
      <c r="C760"/>
      <c r="D760"/>
      <c r="E760"/>
    </row>
    <row r="761" spans="2:5">
      <c r="B761"/>
      <c r="C761"/>
      <c r="D761"/>
      <c r="E761"/>
    </row>
    <row r="762" spans="2:5">
      <c r="B762"/>
      <c r="C762"/>
      <c r="D762"/>
      <c r="E762"/>
    </row>
    <row r="763" spans="2:5">
      <c r="B763"/>
      <c r="C763"/>
      <c r="D763"/>
      <c r="E763"/>
    </row>
    <row r="764" spans="2:5">
      <c r="B764"/>
      <c r="C764"/>
      <c r="D764"/>
      <c r="E764"/>
    </row>
    <row r="765" spans="2:5">
      <c r="B765"/>
      <c r="C765"/>
      <c r="D765"/>
      <c r="E765"/>
    </row>
    <row r="766" spans="2:5">
      <c r="B766"/>
      <c r="C766"/>
      <c r="D766"/>
      <c r="E766"/>
    </row>
    <row r="767" spans="2:5">
      <c r="B767"/>
      <c r="C767"/>
      <c r="D767"/>
      <c r="E767"/>
    </row>
    <row r="768" spans="2:5">
      <c r="B768"/>
      <c r="C768"/>
      <c r="D768"/>
      <c r="E768"/>
    </row>
    <row r="769" spans="2:5">
      <c r="B769"/>
      <c r="C769"/>
      <c r="D769"/>
      <c r="E769"/>
    </row>
    <row r="770" spans="2:5">
      <c r="B770"/>
      <c r="C770"/>
      <c r="D770"/>
      <c r="E770"/>
    </row>
    <row r="771" spans="2:5">
      <c r="B771"/>
      <c r="C771"/>
      <c r="D771"/>
      <c r="E771"/>
    </row>
    <row r="772" spans="2:5">
      <c r="B772"/>
      <c r="C772"/>
      <c r="D772"/>
      <c r="E772"/>
    </row>
    <row r="773" spans="2:5">
      <c r="B773"/>
      <c r="C773"/>
      <c r="D773"/>
      <c r="E773"/>
    </row>
    <row r="774" spans="2:5">
      <c r="B774"/>
      <c r="C774"/>
      <c r="D774"/>
      <c r="E774"/>
    </row>
    <row r="775" spans="2:5">
      <c r="B775"/>
      <c r="C775"/>
      <c r="D775"/>
      <c r="E775"/>
    </row>
    <row r="776" spans="2:5">
      <c r="B776"/>
      <c r="C776"/>
      <c r="D776"/>
      <c r="E776"/>
    </row>
    <row r="777" spans="2:5">
      <c r="B777"/>
      <c r="C777"/>
      <c r="D777"/>
      <c r="E777"/>
    </row>
    <row r="778" spans="2:5">
      <c r="B778"/>
      <c r="C778"/>
      <c r="D778"/>
      <c r="E778"/>
    </row>
    <row r="779" spans="2:5">
      <c r="B779"/>
      <c r="C779"/>
      <c r="D779"/>
      <c r="E779"/>
    </row>
    <row r="780" spans="2:5">
      <c r="B780"/>
      <c r="C780"/>
      <c r="D780"/>
      <c r="E780"/>
    </row>
    <row r="781" spans="2:5">
      <c r="B781"/>
      <c r="C781"/>
      <c r="D781"/>
      <c r="E781"/>
    </row>
    <row r="782" spans="2:5">
      <c r="B782"/>
      <c r="C782"/>
      <c r="D782"/>
      <c r="E782"/>
    </row>
    <row r="783" spans="2:5">
      <c r="B783"/>
      <c r="C783"/>
      <c r="D783"/>
      <c r="E783"/>
    </row>
    <row r="784" spans="2:5">
      <c r="B784"/>
      <c r="C784"/>
      <c r="D784"/>
      <c r="E784"/>
    </row>
    <row r="785" spans="2:5">
      <c r="B785"/>
      <c r="C785"/>
      <c r="D785"/>
      <c r="E785"/>
    </row>
    <row r="786" spans="2:5">
      <c r="B786"/>
      <c r="C786"/>
      <c r="D786"/>
      <c r="E786"/>
    </row>
    <row r="787" spans="2:5">
      <c r="B787"/>
      <c r="C787"/>
      <c r="D787"/>
      <c r="E787"/>
    </row>
    <row r="788" spans="2:5">
      <c r="B788"/>
      <c r="C788"/>
      <c r="D788"/>
      <c r="E788"/>
    </row>
    <row r="789" spans="2:5">
      <c r="B789"/>
      <c r="C789"/>
      <c r="D789"/>
      <c r="E789"/>
    </row>
    <row r="790" spans="2:5">
      <c r="B790"/>
      <c r="C790"/>
      <c r="D790"/>
      <c r="E790"/>
    </row>
    <row r="791" spans="2:5">
      <c r="B791"/>
      <c r="C791"/>
      <c r="D791"/>
      <c r="E791"/>
    </row>
    <row r="792" spans="2:5">
      <c r="B792"/>
      <c r="C792"/>
      <c r="D792"/>
      <c r="E792"/>
    </row>
    <row r="793" spans="2:5">
      <c r="B793"/>
      <c r="C793"/>
      <c r="D793"/>
      <c r="E793"/>
    </row>
    <row r="794" spans="2:5">
      <c r="B794"/>
      <c r="C794"/>
      <c r="D794"/>
      <c r="E794"/>
    </row>
    <row r="795" spans="2:5">
      <c r="B795"/>
      <c r="C795"/>
      <c r="D795"/>
      <c r="E795"/>
    </row>
    <row r="796" spans="2:5">
      <c r="B796"/>
      <c r="C796"/>
      <c r="D796"/>
      <c r="E796"/>
    </row>
    <row r="797" spans="2:5">
      <c r="B797"/>
      <c r="C797"/>
      <c r="D797"/>
      <c r="E797"/>
    </row>
    <row r="798" spans="2:5">
      <c r="B798"/>
      <c r="C798"/>
      <c r="D798"/>
      <c r="E798"/>
    </row>
    <row r="799" spans="2:5">
      <c r="B799"/>
      <c r="C799"/>
      <c r="D799"/>
      <c r="E799"/>
    </row>
    <row r="800" spans="2:5">
      <c r="B800"/>
      <c r="C800"/>
      <c r="D800"/>
      <c r="E800"/>
    </row>
    <row r="801" spans="2:5">
      <c r="B801"/>
      <c r="C801"/>
      <c r="D801"/>
      <c r="E801"/>
    </row>
    <row r="802" spans="2:5">
      <c r="B802"/>
      <c r="C802"/>
      <c r="D802"/>
      <c r="E802"/>
    </row>
    <row r="803" spans="2:5">
      <c r="B803"/>
      <c r="C803"/>
      <c r="D803"/>
      <c r="E803"/>
    </row>
    <row r="804" spans="2:5">
      <c r="B804"/>
      <c r="C804"/>
      <c r="D804"/>
      <c r="E804"/>
    </row>
    <row r="805" spans="2:5">
      <c r="B805"/>
      <c r="C805"/>
      <c r="D805"/>
      <c r="E805"/>
    </row>
    <row r="806" spans="2:5">
      <c r="B806"/>
      <c r="C806"/>
      <c r="D806"/>
      <c r="E806"/>
    </row>
    <row r="807" spans="2:5">
      <c r="B807"/>
      <c r="C807"/>
      <c r="D807"/>
      <c r="E807"/>
    </row>
    <row r="808" spans="2:5">
      <c r="B808"/>
      <c r="C808"/>
      <c r="D808"/>
      <c r="E808"/>
    </row>
    <row r="809" spans="2:5">
      <c r="B809"/>
      <c r="C809"/>
      <c r="D809"/>
      <c r="E809"/>
    </row>
    <row r="810" spans="2:5">
      <c r="B810"/>
      <c r="C810"/>
      <c r="D810"/>
      <c r="E810"/>
    </row>
    <row r="811" spans="2:5">
      <c r="B811"/>
      <c r="C811"/>
      <c r="D811"/>
      <c r="E811"/>
    </row>
    <row r="812" spans="2:5">
      <c r="B812"/>
      <c r="C812"/>
      <c r="D812"/>
      <c r="E812"/>
    </row>
    <row r="813" spans="2:5">
      <c r="B813"/>
      <c r="C813"/>
      <c r="D813"/>
      <c r="E813"/>
    </row>
    <row r="814" spans="2:5">
      <c r="B814"/>
      <c r="C814"/>
      <c r="D814"/>
      <c r="E814"/>
    </row>
    <row r="815" spans="2:5">
      <c r="B815"/>
      <c r="C815"/>
      <c r="D815"/>
      <c r="E815"/>
    </row>
    <row r="816" spans="2:5">
      <c r="B816"/>
      <c r="C816"/>
      <c r="D816"/>
      <c r="E816"/>
    </row>
    <row r="817" spans="2:5">
      <c r="B817"/>
      <c r="C817"/>
      <c r="D817"/>
      <c r="E817"/>
    </row>
    <row r="818" spans="2:5">
      <c r="B818"/>
      <c r="C818"/>
      <c r="D818"/>
      <c r="E818"/>
    </row>
    <row r="819" spans="2:5">
      <c r="B819"/>
      <c r="C819"/>
      <c r="D819"/>
      <c r="E819"/>
    </row>
    <row r="820" spans="2:5">
      <c r="B820"/>
      <c r="C820"/>
      <c r="D820"/>
      <c r="E820"/>
    </row>
    <row r="821" spans="2:5">
      <c r="B821"/>
      <c r="C821"/>
      <c r="D821"/>
      <c r="E821"/>
    </row>
    <row r="822" spans="2:5">
      <c r="B822"/>
      <c r="C822"/>
      <c r="D822"/>
      <c r="E822"/>
    </row>
    <row r="823" spans="2:5">
      <c r="B823"/>
      <c r="C823"/>
      <c r="D823"/>
      <c r="E823"/>
    </row>
    <row r="824" spans="2:5">
      <c r="B824"/>
      <c r="C824"/>
      <c r="D824"/>
      <c r="E824"/>
    </row>
    <row r="825" spans="2:5">
      <c r="B825"/>
      <c r="C825"/>
      <c r="D825"/>
      <c r="E825"/>
    </row>
    <row r="826" spans="2:5">
      <c r="B826"/>
      <c r="C826"/>
      <c r="D826"/>
      <c r="E826"/>
    </row>
    <row r="827" spans="2:5">
      <c r="B827"/>
      <c r="C827"/>
      <c r="D827"/>
      <c r="E827"/>
    </row>
    <row r="828" spans="2:5">
      <c r="B828"/>
      <c r="C828"/>
      <c r="D828"/>
      <c r="E828"/>
    </row>
    <row r="829" spans="2:5">
      <c r="B829"/>
      <c r="C829"/>
      <c r="D829"/>
      <c r="E829"/>
    </row>
    <row r="830" spans="2:5">
      <c r="B830"/>
      <c r="C830"/>
      <c r="D830"/>
      <c r="E830"/>
    </row>
    <row r="831" spans="2:5">
      <c r="B831"/>
      <c r="C831"/>
      <c r="D831"/>
      <c r="E831"/>
    </row>
    <row r="832" spans="2:5">
      <c r="B832"/>
      <c r="C832"/>
      <c r="D832"/>
      <c r="E832"/>
    </row>
    <row r="833" spans="2:5">
      <c r="B833"/>
      <c r="C833"/>
      <c r="D833"/>
      <c r="E833"/>
    </row>
    <row r="834" spans="2:5">
      <c r="B834"/>
      <c r="C834"/>
      <c r="D834"/>
      <c r="E834"/>
    </row>
    <row r="835" spans="2:5">
      <c r="B835"/>
      <c r="C835"/>
      <c r="D835"/>
      <c r="E835"/>
    </row>
    <row r="836" spans="2:5">
      <c r="B836"/>
      <c r="C836"/>
      <c r="D836"/>
      <c r="E836"/>
    </row>
    <row r="837" spans="2:5">
      <c r="B837"/>
      <c r="C837"/>
      <c r="D837"/>
      <c r="E837"/>
    </row>
    <row r="838" spans="2:5">
      <c r="B838"/>
      <c r="C838"/>
      <c r="D838"/>
      <c r="E838"/>
    </row>
    <row r="839" spans="2:5">
      <c r="B839"/>
      <c r="C839"/>
      <c r="D839"/>
      <c r="E839"/>
    </row>
    <row r="840" spans="2:5">
      <c r="B840"/>
      <c r="C840"/>
      <c r="D840"/>
      <c r="E840"/>
    </row>
    <row r="841" spans="2:5">
      <c r="B841"/>
      <c r="C841"/>
      <c r="D841"/>
      <c r="E841"/>
    </row>
    <row r="842" spans="2:5">
      <c r="B842"/>
      <c r="C842"/>
      <c r="D842"/>
      <c r="E842"/>
    </row>
    <row r="843" spans="2:5">
      <c r="B843"/>
      <c r="C843"/>
      <c r="D843"/>
      <c r="E843"/>
    </row>
    <row r="844" spans="2:5">
      <c r="B844"/>
      <c r="C844"/>
      <c r="D844"/>
      <c r="E844"/>
    </row>
    <row r="845" spans="2:5">
      <c r="B845"/>
      <c r="C845"/>
      <c r="D845"/>
      <c r="E845"/>
    </row>
    <row r="846" spans="2:5">
      <c r="B846"/>
      <c r="C846"/>
      <c r="D846"/>
      <c r="E846"/>
    </row>
    <row r="847" spans="2:5">
      <c r="B847"/>
      <c r="C847"/>
      <c r="D847"/>
      <c r="E847"/>
    </row>
    <row r="848" spans="2:5">
      <c r="B848"/>
      <c r="C848"/>
      <c r="D848"/>
      <c r="E848"/>
    </row>
    <row r="849" spans="2:5">
      <c r="B849"/>
      <c r="C849"/>
      <c r="D849"/>
      <c r="E849"/>
    </row>
    <row r="850" spans="2:5">
      <c r="B850"/>
      <c r="C850"/>
      <c r="D850"/>
      <c r="E850"/>
    </row>
    <row r="851" spans="2:5">
      <c r="B851"/>
      <c r="C851"/>
      <c r="D851"/>
      <c r="E851"/>
    </row>
    <row r="852" spans="2:5">
      <c r="B852"/>
      <c r="C852"/>
      <c r="D852"/>
      <c r="E852"/>
    </row>
    <row r="853" spans="2:5">
      <c r="B853"/>
      <c r="C853"/>
      <c r="D853"/>
      <c r="E853"/>
    </row>
    <row r="854" spans="2:5">
      <c r="B854"/>
      <c r="C854"/>
      <c r="D854"/>
      <c r="E854"/>
    </row>
    <row r="855" spans="2:5">
      <c r="B855"/>
      <c r="C855"/>
      <c r="D855"/>
      <c r="E855"/>
    </row>
    <row r="856" spans="2:5">
      <c r="B856"/>
      <c r="C856"/>
      <c r="D856"/>
      <c r="E856"/>
    </row>
    <row r="857" spans="2:5">
      <c r="B857"/>
      <c r="C857"/>
      <c r="D857"/>
      <c r="E857"/>
    </row>
    <row r="858" spans="2:5">
      <c r="B858"/>
      <c r="C858"/>
      <c r="D858"/>
      <c r="E858"/>
    </row>
    <row r="859" spans="2:5">
      <c r="B859"/>
      <c r="C859"/>
      <c r="D859"/>
      <c r="E859"/>
    </row>
    <row r="860" spans="2:5">
      <c r="B860"/>
      <c r="C860"/>
      <c r="D860"/>
      <c r="E860"/>
    </row>
    <row r="861" spans="2:5">
      <c r="B861"/>
      <c r="C861"/>
      <c r="D861"/>
      <c r="E861"/>
    </row>
    <row r="862" spans="2:5">
      <c r="B862"/>
      <c r="C862"/>
      <c r="D862"/>
      <c r="E862"/>
    </row>
    <row r="863" spans="2:5">
      <c r="B863"/>
      <c r="C863"/>
      <c r="D863"/>
      <c r="E863"/>
    </row>
    <row r="864" spans="2:5">
      <c r="B864"/>
      <c r="C864"/>
      <c r="D864"/>
      <c r="E864"/>
    </row>
    <row r="865" spans="2:5">
      <c r="B865"/>
      <c r="C865"/>
      <c r="D865"/>
      <c r="E865"/>
    </row>
    <row r="866" spans="2:5">
      <c r="B866"/>
      <c r="C866"/>
      <c r="D866"/>
      <c r="E866"/>
    </row>
    <row r="867" spans="2:5">
      <c r="B867"/>
      <c r="C867"/>
      <c r="D867"/>
      <c r="E867"/>
    </row>
    <row r="868" spans="2:5">
      <c r="B868"/>
      <c r="C868"/>
      <c r="D868"/>
      <c r="E868"/>
    </row>
    <row r="869" spans="2:5">
      <c r="B869"/>
      <c r="C869"/>
      <c r="D869"/>
      <c r="E869"/>
    </row>
    <row r="870" spans="2:5">
      <c r="B870"/>
      <c r="C870"/>
      <c r="D870"/>
      <c r="E870"/>
    </row>
    <row r="871" spans="2:5">
      <c r="B871"/>
      <c r="C871"/>
      <c r="D871"/>
      <c r="E871"/>
    </row>
    <row r="872" spans="2:5">
      <c r="B872"/>
      <c r="C872"/>
      <c r="D872"/>
      <c r="E872"/>
    </row>
    <row r="873" spans="2:5">
      <c r="B873"/>
      <c r="C873"/>
      <c r="D873"/>
      <c r="E873"/>
    </row>
    <row r="874" spans="2:5">
      <c r="B874"/>
      <c r="C874"/>
      <c r="D874"/>
      <c r="E874"/>
    </row>
    <row r="875" spans="2:5">
      <c r="B875"/>
      <c r="C875"/>
      <c r="D875"/>
      <c r="E875"/>
    </row>
    <row r="876" spans="2:5">
      <c r="B876"/>
      <c r="C876"/>
      <c r="D876"/>
      <c r="E876"/>
    </row>
    <row r="877" spans="2:5">
      <c r="B877"/>
      <c r="C877"/>
      <c r="D877"/>
      <c r="E877"/>
    </row>
    <row r="878" spans="2:5">
      <c r="B878"/>
      <c r="C878"/>
      <c r="D878"/>
      <c r="E878"/>
    </row>
    <row r="879" spans="2:5">
      <c r="B879"/>
      <c r="C879"/>
      <c r="D879"/>
      <c r="E879"/>
    </row>
    <row r="880" spans="2:5">
      <c r="B880"/>
      <c r="C880"/>
      <c r="D880"/>
      <c r="E880"/>
    </row>
    <row r="881" spans="2:5">
      <c r="B881"/>
      <c r="C881"/>
      <c r="D881"/>
      <c r="E881"/>
    </row>
    <row r="882" spans="2:5">
      <c r="B882"/>
      <c r="C882"/>
      <c r="D882"/>
      <c r="E882"/>
    </row>
    <row r="883" spans="2:5">
      <c r="B883"/>
      <c r="C883"/>
      <c r="D883"/>
      <c r="E883"/>
    </row>
    <row r="884" spans="2:5">
      <c r="B884"/>
      <c r="C884"/>
      <c r="D884"/>
      <c r="E884"/>
    </row>
    <row r="885" spans="2:5">
      <c r="B885"/>
      <c r="C885"/>
      <c r="D885"/>
      <c r="E885"/>
    </row>
    <row r="886" spans="2:5">
      <c r="B886"/>
      <c r="C886"/>
      <c r="D886"/>
      <c r="E886"/>
    </row>
    <row r="887" spans="2:5">
      <c r="B887"/>
      <c r="C887"/>
      <c r="D887"/>
      <c r="E887"/>
    </row>
    <row r="888" spans="2:5">
      <c r="B888"/>
      <c r="C888"/>
      <c r="D888"/>
      <c r="E888"/>
    </row>
    <row r="889" spans="2:5">
      <c r="B889"/>
      <c r="C889"/>
      <c r="D889"/>
      <c r="E889"/>
    </row>
    <row r="890" spans="2:5">
      <c r="B890"/>
      <c r="C890"/>
      <c r="D890"/>
      <c r="E890"/>
    </row>
    <row r="891" spans="2:5">
      <c r="B891"/>
      <c r="C891"/>
      <c r="D891"/>
      <c r="E891"/>
    </row>
    <row r="892" spans="2:5">
      <c r="B892"/>
      <c r="C892"/>
      <c r="D892"/>
      <c r="E892"/>
    </row>
    <row r="893" spans="2:5">
      <c r="B893"/>
      <c r="C893"/>
      <c r="D893"/>
      <c r="E893"/>
    </row>
    <row r="894" spans="2:5">
      <c r="B894"/>
      <c r="C894"/>
      <c r="D894"/>
      <c r="E894"/>
    </row>
    <row r="895" spans="2:5">
      <c r="B895"/>
      <c r="C895"/>
      <c r="D895"/>
      <c r="E895"/>
    </row>
    <row r="896" spans="2:5">
      <c r="B896"/>
      <c r="C896"/>
      <c r="D896"/>
      <c r="E896"/>
    </row>
    <row r="897" spans="2:5">
      <c r="B897"/>
      <c r="C897"/>
      <c r="D897"/>
      <c r="E897"/>
    </row>
    <row r="898" spans="2:5">
      <c r="B898"/>
      <c r="C898"/>
      <c r="D898"/>
      <c r="E898"/>
    </row>
    <row r="899" spans="2:5">
      <c r="B899"/>
      <c r="C899"/>
      <c r="D899"/>
      <c r="E899"/>
    </row>
    <row r="900" spans="2:5">
      <c r="B900"/>
      <c r="C900"/>
      <c r="D900"/>
      <c r="E900"/>
    </row>
    <row r="901" spans="2:5">
      <c r="B901"/>
      <c r="C901"/>
      <c r="D901"/>
      <c r="E901"/>
    </row>
    <row r="902" spans="2:5">
      <c r="B902"/>
      <c r="C902"/>
      <c r="D902"/>
      <c r="E902"/>
    </row>
    <row r="903" spans="2:5">
      <c r="B903"/>
      <c r="C903"/>
      <c r="D903"/>
      <c r="E903"/>
    </row>
    <row r="904" spans="2:5">
      <c r="B904"/>
      <c r="C904"/>
      <c r="D904"/>
      <c r="E904"/>
    </row>
    <row r="905" spans="2:5">
      <c r="B905"/>
      <c r="C905"/>
      <c r="D905"/>
      <c r="E905"/>
    </row>
    <row r="906" spans="2:5">
      <c r="B906"/>
      <c r="C906"/>
      <c r="D906"/>
      <c r="E906"/>
    </row>
    <row r="907" spans="2:5">
      <c r="B907"/>
      <c r="C907"/>
      <c r="D907"/>
      <c r="E907"/>
    </row>
    <row r="908" spans="2:5">
      <c r="B908"/>
      <c r="C908"/>
      <c r="D908"/>
      <c r="E908"/>
    </row>
    <row r="909" spans="2:5">
      <c r="B909"/>
      <c r="C909"/>
      <c r="D909"/>
      <c r="E909"/>
    </row>
    <row r="910" spans="2:5">
      <c r="B910"/>
      <c r="C910"/>
      <c r="D910"/>
      <c r="E910"/>
    </row>
    <row r="911" spans="2:5">
      <c r="B911"/>
      <c r="C911"/>
      <c r="D911"/>
      <c r="E911"/>
    </row>
    <row r="912" spans="2:5">
      <c r="B912"/>
      <c r="C912"/>
      <c r="D912"/>
      <c r="E912"/>
    </row>
    <row r="913" spans="2:5">
      <c r="B913"/>
      <c r="C913"/>
      <c r="D913"/>
      <c r="E913"/>
    </row>
    <row r="914" spans="2:5">
      <c r="B914"/>
      <c r="C914"/>
      <c r="D914"/>
      <c r="E914"/>
    </row>
    <row r="915" spans="2:5">
      <c r="B915"/>
      <c r="C915"/>
      <c r="D915"/>
      <c r="E915"/>
    </row>
    <row r="916" spans="2:5">
      <c r="B916"/>
      <c r="C916"/>
      <c r="D916"/>
      <c r="E916"/>
    </row>
    <row r="917" spans="2:5">
      <c r="B917"/>
      <c r="C917"/>
      <c r="D917"/>
      <c r="E917"/>
    </row>
    <row r="918" spans="2:5">
      <c r="B918"/>
      <c r="C918"/>
      <c r="D918"/>
      <c r="E918"/>
    </row>
    <row r="919" spans="2:5">
      <c r="B919"/>
      <c r="C919"/>
      <c r="D919"/>
      <c r="E919"/>
    </row>
    <row r="920" spans="2:5">
      <c r="B920"/>
      <c r="C920"/>
      <c r="D920"/>
      <c r="E920"/>
    </row>
    <row r="921" spans="2:5">
      <c r="B921"/>
      <c r="C921"/>
      <c r="D921"/>
      <c r="E921"/>
    </row>
    <row r="922" spans="2:5">
      <c r="B922"/>
      <c r="C922"/>
      <c r="D922"/>
      <c r="E922"/>
    </row>
    <row r="923" spans="2:5">
      <c r="B923"/>
      <c r="C923"/>
      <c r="D923"/>
      <c r="E923"/>
    </row>
    <row r="924" spans="2:5">
      <c r="B924"/>
      <c r="C924"/>
      <c r="D924"/>
      <c r="E924"/>
    </row>
    <row r="925" spans="2:5">
      <c r="B925"/>
      <c r="C925"/>
      <c r="D925"/>
      <c r="E925"/>
    </row>
    <row r="926" spans="2:5">
      <c r="B926"/>
      <c r="C926"/>
      <c r="D926"/>
      <c r="E926"/>
    </row>
    <row r="927" spans="2:5">
      <c r="B927"/>
      <c r="C927"/>
      <c r="D927"/>
      <c r="E927"/>
    </row>
    <row r="928" spans="2:5">
      <c r="B928"/>
      <c r="C928"/>
      <c r="D928"/>
      <c r="E928"/>
    </row>
    <row r="929" spans="2:5">
      <c r="B929"/>
      <c r="C929"/>
      <c r="D929"/>
      <c r="E929"/>
    </row>
    <row r="930" spans="2:5">
      <c r="B930"/>
      <c r="C930"/>
      <c r="D930"/>
      <c r="E930"/>
    </row>
    <row r="931" spans="2:5">
      <c r="B931"/>
      <c r="C931"/>
      <c r="D931"/>
      <c r="E931"/>
    </row>
    <row r="932" spans="2:5">
      <c r="B932"/>
      <c r="C932"/>
      <c r="D932"/>
      <c r="E932"/>
    </row>
    <row r="933" spans="2:5">
      <c r="B933"/>
      <c r="C933"/>
      <c r="D933"/>
      <c r="E933"/>
    </row>
    <row r="934" spans="2:5">
      <c r="B934"/>
      <c r="C934"/>
      <c r="D934"/>
      <c r="E934"/>
    </row>
    <row r="935" spans="2:5">
      <c r="B935"/>
      <c r="C935"/>
      <c r="D935"/>
      <c r="E935"/>
    </row>
    <row r="936" spans="2:5">
      <c r="B936"/>
      <c r="C936"/>
      <c r="D936"/>
      <c r="E936"/>
    </row>
    <row r="937" spans="2:5">
      <c r="B937"/>
      <c r="C937"/>
      <c r="D937"/>
      <c r="E937"/>
    </row>
    <row r="938" spans="2:5">
      <c r="B938"/>
      <c r="C938"/>
      <c r="D938"/>
      <c r="E938"/>
    </row>
    <row r="939" spans="2:5">
      <c r="B939"/>
      <c r="C939"/>
      <c r="D939"/>
      <c r="E939"/>
    </row>
    <row r="940" spans="2:5">
      <c r="B940"/>
      <c r="C940"/>
      <c r="D940"/>
      <c r="E940"/>
    </row>
    <row r="941" spans="2:5">
      <c r="B941"/>
      <c r="C941"/>
      <c r="D941"/>
      <c r="E941"/>
    </row>
    <row r="942" spans="2:5">
      <c r="B942"/>
      <c r="C942"/>
      <c r="D942"/>
      <c r="E942"/>
    </row>
    <row r="943" spans="2:5">
      <c r="B943"/>
      <c r="C943"/>
      <c r="D943"/>
      <c r="E943"/>
    </row>
    <row r="944" spans="2:5">
      <c r="B944"/>
      <c r="C944"/>
      <c r="D944"/>
      <c r="E944"/>
    </row>
    <row r="945" spans="2:5">
      <c r="B945"/>
      <c r="C945"/>
      <c r="D945"/>
      <c r="E945"/>
    </row>
    <row r="946" spans="2:5">
      <c r="B946"/>
      <c r="C946"/>
      <c r="D946"/>
      <c r="E946"/>
    </row>
    <row r="947" spans="2:5">
      <c r="B947"/>
      <c r="C947"/>
      <c r="D947"/>
      <c r="E947"/>
    </row>
    <row r="948" spans="2:5">
      <c r="B948"/>
      <c r="C948"/>
      <c r="D948"/>
      <c r="E948"/>
    </row>
    <row r="949" spans="2:5">
      <c r="B949"/>
      <c r="C949"/>
      <c r="D949"/>
      <c r="E949"/>
    </row>
    <row r="950" spans="2:5">
      <c r="B950"/>
      <c r="C950"/>
      <c r="D950"/>
      <c r="E950"/>
    </row>
    <row r="951" spans="2:5">
      <c r="B951"/>
      <c r="C951"/>
      <c r="D951"/>
      <c r="E951"/>
    </row>
    <row r="952" spans="2:5">
      <c r="B952"/>
      <c r="C952"/>
      <c r="D952"/>
      <c r="E952"/>
    </row>
    <row r="953" spans="2:5">
      <c r="B953"/>
      <c r="C953"/>
      <c r="D953"/>
      <c r="E953"/>
    </row>
    <row r="954" spans="2:5">
      <c r="B954"/>
      <c r="C954"/>
      <c r="D954"/>
      <c r="E954"/>
    </row>
    <row r="955" spans="2:5">
      <c r="B955"/>
      <c r="C955"/>
      <c r="D955"/>
      <c r="E955"/>
    </row>
    <row r="956" spans="2:5">
      <c r="B956"/>
      <c r="C956"/>
      <c r="D956"/>
      <c r="E956"/>
    </row>
    <row r="957" spans="2:5">
      <c r="B957"/>
      <c r="C957"/>
      <c r="D957"/>
      <c r="E957"/>
    </row>
    <row r="958" spans="2:5">
      <c r="B958"/>
      <c r="C958"/>
      <c r="D958"/>
      <c r="E958"/>
    </row>
    <row r="959" spans="2:5">
      <c r="B959"/>
      <c r="C959"/>
      <c r="D959"/>
      <c r="E959"/>
    </row>
    <row r="960" spans="2:5">
      <c r="B960"/>
      <c r="C960"/>
      <c r="D960"/>
      <c r="E960"/>
    </row>
    <row r="961" spans="2:5">
      <c r="B961"/>
      <c r="C961"/>
      <c r="D961"/>
      <c r="E961"/>
    </row>
    <row r="962" spans="2:5">
      <c r="B962"/>
      <c r="C962"/>
      <c r="D962"/>
      <c r="E962"/>
    </row>
    <row r="963" spans="2:5">
      <c r="B963"/>
      <c r="C963"/>
      <c r="D963"/>
      <c r="E963"/>
    </row>
    <row r="964" spans="2:5">
      <c r="B964"/>
      <c r="C964"/>
      <c r="D964"/>
      <c r="E964"/>
    </row>
    <row r="965" spans="2:5">
      <c r="B965"/>
      <c r="C965"/>
      <c r="D965"/>
      <c r="E965"/>
    </row>
    <row r="966" spans="2:5">
      <c r="B966"/>
      <c r="C966"/>
      <c r="D966"/>
      <c r="E966"/>
    </row>
    <row r="967" spans="2:5">
      <c r="B967"/>
      <c r="C967"/>
      <c r="D967"/>
      <c r="E967"/>
    </row>
    <row r="968" spans="2:5">
      <c r="B968"/>
      <c r="C968"/>
      <c r="D968"/>
      <c r="E968"/>
    </row>
    <row r="969" spans="2:5">
      <c r="B969"/>
      <c r="C969"/>
      <c r="D969"/>
      <c r="E969"/>
    </row>
    <row r="970" spans="2:5">
      <c r="B970"/>
      <c r="C970"/>
      <c r="D970"/>
      <c r="E970"/>
    </row>
    <row r="971" spans="2:5">
      <c r="B971"/>
      <c r="C971"/>
      <c r="D971"/>
      <c r="E971"/>
    </row>
    <row r="972" spans="2:5">
      <c r="B972"/>
      <c r="C972"/>
      <c r="D972"/>
      <c r="E972"/>
    </row>
    <row r="973" spans="2:5">
      <c r="B973"/>
      <c r="C973"/>
      <c r="D973"/>
      <c r="E973"/>
    </row>
    <row r="974" spans="2:5">
      <c r="B974"/>
      <c r="C974"/>
      <c r="D974"/>
      <c r="E974"/>
    </row>
    <row r="975" spans="2:5">
      <c r="B975"/>
      <c r="C975"/>
      <c r="D975"/>
      <c r="E975"/>
    </row>
    <row r="976" spans="2:5">
      <c r="B976"/>
      <c r="C976"/>
      <c r="D976"/>
      <c r="E976"/>
    </row>
    <row r="977" spans="2:5">
      <c r="B977"/>
      <c r="C977"/>
      <c r="D977"/>
      <c r="E977"/>
    </row>
    <row r="978" spans="2:5">
      <c r="B978"/>
      <c r="C978"/>
      <c r="D978"/>
      <c r="E978"/>
    </row>
    <row r="979" spans="2:5">
      <c r="B979"/>
      <c r="C979"/>
      <c r="D979"/>
      <c r="E979"/>
    </row>
    <row r="980" spans="2:5">
      <c r="B980"/>
      <c r="C980"/>
      <c r="D980"/>
      <c r="E980"/>
    </row>
    <row r="981" spans="2:5">
      <c r="B981"/>
      <c r="C981"/>
      <c r="D981"/>
      <c r="E981"/>
    </row>
    <row r="982" spans="2:5">
      <c r="B982"/>
      <c r="C982"/>
      <c r="D982"/>
      <c r="E982"/>
    </row>
    <row r="983" spans="2:5">
      <c r="B983"/>
      <c r="C983"/>
      <c r="D983"/>
      <c r="E983"/>
    </row>
    <row r="984" spans="2:5">
      <c r="B984"/>
      <c r="C984"/>
      <c r="D984"/>
      <c r="E984"/>
    </row>
    <row r="985" spans="2:5">
      <c r="B985"/>
      <c r="C985"/>
      <c r="D985"/>
      <c r="E985"/>
    </row>
    <row r="986" spans="2:5">
      <c r="B986"/>
      <c r="C986"/>
      <c r="D986"/>
      <c r="E986"/>
    </row>
    <row r="987" spans="2:5">
      <c r="B987"/>
      <c r="C987"/>
      <c r="D987"/>
      <c r="E987"/>
    </row>
    <row r="988" spans="2:5">
      <c r="B988"/>
      <c r="C988"/>
      <c r="D988"/>
      <c r="E988"/>
    </row>
    <row r="989" spans="2:5">
      <c r="B989"/>
      <c r="C989"/>
      <c r="D989"/>
      <c r="E989"/>
    </row>
    <row r="990" spans="2:5">
      <c r="B990"/>
      <c r="C990"/>
      <c r="D990"/>
      <c r="E990"/>
    </row>
    <row r="991" spans="2:5">
      <c r="B991"/>
      <c r="C991"/>
      <c r="D991"/>
      <c r="E991"/>
    </row>
    <row r="992" spans="2:5">
      <c r="B992"/>
      <c r="C992"/>
      <c r="D992"/>
      <c r="E992"/>
    </row>
    <row r="993" spans="2:5">
      <c r="B993"/>
      <c r="C993"/>
      <c r="D993"/>
      <c r="E993"/>
    </row>
    <row r="994" spans="2:5">
      <c r="B994"/>
      <c r="C994"/>
      <c r="D994"/>
      <c r="E994"/>
    </row>
    <row r="995" spans="2:5">
      <c r="B995"/>
      <c r="C995"/>
      <c r="D995"/>
      <c r="E995"/>
    </row>
    <row r="996" spans="2:5">
      <c r="B996"/>
      <c r="C996"/>
      <c r="D996"/>
      <c r="E996"/>
    </row>
    <row r="997" spans="2:5">
      <c r="B997"/>
      <c r="C997"/>
      <c r="D997"/>
      <c r="E997"/>
    </row>
    <row r="998" spans="2:5">
      <c r="B998"/>
      <c r="C998"/>
      <c r="D998"/>
      <c r="E998"/>
    </row>
    <row r="999" spans="2:5">
      <c r="B999"/>
      <c r="C999"/>
      <c r="D999"/>
      <c r="E999"/>
    </row>
    <row r="1000" spans="2:5">
      <c r="B1000"/>
      <c r="C1000"/>
      <c r="D1000"/>
      <c r="E1000"/>
    </row>
    <row r="1001" spans="2:5">
      <c r="B1001"/>
      <c r="C1001"/>
      <c r="D1001"/>
      <c r="E1001"/>
    </row>
    <row r="1002" spans="2:5">
      <c r="B1002"/>
      <c r="C1002"/>
      <c r="D1002"/>
      <c r="E1002"/>
    </row>
    <row r="1003" spans="2:5">
      <c r="B1003"/>
      <c r="C1003"/>
      <c r="D1003"/>
      <c r="E1003"/>
    </row>
    <row r="1004" spans="2:5">
      <c r="B1004"/>
      <c r="C1004"/>
      <c r="D1004"/>
      <c r="E10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213"/>
  <sheetViews>
    <sheetView topLeftCell="AN1" workbookViewId="0">
      <pane ySplit="1" topLeftCell="A170" activePane="bottomLeft" state="frozen"/>
      <selection pane="bottomLeft" activeCell="AP2" sqref="AP2:AP207"/>
    </sheetView>
  </sheetViews>
  <sheetFormatPr defaultRowHeight="15"/>
  <cols>
    <col min="1" max="1" width="18.42578125" bestFit="1" customWidth="1"/>
    <col min="2" max="2" width="10.28515625" bestFit="1" customWidth="1"/>
    <col min="3" max="3" width="13.42578125" bestFit="1" customWidth="1"/>
    <col min="4" max="4" width="15.140625" bestFit="1" customWidth="1"/>
    <col min="5" max="5" width="18.7109375" bestFit="1" customWidth="1"/>
    <col min="6" max="6" width="13.42578125" bestFit="1" customWidth="1"/>
    <col min="7" max="7" width="21.85546875" bestFit="1" customWidth="1"/>
    <col min="8" max="8" width="12" bestFit="1" customWidth="1"/>
    <col min="9" max="9" width="15.7109375" bestFit="1" customWidth="1"/>
    <col min="10" max="10" width="19.140625" bestFit="1" customWidth="1"/>
    <col min="11" max="11" width="13.85546875" bestFit="1" customWidth="1"/>
    <col min="12" max="12" width="12" bestFit="1" customWidth="1"/>
    <col min="13" max="13" width="18.42578125" bestFit="1" customWidth="1"/>
    <col min="14" max="14" width="14.42578125" bestFit="1" customWidth="1"/>
    <col min="15" max="15" width="17.7109375" bestFit="1" customWidth="1"/>
    <col min="16" max="16" width="19.5703125" bestFit="1" customWidth="1"/>
    <col min="17" max="17" width="23" bestFit="1" customWidth="1"/>
    <col min="18" max="18" width="17.7109375" bestFit="1" customWidth="1"/>
    <col min="19" max="19" width="26.140625" bestFit="1" customWidth="1"/>
    <col min="20" max="20" width="11.28515625" bestFit="1" customWidth="1"/>
    <col min="21" max="21" width="20" bestFit="1" customWidth="1"/>
    <col min="22" max="22" width="23.42578125" bestFit="1" customWidth="1"/>
    <col min="23" max="23" width="18.140625" bestFit="1" customWidth="1"/>
    <col min="24" max="24" width="15" bestFit="1" customWidth="1"/>
    <col min="25" max="25" width="7" bestFit="1" customWidth="1"/>
    <col min="26" max="26" width="16.140625" customWidth="1"/>
    <col min="27" max="27" width="18.7109375" customWidth="1"/>
    <col min="28" max="28" width="27.140625" bestFit="1" customWidth="1"/>
    <col min="29" max="29" width="19.5703125" bestFit="1" customWidth="1"/>
    <col min="30" max="30" width="27.5703125" bestFit="1" customWidth="1"/>
    <col min="31" max="31" width="17" bestFit="1" customWidth="1"/>
    <col min="32" max="32" width="17.42578125" bestFit="1" customWidth="1"/>
    <col min="33" max="33" width="18.85546875" bestFit="1" customWidth="1"/>
    <col min="34" max="34" width="20" bestFit="1" customWidth="1"/>
    <col min="35" max="35" width="20.42578125" bestFit="1" customWidth="1"/>
    <col min="36" max="36" width="23.7109375" bestFit="1" customWidth="1"/>
    <col min="37" max="37" width="24.140625" bestFit="1" customWidth="1"/>
    <col min="38" max="38" width="28.7109375" bestFit="1" customWidth="1"/>
    <col min="39" max="39" width="36.85546875" bestFit="1" customWidth="1"/>
    <col min="40" max="40" width="29.140625" bestFit="1" customWidth="1"/>
    <col min="41" max="41" width="37.28515625" bestFit="1" customWidth="1"/>
    <col min="42" max="42" width="17.7109375" bestFit="1" customWidth="1"/>
    <col min="43" max="43" width="13" bestFit="1" customWidth="1"/>
    <col min="44" max="44" width="22" bestFit="1" customWidth="1"/>
    <col min="45" max="45" width="22.42578125" bestFit="1" customWidth="1"/>
  </cols>
  <sheetData>
    <row r="1" spans="1:4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12</v>
      </c>
      <c r="Z1" s="2" t="s">
        <v>13</v>
      </c>
      <c r="AA1" s="2" t="s">
        <v>16</v>
      </c>
      <c r="AB1" s="2" t="s">
        <v>17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6" t="s">
        <v>45</v>
      </c>
      <c r="AM1" s="6" t="s">
        <v>46</v>
      </c>
      <c r="AN1" s="6" t="s">
        <v>47</v>
      </c>
      <c r="AO1" s="6" t="s">
        <v>48</v>
      </c>
      <c r="AP1" s="6" t="s">
        <v>61</v>
      </c>
      <c r="AQ1" s="6" t="s">
        <v>62</v>
      </c>
      <c r="AR1" s="6" t="s">
        <v>63</v>
      </c>
      <c r="AS1" s="6" t="s">
        <v>60</v>
      </c>
    </row>
    <row r="2" spans="1:45">
      <c r="A2" t="s">
        <v>80</v>
      </c>
      <c r="B2">
        <v>0</v>
      </c>
      <c r="C2">
        <v>42</v>
      </c>
      <c r="D2">
        <v>296</v>
      </c>
      <c r="E2">
        <v>35</v>
      </c>
      <c r="F2">
        <v>3</v>
      </c>
      <c r="G2">
        <v>27</v>
      </c>
      <c r="H2">
        <v>0</v>
      </c>
      <c r="I2">
        <v>103</v>
      </c>
      <c r="J2">
        <v>27</v>
      </c>
      <c r="K2">
        <v>2</v>
      </c>
      <c r="L2">
        <v>0</v>
      </c>
      <c r="M2" t="s">
        <v>81</v>
      </c>
      <c r="N2">
        <v>0</v>
      </c>
      <c r="O2">
        <v>34</v>
      </c>
      <c r="P2">
        <v>396</v>
      </c>
      <c r="Q2">
        <v>49</v>
      </c>
      <c r="R2">
        <v>3</v>
      </c>
      <c r="S2">
        <v>32</v>
      </c>
      <c r="T2">
        <v>0</v>
      </c>
      <c r="U2">
        <v>81</v>
      </c>
      <c r="V2">
        <v>21</v>
      </c>
      <c r="W2">
        <v>0</v>
      </c>
      <c r="X2">
        <v>1</v>
      </c>
      <c r="Y2" t="s">
        <v>14</v>
      </c>
      <c r="Z2">
        <v>0</v>
      </c>
      <c r="AA2">
        <f>IF(AND(Table1[[#This Row],[Throw Out Pass Eff]]="N", Table1[[#This Row],[Against FCS Team]]="N"), ROUND(((5.45 * D2) + (150 * F2) + (100 * G2) - (300 * H2)) / E2, 2), " ")</f>
        <v>136.09</v>
      </c>
      <c r="AB2">
        <f>IF(AND(Table1[[#This Row],[Throw Out Pass Def Eff]]="N", Table1[[#This Row],[Against FCS Team]]="N"),200 - ROUND(((5.45 * P2) + (150 * R2) + (100 * S2) - (300 * T2)) / Q2, 2), " ")</f>
        <v>81.47</v>
      </c>
      <c r="AC2">
        <f>IF(AND(Table1[[#This Row],[Throw Out Rush Eff]]="N", Table1[[#This Row],[Against FCS Team]]="N"), ROUND(((23.2 * I2) + (150 * K2) - (300 * L2)) / J2, 2), " ")</f>
        <v>99.61</v>
      </c>
      <c r="AD2" s="3">
        <f>IF(AND(Table1[[#This Row],[Throw Out Rush Def Eff]]="N", Table1[[#This Row],[Against FCS Team]]="N"), 200 - ROUND(((23.2 * U2) + (150 * W2) - (300 * X2)) / V2, 2), " ")</f>
        <v>124.8</v>
      </c>
      <c r="AE2" s="3">
        <f>ROUND(Table1[[#This Row],[Opp Passing Attempts]]/(Table1[[#This Row],[Opp Passing Attempts]]+Table1[[#This Row],[Opp Rushing Attempts]]), 2)</f>
        <v>0.7</v>
      </c>
      <c r="AF2" s="3">
        <f>1-Table1[[#This Row],[Passing Weight]]</f>
        <v>0.30000000000000004</v>
      </c>
      <c r="AG2" s="3" t="str">
        <f>IF(COUNTIF(A:A,Table1[[#This Row],[Opp Team Name]]) &gt; 0, "N", "Y")</f>
        <v>N</v>
      </c>
      <c r="AH2" s="3" t="str">
        <f>IF(Table1[[#This Row],[Passing Attempts]] &lt;15, "Y", "N")</f>
        <v>N</v>
      </c>
      <c r="AI2" s="3" t="str">
        <f>IF(Table1[[#This Row],[Rushing Attempts]] &lt; 15, "Y", "N")</f>
        <v>N</v>
      </c>
      <c r="AJ2" s="3" t="str">
        <f>IF(Table1[[#This Row],[Opp Passing Attempts]]&lt;15, "Y", "N")</f>
        <v>N</v>
      </c>
      <c r="AK2" s="3" t="str">
        <f>IF(Table1[[#This Row],[Opp Rushing Attempts]]&lt;15, "Y", "N")</f>
        <v>N</v>
      </c>
      <c r="AL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149.58000000000001</v>
      </c>
      <c r="AM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95.22</v>
      </c>
      <c r="AN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70.97</v>
      </c>
      <c r="AO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128.06</v>
      </c>
      <c r="AP2" s="3">
        <f>ABS(Table1[[#This Row],[Team Score]]-Table1[[#This Row],[Opp Team Score]])</f>
        <v>8</v>
      </c>
      <c r="AQ2" s="3">
        <f>SUM(Table1[[#This Row],[Team Score]], Table1[[#This Row],[Opp Team Score]])</f>
        <v>76</v>
      </c>
      <c r="AR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41.96999999999997</v>
      </c>
      <c r="AS2" s="3">
        <f>IF(Table1[[#This Row],[Efficiency Difference]] = " ", " ", ROUND((Table1[[#This Row],[Winning Margin]]*100)/Table1[[#This Row],[Efficiency Difference]], 2))</f>
        <v>19.059999999999999</v>
      </c>
    </row>
    <row r="3" spans="1:45">
      <c r="A3" t="s">
        <v>81</v>
      </c>
      <c r="B3">
        <v>0</v>
      </c>
      <c r="C3">
        <v>34</v>
      </c>
      <c r="D3">
        <v>396</v>
      </c>
      <c r="E3">
        <v>49</v>
      </c>
      <c r="F3">
        <v>3</v>
      </c>
      <c r="G3">
        <v>32</v>
      </c>
      <c r="H3">
        <v>0</v>
      </c>
      <c r="I3">
        <v>81</v>
      </c>
      <c r="J3">
        <v>21</v>
      </c>
      <c r="K3">
        <v>0</v>
      </c>
      <c r="L3">
        <v>1</v>
      </c>
      <c r="M3" t="s">
        <v>80</v>
      </c>
      <c r="N3">
        <v>0</v>
      </c>
      <c r="O3">
        <v>42</v>
      </c>
      <c r="P3">
        <v>296</v>
      </c>
      <c r="Q3">
        <v>35</v>
      </c>
      <c r="R3">
        <v>3</v>
      </c>
      <c r="S3">
        <v>27</v>
      </c>
      <c r="T3">
        <v>0</v>
      </c>
      <c r="U3">
        <v>103</v>
      </c>
      <c r="V3">
        <v>27</v>
      </c>
      <c r="W3">
        <v>2</v>
      </c>
      <c r="X3">
        <v>0</v>
      </c>
      <c r="Y3" t="s">
        <v>15</v>
      </c>
      <c r="Z3">
        <v>0</v>
      </c>
      <c r="AA3">
        <f>IF(AND(Table1[[#This Row],[Throw Out Pass Eff]]="N", Table1[[#This Row],[Against FCS Team]]="N"), ROUND(((5.45 * D3) + (150 * F3) + (100 * G3) - (300 * H3)) / E3, 2), " ")</f>
        <v>118.53</v>
      </c>
      <c r="AB3">
        <f>IF(AND(Table1[[#This Row],[Throw Out Pass Def Eff]]="N", Table1[[#This Row],[Against FCS Team]]="N"),200 - ROUND(((5.45 * P3) + (150 * R3) + (100 * S3) - (300 * T3)) / Q3, 2), " ")</f>
        <v>63.91</v>
      </c>
      <c r="AC3">
        <f>IF(AND(Table1[[#This Row],[Throw Out Rush Eff]]="N", Table1[[#This Row],[Against FCS Team]]="N"), ROUND(((23.2 * I3) + (150 * K3) - (300 * L3)) / J3, 2), " ")</f>
        <v>75.2</v>
      </c>
      <c r="AD3" s="3">
        <f>IF(AND(Table1[[#This Row],[Throw Out Rush Def Eff]]="N", Table1[[#This Row],[Against FCS Team]]="N"), 200 - ROUND(((23.2 * U3) + (150 * W3) - (300 * X3)) / V3, 2), " ")</f>
        <v>100.39</v>
      </c>
      <c r="AE3" s="3">
        <f>ROUND(Table1[[#This Row],[Opp Passing Attempts]]/(Table1[[#This Row],[Opp Passing Attempts]]+Table1[[#This Row],[Opp Rushing Attempts]]), 2)</f>
        <v>0.56000000000000005</v>
      </c>
      <c r="AF3" s="3">
        <f>1-Table1[[#This Row],[Passing Weight]]</f>
        <v>0.43999999999999995</v>
      </c>
      <c r="AG3" s="3" t="str">
        <f>IF(COUNTIF(A:A,Table1[[#This Row],[Opp Team Name]]) &gt; 0, "N", "Y")</f>
        <v>N</v>
      </c>
      <c r="AH3" s="3" t="str">
        <f>IF(Table1[[#This Row],[Passing Attempts]] &lt;15, "Y", "N")</f>
        <v>N</v>
      </c>
      <c r="AI3" s="3" t="str">
        <f>IF(Table1[[#This Row],[Rushing Attempts]] &lt; 15, "Y", "N")</f>
        <v>N</v>
      </c>
      <c r="AJ3" s="3" t="str">
        <f>IF(Table1[[#This Row],[Opp Passing Attempts]]&lt;15, "Y", "N")</f>
        <v>N</v>
      </c>
      <c r="AK3" s="3" t="str">
        <f>IF(Table1[[#This Row],[Opp Rushing Attempts]]&lt;15, "Y", "N")</f>
        <v>N</v>
      </c>
      <c r="AL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130.52000000000001</v>
      </c>
      <c r="AM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83.47</v>
      </c>
      <c r="AN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69.87</v>
      </c>
      <c r="AO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87.55</v>
      </c>
      <c r="AP3" s="3">
        <f>ABS(Table1[[#This Row],[Team Score]]-Table1[[#This Row],[Opp Team Score]])</f>
        <v>8</v>
      </c>
      <c r="AQ3" s="3">
        <f>SUM(Table1[[#This Row],[Team Score]], Table1[[#This Row],[Opp Team Score]])</f>
        <v>76</v>
      </c>
      <c r="AR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41.96999999999997</v>
      </c>
      <c r="AS3" s="3">
        <f>IF(Table1[[#This Row],[Efficiency Difference]] = " ", " ", ROUND((Table1[[#This Row],[Winning Margin]]*100)/Table1[[#This Row],[Efficiency Difference]], 2))</f>
        <v>19.059999999999999</v>
      </c>
    </row>
    <row r="4" spans="1:45">
      <c r="A4" t="s">
        <v>82</v>
      </c>
      <c r="B4">
        <v>0</v>
      </c>
      <c r="C4">
        <v>30</v>
      </c>
      <c r="D4">
        <v>289</v>
      </c>
      <c r="E4">
        <v>32</v>
      </c>
      <c r="F4">
        <v>2</v>
      </c>
      <c r="G4">
        <v>22</v>
      </c>
      <c r="H4">
        <v>1</v>
      </c>
      <c r="I4">
        <v>88</v>
      </c>
      <c r="J4">
        <v>27</v>
      </c>
      <c r="K4">
        <v>0</v>
      </c>
      <c r="L4">
        <v>0</v>
      </c>
      <c r="M4" t="s">
        <v>83</v>
      </c>
      <c r="N4">
        <v>0</v>
      </c>
      <c r="O4">
        <v>12</v>
      </c>
      <c r="P4">
        <v>276</v>
      </c>
      <c r="Q4">
        <v>47</v>
      </c>
      <c r="R4">
        <v>0</v>
      </c>
      <c r="S4">
        <v>31</v>
      </c>
      <c r="T4">
        <v>1</v>
      </c>
      <c r="U4">
        <v>110</v>
      </c>
      <c r="V4">
        <v>14</v>
      </c>
      <c r="W4">
        <v>0</v>
      </c>
      <c r="X4">
        <v>2</v>
      </c>
      <c r="Y4" t="s">
        <v>14</v>
      </c>
      <c r="Z4">
        <v>0</v>
      </c>
      <c r="AA4">
        <f>IF(AND(Table1[[#This Row],[Throw Out Pass Eff]]="N", Table1[[#This Row],[Against FCS Team]]="N"), ROUND(((5.45 * D4) + (150 * F4) + (100 * G4) - (300 * H4)) / E4, 2), " ")</f>
        <v>117.97</v>
      </c>
      <c r="AB4">
        <f>IF(AND(Table1[[#This Row],[Throw Out Pass Def Eff]]="N", Table1[[#This Row],[Against FCS Team]]="N"),200 - ROUND(((5.45 * P4) + (150 * R4) + (100 * S4) - (300 * T4)) / Q4, 2), " ")</f>
        <v>108.42</v>
      </c>
      <c r="AC4">
        <f>IF(AND(Table1[[#This Row],[Throw Out Rush Eff]]="N", Table1[[#This Row],[Against FCS Team]]="N"), ROUND(((23.2 * I4) + (150 * K4) - (300 * L4)) / J4, 2), " ")</f>
        <v>75.61</v>
      </c>
      <c r="AD4" s="3" t="str">
        <f>IF(AND(Table1[[#This Row],[Throw Out Rush Def Eff]]="N", Table1[[#This Row],[Against FCS Team]]="N"), 200 - ROUND(((23.2 * U4) + (150 * W4) - (300 * X4)) / V4, 2), " ")</f>
        <v xml:space="preserve"> </v>
      </c>
      <c r="AE4" s="3">
        <f>ROUND(Table1[[#This Row],[Opp Passing Attempts]]/(Table1[[#This Row],[Opp Passing Attempts]]+Table1[[#This Row],[Opp Rushing Attempts]]), 2)</f>
        <v>0.77</v>
      </c>
      <c r="AF4" s="3">
        <f>1-Table1[[#This Row],[Passing Weight]]</f>
        <v>0.22999999999999998</v>
      </c>
      <c r="AG4" s="3" t="str">
        <f>IF(COUNTIF(A:A,Table1[[#This Row],[Opp Team Name]]) &gt; 0, "N", "Y")</f>
        <v>N</v>
      </c>
      <c r="AH4" s="3" t="str">
        <f>IF(Table1[[#This Row],[Passing Attempts]] &lt;15, "Y", "N")</f>
        <v>N</v>
      </c>
      <c r="AI4" s="3" t="str">
        <f>IF(Table1[[#This Row],[Rushing Attempts]] &lt; 15, "Y", "N")</f>
        <v>N</v>
      </c>
      <c r="AJ4" s="3" t="str">
        <f>IF(Table1[[#This Row],[Opp Passing Attempts]]&lt;15, "Y", "N")</f>
        <v>N</v>
      </c>
      <c r="AK4" s="3" t="str">
        <f>IF(Table1[[#This Row],[Opp Rushing Attempts]]&lt;15, "Y", "N")</f>
        <v>Y</v>
      </c>
      <c r="AL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118.51</v>
      </c>
      <c r="AM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98.44</v>
      </c>
      <c r="AN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83.06</v>
      </c>
      <c r="AO4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4" s="3">
        <f>ABS(Table1[[#This Row],[Team Score]]-Table1[[#This Row],[Opp Team Score]])</f>
        <v>18</v>
      </c>
      <c r="AQ4" s="3">
        <f>SUM(Table1[[#This Row],[Team Score]], Table1[[#This Row],[Opp Team Score]])</f>
        <v>42</v>
      </c>
      <c r="AR4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" s="3" t="str">
        <f>IF(Table1[[#This Row],[Efficiency Difference]] = " ", " ", ROUND((Table1[[#This Row],[Winning Margin]]*100)/Table1[[#This Row],[Efficiency Difference]], 2))</f>
        <v xml:space="preserve"> </v>
      </c>
    </row>
    <row r="5" spans="1:45">
      <c r="A5" t="s">
        <v>83</v>
      </c>
      <c r="B5">
        <v>0</v>
      </c>
      <c r="C5">
        <v>12</v>
      </c>
      <c r="D5">
        <v>276</v>
      </c>
      <c r="E5">
        <v>47</v>
      </c>
      <c r="F5">
        <v>0</v>
      </c>
      <c r="G5">
        <v>31</v>
      </c>
      <c r="H5">
        <v>1</v>
      </c>
      <c r="I5">
        <v>110</v>
      </c>
      <c r="J5">
        <v>14</v>
      </c>
      <c r="K5">
        <v>0</v>
      </c>
      <c r="L5">
        <v>2</v>
      </c>
      <c r="M5" t="s">
        <v>82</v>
      </c>
      <c r="N5">
        <v>0</v>
      </c>
      <c r="O5">
        <v>30</v>
      </c>
      <c r="P5">
        <v>289</v>
      </c>
      <c r="Q5">
        <v>32</v>
      </c>
      <c r="R5">
        <v>2</v>
      </c>
      <c r="S5">
        <v>22</v>
      </c>
      <c r="T5">
        <v>1</v>
      </c>
      <c r="U5">
        <v>88</v>
      </c>
      <c r="V5">
        <v>27</v>
      </c>
      <c r="W5">
        <v>0</v>
      </c>
      <c r="X5">
        <v>0</v>
      </c>
      <c r="Y5" t="s">
        <v>15</v>
      </c>
      <c r="Z5">
        <v>0</v>
      </c>
      <c r="AA5">
        <f>IF(AND(Table1[[#This Row],[Throw Out Pass Eff]]="N", Table1[[#This Row],[Against FCS Team]]="N"), ROUND(((5.45 * D5) + (150 * F5) + (100 * G5) - (300 * H5)) / E5, 2), " ")</f>
        <v>91.58</v>
      </c>
      <c r="AB5">
        <f>IF(AND(Table1[[#This Row],[Throw Out Pass Def Eff]]="N", Table1[[#This Row],[Against FCS Team]]="N"),200 - ROUND(((5.45 * P5) + (150 * R5) + (100 * S5) - (300 * T5)) / Q5, 2), " ")</f>
        <v>82.03</v>
      </c>
      <c r="AC5" t="str">
        <f>IF(AND(Table1[[#This Row],[Throw Out Rush Eff]]="N", Table1[[#This Row],[Against FCS Team]]="N"), ROUND(((23.2 * I5) + (150 * K5) - (300 * L5)) / J5, 2), " ")</f>
        <v xml:space="preserve"> </v>
      </c>
      <c r="AD5" s="3">
        <f>IF(AND(Table1[[#This Row],[Throw Out Rush Def Eff]]="N", Table1[[#This Row],[Against FCS Team]]="N"), 200 - ROUND(((23.2 * U5) + (150 * W5) - (300 * X5)) / V5, 2), " ")</f>
        <v>124.39</v>
      </c>
      <c r="AE5" s="3">
        <f>ROUND(Table1[[#This Row],[Opp Passing Attempts]]/(Table1[[#This Row],[Opp Passing Attempts]]+Table1[[#This Row],[Opp Rushing Attempts]]), 2)</f>
        <v>0.54</v>
      </c>
      <c r="AF5" s="3">
        <f>1-Table1[[#This Row],[Passing Weight]]</f>
        <v>0.45999999999999996</v>
      </c>
      <c r="AG5" s="3" t="str">
        <f>IF(COUNTIF(A:A,Table1[[#This Row],[Opp Team Name]]) &gt; 0, "N", "Y")</f>
        <v>N</v>
      </c>
      <c r="AH5" s="3" t="str">
        <f>IF(Table1[[#This Row],[Passing Attempts]] &lt;15, "Y", "N")</f>
        <v>N</v>
      </c>
      <c r="AI5" s="3" t="str">
        <f>IF(Table1[[#This Row],[Rushing Attempts]] &lt; 15, "Y", "N")</f>
        <v>Y</v>
      </c>
      <c r="AJ5" s="3" t="str">
        <f>IF(Table1[[#This Row],[Opp Passing Attempts]]&lt;15, "Y", "N")</f>
        <v>N</v>
      </c>
      <c r="AK5" s="3" t="str">
        <f>IF(Table1[[#This Row],[Opp Rushing Attempts]]&lt;15, "Y", "N")</f>
        <v>N</v>
      </c>
      <c r="AL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90.06</v>
      </c>
      <c r="AM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76.33</v>
      </c>
      <c r="AN5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147.51</v>
      </c>
      <c r="AP5" s="3">
        <f>ABS(Table1[[#This Row],[Team Score]]-Table1[[#This Row],[Opp Team Score]])</f>
        <v>18</v>
      </c>
      <c r="AQ5" s="3">
        <f>SUM(Table1[[#This Row],[Team Score]], Table1[[#This Row],[Opp Team Score]])</f>
        <v>42</v>
      </c>
      <c r="AR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" s="3" t="str">
        <f>IF(Table1[[#This Row],[Efficiency Difference]] = " ", " ", ROUND((Table1[[#This Row],[Winning Margin]]*100)/Table1[[#This Row],[Efficiency Difference]], 2))</f>
        <v xml:space="preserve"> </v>
      </c>
    </row>
    <row r="6" spans="1:45">
      <c r="A6" t="s">
        <v>84</v>
      </c>
      <c r="B6">
        <v>0</v>
      </c>
      <c r="C6">
        <v>34</v>
      </c>
      <c r="D6">
        <v>217</v>
      </c>
      <c r="E6">
        <v>24</v>
      </c>
      <c r="F6">
        <v>1</v>
      </c>
      <c r="G6">
        <v>17</v>
      </c>
      <c r="H6">
        <v>2</v>
      </c>
      <c r="I6">
        <v>167</v>
      </c>
      <c r="J6">
        <v>41</v>
      </c>
      <c r="K6">
        <v>2</v>
      </c>
      <c r="L6">
        <v>1</v>
      </c>
      <c r="M6" t="s">
        <v>85</v>
      </c>
      <c r="N6">
        <v>0</v>
      </c>
      <c r="O6">
        <v>7</v>
      </c>
      <c r="P6">
        <v>172</v>
      </c>
      <c r="Q6">
        <v>31</v>
      </c>
      <c r="R6">
        <v>1</v>
      </c>
      <c r="S6">
        <v>16</v>
      </c>
      <c r="T6">
        <v>0</v>
      </c>
      <c r="U6">
        <v>64</v>
      </c>
      <c r="V6">
        <v>16</v>
      </c>
      <c r="W6">
        <v>0</v>
      </c>
      <c r="X6">
        <v>2</v>
      </c>
      <c r="Y6" t="s">
        <v>14</v>
      </c>
      <c r="Z6">
        <v>0</v>
      </c>
      <c r="AA6">
        <f>IF(AND(Table1[[#This Row],[Throw Out Pass Eff]]="N", Table1[[#This Row],[Against FCS Team]]="N"), ROUND(((5.45 * D6) + (150 * F6) + (100 * G6) - (300 * H6)) / E6, 2), " ")</f>
        <v>101.36</v>
      </c>
      <c r="AB6">
        <f>IF(AND(Table1[[#This Row],[Throw Out Pass Def Eff]]="N", Table1[[#This Row],[Against FCS Team]]="N"),200 - ROUND(((5.45 * P6) + (150 * R6) + (100 * S6) - (300 * T6)) / Q6, 2), " ")</f>
        <v>113.31</v>
      </c>
      <c r="AC6">
        <f>IF(AND(Table1[[#This Row],[Throw Out Rush Eff]]="N", Table1[[#This Row],[Against FCS Team]]="N"), ROUND(((23.2 * I6) + (150 * K6) - (300 * L6)) / J6, 2), " ")</f>
        <v>94.5</v>
      </c>
      <c r="AD6" s="3">
        <f>IF(AND(Table1[[#This Row],[Throw Out Rush Def Eff]]="N", Table1[[#This Row],[Against FCS Team]]="N"), 200 - ROUND(((23.2 * U6) + (150 * W6) - (300 * X6)) / V6, 2), " ")</f>
        <v>144.69999999999999</v>
      </c>
      <c r="AE6" s="3">
        <f>ROUND(Table1[[#This Row],[Opp Passing Attempts]]/(Table1[[#This Row],[Opp Passing Attempts]]+Table1[[#This Row],[Opp Rushing Attempts]]), 2)</f>
        <v>0.66</v>
      </c>
      <c r="AF6" s="3">
        <f>1-Table1[[#This Row],[Passing Weight]]</f>
        <v>0.33999999999999997</v>
      </c>
      <c r="AG6" s="3" t="str">
        <f>IF(COUNTIF(A:A,Table1[[#This Row],[Opp Team Name]]) &gt; 0, "N", "Y")</f>
        <v>N</v>
      </c>
      <c r="AH6" s="3" t="str">
        <f>IF(Table1[[#This Row],[Passing Attempts]] &lt;15, "Y", "N")</f>
        <v>N</v>
      </c>
      <c r="AI6" s="3" t="str">
        <f>IF(Table1[[#This Row],[Rushing Attempts]] &lt; 15, "Y", "N")</f>
        <v>N</v>
      </c>
      <c r="AJ6" s="3" t="str">
        <f>IF(Table1[[#This Row],[Opp Passing Attempts]]&lt;15, "Y", "N")</f>
        <v>N</v>
      </c>
      <c r="AK6" s="3" t="str">
        <f>IF(Table1[[#This Row],[Opp Rushing Attempts]]&lt;15, "Y", "N")</f>
        <v>N</v>
      </c>
      <c r="AL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78.959999999999994</v>
      </c>
      <c r="AM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97.43</v>
      </c>
      <c r="AN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97.39</v>
      </c>
      <c r="AO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121.73</v>
      </c>
      <c r="AP6" s="3">
        <f>ABS(Table1[[#This Row],[Team Score]]-Table1[[#This Row],[Opp Team Score]])</f>
        <v>27</v>
      </c>
      <c r="AQ6" s="3">
        <f>SUM(Table1[[#This Row],[Team Score]], Table1[[#This Row],[Opp Team Score]])</f>
        <v>41</v>
      </c>
      <c r="AR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53.870000000000005</v>
      </c>
      <c r="AS6" s="3">
        <f>IF(Table1[[#This Row],[Efficiency Difference]] = " ", " ", ROUND((Table1[[#This Row],[Winning Margin]]*100)/Table1[[#This Row],[Efficiency Difference]], 2))</f>
        <v>50.12</v>
      </c>
    </row>
    <row r="7" spans="1:45">
      <c r="A7" t="s">
        <v>85</v>
      </c>
      <c r="B7">
        <v>0</v>
      </c>
      <c r="C7">
        <v>7</v>
      </c>
      <c r="D7">
        <v>172</v>
      </c>
      <c r="E7">
        <v>31</v>
      </c>
      <c r="F7">
        <v>1</v>
      </c>
      <c r="G7">
        <v>16</v>
      </c>
      <c r="H7">
        <v>0</v>
      </c>
      <c r="I7">
        <v>64</v>
      </c>
      <c r="J7">
        <v>16</v>
      </c>
      <c r="K7">
        <v>0</v>
      </c>
      <c r="L7">
        <v>2</v>
      </c>
      <c r="M7" t="s">
        <v>84</v>
      </c>
      <c r="N7">
        <v>0</v>
      </c>
      <c r="O7">
        <v>34</v>
      </c>
      <c r="P7">
        <v>217</v>
      </c>
      <c r="Q7">
        <v>24</v>
      </c>
      <c r="R7">
        <v>1</v>
      </c>
      <c r="S7">
        <v>17</v>
      </c>
      <c r="T7">
        <v>2</v>
      </c>
      <c r="U7">
        <v>167</v>
      </c>
      <c r="V7">
        <v>41</v>
      </c>
      <c r="W7">
        <v>2</v>
      </c>
      <c r="X7">
        <v>1</v>
      </c>
      <c r="Y7" t="s">
        <v>15</v>
      </c>
      <c r="Z7">
        <v>0</v>
      </c>
      <c r="AA7">
        <f>IF(AND(Table1[[#This Row],[Throw Out Pass Eff]]="N", Table1[[#This Row],[Against FCS Team]]="N"), ROUND(((5.45 * D7) + (150 * F7) + (100 * G7) - (300 * H7)) / E7, 2), " ")</f>
        <v>86.69</v>
      </c>
      <c r="AB7">
        <f>IF(AND(Table1[[#This Row],[Throw Out Pass Def Eff]]="N", Table1[[#This Row],[Against FCS Team]]="N"),200 - ROUND(((5.45 * P7) + (150 * R7) + (100 * S7) - (300 * T7)) / Q7, 2), " ")</f>
        <v>98.64</v>
      </c>
      <c r="AC7">
        <f>IF(AND(Table1[[#This Row],[Throw Out Rush Eff]]="N", Table1[[#This Row],[Against FCS Team]]="N"), ROUND(((23.2 * I7) + (150 * K7) - (300 * L7)) / J7, 2), " ")</f>
        <v>55.3</v>
      </c>
      <c r="AD7" s="3">
        <f>IF(AND(Table1[[#This Row],[Throw Out Rush Def Eff]]="N", Table1[[#This Row],[Against FCS Team]]="N"), 200 - ROUND(((23.2 * U7) + (150 * W7) - (300 * X7)) / V7, 2), " ")</f>
        <v>105.5</v>
      </c>
      <c r="AE7" s="3">
        <f>ROUND(Table1[[#This Row],[Opp Passing Attempts]]/(Table1[[#This Row],[Opp Passing Attempts]]+Table1[[#This Row],[Opp Rushing Attempts]]), 2)</f>
        <v>0.37</v>
      </c>
      <c r="AF7" s="3">
        <f>1-Table1[[#This Row],[Passing Weight]]</f>
        <v>0.63</v>
      </c>
      <c r="AG7" s="3" t="str">
        <f>IF(COUNTIF(A:A,Table1[[#This Row],[Opp Team Name]]) &gt; 0, "N", "Y")</f>
        <v>N</v>
      </c>
      <c r="AH7" s="3" t="str">
        <f>IF(Table1[[#This Row],[Passing Attempts]] &lt;15, "Y", "N")</f>
        <v>N</v>
      </c>
      <c r="AI7" s="3" t="str">
        <f>IF(Table1[[#This Row],[Rushing Attempts]] &lt; 15, "Y", "N")</f>
        <v>N</v>
      </c>
      <c r="AJ7" s="3" t="str">
        <f>IF(Table1[[#This Row],[Opp Passing Attempts]]&lt;15, "Y", "N")</f>
        <v>N</v>
      </c>
      <c r="AK7" s="3" t="str">
        <f>IF(Table1[[#This Row],[Opp Rushing Attempts]]&lt;15, "Y", "N")</f>
        <v>N</v>
      </c>
      <c r="AL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104.35</v>
      </c>
      <c r="AM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109.87</v>
      </c>
      <c r="AN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56.07</v>
      </c>
      <c r="AO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101.79</v>
      </c>
      <c r="AP7" s="3">
        <f>ABS(Table1[[#This Row],[Team Score]]-Table1[[#This Row],[Opp Team Score]])</f>
        <v>27</v>
      </c>
      <c r="AQ7" s="3">
        <f>SUM(Table1[[#This Row],[Team Score]], Table1[[#This Row],[Opp Team Score]])</f>
        <v>41</v>
      </c>
      <c r="AR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53.870000000000005</v>
      </c>
      <c r="AS7" s="3">
        <f>IF(Table1[[#This Row],[Efficiency Difference]] = " ", " ", ROUND((Table1[[#This Row],[Winning Margin]]*100)/Table1[[#This Row],[Efficiency Difference]], 2))</f>
        <v>50.12</v>
      </c>
    </row>
    <row r="8" spans="1:45">
      <c r="A8" t="s">
        <v>86</v>
      </c>
      <c r="B8">
        <v>0</v>
      </c>
      <c r="C8">
        <v>7</v>
      </c>
      <c r="D8">
        <v>105</v>
      </c>
      <c r="E8">
        <v>36</v>
      </c>
      <c r="F8">
        <v>1</v>
      </c>
      <c r="G8">
        <v>22</v>
      </c>
      <c r="H8">
        <v>1</v>
      </c>
      <c r="I8">
        <v>108</v>
      </c>
      <c r="J8">
        <v>18</v>
      </c>
      <c r="K8">
        <v>0</v>
      </c>
      <c r="L8">
        <v>2</v>
      </c>
      <c r="M8" t="s">
        <v>87</v>
      </c>
      <c r="N8">
        <v>0</v>
      </c>
      <c r="O8">
        <v>41</v>
      </c>
      <c r="P8">
        <v>201</v>
      </c>
      <c r="Q8">
        <v>26</v>
      </c>
      <c r="R8">
        <v>4</v>
      </c>
      <c r="S8">
        <v>17</v>
      </c>
      <c r="T8">
        <v>1</v>
      </c>
      <c r="U8">
        <v>163</v>
      </c>
      <c r="V8">
        <v>39</v>
      </c>
      <c r="W8">
        <v>1</v>
      </c>
      <c r="X8">
        <v>0</v>
      </c>
      <c r="Y8" t="s">
        <v>15</v>
      </c>
      <c r="Z8">
        <v>0</v>
      </c>
      <c r="AA8" s="3">
        <f>IF(AND(Table1[[#This Row],[Throw Out Pass Eff]]="N", Table1[[#This Row],[Against FCS Team]]="N"), ROUND(((5.45 * D8) + (150 * F8) + (100 * G8) - (300 * H8)) / E8, 2), " ")</f>
        <v>72.84</v>
      </c>
      <c r="AB8" s="3">
        <f>IF(AND(Table1[[#This Row],[Throw Out Pass Def Eff]]="N", Table1[[#This Row],[Against FCS Team]]="N"),200 - ROUND(((5.45 * P8) + (150 * R8) + (100 * S8) - (300 * T8)) / Q8, 2), " ")</f>
        <v>80.94</v>
      </c>
      <c r="AC8" s="3">
        <f>IF(AND(Table1[[#This Row],[Throw Out Rush Eff]]="N", Table1[[#This Row],[Against FCS Team]]="N"), ROUND(((23.2 * I8) + (150 * K8) - (300 * L8)) / J8, 2), " ")</f>
        <v>105.87</v>
      </c>
      <c r="AD8" s="3">
        <f>IF(AND(Table1[[#This Row],[Throw Out Rush Def Eff]]="N", Table1[[#This Row],[Against FCS Team]]="N"), 200 - ROUND(((23.2 * U8) + (150 * W8) - (300 * X8)) / V8, 2), " ")</f>
        <v>99.19</v>
      </c>
      <c r="AE8" s="3">
        <f>ROUND(Table1[[#This Row],[Opp Passing Attempts]]/(Table1[[#This Row],[Opp Passing Attempts]]+Table1[[#This Row],[Opp Rushing Attempts]]), 2)</f>
        <v>0.4</v>
      </c>
      <c r="AF8" s="3">
        <f>1-Table1[[#This Row],[Passing Weight]]</f>
        <v>0.6</v>
      </c>
      <c r="AG8" s="3" t="str">
        <f>IF(COUNTIF(A:A,Table1[[#This Row],[Opp Team Name]]) &gt; 0, "N", "Y")</f>
        <v>N</v>
      </c>
      <c r="AH8" s="3" t="str">
        <f>IF(Table1[[#This Row],[Passing Attempts]] &lt;15, "Y", "N")</f>
        <v>N</v>
      </c>
      <c r="AI8" s="3" t="str">
        <f>IF(Table1[[#This Row],[Rushing Attempts]] &lt; 15, "Y", "N")</f>
        <v>N</v>
      </c>
      <c r="AJ8" s="3" t="str">
        <f>IF(Table1[[#This Row],[Opp Passing Attempts]]&lt;15, "Y", "N")</f>
        <v>N</v>
      </c>
      <c r="AK8" s="3" t="str">
        <f>IF(Table1[[#This Row],[Opp Rushing Attempts]]&lt;15, "Y", "N")</f>
        <v>N</v>
      </c>
      <c r="AL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75.53</v>
      </c>
      <c r="AM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84.08</v>
      </c>
      <c r="AN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82.76</v>
      </c>
      <c r="AO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131.11000000000001</v>
      </c>
      <c r="AP8" s="3">
        <f>ABS(Table1[[#This Row],[Team Score]]-Table1[[#This Row],[Opp Team Score]])</f>
        <v>34</v>
      </c>
      <c r="AQ8" s="3">
        <f>SUM(Table1[[#This Row],[Team Score]], Table1[[#This Row],[Opp Team Score]])</f>
        <v>48</v>
      </c>
      <c r="AR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41.16</v>
      </c>
      <c r="AS8" s="3">
        <f>IF(Table1[[#This Row],[Efficiency Difference]] = " ", " ", ROUND((Table1[[#This Row],[Winning Margin]]*100)/Table1[[#This Row],[Efficiency Difference]], 2))</f>
        <v>82.6</v>
      </c>
    </row>
    <row r="9" spans="1:45">
      <c r="A9" t="s">
        <v>87</v>
      </c>
      <c r="B9">
        <v>0</v>
      </c>
      <c r="C9">
        <v>41</v>
      </c>
      <c r="D9">
        <v>201</v>
      </c>
      <c r="E9">
        <v>26</v>
      </c>
      <c r="F9">
        <v>4</v>
      </c>
      <c r="G9">
        <v>17</v>
      </c>
      <c r="H9">
        <v>1</v>
      </c>
      <c r="I9">
        <v>163</v>
      </c>
      <c r="J9">
        <v>39</v>
      </c>
      <c r="K9">
        <v>1</v>
      </c>
      <c r="L9">
        <v>0</v>
      </c>
      <c r="M9" t="s">
        <v>86</v>
      </c>
      <c r="N9">
        <v>0</v>
      </c>
      <c r="O9">
        <v>7</v>
      </c>
      <c r="P9">
        <v>105</v>
      </c>
      <c r="Q9">
        <v>36</v>
      </c>
      <c r="R9">
        <v>1</v>
      </c>
      <c r="S9">
        <v>22</v>
      </c>
      <c r="T9">
        <v>1</v>
      </c>
      <c r="U9">
        <v>108</v>
      </c>
      <c r="V9">
        <v>18</v>
      </c>
      <c r="W9">
        <v>0</v>
      </c>
      <c r="X9">
        <v>2</v>
      </c>
      <c r="Y9" t="s">
        <v>14</v>
      </c>
      <c r="Z9">
        <v>0</v>
      </c>
      <c r="AA9">
        <f>IF(AND(Table1[[#This Row],[Throw Out Pass Eff]]="N", Table1[[#This Row],[Against FCS Team]]="N"), ROUND(((5.45 * D9) + (150 * F9) + (100 * G9) - (300 * H9)) / E9, 2), " ")</f>
        <v>119.06</v>
      </c>
      <c r="AB9">
        <f>IF(AND(Table1[[#This Row],[Throw Out Pass Def Eff]]="N", Table1[[#This Row],[Against FCS Team]]="N"),200 - ROUND(((5.45 * P9) + (150 * R9) + (100 * S9) - (300 * T9)) / Q9, 2), " ")</f>
        <v>127.16</v>
      </c>
      <c r="AC9">
        <f>IF(AND(Table1[[#This Row],[Throw Out Rush Eff]]="N", Table1[[#This Row],[Against FCS Team]]="N"), ROUND(((23.2 * I9) + (150 * K9) - (300 * L9)) / J9, 2), " ")</f>
        <v>100.81</v>
      </c>
      <c r="AD9" s="3">
        <f>IF(AND(Table1[[#This Row],[Throw Out Rush Def Eff]]="N", Table1[[#This Row],[Against FCS Team]]="N"), 200 - ROUND(((23.2 * U9) + (150 * W9) - (300 * X9)) / V9, 2), " ")</f>
        <v>94.13</v>
      </c>
      <c r="AE9" s="3">
        <f>ROUND(Table1[[#This Row],[Opp Passing Attempts]]/(Table1[[#This Row],[Opp Passing Attempts]]+Table1[[#This Row],[Opp Rushing Attempts]]), 2)</f>
        <v>0.67</v>
      </c>
      <c r="AF9" s="3">
        <f>1-Table1[[#This Row],[Passing Weight]]</f>
        <v>0.32999999999999996</v>
      </c>
      <c r="AG9" s="3" t="str">
        <f>IF(COUNTIF(A:A,Table1[[#This Row],[Opp Team Name]]) &gt; 0, "N", "Y")</f>
        <v>N</v>
      </c>
      <c r="AH9" s="3" t="str">
        <f>IF(Table1[[#This Row],[Passing Attempts]] &lt;15, "Y", "N")</f>
        <v>N</v>
      </c>
      <c r="AI9" s="3" t="str">
        <f>IF(Table1[[#This Row],[Rushing Attempts]] &lt; 15, "Y", "N")</f>
        <v>N</v>
      </c>
      <c r="AJ9" s="3" t="str">
        <f>IF(Table1[[#This Row],[Opp Passing Attempts]]&lt;15, "Y", "N")</f>
        <v>N</v>
      </c>
      <c r="AK9" s="3" t="str">
        <f>IF(Table1[[#This Row],[Opp Rushing Attempts]]&lt;15, "Y", "N")</f>
        <v>N</v>
      </c>
      <c r="AL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129.11000000000001</v>
      </c>
      <c r="AM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116.05</v>
      </c>
      <c r="AN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100.36</v>
      </c>
      <c r="AO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87.76</v>
      </c>
      <c r="AP9" s="3">
        <f>ABS(Table1[[#This Row],[Team Score]]-Table1[[#This Row],[Opp Team Score]])</f>
        <v>34</v>
      </c>
      <c r="AQ9" s="3">
        <f>SUM(Table1[[#This Row],[Team Score]], Table1[[#This Row],[Opp Team Score]])</f>
        <v>48</v>
      </c>
      <c r="AR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41.16</v>
      </c>
      <c r="AS9" s="3">
        <f>IF(Table1[[#This Row],[Efficiency Difference]] = " ", " ", ROUND((Table1[[#This Row],[Winning Margin]]*100)/Table1[[#This Row],[Efficiency Difference]], 2))</f>
        <v>82.6</v>
      </c>
    </row>
    <row r="10" spans="1:45">
      <c r="A10" t="s">
        <v>88</v>
      </c>
      <c r="B10">
        <v>0</v>
      </c>
      <c r="C10">
        <v>16</v>
      </c>
      <c r="D10">
        <v>160</v>
      </c>
      <c r="E10">
        <v>24</v>
      </c>
      <c r="F10">
        <v>0</v>
      </c>
      <c r="G10">
        <v>17</v>
      </c>
      <c r="H10">
        <v>0</v>
      </c>
      <c r="I10">
        <v>163</v>
      </c>
      <c r="J10">
        <v>47</v>
      </c>
      <c r="K10">
        <v>1</v>
      </c>
      <c r="L10">
        <v>1</v>
      </c>
      <c r="M10" t="s">
        <v>89</v>
      </c>
      <c r="N10">
        <v>0</v>
      </c>
      <c r="O10">
        <v>14</v>
      </c>
      <c r="P10">
        <v>249</v>
      </c>
      <c r="Q10">
        <v>34</v>
      </c>
      <c r="R10">
        <v>2</v>
      </c>
      <c r="S10">
        <v>21</v>
      </c>
      <c r="T10">
        <v>1</v>
      </c>
      <c r="U10">
        <v>43</v>
      </c>
      <c r="V10">
        <v>13</v>
      </c>
      <c r="W10">
        <v>0</v>
      </c>
      <c r="X10">
        <v>0</v>
      </c>
      <c r="Y10" t="s">
        <v>14</v>
      </c>
      <c r="Z10">
        <v>0</v>
      </c>
      <c r="AA10">
        <f>IF(AND(Table1[[#This Row],[Throw Out Pass Eff]]="N", Table1[[#This Row],[Against FCS Team]]="N"), ROUND(((5.45 * D10) + (150 * F10) + (100 * G10) - (300 * H10)) / E10, 2), " ")</f>
        <v>107.17</v>
      </c>
      <c r="AB10">
        <f>IF(AND(Table1[[#This Row],[Throw Out Pass Def Eff]]="N", Table1[[#This Row],[Against FCS Team]]="N"),200 - ROUND(((5.45 * P10) + (150 * R10) + (100 * S10) - (300 * T10)) / Q10, 2), " ")</f>
        <v>98.32</v>
      </c>
      <c r="AC10">
        <f>IF(AND(Table1[[#This Row],[Throw Out Rush Eff]]="N", Table1[[#This Row],[Against FCS Team]]="N"), ROUND(((23.2 * I10) + (150 * K10) - (300 * L10)) / J10, 2), " ")</f>
        <v>77.27</v>
      </c>
      <c r="AD10" s="3" t="str">
        <f>IF(AND(Table1[[#This Row],[Throw Out Rush Def Eff]]="N", Table1[[#This Row],[Against FCS Team]]="N"), 200 - ROUND(((23.2 * U10) + (150 * W10) - (300 * X10)) / V10, 2), " ")</f>
        <v xml:space="preserve"> </v>
      </c>
      <c r="AE10" s="3">
        <f>ROUND(Table1[[#This Row],[Opp Passing Attempts]]/(Table1[[#This Row],[Opp Passing Attempts]]+Table1[[#This Row],[Opp Rushing Attempts]]), 2)</f>
        <v>0.72</v>
      </c>
      <c r="AF10" s="3">
        <f>1-Table1[[#This Row],[Passing Weight]]</f>
        <v>0.28000000000000003</v>
      </c>
      <c r="AG10" s="3" t="str">
        <f>IF(COUNTIF(A:A,Table1[[#This Row],[Opp Team Name]]) &gt; 0, "N", "Y")</f>
        <v>N</v>
      </c>
      <c r="AH10" s="3" t="str">
        <f>IF(Table1[[#This Row],[Passing Attempts]] &lt;15, "Y", "N")</f>
        <v>N</v>
      </c>
      <c r="AI10" s="3" t="str">
        <f>IF(Table1[[#This Row],[Rushing Attempts]] &lt; 15, "Y", "N")</f>
        <v>N</v>
      </c>
      <c r="AJ10" s="3" t="str">
        <f>IF(Table1[[#This Row],[Opp Passing Attempts]]&lt;15, "Y", "N")</f>
        <v>N</v>
      </c>
      <c r="AK10" s="3" t="str">
        <f>IF(Table1[[#This Row],[Opp Rushing Attempts]]&lt;15, "Y", "N")</f>
        <v>Y</v>
      </c>
      <c r="AL1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102.22</v>
      </c>
      <c r="AM1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96.56</v>
      </c>
      <c r="AN1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87.76</v>
      </c>
      <c r="AO10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10" s="3">
        <f>ABS(Table1[[#This Row],[Team Score]]-Table1[[#This Row],[Opp Team Score]])</f>
        <v>2</v>
      </c>
      <c r="AQ10" s="3">
        <f>SUM(Table1[[#This Row],[Team Score]], Table1[[#This Row],[Opp Team Score]])</f>
        <v>30</v>
      </c>
      <c r="AR10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0" s="3" t="str">
        <f>IF(Table1[[#This Row],[Efficiency Difference]] = " ", " ", ROUND((Table1[[#This Row],[Winning Margin]]*100)/Table1[[#This Row],[Efficiency Difference]], 2))</f>
        <v xml:space="preserve"> </v>
      </c>
    </row>
    <row r="11" spans="1:45">
      <c r="A11" t="s">
        <v>89</v>
      </c>
      <c r="B11">
        <v>0</v>
      </c>
      <c r="C11">
        <v>14</v>
      </c>
      <c r="D11">
        <v>249</v>
      </c>
      <c r="E11">
        <v>34</v>
      </c>
      <c r="F11">
        <v>2</v>
      </c>
      <c r="G11">
        <v>21</v>
      </c>
      <c r="H11">
        <v>1</v>
      </c>
      <c r="I11">
        <v>43</v>
      </c>
      <c r="J11">
        <v>13</v>
      </c>
      <c r="K11">
        <v>0</v>
      </c>
      <c r="L11">
        <v>0</v>
      </c>
      <c r="M11" t="s">
        <v>88</v>
      </c>
      <c r="N11">
        <v>0</v>
      </c>
      <c r="O11">
        <v>16</v>
      </c>
      <c r="P11">
        <v>160</v>
      </c>
      <c r="Q11">
        <v>24</v>
      </c>
      <c r="R11">
        <v>0</v>
      </c>
      <c r="S11">
        <v>17</v>
      </c>
      <c r="T11">
        <v>0</v>
      </c>
      <c r="U11">
        <v>163</v>
      </c>
      <c r="V11">
        <v>47</v>
      </c>
      <c r="W11">
        <v>1</v>
      </c>
      <c r="X11">
        <v>1</v>
      </c>
      <c r="Y11" t="s">
        <v>15</v>
      </c>
      <c r="Z11">
        <v>0</v>
      </c>
      <c r="AA11">
        <f>IF(AND(Table1[[#This Row],[Throw Out Pass Eff]]="N", Table1[[#This Row],[Against FCS Team]]="N"), ROUND(((5.45 * D11) + (150 * F11) + (100 * G11) - (300 * H11)) / E11, 2), " ")</f>
        <v>101.68</v>
      </c>
      <c r="AB11">
        <f>IF(AND(Table1[[#This Row],[Throw Out Pass Def Eff]]="N", Table1[[#This Row],[Against FCS Team]]="N"),200 - ROUND(((5.45 * P11) + (150 * R11) + (100 * S11) - (300 * T11)) / Q11, 2), " ")</f>
        <v>92.83</v>
      </c>
      <c r="AC11" t="str">
        <f>IF(AND(Table1[[#This Row],[Throw Out Rush Eff]]="N", Table1[[#This Row],[Against FCS Team]]="N"), ROUND(((23.2 * I11) + (150 * K11) - (300 * L11)) / J11, 2), " ")</f>
        <v xml:space="preserve"> </v>
      </c>
      <c r="AD11" s="3">
        <f>IF(AND(Table1[[#This Row],[Throw Out Rush Def Eff]]="N", Table1[[#This Row],[Against FCS Team]]="N"), 200 - ROUND(((23.2 * U11) + (150 * W11) - (300 * X11)) / V11, 2), " ")</f>
        <v>122.73</v>
      </c>
      <c r="AE11" s="3">
        <f>ROUND(Table1[[#This Row],[Opp Passing Attempts]]/(Table1[[#This Row],[Opp Passing Attempts]]+Table1[[#This Row],[Opp Rushing Attempts]]), 2)</f>
        <v>0.34</v>
      </c>
      <c r="AF11" s="3">
        <f>1-Table1[[#This Row],[Passing Weight]]</f>
        <v>0.65999999999999992</v>
      </c>
      <c r="AG11" s="3" t="str">
        <f>IF(COUNTIF(A:A,Table1[[#This Row],[Opp Team Name]]) &gt; 0, "N", "Y")</f>
        <v>N</v>
      </c>
      <c r="AH11" s="3" t="str">
        <f>IF(Table1[[#This Row],[Passing Attempts]] &lt;15, "Y", "N")</f>
        <v>N</v>
      </c>
      <c r="AI11" s="3" t="str">
        <f>IF(Table1[[#This Row],[Rushing Attempts]] &lt; 15, "Y", "N")</f>
        <v>Y</v>
      </c>
      <c r="AJ11" s="3" t="str">
        <f>IF(Table1[[#This Row],[Opp Passing Attempts]]&lt;15, "Y", "N")</f>
        <v>N</v>
      </c>
      <c r="AK11" s="3" t="str">
        <f>IF(Table1[[#This Row],[Opp Rushing Attempts]]&lt;15, "Y", "N")</f>
        <v>N</v>
      </c>
      <c r="AL1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109.68</v>
      </c>
      <c r="AM1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65.47</v>
      </c>
      <c r="AN11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1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111.72</v>
      </c>
      <c r="AP11" s="3">
        <f>ABS(Table1[[#This Row],[Team Score]]-Table1[[#This Row],[Opp Team Score]])</f>
        <v>2</v>
      </c>
      <c r="AQ11" s="3">
        <f>SUM(Table1[[#This Row],[Team Score]], Table1[[#This Row],[Opp Team Score]])</f>
        <v>30</v>
      </c>
      <c r="AR1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1" s="3" t="str">
        <f>IF(Table1[[#This Row],[Efficiency Difference]] = " ", " ", ROUND((Table1[[#This Row],[Winning Margin]]*100)/Table1[[#This Row],[Efficiency Difference]], 2))</f>
        <v xml:space="preserve"> </v>
      </c>
    </row>
    <row r="12" spans="1:45">
      <c r="A12" t="s">
        <v>90</v>
      </c>
      <c r="B12">
        <v>0</v>
      </c>
      <c r="C12">
        <v>17</v>
      </c>
      <c r="D12">
        <v>202</v>
      </c>
      <c r="E12">
        <v>40</v>
      </c>
      <c r="F12">
        <v>2</v>
      </c>
      <c r="G12">
        <v>19</v>
      </c>
      <c r="H12">
        <v>1</v>
      </c>
      <c r="I12">
        <v>83</v>
      </c>
      <c r="J12">
        <v>26</v>
      </c>
      <c r="K12">
        <v>0</v>
      </c>
      <c r="L12">
        <v>0</v>
      </c>
      <c r="M12" t="s">
        <v>91</v>
      </c>
      <c r="N12">
        <v>0</v>
      </c>
      <c r="O12">
        <v>27</v>
      </c>
      <c r="P12">
        <v>155</v>
      </c>
      <c r="Q12">
        <v>27</v>
      </c>
      <c r="R12">
        <v>2</v>
      </c>
      <c r="S12">
        <v>15</v>
      </c>
      <c r="T12">
        <v>0</v>
      </c>
      <c r="U12">
        <v>139</v>
      </c>
      <c r="V12">
        <v>33</v>
      </c>
      <c r="W12">
        <v>1</v>
      </c>
      <c r="X12">
        <v>0</v>
      </c>
      <c r="Y12" t="s">
        <v>15</v>
      </c>
      <c r="Z12">
        <v>0</v>
      </c>
      <c r="AA12">
        <f>IF(AND(Table1[[#This Row],[Throw Out Pass Eff]]="N", Table1[[#This Row],[Against FCS Team]]="N"), ROUND(((5.45 * D12) + (150 * F12) + (100 * G12) - (300 * H12)) / E12, 2), " ")</f>
        <v>75.02</v>
      </c>
      <c r="AB12">
        <f>IF(AND(Table1[[#This Row],[Throw Out Pass Def Eff]]="N", Table1[[#This Row],[Against FCS Team]]="N"),200 - ROUND(((5.45 * P12) + (150 * R12) + (100 * S12) - (300 * T12)) / Q12, 2), " ")</f>
        <v>102.05</v>
      </c>
      <c r="AC12">
        <f>IF(AND(Table1[[#This Row],[Throw Out Rush Eff]]="N", Table1[[#This Row],[Against FCS Team]]="N"), ROUND(((23.2 * I12) + (150 * K12) - (300 * L12)) / J12, 2), " ")</f>
        <v>74.06</v>
      </c>
      <c r="AD12" s="3">
        <f>IF(AND(Table1[[#This Row],[Throw Out Rush Def Eff]]="N", Table1[[#This Row],[Against FCS Team]]="N"), 200 - ROUND(((23.2 * U12) + (150 * W12) - (300 * X12)) / V12, 2), " ")</f>
        <v>97.73</v>
      </c>
      <c r="AE12" s="3">
        <f>ROUND(Table1[[#This Row],[Opp Passing Attempts]]/(Table1[[#This Row],[Opp Passing Attempts]]+Table1[[#This Row],[Opp Rushing Attempts]]), 2)</f>
        <v>0.45</v>
      </c>
      <c r="AF12" s="3">
        <f>1-Table1[[#This Row],[Passing Weight]]</f>
        <v>0.55000000000000004</v>
      </c>
      <c r="AG12" s="3" t="str">
        <f>IF(COUNTIF(A:A,Table1[[#This Row],[Opp Team Name]]) &gt; 0, "N", "Y")</f>
        <v>N</v>
      </c>
      <c r="AH12" s="3" t="str">
        <f>IF(Table1[[#This Row],[Passing Attempts]] &lt;15, "Y", "N")</f>
        <v>N</v>
      </c>
      <c r="AI12" s="3" t="str">
        <f>IF(Table1[[#This Row],[Rushing Attempts]] &lt; 15, "Y", "N")</f>
        <v>N</v>
      </c>
      <c r="AJ12" s="3" t="str">
        <f>IF(Table1[[#This Row],[Opp Passing Attempts]]&lt;15, "Y", "N")</f>
        <v>N</v>
      </c>
      <c r="AK12" s="3" t="str">
        <f>IF(Table1[[#This Row],[Opp Rushing Attempts]]&lt;15, "Y", "N")</f>
        <v>N</v>
      </c>
      <c r="AL1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79.33</v>
      </c>
      <c r="AM1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97.15</v>
      </c>
      <c r="AN1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96.19</v>
      </c>
      <c r="AO1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86.12</v>
      </c>
      <c r="AP12" s="3">
        <f>ABS(Table1[[#This Row],[Team Score]]-Table1[[#This Row],[Opp Team Score]])</f>
        <v>10</v>
      </c>
      <c r="AQ12" s="3">
        <f>SUM(Table1[[#This Row],[Team Score]], Table1[[#This Row],[Opp Team Score]])</f>
        <v>44</v>
      </c>
      <c r="AR1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51.140000000000015</v>
      </c>
      <c r="AS12" s="3">
        <f>IF(Table1[[#This Row],[Efficiency Difference]] = " ", " ", ROUND((Table1[[#This Row],[Winning Margin]]*100)/Table1[[#This Row],[Efficiency Difference]], 2))</f>
        <v>19.55</v>
      </c>
    </row>
    <row r="13" spans="1:45">
      <c r="A13" t="s">
        <v>91</v>
      </c>
      <c r="B13">
        <v>0</v>
      </c>
      <c r="C13">
        <v>27</v>
      </c>
      <c r="D13">
        <v>155</v>
      </c>
      <c r="E13">
        <v>27</v>
      </c>
      <c r="F13">
        <v>2</v>
      </c>
      <c r="G13">
        <v>15</v>
      </c>
      <c r="H13">
        <v>0</v>
      </c>
      <c r="I13">
        <v>139</v>
      </c>
      <c r="J13">
        <v>33</v>
      </c>
      <c r="K13">
        <v>1</v>
      </c>
      <c r="L13">
        <v>0</v>
      </c>
      <c r="M13" t="s">
        <v>90</v>
      </c>
      <c r="N13">
        <v>0</v>
      </c>
      <c r="O13">
        <v>17</v>
      </c>
      <c r="P13">
        <v>202</v>
      </c>
      <c r="Q13">
        <v>40</v>
      </c>
      <c r="R13">
        <v>2</v>
      </c>
      <c r="S13">
        <v>19</v>
      </c>
      <c r="T13">
        <v>1</v>
      </c>
      <c r="U13">
        <v>83</v>
      </c>
      <c r="V13">
        <v>26</v>
      </c>
      <c r="W13">
        <v>0</v>
      </c>
      <c r="X13">
        <v>0</v>
      </c>
      <c r="Y13" t="s">
        <v>14</v>
      </c>
      <c r="Z13">
        <v>0</v>
      </c>
      <c r="AA13">
        <f>IF(AND(Table1[[#This Row],[Throw Out Pass Eff]]="N", Table1[[#This Row],[Against FCS Team]]="N"), ROUND(((5.45 * D13) + (150 * F13) + (100 * G13) - (300 * H13)) / E13, 2), " ")</f>
        <v>97.95</v>
      </c>
      <c r="AB13">
        <f>IF(AND(Table1[[#This Row],[Throw Out Pass Def Eff]]="N", Table1[[#This Row],[Against FCS Team]]="N"),200 - ROUND(((5.45 * P13) + (150 * R13) + (100 * S13) - (300 * T13)) / Q13, 2), " ")</f>
        <v>124.98</v>
      </c>
      <c r="AC13">
        <f>IF(AND(Table1[[#This Row],[Throw Out Rush Eff]]="N", Table1[[#This Row],[Against FCS Team]]="N"), ROUND(((23.2 * I13) + (150 * K13) - (300 * L13)) / J13, 2), " ")</f>
        <v>102.27</v>
      </c>
      <c r="AD13" s="3">
        <f>IF(AND(Table1[[#This Row],[Throw Out Rush Def Eff]]="N", Table1[[#This Row],[Against FCS Team]]="N"), 200 - ROUND(((23.2 * U13) + (150 * W13) - (300 * X13)) / V13, 2), " ")</f>
        <v>125.94</v>
      </c>
      <c r="AE13" s="3">
        <f>ROUND(Table1[[#This Row],[Opp Passing Attempts]]/(Table1[[#This Row],[Opp Passing Attempts]]+Table1[[#This Row],[Opp Rushing Attempts]]), 2)</f>
        <v>0.61</v>
      </c>
      <c r="AF13" s="3">
        <f>1-Table1[[#This Row],[Passing Weight]]</f>
        <v>0.39</v>
      </c>
      <c r="AG13" s="3" t="str">
        <f>IF(COUNTIF(A:A,Table1[[#This Row],[Opp Team Name]]) &gt; 0, "N", "Y")</f>
        <v>N</v>
      </c>
      <c r="AH13" s="3" t="str">
        <f>IF(Table1[[#This Row],[Passing Attempts]] &lt;15, "Y", "N")</f>
        <v>N</v>
      </c>
      <c r="AI13" s="3" t="str">
        <f>IF(Table1[[#This Row],[Rushing Attempts]] &lt; 15, "Y", "N")</f>
        <v>N</v>
      </c>
      <c r="AJ13" s="3" t="str">
        <f>IF(Table1[[#This Row],[Opp Passing Attempts]]&lt;15, "Y", "N")</f>
        <v>N</v>
      </c>
      <c r="AK13" s="3" t="str">
        <f>IF(Table1[[#This Row],[Opp Rushing Attempts]]&lt;15, "Y", "N")</f>
        <v>N</v>
      </c>
      <c r="AL1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108.22</v>
      </c>
      <c r="AM1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104.94</v>
      </c>
      <c r="AN1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116.31</v>
      </c>
      <c r="AO1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94.59</v>
      </c>
      <c r="AP13" s="3">
        <f>ABS(Table1[[#This Row],[Team Score]]-Table1[[#This Row],[Opp Team Score]])</f>
        <v>10</v>
      </c>
      <c r="AQ13" s="3">
        <f>SUM(Table1[[#This Row],[Team Score]], Table1[[#This Row],[Opp Team Score]])</f>
        <v>44</v>
      </c>
      <c r="AR1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51.140000000000015</v>
      </c>
      <c r="AS13" s="3">
        <f>IF(Table1[[#This Row],[Efficiency Difference]] = " ", " ", ROUND((Table1[[#This Row],[Winning Margin]]*100)/Table1[[#This Row],[Efficiency Difference]], 2))</f>
        <v>19.55</v>
      </c>
    </row>
    <row r="14" spans="1:45">
      <c r="A14" t="s">
        <v>92</v>
      </c>
      <c r="B14">
        <v>0</v>
      </c>
      <c r="C14">
        <v>13</v>
      </c>
      <c r="D14">
        <v>181</v>
      </c>
      <c r="E14">
        <v>35</v>
      </c>
      <c r="F14">
        <v>0</v>
      </c>
      <c r="G14">
        <v>18</v>
      </c>
      <c r="H14">
        <v>0</v>
      </c>
      <c r="I14">
        <v>154</v>
      </c>
      <c r="J14">
        <v>26</v>
      </c>
      <c r="K14">
        <v>1</v>
      </c>
      <c r="L14">
        <v>1</v>
      </c>
      <c r="M14" t="s">
        <v>93</v>
      </c>
      <c r="N14">
        <v>0</v>
      </c>
      <c r="O14">
        <v>31</v>
      </c>
      <c r="P14">
        <v>167</v>
      </c>
      <c r="Q14">
        <v>32</v>
      </c>
      <c r="R14">
        <v>2</v>
      </c>
      <c r="S14">
        <v>14</v>
      </c>
      <c r="T14">
        <v>0</v>
      </c>
      <c r="U14">
        <v>237</v>
      </c>
      <c r="V14">
        <v>31</v>
      </c>
      <c r="W14">
        <v>1</v>
      </c>
      <c r="X14">
        <v>1</v>
      </c>
      <c r="Y14" t="s">
        <v>15</v>
      </c>
      <c r="Z14">
        <v>0</v>
      </c>
      <c r="AA14">
        <f>IF(AND(Table1[[#This Row],[Throw Out Pass Eff]]="N", Table1[[#This Row],[Against FCS Team]]="N"), ROUND(((5.45 * D14) + (150 * F14) + (100 * G14) - (300 * H14)) / E14, 2), " ")</f>
        <v>79.61</v>
      </c>
      <c r="AB14">
        <f>IF(AND(Table1[[#This Row],[Throw Out Pass Def Eff]]="N", Table1[[#This Row],[Against FCS Team]]="N"),200 - ROUND(((5.45 * P14) + (150 * R14) + (100 * S14) - (300 * T14)) / Q14, 2), " ")</f>
        <v>118.43</v>
      </c>
      <c r="AC14">
        <f>IF(AND(Table1[[#This Row],[Throw Out Rush Eff]]="N", Table1[[#This Row],[Against FCS Team]]="N"), ROUND(((23.2 * I14) + (150 * K14) - (300 * L14)) / J14, 2), " ")</f>
        <v>131.65</v>
      </c>
      <c r="AD14" s="3">
        <f>IF(AND(Table1[[#This Row],[Throw Out Rush Def Eff]]="N", Table1[[#This Row],[Against FCS Team]]="N"), 200 - ROUND(((23.2 * U14) + (150 * W14) - (300 * X14)) / V14, 2), " ")</f>
        <v>27.47</v>
      </c>
      <c r="AE14" s="3">
        <f>ROUND(Table1[[#This Row],[Opp Passing Attempts]]/(Table1[[#This Row],[Opp Passing Attempts]]+Table1[[#This Row],[Opp Rushing Attempts]]), 2)</f>
        <v>0.51</v>
      </c>
      <c r="AF14" s="3">
        <f>1-Table1[[#This Row],[Passing Weight]]</f>
        <v>0.49</v>
      </c>
      <c r="AG14" s="3" t="str">
        <f>IF(COUNTIF(A:A,Table1[[#This Row],[Opp Team Name]]) &gt; 0, "N", "Y")</f>
        <v>N</v>
      </c>
      <c r="AH14" s="3" t="str">
        <f>IF(Table1[[#This Row],[Passing Attempts]] &lt;15, "Y", "N")</f>
        <v>N</v>
      </c>
      <c r="AI14" s="3" t="str">
        <f>IF(Table1[[#This Row],[Rushing Attempts]] &lt; 15, "Y", "N")</f>
        <v>N</v>
      </c>
      <c r="AJ14" s="3" t="str">
        <f>IF(Table1[[#This Row],[Opp Passing Attempts]]&lt;15, "Y", "N")</f>
        <v>N</v>
      </c>
      <c r="AK14" s="3" t="str">
        <f>IF(Table1[[#This Row],[Opp Rushing Attempts]]&lt;15, "Y", "N")</f>
        <v>N</v>
      </c>
      <c r="AL1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79.03</v>
      </c>
      <c r="AM1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108.74</v>
      </c>
      <c r="AN1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107.58</v>
      </c>
      <c r="AO1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35.83</v>
      </c>
      <c r="AP14" s="3">
        <f>ABS(Table1[[#This Row],[Team Score]]-Table1[[#This Row],[Opp Team Score]])</f>
        <v>18</v>
      </c>
      <c r="AQ14" s="3">
        <f>SUM(Table1[[#This Row],[Team Score]], Table1[[#This Row],[Opp Team Score]])</f>
        <v>44</v>
      </c>
      <c r="AR1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42.84</v>
      </c>
      <c r="AS14" s="3">
        <f>IF(Table1[[#This Row],[Efficiency Difference]] = " ", " ", ROUND((Table1[[#This Row],[Winning Margin]]*100)/Table1[[#This Row],[Efficiency Difference]], 2))</f>
        <v>42.02</v>
      </c>
    </row>
    <row r="15" spans="1:45">
      <c r="A15" t="s">
        <v>93</v>
      </c>
      <c r="B15">
        <v>0</v>
      </c>
      <c r="C15">
        <v>31</v>
      </c>
      <c r="D15">
        <v>167</v>
      </c>
      <c r="E15">
        <v>32</v>
      </c>
      <c r="F15">
        <v>2</v>
      </c>
      <c r="G15">
        <v>14</v>
      </c>
      <c r="H15">
        <v>0</v>
      </c>
      <c r="I15">
        <v>237</v>
      </c>
      <c r="J15">
        <v>31</v>
      </c>
      <c r="K15">
        <v>1</v>
      </c>
      <c r="L15">
        <v>1</v>
      </c>
      <c r="M15" t="s">
        <v>92</v>
      </c>
      <c r="N15">
        <v>0</v>
      </c>
      <c r="O15">
        <v>13</v>
      </c>
      <c r="P15">
        <v>181</v>
      </c>
      <c r="Q15">
        <v>35</v>
      </c>
      <c r="R15">
        <v>0</v>
      </c>
      <c r="S15">
        <v>18</v>
      </c>
      <c r="T15">
        <v>0</v>
      </c>
      <c r="U15">
        <v>154</v>
      </c>
      <c r="V15">
        <v>26</v>
      </c>
      <c r="W15">
        <v>1</v>
      </c>
      <c r="X15">
        <v>1</v>
      </c>
      <c r="Y15" t="s">
        <v>14</v>
      </c>
      <c r="Z15">
        <v>0</v>
      </c>
      <c r="AA15" s="3">
        <f>IF(AND(Table1[[#This Row],[Throw Out Pass Eff]]="N", Table1[[#This Row],[Against FCS Team]]="N"), ROUND(((5.45 * D15) + (150 * F15) + (100 * G15) - (300 * H15)) / E15, 2), " ")</f>
        <v>81.569999999999993</v>
      </c>
      <c r="AB15" s="3">
        <f>IF(AND(Table1[[#This Row],[Throw Out Pass Def Eff]]="N", Table1[[#This Row],[Against FCS Team]]="N"),200 - ROUND(((5.45 * P15) + (150 * R15) + (100 * S15) - (300 * T15)) / Q15, 2), " ")</f>
        <v>120.39</v>
      </c>
      <c r="AC15" s="3">
        <f>IF(AND(Table1[[#This Row],[Throw Out Rush Eff]]="N", Table1[[#This Row],[Against FCS Team]]="N"), ROUND(((23.2 * I15) + (150 * K15) - (300 * L15)) / J15, 2), " ")</f>
        <v>172.53</v>
      </c>
      <c r="AD15" s="3">
        <f>IF(AND(Table1[[#This Row],[Throw Out Rush Def Eff]]="N", Table1[[#This Row],[Against FCS Team]]="N"), 200 - ROUND(((23.2 * U15) + (150 * W15) - (300 * X15)) / V15, 2), " ")</f>
        <v>68.349999999999994</v>
      </c>
      <c r="AE15" s="3">
        <f>ROUND(Table1[[#This Row],[Opp Passing Attempts]]/(Table1[[#This Row],[Opp Passing Attempts]]+Table1[[#This Row],[Opp Rushing Attempts]]), 2)</f>
        <v>0.56999999999999995</v>
      </c>
      <c r="AF15" s="3">
        <f>1-Table1[[#This Row],[Passing Weight]]</f>
        <v>0.43000000000000005</v>
      </c>
      <c r="AG15" s="3" t="str">
        <f>IF(COUNTIF(A:A,Table1[[#This Row],[Opp Team Name]]) &gt; 0, "N", "Y")</f>
        <v>N</v>
      </c>
      <c r="AH15" s="3" t="str">
        <f>IF(Table1[[#This Row],[Passing Attempts]] &lt;15, "Y", "N")</f>
        <v>N</v>
      </c>
      <c r="AI15" s="3" t="str">
        <f>IF(Table1[[#This Row],[Rushing Attempts]] &lt; 15, "Y", "N")</f>
        <v>N</v>
      </c>
      <c r="AJ15" s="3" t="str">
        <f>IF(Table1[[#This Row],[Opp Passing Attempts]]&lt;15, "Y", "N")</f>
        <v>N</v>
      </c>
      <c r="AK15" s="3" t="str">
        <f>IF(Table1[[#This Row],[Opp Rushing Attempts]]&lt;15, "Y", "N")</f>
        <v>N</v>
      </c>
      <c r="AL1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83.64</v>
      </c>
      <c r="AM1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96.24</v>
      </c>
      <c r="AN1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122.82</v>
      </c>
      <c r="AO1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55.65</v>
      </c>
      <c r="AP15" s="3">
        <f>ABS(Table1[[#This Row],[Team Score]]-Table1[[#This Row],[Opp Team Score]])</f>
        <v>18</v>
      </c>
      <c r="AQ15" s="3">
        <f>SUM(Table1[[#This Row],[Team Score]], Table1[[#This Row],[Opp Team Score]])</f>
        <v>44</v>
      </c>
      <c r="AR1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42.84</v>
      </c>
      <c r="AS15" s="3">
        <f>IF(Table1[[#This Row],[Efficiency Difference]] = " ", " ", ROUND((Table1[[#This Row],[Winning Margin]]*100)/Table1[[#This Row],[Efficiency Difference]], 2))</f>
        <v>42.02</v>
      </c>
    </row>
    <row r="16" spans="1:45">
      <c r="A16" t="s">
        <v>94</v>
      </c>
      <c r="B16">
        <v>0</v>
      </c>
      <c r="C16">
        <v>35</v>
      </c>
      <c r="D16">
        <v>215</v>
      </c>
      <c r="E16">
        <v>29</v>
      </c>
      <c r="F16">
        <v>3</v>
      </c>
      <c r="G16">
        <v>17</v>
      </c>
      <c r="H16">
        <v>0</v>
      </c>
      <c r="I16">
        <v>170</v>
      </c>
      <c r="J16">
        <v>31</v>
      </c>
      <c r="K16">
        <v>1</v>
      </c>
      <c r="L16">
        <v>0</v>
      </c>
      <c r="M16" t="s">
        <v>95</v>
      </c>
      <c r="N16">
        <v>0</v>
      </c>
      <c r="O16">
        <v>7</v>
      </c>
      <c r="P16">
        <v>246</v>
      </c>
      <c r="Q16">
        <v>41</v>
      </c>
      <c r="R16">
        <v>1</v>
      </c>
      <c r="S16">
        <v>22</v>
      </c>
      <c r="T16">
        <v>3</v>
      </c>
      <c r="U16">
        <v>66</v>
      </c>
      <c r="V16">
        <v>16</v>
      </c>
      <c r="W16">
        <v>0</v>
      </c>
      <c r="X16">
        <v>4</v>
      </c>
      <c r="Y16" t="s">
        <v>14</v>
      </c>
      <c r="Z16">
        <v>0</v>
      </c>
      <c r="AA16">
        <f>IF(AND(Table1[[#This Row],[Throw Out Pass Eff]]="N", Table1[[#This Row],[Against FCS Team]]="N"), ROUND(((5.45 * D16) + (150 * F16) + (100 * G16) - (300 * H16)) / E16, 2), " ")</f>
        <v>114.54</v>
      </c>
      <c r="AB16">
        <f>IF(AND(Table1[[#This Row],[Throw Out Pass Def Eff]]="N", Table1[[#This Row],[Against FCS Team]]="N"),200 - ROUND(((5.45 * P16) + (150 * R16) + (100 * S16) - (300 * T16)) / Q16, 2), " ")</f>
        <v>131.93</v>
      </c>
      <c r="AC16">
        <f>IF(AND(Table1[[#This Row],[Throw Out Rush Eff]]="N", Table1[[#This Row],[Against FCS Team]]="N"), ROUND(((23.2 * I16) + (150 * K16) - (300 * L16)) / J16, 2), " ")</f>
        <v>132.06</v>
      </c>
      <c r="AD16" s="3">
        <f>IF(AND(Table1[[#This Row],[Throw Out Rush Def Eff]]="N", Table1[[#This Row],[Against FCS Team]]="N"), 200 - ROUND(((23.2 * U16) + (150 * W16) - (300 * X16)) / V16, 2), " ")</f>
        <v>179.3</v>
      </c>
      <c r="AE16" s="3">
        <f>ROUND(Table1[[#This Row],[Opp Passing Attempts]]/(Table1[[#This Row],[Opp Passing Attempts]]+Table1[[#This Row],[Opp Rushing Attempts]]), 2)</f>
        <v>0.72</v>
      </c>
      <c r="AF16" s="3">
        <f>1-Table1[[#This Row],[Passing Weight]]</f>
        <v>0.28000000000000003</v>
      </c>
      <c r="AG16" s="3" t="str">
        <f>IF(COUNTIF(A:A,Table1[[#This Row],[Opp Team Name]]) &gt; 0, "N", "Y")</f>
        <v>N</v>
      </c>
      <c r="AH16" s="3" t="str">
        <f>IF(Table1[[#This Row],[Passing Attempts]] &lt;15, "Y", "N")</f>
        <v>N</v>
      </c>
      <c r="AI16" s="3" t="str">
        <f>IF(Table1[[#This Row],[Rushing Attempts]] &lt; 15, "Y", "N")</f>
        <v>N</v>
      </c>
      <c r="AJ16" s="3" t="str">
        <f>IF(Table1[[#This Row],[Opp Passing Attempts]]&lt;15, "Y", "N")</f>
        <v>N</v>
      </c>
      <c r="AK16" s="3" t="str">
        <f>IF(Table1[[#This Row],[Opp Rushing Attempts]]&lt;15, "Y", "N")</f>
        <v>N</v>
      </c>
      <c r="AL1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126.39</v>
      </c>
      <c r="AM1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140.08000000000001</v>
      </c>
      <c r="AN1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121.28</v>
      </c>
      <c r="AO1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159.96</v>
      </c>
      <c r="AP16" s="3">
        <f>ABS(Table1[[#This Row],[Team Score]]-Table1[[#This Row],[Opp Team Score]])</f>
        <v>28</v>
      </c>
      <c r="AQ16" s="3">
        <f>SUM(Table1[[#This Row],[Team Score]], Table1[[#This Row],[Opp Team Score]])</f>
        <v>42</v>
      </c>
      <c r="AR1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157.83000000000004</v>
      </c>
      <c r="AS16" s="3">
        <f>IF(Table1[[#This Row],[Efficiency Difference]] = " ", " ", ROUND((Table1[[#This Row],[Winning Margin]]*100)/Table1[[#This Row],[Efficiency Difference]], 2))</f>
        <v>17.739999999999998</v>
      </c>
    </row>
    <row r="17" spans="1:45">
      <c r="A17" t="s">
        <v>95</v>
      </c>
      <c r="B17">
        <v>0</v>
      </c>
      <c r="C17">
        <v>7</v>
      </c>
      <c r="D17">
        <v>246</v>
      </c>
      <c r="E17">
        <v>41</v>
      </c>
      <c r="F17">
        <v>1</v>
      </c>
      <c r="G17">
        <v>22</v>
      </c>
      <c r="H17">
        <v>3</v>
      </c>
      <c r="I17">
        <v>66</v>
      </c>
      <c r="J17">
        <v>16</v>
      </c>
      <c r="K17">
        <v>0</v>
      </c>
      <c r="L17">
        <v>4</v>
      </c>
      <c r="M17" t="s">
        <v>94</v>
      </c>
      <c r="N17">
        <v>0</v>
      </c>
      <c r="O17">
        <v>35</v>
      </c>
      <c r="P17">
        <v>215</v>
      </c>
      <c r="Q17">
        <v>29</v>
      </c>
      <c r="R17">
        <v>3</v>
      </c>
      <c r="S17">
        <v>17</v>
      </c>
      <c r="T17">
        <v>0</v>
      </c>
      <c r="U17">
        <v>170</v>
      </c>
      <c r="V17">
        <v>31</v>
      </c>
      <c r="W17">
        <v>1</v>
      </c>
      <c r="X17">
        <v>0</v>
      </c>
      <c r="Y17" t="s">
        <v>15</v>
      </c>
      <c r="Z17">
        <v>0</v>
      </c>
      <c r="AA17">
        <f>IF(AND(Table1[[#This Row],[Throw Out Pass Eff]]="N", Table1[[#This Row],[Against FCS Team]]="N"), ROUND(((5.45 * D17) + (150 * F17) + (100 * G17) - (300 * H17)) / E17, 2), " ")</f>
        <v>68.069999999999993</v>
      </c>
      <c r="AB17">
        <f>IF(AND(Table1[[#This Row],[Throw Out Pass Def Eff]]="N", Table1[[#This Row],[Against FCS Team]]="N"),200 - ROUND(((5.45 * P17) + (150 * R17) + (100 * S17) - (300 * T17)) / Q17, 2), " ")</f>
        <v>85.46</v>
      </c>
      <c r="AC17">
        <f>IF(AND(Table1[[#This Row],[Throw Out Rush Eff]]="N", Table1[[#This Row],[Against FCS Team]]="N"), ROUND(((23.2 * I17) + (150 * K17) - (300 * L17)) / J17, 2), " ")</f>
        <v>20.7</v>
      </c>
      <c r="AD17" s="3">
        <f>IF(AND(Table1[[#This Row],[Throw Out Rush Def Eff]]="N", Table1[[#This Row],[Against FCS Team]]="N"), 200 - ROUND(((23.2 * U17) + (150 * W17) - (300 * X17)) / V17, 2), " ")</f>
        <v>67.94</v>
      </c>
      <c r="AE17" s="3">
        <f>ROUND(Table1[[#This Row],[Opp Passing Attempts]]/(Table1[[#This Row],[Opp Passing Attempts]]+Table1[[#This Row],[Opp Rushing Attempts]]), 2)</f>
        <v>0.48</v>
      </c>
      <c r="AF17" s="3">
        <f>1-Table1[[#This Row],[Passing Weight]]</f>
        <v>0.52</v>
      </c>
      <c r="AG17" s="3" t="str">
        <f>IF(COUNTIF(A:A,Table1[[#This Row],[Opp Team Name]]) &gt; 0, "N", "Y")</f>
        <v>N</v>
      </c>
      <c r="AH17" s="3" t="str">
        <f>IF(Table1[[#This Row],[Passing Attempts]] &lt;15, "Y", "N")</f>
        <v>N</v>
      </c>
      <c r="AI17" s="3" t="str">
        <f>IF(Table1[[#This Row],[Rushing Attempts]] &lt; 15, "Y", "N")</f>
        <v>N</v>
      </c>
      <c r="AJ17" s="3" t="str">
        <f>IF(Table1[[#This Row],[Opp Passing Attempts]]&lt;15, "Y", "N")</f>
        <v>N</v>
      </c>
      <c r="AK17" s="3" t="str">
        <f>IF(Table1[[#This Row],[Opp Rushing Attempts]]&lt;15, "Y", "N")</f>
        <v>N</v>
      </c>
      <c r="AL1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85.58</v>
      </c>
      <c r="AM1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71.849999999999994</v>
      </c>
      <c r="AN1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30.2</v>
      </c>
      <c r="AO1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61.86</v>
      </c>
      <c r="AP17" s="3">
        <f>ABS(Table1[[#This Row],[Team Score]]-Table1[[#This Row],[Opp Team Score]])</f>
        <v>28</v>
      </c>
      <c r="AQ17" s="3">
        <f>SUM(Table1[[#This Row],[Team Score]], Table1[[#This Row],[Opp Team Score]])</f>
        <v>42</v>
      </c>
      <c r="AR1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157.83000000000004</v>
      </c>
      <c r="AS17" s="3">
        <f>IF(Table1[[#This Row],[Efficiency Difference]] = " ", " ", ROUND((Table1[[#This Row],[Winning Margin]]*100)/Table1[[#This Row],[Efficiency Difference]], 2))</f>
        <v>17.739999999999998</v>
      </c>
    </row>
    <row r="18" spans="1:45">
      <c r="A18" t="s">
        <v>96</v>
      </c>
      <c r="B18">
        <v>0</v>
      </c>
      <c r="C18">
        <v>20</v>
      </c>
      <c r="D18">
        <v>259</v>
      </c>
      <c r="E18">
        <v>46</v>
      </c>
      <c r="F18">
        <v>1</v>
      </c>
      <c r="G18">
        <v>29</v>
      </c>
      <c r="H18">
        <v>1</v>
      </c>
      <c r="I18">
        <v>56</v>
      </c>
      <c r="J18">
        <v>16</v>
      </c>
      <c r="K18">
        <v>0</v>
      </c>
      <c r="L18">
        <v>1</v>
      </c>
      <c r="M18" t="s">
        <v>97</v>
      </c>
      <c r="N18">
        <v>0</v>
      </c>
      <c r="O18">
        <v>27</v>
      </c>
      <c r="P18">
        <v>305</v>
      </c>
      <c r="Q18">
        <v>33</v>
      </c>
      <c r="R18">
        <v>3</v>
      </c>
      <c r="S18">
        <v>24</v>
      </c>
      <c r="T18">
        <v>1</v>
      </c>
      <c r="U18">
        <v>126</v>
      </c>
      <c r="V18">
        <v>35</v>
      </c>
      <c r="W18">
        <v>0</v>
      </c>
      <c r="X18">
        <v>0</v>
      </c>
      <c r="Y18" t="s">
        <v>15</v>
      </c>
      <c r="Z18">
        <v>0</v>
      </c>
      <c r="AA18">
        <f>IF(AND(Table1[[#This Row],[Throw Out Pass Eff]]="N", Table1[[#This Row],[Against FCS Team]]="N"), ROUND(((5.45 * D18) + (150 * F18) + (100 * G18) - (300 * H18)) / E18, 2), " ")</f>
        <v>90.47</v>
      </c>
      <c r="AB18">
        <f>IF(AND(Table1[[#This Row],[Throw Out Pass Def Eff]]="N", Table1[[#This Row],[Against FCS Team]]="N"),200 - ROUND(((5.45 * P18) + (150 * R18) + (100 * S18) - (300 * T18)) / Q18, 2), " ")</f>
        <v>72.36</v>
      </c>
      <c r="AC18">
        <f>IF(AND(Table1[[#This Row],[Throw Out Rush Eff]]="N", Table1[[#This Row],[Against FCS Team]]="N"), ROUND(((23.2 * I18) + (150 * K18) - (300 * L18)) / J18, 2), " ")</f>
        <v>62.45</v>
      </c>
      <c r="AD18" s="3">
        <f>IF(AND(Table1[[#This Row],[Throw Out Rush Def Eff]]="N", Table1[[#This Row],[Against FCS Team]]="N"), 200 - ROUND(((23.2 * U18) + (150 * W18) - (300 * X18)) / V18, 2), " ")</f>
        <v>116.48</v>
      </c>
      <c r="AE18" s="3">
        <f>ROUND(Table1[[#This Row],[Opp Passing Attempts]]/(Table1[[#This Row],[Opp Passing Attempts]]+Table1[[#This Row],[Opp Rushing Attempts]]), 2)</f>
        <v>0.49</v>
      </c>
      <c r="AF18" s="3">
        <f>1-Table1[[#This Row],[Passing Weight]]</f>
        <v>0.51</v>
      </c>
      <c r="AG18" s="3" t="str">
        <f>IF(COUNTIF(A:A,Table1[[#This Row],[Opp Team Name]]) &gt; 0, "N", "Y")</f>
        <v>N</v>
      </c>
      <c r="AH18" s="3" t="str">
        <f>IF(Table1[[#This Row],[Passing Attempts]] &lt;15, "Y", "N")</f>
        <v>N</v>
      </c>
      <c r="AI18" s="3" t="str">
        <f>IF(Table1[[#This Row],[Rushing Attempts]] &lt; 15, "Y", "N")</f>
        <v>N</v>
      </c>
      <c r="AJ18" s="3" t="str">
        <f>IF(Table1[[#This Row],[Opp Passing Attempts]]&lt;15, "Y", "N")</f>
        <v>N</v>
      </c>
      <c r="AK18" s="3" t="str">
        <f>IF(Table1[[#This Row],[Opp Rushing Attempts]]&lt;15, "Y", "N")</f>
        <v>N</v>
      </c>
      <c r="AL1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104.41</v>
      </c>
      <c r="AM1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74.38</v>
      </c>
      <c r="AN1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57.02</v>
      </c>
      <c r="AO1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113.31</v>
      </c>
      <c r="AP18" s="3">
        <f>ABS(Table1[[#This Row],[Team Score]]-Table1[[#This Row],[Opp Team Score]])</f>
        <v>7</v>
      </c>
      <c r="AQ18" s="3">
        <f>SUM(Table1[[#This Row],[Team Score]], Table1[[#This Row],[Opp Team Score]])</f>
        <v>47</v>
      </c>
      <c r="AR1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58.239999999999981</v>
      </c>
      <c r="AS18" s="3">
        <f>IF(Table1[[#This Row],[Efficiency Difference]] = " ", " ", ROUND((Table1[[#This Row],[Winning Margin]]*100)/Table1[[#This Row],[Efficiency Difference]], 2))</f>
        <v>12.02</v>
      </c>
    </row>
    <row r="19" spans="1:45">
      <c r="A19" t="s">
        <v>97</v>
      </c>
      <c r="B19">
        <v>0</v>
      </c>
      <c r="C19">
        <v>27</v>
      </c>
      <c r="D19">
        <v>305</v>
      </c>
      <c r="E19">
        <v>33</v>
      </c>
      <c r="F19">
        <v>3</v>
      </c>
      <c r="G19">
        <v>24</v>
      </c>
      <c r="H19">
        <v>1</v>
      </c>
      <c r="I19">
        <v>126</v>
      </c>
      <c r="J19">
        <v>35</v>
      </c>
      <c r="K19">
        <v>0</v>
      </c>
      <c r="L19">
        <v>0</v>
      </c>
      <c r="M19" t="s">
        <v>96</v>
      </c>
      <c r="N19">
        <v>0</v>
      </c>
      <c r="O19">
        <v>20</v>
      </c>
      <c r="P19">
        <v>259</v>
      </c>
      <c r="Q19">
        <v>46</v>
      </c>
      <c r="R19">
        <v>1</v>
      </c>
      <c r="S19">
        <v>29</v>
      </c>
      <c r="T19">
        <v>1</v>
      </c>
      <c r="U19">
        <v>56</v>
      </c>
      <c r="V19">
        <v>16</v>
      </c>
      <c r="W19">
        <v>0</v>
      </c>
      <c r="X19">
        <v>1</v>
      </c>
      <c r="Y19" t="s">
        <v>14</v>
      </c>
      <c r="Z19">
        <v>0</v>
      </c>
      <c r="AA19">
        <f>IF(AND(Table1[[#This Row],[Throw Out Pass Eff]]="N", Table1[[#This Row],[Against FCS Team]]="N"), ROUND(((5.45 * D19) + (150 * F19) + (100 * G19) - (300 * H19)) / E19, 2), " ")</f>
        <v>127.64</v>
      </c>
      <c r="AB19">
        <f>IF(AND(Table1[[#This Row],[Throw Out Pass Def Eff]]="N", Table1[[#This Row],[Against FCS Team]]="N"),200 - ROUND(((5.45 * P19) + (150 * R19) + (100 * S19) - (300 * T19)) / Q19, 2), " ")</f>
        <v>109.53</v>
      </c>
      <c r="AC19">
        <f>IF(AND(Table1[[#This Row],[Throw Out Rush Eff]]="N", Table1[[#This Row],[Against FCS Team]]="N"), ROUND(((23.2 * I19) + (150 * K19) - (300 * L19)) / J19, 2), " ")</f>
        <v>83.52</v>
      </c>
      <c r="AD19" s="3">
        <f>IF(AND(Table1[[#This Row],[Throw Out Rush Def Eff]]="N", Table1[[#This Row],[Against FCS Team]]="N"), 200 - ROUND(((23.2 * U19) + (150 * W19) - (300 * X19)) / V19, 2), " ")</f>
        <v>137.55000000000001</v>
      </c>
      <c r="AE19" s="3">
        <f>ROUND(Table1[[#This Row],[Opp Passing Attempts]]/(Table1[[#This Row],[Opp Passing Attempts]]+Table1[[#This Row],[Opp Rushing Attempts]]), 2)</f>
        <v>0.74</v>
      </c>
      <c r="AF19" s="3">
        <f>1-Table1[[#This Row],[Passing Weight]]</f>
        <v>0.26</v>
      </c>
      <c r="AG19" s="3" t="str">
        <f>IF(COUNTIF(A:A,Table1[[#This Row],[Opp Team Name]]) &gt; 0, "N", "Y")</f>
        <v>N</v>
      </c>
      <c r="AH19" s="3" t="str">
        <f>IF(Table1[[#This Row],[Passing Attempts]] &lt;15, "Y", "N")</f>
        <v>N</v>
      </c>
      <c r="AI19" s="3" t="str">
        <f>IF(Table1[[#This Row],[Rushing Attempts]] &lt; 15, "Y", "N")</f>
        <v>N</v>
      </c>
      <c r="AJ19" s="3" t="str">
        <f>IF(Table1[[#This Row],[Opp Passing Attempts]]&lt;15, "Y", "N")</f>
        <v>N</v>
      </c>
      <c r="AK19" s="3" t="str">
        <f>IF(Table1[[#This Row],[Opp Rushing Attempts]]&lt;15, "Y", "N")</f>
        <v>N</v>
      </c>
      <c r="AL1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124.44</v>
      </c>
      <c r="AM1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96.31</v>
      </c>
      <c r="AN1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92.06</v>
      </c>
      <c r="AO1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137.34</v>
      </c>
      <c r="AP19" s="3">
        <f>ABS(Table1[[#This Row],[Team Score]]-Table1[[#This Row],[Opp Team Score]])</f>
        <v>7</v>
      </c>
      <c r="AQ19" s="3">
        <f>SUM(Table1[[#This Row],[Team Score]], Table1[[#This Row],[Opp Team Score]])</f>
        <v>47</v>
      </c>
      <c r="AR1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58.240000000000009</v>
      </c>
      <c r="AS19" s="3">
        <f>IF(Table1[[#This Row],[Efficiency Difference]] = " ", " ", ROUND((Table1[[#This Row],[Winning Margin]]*100)/Table1[[#This Row],[Efficiency Difference]], 2))</f>
        <v>12.02</v>
      </c>
    </row>
    <row r="20" spans="1:45">
      <c r="A20" t="s">
        <v>98</v>
      </c>
      <c r="B20">
        <v>0</v>
      </c>
      <c r="C20">
        <v>24</v>
      </c>
      <c r="D20">
        <v>330</v>
      </c>
      <c r="E20">
        <v>48</v>
      </c>
      <c r="F20">
        <v>2</v>
      </c>
      <c r="G20">
        <v>33</v>
      </c>
      <c r="H20">
        <v>2</v>
      </c>
      <c r="I20">
        <v>77</v>
      </c>
      <c r="J20">
        <v>27</v>
      </c>
      <c r="K20">
        <v>1</v>
      </c>
      <c r="L20">
        <v>0</v>
      </c>
      <c r="M20" t="s">
        <v>99</v>
      </c>
      <c r="N20">
        <v>0</v>
      </c>
      <c r="O20">
        <v>17</v>
      </c>
      <c r="P20">
        <v>28</v>
      </c>
      <c r="Q20">
        <v>15</v>
      </c>
      <c r="R20">
        <v>1</v>
      </c>
      <c r="S20">
        <v>7</v>
      </c>
      <c r="T20">
        <v>1</v>
      </c>
      <c r="U20">
        <v>159</v>
      </c>
      <c r="V20">
        <v>26</v>
      </c>
      <c r="W20">
        <v>0</v>
      </c>
      <c r="X20">
        <v>0</v>
      </c>
      <c r="Y20" t="s">
        <v>14</v>
      </c>
      <c r="Z20">
        <v>0</v>
      </c>
      <c r="AA20">
        <f>IF(AND(Table1[[#This Row],[Throw Out Pass Eff]]="N", Table1[[#This Row],[Against FCS Team]]="N"), ROUND(((5.45 * D20) + (150 * F20) + (100 * G20) - (300 * H20)) / E20, 2), " ")</f>
        <v>99.97</v>
      </c>
      <c r="AB20">
        <f>IF(AND(Table1[[#This Row],[Throw Out Pass Def Eff]]="N", Table1[[#This Row],[Against FCS Team]]="N"),200 - ROUND(((5.45 * P20) + (150 * R20) + (100 * S20) - (300 * T20)) / Q20, 2), " ")</f>
        <v>153.16</v>
      </c>
      <c r="AC20">
        <f>IF(AND(Table1[[#This Row],[Throw Out Rush Eff]]="N", Table1[[#This Row],[Against FCS Team]]="N"), ROUND(((23.2 * I20) + (150 * K20) - (300 * L20)) / J20, 2), " ")</f>
        <v>71.72</v>
      </c>
      <c r="AD20" s="3">
        <f>IF(AND(Table1[[#This Row],[Throw Out Rush Def Eff]]="N", Table1[[#This Row],[Against FCS Team]]="N"), 200 - ROUND(((23.2 * U20) + (150 * W20) - (300 * X20)) / V20, 2), " ")</f>
        <v>58.120000000000005</v>
      </c>
      <c r="AE20" s="3">
        <f>ROUND(Table1[[#This Row],[Opp Passing Attempts]]/(Table1[[#This Row],[Opp Passing Attempts]]+Table1[[#This Row],[Opp Rushing Attempts]]), 2)</f>
        <v>0.37</v>
      </c>
      <c r="AF20" s="3">
        <f>1-Table1[[#This Row],[Passing Weight]]</f>
        <v>0.63</v>
      </c>
      <c r="AG20" s="3" t="str">
        <f>IF(COUNTIF(A:A,Table1[[#This Row],[Opp Team Name]]) &gt; 0, "N", "Y")</f>
        <v>N</v>
      </c>
      <c r="AH20" s="3" t="str">
        <f>IF(Table1[[#This Row],[Passing Attempts]] &lt;15, "Y", "N")</f>
        <v>N</v>
      </c>
      <c r="AI20" s="3" t="str">
        <f>IF(Table1[[#This Row],[Rushing Attempts]] &lt; 15, "Y", "N")</f>
        <v>N</v>
      </c>
      <c r="AJ20" s="3" t="str">
        <f>IF(Table1[[#This Row],[Opp Passing Attempts]]&lt;15, "Y", "N")</f>
        <v>N</v>
      </c>
      <c r="AK20" s="3" t="str">
        <f>IF(Table1[[#This Row],[Opp Rushing Attempts]]&lt;15, "Y", "N")</f>
        <v>N</v>
      </c>
      <c r="AL2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90.93</v>
      </c>
      <c r="AM2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128.66</v>
      </c>
      <c r="AN2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84.31</v>
      </c>
      <c r="AO2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74.239999999999995</v>
      </c>
      <c r="AP20" s="3">
        <f>ABS(Table1[[#This Row],[Team Score]]-Table1[[#This Row],[Opp Team Score]])</f>
        <v>7</v>
      </c>
      <c r="AQ20" s="3">
        <f>SUM(Table1[[#This Row],[Team Score]], Table1[[#This Row],[Opp Team Score]])</f>
        <v>41</v>
      </c>
      <c r="AR2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17.03</v>
      </c>
      <c r="AS20" s="3">
        <f>IF(Table1[[#This Row],[Efficiency Difference]] = " ", " ", ROUND((Table1[[#This Row],[Winning Margin]]*100)/Table1[[#This Row],[Efficiency Difference]], 2))</f>
        <v>41.1</v>
      </c>
    </row>
    <row r="21" spans="1:45">
      <c r="A21" t="s">
        <v>99</v>
      </c>
      <c r="B21">
        <v>0</v>
      </c>
      <c r="C21">
        <v>17</v>
      </c>
      <c r="D21">
        <v>28</v>
      </c>
      <c r="E21">
        <v>15</v>
      </c>
      <c r="F21">
        <v>1</v>
      </c>
      <c r="G21">
        <v>7</v>
      </c>
      <c r="H21">
        <v>1</v>
      </c>
      <c r="I21">
        <v>159</v>
      </c>
      <c r="J21">
        <v>26</v>
      </c>
      <c r="K21">
        <v>0</v>
      </c>
      <c r="L21">
        <v>0</v>
      </c>
      <c r="M21" t="s">
        <v>98</v>
      </c>
      <c r="N21">
        <v>0</v>
      </c>
      <c r="O21">
        <v>24</v>
      </c>
      <c r="P21">
        <v>330</v>
      </c>
      <c r="Q21">
        <v>48</v>
      </c>
      <c r="R21">
        <v>2</v>
      </c>
      <c r="S21">
        <v>33</v>
      </c>
      <c r="T21">
        <v>2</v>
      </c>
      <c r="U21">
        <v>77</v>
      </c>
      <c r="V21">
        <v>27</v>
      </c>
      <c r="W21">
        <v>1</v>
      </c>
      <c r="X21">
        <v>0</v>
      </c>
      <c r="Y21" t="s">
        <v>15</v>
      </c>
      <c r="Z21">
        <v>0</v>
      </c>
      <c r="AA21">
        <f>IF(AND(Table1[[#This Row],[Throw Out Pass Eff]]="N", Table1[[#This Row],[Against FCS Team]]="N"), ROUND(((5.45 * D21) + (150 * F21) + (100 * G21) - (300 * H21)) / E21, 2), " ")</f>
        <v>46.84</v>
      </c>
      <c r="AB21">
        <f>IF(AND(Table1[[#This Row],[Throw Out Pass Def Eff]]="N", Table1[[#This Row],[Against FCS Team]]="N"),200 - ROUND(((5.45 * P21) + (150 * R21) + (100 * S21) - (300 * T21)) / Q21, 2), " ")</f>
        <v>100.03</v>
      </c>
      <c r="AC21">
        <f>IF(AND(Table1[[#This Row],[Throw Out Rush Eff]]="N", Table1[[#This Row],[Against FCS Team]]="N"), ROUND(((23.2 * I21) + (150 * K21) - (300 * L21)) / J21, 2), " ")</f>
        <v>141.88</v>
      </c>
      <c r="AD21" s="3">
        <f>IF(AND(Table1[[#This Row],[Throw Out Rush Def Eff]]="N", Table1[[#This Row],[Against FCS Team]]="N"), 200 - ROUND(((23.2 * U21) + (150 * W21) - (300 * X21)) / V21, 2), " ")</f>
        <v>128.28</v>
      </c>
      <c r="AE21" s="3">
        <f>ROUND(Table1[[#This Row],[Opp Passing Attempts]]/(Table1[[#This Row],[Opp Passing Attempts]]+Table1[[#This Row],[Opp Rushing Attempts]]), 2)</f>
        <v>0.64</v>
      </c>
      <c r="AF21" s="3">
        <f>1-Table1[[#This Row],[Passing Weight]]</f>
        <v>0.36</v>
      </c>
      <c r="AG21" s="3" t="str">
        <f>IF(COUNTIF(A:A,Table1[[#This Row],[Opp Team Name]]) &gt; 0, "N", "Y")</f>
        <v>N</v>
      </c>
      <c r="AH21" s="3" t="str">
        <f>IF(Table1[[#This Row],[Passing Attempts]] &lt;15, "Y", "N")</f>
        <v>N</v>
      </c>
      <c r="AI21" s="3" t="str">
        <f>IF(Table1[[#This Row],[Rushing Attempts]] &lt; 15, "Y", "N")</f>
        <v>N</v>
      </c>
      <c r="AJ21" s="3" t="str">
        <f>IF(Table1[[#This Row],[Opp Passing Attempts]]&lt;15, "Y", "N")</f>
        <v>N</v>
      </c>
      <c r="AK21" s="3" t="str">
        <f>IF(Table1[[#This Row],[Opp Rushing Attempts]]&lt;15, "Y", "N")</f>
        <v>N</v>
      </c>
      <c r="AL2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52.44</v>
      </c>
      <c r="AM2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97.77</v>
      </c>
      <c r="AN2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125.58</v>
      </c>
      <c r="AO2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118.1</v>
      </c>
      <c r="AP21" s="3">
        <f>ABS(Table1[[#This Row],[Team Score]]-Table1[[#This Row],[Opp Team Score]])</f>
        <v>7</v>
      </c>
      <c r="AQ21" s="3">
        <f>SUM(Table1[[#This Row],[Team Score]], Table1[[#This Row],[Opp Team Score]])</f>
        <v>41</v>
      </c>
      <c r="AR2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17.03</v>
      </c>
      <c r="AS21" s="3">
        <f>IF(Table1[[#This Row],[Efficiency Difference]] = " ", " ", ROUND((Table1[[#This Row],[Winning Margin]]*100)/Table1[[#This Row],[Efficiency Difference]], 2))</f>
        <v>41.1</v>
      </c>
    </row>
    <row r="22" spans="1:45">
      <c r="A22" t="s">
        <v>100</v>
      </c>
      <c r="B22">
        <v>0</v>
      </c>
      <c r="C22">
        <v>28</v>
      </c>
      <c r="D22">
        <v>258</v>
      </c>
      <c r="E22">
        <v>34</v>
      </c>
      <c r="F22">
        <v>2</v>
      </c>
      <c r="G22">
        <v>21</v>
      </c>
      <c r="H22">
        <v>0</v>
      </c>
      <c r="I22">
        <v>74</v>
      </c>
      <c r="J22">
        <v>26</v>
      </c>
      <c r="K22">
        <v>1</v>
      </c>
      <c r="L22">
        <v>1</v>
      </c>
      <c r="M22" t="s">
        <v>101</v>
      </c>
      <c r="N22">
        <v>0</v>
      </c>
      <c r="O22">
        <v>14</v>
      </c>
      <c r="P22">
        <v>240</v>
      </c>
      <c r="Q22">
        <v>32</v>
      </c>
      <c r="R22">
        <v>0</v>
      </c>
      <c r="S22">
        <v>18</v>
      </c>
      <c r="T22">
        <v>1</v>
      </c>
      <c r="U22">
        <v>75</v>
      </c>
      <c r="V22">
        <v>20</v>
      </c>
      <c r="W22">
        <v>2</v>
      </c>
      <c r="X22">
        <v>0</v>
      </c>
      <c r="Y22" t="s">
        <v>14</v>
      </c>
      <c r="Z22">
        <v>0</v>
      </c>
      <c r="AA22">
        <f>IF(AND(Table1[[#This Row],[Throw Out Pass Eff]]="N", Table1[[#This Row],[Against FCS Team]]="N"), ROUND(((5.45 * D22) + (150 * F22) + (100 * G22) - (300 * H22)) / E22, 2), " ")</f>
        <v>111.94</v>
      </c>
      <c r="AB22">
        <f>IF(AND(Table1[[#This Row],[Throw Out Pass Def Eff]]="N", Table1[[#This Row],[Against FCS Team]]="N"),200 - ROUND(((5.45 * P22) + (150 * R22) + (100 * S22) - (300 * T22)) / Q22, 2), " ")</f>
        <v>112.25</v>
      </c>
      <c r="AC22">
        <f>IF(AND(Table1[[#This Row],[Throw Out Rush Eff]]="N", Table1[[#This Row],[Against FCS Team]]="N"), ROUND(((23.2 * I22) + (150 * K22) - (300 * L22)) / J22, 2), " ")</f>
        <v>60.26</v>
      </c>
      <c r="AD22" s="3">
        <f>IF(AND(Table1[[#This Row],[Throw Out Rush Def Eff]]="N", Table1[[#This Row],[Against FCS Team]]="N"), 200 - ROUND(((23.2 * U22) + (150 * W22) - (300 * X22)) / V22, 2), " ")</f>
        <v>98</v>
      </c>
      <c r="AE22" s="3">
        <f>ROUND(Table1[[#This Row],[Opp Passing Attempts]]/(Table1[[#This Row],[Opp Passing Attempts]]+Table1[[#This Row],[Opp Rushing Attempts]]), 2)</f>
        <v>0.62</v>
      </c>
      <c r="AF22" s="3">
        <f>1-Table1[[#This Row],[Passing Weight]]</f>
        <v>0.38</v>
      </c>
      <c r="AG22" s="3" t="str">
        <f>IF(COUNTIF(A:A,Table1[[#This Row],[Opp Team Name]]) &gt; 0, "N", "Y")</f>
        <v>N</v>
      </c>
      <c r="AH22" s="3" t="str">
        <f>IF(Table1[[#This Row],[Passing Attempts]] &lt;15, "Y", "N")</f>
        <v>N</v>
      </c>
      <c r="AI22" s="3" t="str">
        <f>IF(Table1[[#This Row],[Rushing Attempts]] &lt; 15, "Y", "N")</f>
        <v>N</v>
      </c>
      <c r="AJ22" s="3" t="str">
        <f>IF(Table1[[#This Row],[Opp Passing Attempts]]&lt;15, "Y", "N")</f>
        <v>N</v>
      </c>
      <c r="AK22" s="3" t="str">
        <f>IF(Table1[[#This Row],[Opp Rushing Attempts]]&lt;15, "Y", "N")</f>
        <v>N</v>
      </c>
      <c r="AL2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120.04</v>
      </c>
      <c r="AM2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126.47</v>
      </c>
      <c r="AN2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61.44</v>
      </c>
      <c r="AO2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73.89</v>
      </c>
      <c r="AP22" s="3">
        <f>ABS(Table1[[#This Row],[Team Score]]-Table1[[#This Row],[Opp Team Score]])</f>
        <v>14</v>
      </c>
      <c r="AQ22" s="3">
        <f>SUM(Table1[[#This Row],[Team Score]], Table1[[#This Row],[Opp Team Score]])</f>
        <v>42</v>
      </c>
      <c r="AR2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17.550000000000011</v>
      </c>
      <c r="AS22" s="3">
        <f>IF(Table1[[#This Row],[Efficiency Difference]] = " ", " ", ROUND((Table1[[#This Row],[Winning Margin]]*100)/Table1[[#This Row],[Efficiency Difference]], 2))</f>
        <v>79.77</v>
      </c>
    </row>
    <row r="23" spans="1:45">
      <c r="A23" t="s">
        <v>101</v>
      </c>
      <c r="B23">
        <v>0</v>
      </c>
      <c r="C23">
        <v>14</v>
      </c>
      <c r="D23">
        <v>240</v>
      </c>
      <c r="E23">
        <v>32</v>
      </c>
      <c r="F23">
        <v>0</v>
      </c>
      <c r="G23">
        <v>18</v>
      </c>
      <c r="H23">
        <v>1</v>
      </c>
      <c r="I23">
        <v>75</v>
      </c>
      <c r="J23">
        <v>20</v>
      </c>
      <c r="K23">
        <v>2</v>
      </c>
      <c r="L23">
        <v>0</v>
      </c>
      <c r="M23" t="s">
        <v>100</v>
      </c>
      <c r="N23">
        <v>0</v>
      </c>
      <c r="O23">
        <v>28</v>
      </c>
      <c r="P23">
        <v>258</v>
      </c>
      <c r="Q23">
        <v>34</v>
      </c>
      <c r="R23">
        <v>2</v>
      </c>
      <c r="S23">
        <v>21</v>
      </c>
      <c r="T23">
        <v>0</v>
      </c>
      <c r="U23">
        <v>74</v>
      </c>
      <c r="V23">
        <v>26</v>
      </c>
      <c r="W23">
        <v>1</v>
      </c>
      <c r="X23">
        <v>1</v>
      </c>
      <c r="Y23" t="s">
        <v>15</v>
      </c>
      <c r="Z23">
        <v>0</v>
      </c>
      <c r="AA23" s="3">
        <f>IF(AND(Table1[[#This Row],[Throw Out Pass Eff]]="N", Table1[[#This Row],[Against FCS Team]]="N"), ROUND(((5.45 * D23) + (150 * F23) + (100 * G23) - (300 * H23)) / E23, 2), " ")</f>
        <v>87.75</v>
      </c>
      <c r="AB23" s="3">
        <f>IF(AND(Table1[[#This Row],[Throw Out Pass Def Eff]]="N", Table1[[#This Row],[Against FCS Team]]="N"),200 - ROUND(((5.45 * P23) + (150 * R23) + (100 * S23) - (300 * T23)) / Q23, 2), " ")</f>
        <v>88.06</v>
      </c>
      <c r="AC23" s="3">
        <f>IF(AND(Table1[[#This Row],[Throw Out Rush Eff]]="N", Table1[[#This Row],[Against FCS Team]]="N"), ROUND(((23.2 * I23) + (150 * K23) - (300 * L23)) / J23, 2), " ")</f>
        <v>102</v>
      </c>
      <c r="AD23" s="3">
        <f>IF(AND(Table1[[#This Row],[Throw Out Rush Def Eff]]="N", Table1[[#This Row],[Against FCS Team]]="N"), 200 - ROUND(((23.2 * U23) + (150 * W23) - (300 * X23)) / V23, 2), " ")</f>
        <v>139.74</v>
      </c>
      <c r="AE23" s="3">
        <f>ROUND(Table1[[#This Row],[Opp Passing Attempts]]/(Table1[[#This Row],[Opp Passing Attempts]]+Table1[[#This Row],[Opp Rushing Attempts]]), 2)</f>
        <v>0.56999999999999995</v>
      </c>
      <c r="AF23" s="3">
        <f>1-Table1[[#This Row],[Passing Weight]]</f>
        <v>0.43000000000000005</v>
      </c>
      <c r="AG23" s="3" t="str">
        <f>IF(COUNTIF(A:A,Table1[[#This Row],[Opp Team Name]]) &gt; 0, "N", "Y")</f>
        <v>N</v>
      </c>
      <c r="AH23" s="3" t="str">
        <f>IF(Table1[[#This Row],[Passing Attempts]] &lt;15, "Y", "N")</f>
        <v>N</v>
      </c>
      <c r="AI23" s="3" t="str">
        <f>IF(Table1[[#This Row],[Rushing Attempts]] &lt; 15, "Y", "N")</f>
        <v>N</v>
      </c>
      <c r="AJ23" s="3" t="str">
        <f>IF(Table1[[#This Row],[Opp Passing Attempts]]&lt;15, "Y", "N")</f>
        <v>N</v>
      </c>
      <c r="AK23" s="3" t="str">
        <f>IF(Table1[[#This Row],[Opp Rushing Attempts]]&lt;15, "Y", "N")</f>
        <v>N</v>
      </c>
      <c r="AL2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92.98</v>
      </c>
      <c r="AM2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72.680000000000007</v>
      </c>
      <c r="AN2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98.84</v>
      </c>
      <c r="AO2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117.34</v>
      </c>
      <c r="AP23" s="3">
        <f>ABS(Table1[[#This Row],[Team Score]]-Table1[[#This Row],[Opp Team Score]])</f>
        <v>14</v>
      </c>
      <c r="AQ23" s="3">
        <f>SUM(Table1[[#This Row],[Team Score]], Table1[[#This Row],[Opp Team Score]])</f>
        <v>42</v>
      </c>
      <c r="AR2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17.550000000000011</v>
      </c>
      <c r="AS23" s="3">
        <f>IF(Table1[[#This Row],[Efficiency Difference]] = " ", " ", ROUND((Table1[[#This Row],[Winning Margin]]*100)/Table1[[#This Row],[Efficiency Difference]], 2))</f>
        <v>79.77</v>
      </c>
    </row>
    <row r="24" spans="1:45">
      <c r="A24" t="s">
        <v>102</v>
      </c>
      <c r="B24">
        <v>0</v>
      </c>
      <c r="C24">
        <v>28</v>
      </c>
      <c r="D24">
        <v>295</v>
      </c>
      <c r="E24">
        <v>27</v>
      </c>
      <c r="F24">
        <v>2</v>
      </c>
      <c r="G24">
        <v>18</v>
      </c>
      <c r="H24">
        <v>0</v>
      </c>
      <c r="I24">
        <v>99</v>
      </c>
      <c r="J24">
        <v>25</v>
      </c>
      <c r="K24">
        <v>1</v>
      </c>
      <c r="L24">
        <v>1</v>
      </c>
      <c r="M24" t="s">
        <v>103</v>
      </c>
      <c r="N24">
        <v>0</v>
      </c>
      <c r="O24">
        <v>21</v>
      </c>
      <c r="P24">
        <v>403</v>
      </c>
      <c r="Q24">
        <v>37</v>
      </c>
      <c r="R24">
        <v>2</v>
      </c>
      <c r="S24">
        <v>24</v>
      </c>
      <c r="T24">
        <v>1</v>
      </c>
      <c r="U24">
        <v>74</v>
      </c>
      <c r="V24">
        <v>27</v>
      </c>
      <c r="W24">
        <v>1</v>
      </c>
      <c r="X24">
        <v>0</v>
      </c>
      <c r="Y24" t="s">
        <v>14</v>
      </c>
      <c r="Z24">
        <v>0</v>
      </c>
      <c r="AA24">
        <f>IF(AND(Table1[[#This Row],[Throw Out Pass Eff]]="N", Table1[[#This Row],[Against FCS Team]]="N"), ROUND(((5.45 * D24) + (150 * F24) + (100 * G24) - (300 * H24)) / E24, 2), " ")</f>
        <v>137.32</v>
      </c>
      <c r="AB24">
        <f>IF(AND(Table1[[#This Row],[Throw Out Pass Def Eff]]="N", Table1[[#This Row],[Against FCS Team]]="N"),200 - ROUND(((5.45 * P24) + (150 * R24) + (100 * S24) - (300 * T24)) / Q24, 2), " ")</f>
        <v>75.77</v>
      </c>
      <c r="AC24">
        <f>IF(AND(Table1[[#This Row],[Throw Out Rush Eff]]="N", Table1[[#This Row],[Against FCS Team]]="N"), ROUND(((23.2 * I24) + (150 * K24) - (300 * L24)) / J24, 2), " ")</f>
        <v>85.87</v>
      </c>
      <c r="AD24" s="3">
        <f>IF(AND(Table1[[#This Row],[Throw Out Rush Def Eff]]="N", Table1[[#This Row],[Against FCS Team]]="N"), 200 - ROUND(((23.2 * U24) + (150 * W24) - (300 * X24)) / V24, 2), " ")</f>
        <v>130.86000000000001</v>
      </c>
      <c r="AE24" s="3">
        <f>ROUND(Table1[[#This Row],[Opp Passing Attempts]]/(Table1[[#This Row],[Opp Passing Attempts]]+Table1[[#This Row],[Opp Rushing Attempts]]), 2)</f>
        <v>0.57999999999999996</v>
      </c>
      <c r="AF24" s="3">
        <f>1-Table1[[#This Row],[Passing Weight]]</f>
        <v>0.42000000000000004</v>
      </c>
      <c r="AG24" s="3" t="str">
        <f>IF(COUNTIF(A:A,Table1[[#This Row],[Opp Team Name]]) &gt; 0, "N", "Y")</f>
        <v>N</v>
      </c>
      <c r="AH24" s="3" t="str">
        <f>IF(Table1[[#This Row],[Passing Attempts]] &lt;15, "Y", "N")</f>
        <v>N</v>
      </c>
      <c r="AI24" s="3" t="str">
        <f>IF(Table1[[#This Row],[Rushing Attempts]] &lt; 15, "Y", "N")</f>
        <v>N</v>
      </c>
      <c r="AJ24" s="3" t="str">
        <f>IF(Table1[[#This Row],[Opp Passing Attempts]]&lt;15, "Y", "N")</f>
        <v>N</v>
      </c>
      <c r="AK24" s="3" t="str">
        <f>IF(Table1[[#This Row],[Opp Rushing Attempts]]&lt;15, "Y", "N")</f>
        <v>N</v>
      </c>
      <c r="AL2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131.6</v>
      </c>
      <c r="AM2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75.599999999999994</v>
      </c>
      <c r="AN2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77.83</v>
      </c>
      <c r="AO2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155.04</v>
      </c>
      <c r="AP24" s="3">
        <f>ABS(Table1[[#This Row],[Team Score]]-Table1[[#This Row],[Opp Team Score]])</f>
        <v>7</v>
      </c>
      <c r="AQ24" s="3">
        <f>SUM(Table1[[#This Row],[Team Score]], Table1[[#This Row],[Opp Team Score]])</f>
        <v>49</v>
      </c>
      <c r="AR2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29.819999999999993</v>
      </c>
      <c r="AS24" s="3">
        <f>IF(Table1[[#This Row],[Efficiency Difference]] = " ", " ", ROUND((Table1[[#This Row],[Winning Margin]]*100)/Table1[[#This Row],[Efficiency Difference]], 2))</f>
        <v>23.47</v>
      </c>
    </row>
    <row r="25" spans="1:45">
      <c r="A25" t="s">
        <v>103</v>
      </c>
      <c r="B25">
        <v>0</v>
      </c>
      <c r="C25">
        <v>21</v>
      </c>
      <c r="D25">
        <v>403</v>
      </c>
      <c r="E25">
        <v>37</v>
      </c>
      <c r="F25">
        <v>2</v>
      </c>
      <c r="G25">
        <v>24</v>
      </c>
      <c r="H25">
        <v>1</v>
      </c>
      <c r="I25">
        <v>74</v>
      </c>
      <c r="J25">
        <v>27</v>
      </c>
      <c r="K25">
        <v>1</v>
      </c>
      <c r="L25">
        <v>0</v>
      </c>
      <c r="M25" t="s">
        <v>102</v>
      </c>
      <c r="N25">
        <v>0</v>
      </c>
      <c r="O25">
        <v>28</v>
      </c>
      <c r="P25">
        <v>295</v>
      </c>
      <c r="Q25">
        <v>27</v>
      </c>
      <c r="R25">
        <v>2</v>
      </c>
      <c r="S25">
        <v>18</v>
      </c>
      <c r="T25">
        <v>0</v>
      </c>
      <c r="U25">
        <v>99</v>
      </c>
      <c r="V25">
        <v>25</v>
      </c>
      <c r="W25">
        <v>1</v>
      </c>
      <c r="X25">
        <v>1</v>
      </c>
      <c r="Y25" t="s">
        <v>15</v>
      </c>
      <c r="Z25">
        <v>0</v>
      </c>
      <c r="AA25">
        <f>IF(AND(Table1[[#This Row],[Throw Out Pass Eff]]="N", Table1[[#This Row],[Against FCS Team]]="N"), ROUND(((5.45 * D25) + (150 * F25) + (100 * G25) - (300 * H25)) / E25, 2), " ")</f>
        <v>124.23</v>
      </c>
      <c r="AB25">
        <f>IF(AND(Table1[[#This Row],[Throw Out Pass Def Eff]]="N", Table1[[#This Row],[Against FCS Team]]="N"),200 - ROUND(((5.45 * P25) + (150 * R25) + (100 * S25) - (300 * T25)) / Q25, 2), " ")</f>
        <v>62.680000000000007</v>
      </c>
      <c r="AC25">
        <f>IF(AND(Table1[[#This Row],[Throw Out Rush Eff]]="N", Table1[[#This Row],[Against FCS Team]]="N"), ROUND(((23.2 * I25) + (150 * K25) - (300 * L25)) / J25, 2), " ")</f>
        <v>69.14</v>
      </c>
      <c r="AD25" s="3">
        <f>IF(AND(Table1[[#This Row],[Throw Out Rush Def Eff]]="N", Table1[[#This Row],[Against FCS Team]]="N"), 200 - ROUND(((23.2 * U25) + (150 * W25) - (300 * X25)) / V25, 2), " ")</f>
        <v>114.13</v>
      </c>
      <c r="AE25" s="3">
        <f>ROUND(Table1[[#This Row],[Opp Passing Attempts]]/(Table1[[#This Row],[Opp Passing Attempts]]+Table1[[#This Row],[Opp Rushing Attempts]]), 2)</f>
        <v>0.52</v>
      </c>
      <c r="AF25" s="3">
        <f>1-Table1[[#This Row],[Passing Weight]]</f>
        <v>0.48</v>
      </c>
      <c r="AG25" s="3" t="str">
        <f>IF(COUNTIF(A:A,Table1[[#This Row],[Opp Team Name]]) &gt; 0, "N", "Y")</f>
        <v>N</v>
      </c>
      <c r="AH25" s="3" t="str">
        <f>IF(Table1[[#This Row],[Passing Attempts]] &lt;15, "Y", "N")</f>
        <v>N</v>
      </c>
      <c r="AI25" s="3" t="str">
        <f>IF(Table1[[#This Row],[Rushing Attempts]] &lt; 15, "Y", "N")</f>
        <v>N</v>
      </c>
      <c r="AJ25" s="3" t="str">
        <f>IF(Table1[[#This Row],[Opp Passing Attempts]]&lt;15, "Y", "N")</f>
        <v>N</v>
      </c>
      <c r="AK25" s="3" t="str">
        <f>IF(Table1[[#This Row],[Opp Rushing Attempts]]&lt;15, "Y", "N")</f>
        <v>N</v>
      </c>
      <c r="AL2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120.59</v>
      </c>
      <c r="AM2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57.75</v>
      </c>
      <c r="AN2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79.099999999999994</v>
      </c>
      <c r="AO2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109.81</v>
      </c>
      <c r="AP25" s="3">
        <f>ABS(Table1[[#This Row],[Team Score]]-Table1[[#This Row],[Opp Team Score]])</f>
        <v>7</v>
      </c>
      <c r="AQ25" s="3">
        <f>SUM(Table1[[#This Row],[Team Score]], Table1[[#This Row],[Opp Team Score]])</f>
        <v>49</v>
      </c>
      <c r="AR2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29.819999999999993</v>
      </c>
      <c r="AS25" s="3">
        <f>IF(Table1[[#This Row],[Efficiency Difference]] = " ", " ", ROUND((Table1[[#This Row],[Winning Margin]]*100)/Table1[[#This Row],[Efficiency Difference]], 2))</f>
        <v>23.47</v>
      </c>
    </row>
    <row r="26" spans="1:45">
      <c r="A26" t="s">
        <v>104</v>
      </c>
      <c r="B26">
        <v>0</v>
      </c>
      <c r="C26">
        <v>33</v>
      </c>
      <c r="D26">
        <v>124</v>
      </c>
      <c r="E26">
        <v>20</v>
      </c>
      <c r="F26">
        <v>0</v>
      </c>
      <c r="G26">
        <v>15</v>
      </c>
      <c r="H26">
        <v>0</v>
      </c>
      <c r="I26">
        <v>85</v>
      </c>
      <c r="J26">
        <v>32</v>
      </c>
      <c r="K26">
        <v>1</v>
      </c>
      <c r="L26">
        <v>0</v>
      </c>
      <c r="M26" t="s">
        <v>105</v>
      </c>
      <c r="N26">
        <v>0</v>
      </c>
      <c r="O26">
        <v>17</v>
      </c>
      <c r="P26">
        <v>155</v>
      </c>
      <c r="Q26">
        <v>37</v>
      </c>
      <c r="R26">
        <v>2</v>
      </c>
      <c r="S26">
        <v>21</v>
      </c>
      <c r="T26">
        <v>1</v>
      </c>
      <c r="U26">
        <v>64</v>
      </c>
      <c r="V26">
        <v>22</v>
      </c>
      <c r="W26">
        <v>0</v>
      </c>
      <c r="X26">
        <v>2</v>
      </c>
      <c r="Y26" t="s">
        <v>14</v>
      </c>
      <c r="Z26">
        <v>0</v>
      </c>
      <c r="AA26">
        <f>IF(AND(Table1[[#This Row],[Throw Out Pass Eff]]="N", Table1[[#This Row],[Against FCS Team]]="N"), ROUND(((5.45 * D26) + (150 * F26) + (100 * G26) - (300 * H26)) / E26, 2), " ")</f>
        <v>108.79</v>
      </c>
      <c r="AB26">
        <f>IF(AND(Table1[[#This Row],[Throw Out Pass Def Eff]]="N", Table1[[#This Row],[Against FCS Team]]="N"),200 - ROUND(((5.45 * P26) + (150 * R26) + (100 * S26) - (300 * T26)) / Q26, 2), " ")</f>
        <v>120.41</v>
      </c>
      <c r="AC26">
        <f>IF(AND(Table1[[#This Row],[Throw Out Rush Eff]]="N", Table1[[#This Row],[Against FCS Team]]="N"), ROUND(((23.2 * I26) + (150 * K26) - (300 * L26)) / J26, 2), " ")</f>
        <v>66.31</v>
      </c>
      <c r="AD26" s="3">
        <f>IF(AND(Table1[[#This Row],[Throw Out Rush Def Eff]]="N", Table1[[#This Row],[Against FCS Team]]="N"), 200 - ROUND(((23.2 * U26) + (150 * W26) - (300 * X26)) / V26, 2), " ")</f>
        <v>159.78</v>
      </c>
      <c r="AE26" s="3">
        <f>ROUND(Table1[[#This Row],[Opp Passing Attempts]]/(Table1[[#This Row],[Opp Passing Attempts]]+Table1[[#This Row],[Opp Rushing Attempts]]), 2)</f>
        <v>0.63</v>
      </c>
      <c r="AF26" s="3">
        <f>1-Table1[[#This Row],[Passing Weight]]</f>
        <v>0.37</v>
      </c>
      <c r="AG26" s="3" t="str">
        <f>IF(COUNTIF(A:A,Table1[[#This Row],[Opp Team Name]]) &gt; 0, "N", "Y")</f>
        <v>N</v>
      </c>
      <c r="AH26" s="3" t="str">
        <f>IF(Table1[[#This Row],[Passing Attempts]] &lt;15, "Y", "N")</f>
        <v>N</v>
      </c>
      <c r="AI26" s="3" t="str">
        <f>IF(Table1[[#This Row],[Rushing Attempts]] &lt; 15, "Y", "N")</f>
        <v>N</v>
      </c>
      <c r="AJ26" s="3" t="str">
        <f>IF(Table1[[#This Row],[Opp Passing Attempts]]&lt;15, "Y", "N")</f>
        <v>N</v>
      </c>
      <c r="AK26" s="3" t="str">
        <f>IF(Table1[[#This Row],[Opp Rushing Attempts]]&lt;15, "Y", "N")</f>
        <v>N</v>
      </c>
      <c r="AL2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106.7</v>
      </c>
      <c r="AM2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99.85</v>
      </c>
      <c r="AN2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85.02</v>
      </c>
      <c r="AO2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131.62</v>
      </c>
      <c r="AP26" s="3">
        <f>ABS(Table1[[#This Row],[Team Score]]-Table1[[#This Row],[Opp Team Score]])</f>
        <v>16</v>
      </c>
      <c r="AQ26" s="3">
        <f>SUM(Table1[[#This Row],[Team Score]], Table1[[#This Row],[Opp Team Score]])</f>
        <v>50</v>
      </c>
      <c r="AR2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55.29000000000002</v>
      </c>
      <c r="AS26" s="3">
        <f>IF(Table1[[#This Row],[Efficiency Difference]] = " ", " ", ROUND((Table1[[#This Row],[Winning Margin]]*100)/Table1[[#This Row],[Efficiency Difference]], 2))</f>
        <v>28.94</v>
      </c>
    </row>
    <row r="27" spans="1:45">
      <c r="A27" t="s">
        <v>105</v>
      </c>
      <c r="B27">
        <v>0</v>
      </c>
      <c r="C27">
        <v>17</v>
      </c>
      <c r="D27">
        <v>155</v>
      </c>
      <c r="E27">
        <v>37</v>
      </c>
      <c r="F27">
        <v>2</v>
      </c>
      <c r="G27">
        <v>21</v>
      </c>
      <c r="H27">
        <v>1</v>
      </c>
      <c r="I27">
        <v>64</v>
      </c>
      <c r="J27">
        <v>22</v>
      </c>
      <c r="K27">
        <v>0</v>
      </c>
      <c r="L27">
        <v>2</v>
      </c>
      <c r="M27" t="s">
        <v>104</v>
      </c>
      <c r="N27">
        <v>0</v>
      </c>
      <c r="O27">
        <v>33</v>
      </c>
      <c r="P27">
        <v>124</v>
      </c>
      <c r="Q27">
        <v>20</v>
      </c>
      <c r="R27">
        <v>0</v>
      </c>
      <c r="S27">
        <v>15</v>
      </c>
      <c r="T27">
        <v>0</v>
      </c>
      <c r="U27">
        <v>85</v>
      </c>
      <c r="V27">
        <v>32</v>
      </c>
      <c r="W27">
        <v>1</v>
      </c>
      <c r="X27">
        <v>0</v>
      </c>
      <c r="Y27" t="s">
        <v>15</v>
      </c>
      <c r="Z27">
        <v>0</v>
      </c>
      <c r="AA27">
        <f>IF(AND(Table1[[#This Row],[Throw Out Pass Eff]]="N", Table1[[#This Row],[Against FCS Team]]="N"), ROUND(((5.45 * D27) + (150 * F27) + (100 * G27) - (300 * H27)) / E27, 2), " ")</f>
        <v>79.59</v>
      </c>
      <c r="AB27">
        <f>IF(AND(Table1[[#This Row],[Throw Out Pass Def Eff]]="N", Table1[[#This Row],[Against FCS Team]]="N"),200 - ROUND(((5.45 * P27) + (150 * R27) + (100 * S27) - (300 * T27)) / Q27, 2), " ")</f>
        <v>91.21</v>
      </c>
      <c r="AC27">
        <f>IF(AND(Table1[[#This Row],[Throw Out Rush Eff]]="N", Table1[[#This Row],[Against FCS Team]]="N"), ROUND(((23.2 * I27) + (150 * K27) - (300 * L27)) / J27, 2), " ")</f>
        <v>40.22</v>
      </c>
      <c r="AD27" s="3">
        <f>IF(AND(Table1[[#This Row],[Throw Out Rush Def Eff]]="N", Table1[[#This Row],[Against FCS Team]]="N"), 200 - ROUND(((23.2 * U27) + (150 * W27) - (300 * X27)) / V27, 2), " ")</f>
        <v>133.69</v>
      </c>
      <c r="AE27" s="3">
        <f>ROUND(Table1[[#This Row],[Opp Passing Attempts]]/(Table1[[#This Row],[Opp Passing Attempts]]+Table1[[#This Row],[Opp Rushing Attempts]]), 2)</f>
        <v>0.38</v>
      </c>
      <c r="AF27" s="3">
        <f>1-Table1[[#This Row],[Passing Weight]]</f>
        <v>0.62</v>
      </c>
      <c r="AG27" s="3" t="str">
        <f>IF(COUNTIF(A:A,Table1[[#This Row],[Opp Team Name]]) &gt; 0, "N", "Y")</f>
        <v>N</v>
      </c>
      <c r="AH27" s="3" t="str">
        <f>IF(Table1[[#This Row],[Passing Attempts]] &lt;15, "Y", "N")</f>
        <v>N</v>
      </c>
      <c r="AI27" s="3" t="str">
        <f>IF(Table1[[#This Row],[Rushing Attempts]] &lt; 15, "Y", "N")</f>
        <v>N</v>
      </c>
      <c r="AJ27" s="3" t="str">
        <f>IF(Table1[[#This Row],[Opp Passing Attempts]]&lt;15, "Y", "N")</f>
        <v>N</v>
      </c>
      <c r="AK27" s="3" t="str">
        <f>IF(Table1[[#This Row],[Opp Rushing Attempts]]&lt;15, "Y", "N")</f>
        <v>N</v>
      </c>
      <c r="AL2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90.8</v>
      </c>
      <c r="AM2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</v>
      </c>
      <c r="AN2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52.4</v>
      </c>
      <c r="AO2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138.06</v>
      </c>
      <c r="AP27" s="3">
        <f>ABS(Table1[[#This Row],[Team Score]]-Table1[[#This Row],[Opp Team Score]])</f>
        <v>16</v>
      </c>
      <c r="AQ27" s="3">
        <f>SUM(Table1[[#This Row],[Team Score]], Table1[[#This Row],[Opp Team Score]])</f>
        <v>50</v>
      </c>
      <c r="AR2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55.29000000000002</v>
      </c>
      <c r="AS27" s="3">
        <f>IF(Table1[[#This Row],[Efficiency Difference]] = " ", " ", ROUND((Table1[[#This Row],[Winning Margin]]*100)/Table1[[#This Row],[Efficiency Difference]], 2))</f>
        <v>28.94</v>
      </c>
    </row>
    <row r="28" spans="1:45">
      <c r="A28" t="s">
        <v>106</v>
      </c>
      <c r="B28">
        <v>0</v>
      </c>
      <c r="C28">
        <v>27</v>
      </c>
      <c r="D28">
        <v>315</v>
      </c>
      <c r="E28">
        <v>44</v>
      </c>
      <c r="F28">
        <v>2</v>
      </c>
      <c r="G28">
        <v>26</v>
      </c>
      <c r="H28">
        <v>1</v>
      </c>
      <c r="I28">
        <v>45</v>
      </c>
      <c r="J28">
        <v>16</v>
      </c>
      <c r="K28">
        <v>0</v>
      </c>
      <c r="L28">
        <v>1</v>
      </c>
      <c r="M28" t="s">
        <v>107</v>
      </c>
      <c r="N28">
        <v>0</v>
      </c>
      <c r="O28">
        <v>24</v>
      </c>
      <c r="P28">
        <v>326</v>
      </c>
      <c r="Q28">
        <v>36</v>
      </c>
      <c r="R28">
        <v>2</v>
      </c>
      <c r="S28">
        <v>23</v>
      </c>
      <c r="T28">
        <v>1</v>
      </c>
      <c r="U28">
        <v>64</v>
      </c>
      <c r="V28">
        <v>26</v>
      </c>
      <c r="W28">
        <v>1</v>
      </c>
      <c r="X28">
        <v>2</v>
      </c>
      <c r="Y28" t="s">
        <v>14</v>
      </c>
      <c r="Z28">
        <v>0</v>
      </c>
      <c r="AA28">
        <f>IF(AND(Table1[[#This Row],[Throw Out Pass Eff]]="N", Table1[[#This Row],[Against FCS Team]]="N"), ROUND(((5.45 * D28) + (150 * F28) + (100 * G28) - (300 * H28)) / E28, 2), " ")</f>
        <v>98.11</v>
      </c>
      <c r="AB28">
        <f>IF(AND(Table1[[#This Row],[Throw Out Pass Def Eff]]="N", Table1[[#This Row],[Against FCS Team]]="N"),200 - ROUND(((5.45 * P28) + (150 * R28) + (100 * S28) - (300 * T28)) / Q28, 2), " ")</f>
        <v>86.76</v>
      </c>
      <c r="AC28">
        <f>IF(AND(Table1[[#This Row],[Throw Out Rush Eff]]="N", Table1[[#This Row],[Against FCS Team]]="N"), ROUND(((23.2 * I28) + (150 * K28) - (300 * L28)) / J28, 2), " ")</f>
        <v>46.5</v>
      </c>
      <c r="AD28" s="3">
        <f>IF(AND(Table1[[#This Row],[Throw Out Rush Def Eff]]="N", Table1[[#This Row],[Against FCS Team]]="N"), 200 - ROUND(((23.2 * U28) + (150 * W28) - (300 * X28)) / V28, 2), " ")</f>
        <v>160.19999999999999</v>
      </c>
      <c r="AE28" s="3">
        <f>ROUND(Table1[[#This Row],[Opp Passing Attempts]]/(Table1[[#This Row],[Opp Passing Attempts]]+Table1[[#This Row],[Opp Rushing Attempts]]), 2)</f>
        <v>0.57999999999999996</v>
      </c>
      <c r="AF28" s="3">
        <f>1-Table1[[#This Row],[Passing Weight]]</f>
        <v>0.42000000000000004</v>
      </c>
      <c r="AG28" s="3" t="str">
        <f>IF(COUNTIF(A:A,Table1[[#This Row],[Opp Team Name]]) &gt; 0, "N", "Y")</f>
        <v>N</v>
      </c>
      <c r="AH28" s="3" t="str">
        <f>IF(Table1[[#This Row],[Passing Attempts]] &lt;15, "Y", "N")</f>
        <v>N</v>
      </c>
      <c r="AI28" s="3" t="str">
        <f>IF(Table1[[#This Row],[Rushing Attempts]] &lt; 15, "Y", "N")</f>
        <v>N</v>
      </c>
      <c r="AJ28" s="3" t="str">
        <f>IF(Table1[[#This Row],[Opp Passing Attempts]]&lt;15, "Y", "N")</f>
        <v>N</v>
      </c>
      <c r="AK28" s="3" t="str">
        <f>IF(Table1[[#This Row],[Opp Rushing Attempts]]&lt;15, "Y", "N")</f>
        <v>N</v>
      </c>
      <c r="AL2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107.61</v>
      </c>
      <c r="AM2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89.96</v>
      </c>
      <c r="AN2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61.61</v>
      </c>
      <c r="AO2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146.02000000000001</v>
      </c>
      <c r="AP28" s="3">
        <f>ABS(Table1[[#This Row],[Team Score]]-Table1[[#This Row],[Opp Team Score]])</f>
        <v>3</v>
      </c>
      <c r="AQ28" s="3">
        <f>SUM(Table1[[#This Row],[Team Score]], Table1[[#This Row],[Opp Team Score]])</f>
        <v>51</v>
      </c>
      <c r="AR2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8.4300000000000068</v>
      </c>
      <c r="AS28" s="3">
        <f>IF(Table1[[#This Row],[Efficiency Difference]] = " ", " ", ROUND((Table1[[#This Row],[Winning Margin]]*100)/Table1[[#This Row],[Efficiency Difference]], 2))</f>
        <v>35.590000000000003</v>
      </c>
    </row>
    <row r="29" spans="1:45">
      <c r="A29" t="s">
        <v>107</v>
      </c>
      <c r="B29">
        <v>0</v>
      </c>
      <c r="C29">
        <v>24</v>
      </c>
      <c r="D29">
        <v>326</v>
      </c>
      <c r="E29">
        <v>36</v>
      </c>
      <c r="F29">
        <v>2</v>
      </c>
      <c r="G29">
        <v>23</v>
      </c>
      <c r="H29">
        <v>1</v>
      </c>
      <c r="I29">
        <v>64</v>
      </c>
      <c r="J29">
        <v>26</v>
      </c>
      <c r="K29">
        <v>1</v>
      </c>
      <c r="L29">
        <v>2</v>
      </c>
      <c r="M29" t="s">
        <v>106</v>
      </c>
      <c r="N29">
        <v>0</v>
      </c>
      <c r="O29">
        <v>27</v>
      </c>
      <c r="P29">
        <v>315</v>
      </c>
      <c r="Q29">
        <v>44</v>
      </c>
      <c r="R29">
        <v>2</v>
      </c>
      <c r="S29">
        <v>26</v>
      </c>
      <c r="T29">
        <v>1</v>
      </c>
      <c r="U29">
        <v>45</v>
      </c>
      <c r="V29">
        <v>16</v>
      </c>
      <c r="W29">
        <v>0</v>
      </c>
      <c r="X29">
        <v>1</v>
      </c>
      <c r="Y29" t="s">
        <v>15</v>
      </c>
      <c r="Z29">
        <v>0</v>
      </c>
      <c r="AA29">
        <f>IF(AND(Table1[[#This Row],[Throw Out Pass Eff]]="N", Table1[[#This Row],[Against FCS Team]]="N"), ROUND(((5.45 * D29) + (150 * F29) + (100 * G29) - (300 * H29)) / E29, 2), " ")</f>
        <v>113.24</v>
      </c>
      <c r="AB29">
        <f>IF(AND(Table1[[#This Row],[Throw Out Pass Def Eff]]="N", Table1[[#This Row],[Against FCS Team]]="N"),200 - ROUND(((5.45 * P29) + (150 * R29) + (100 * S29) - (300 * T29)) / Q29, 2), " ")</f>
        <v>101.89</v>
      </c>
      <c r="AC29">
        <f>IF(AND(Table1[[#This Row],[Throw Out Rush Eff]]="N", Table1[[#This Row],[Against FCS Team]]="N"), ROUND(((23.2 * I29) + (150 * K29) - (300 * L29)) / J29, 2), " ")</f>
        <v>39.799999999999997</v>
      </c>
      <c r="AD29" s="3">
        <f>IF(AND(Table1[[#This Row],[Throw Out Rush Def Eff]]="N", Table1[[#This Row],[Against FCS Team]]="N"), 200 - ROUND(((23.2 * U29) + (150 * W29) - (300 * X29)) / V29, 2), " ")</f>
        <v>153.5</v>
      </c>
      <c r="AE29" s="3">
        <f>ROUND(Table1[[#This Row],[Opp Passing Attempts]]/(Table1[[#This Row],[Opp Passing Attempts]]+Table1[[#This Row],[Opp Rushing Attempts]]), 2)</f>
        <v>0.73</v>
      </c>
      <c r="AF29" s="3">
        <f>1-Table1[[#This Row],[Passing Weight]]</f>
        <v>0.27</v>
      </c>
      <c r="AG29" s="3" t="str">
        <f>IF(COUNTIF(A:A,Table1[[#This Row],[Opp Team Name]]) &gt; 0, "N", "Y")</f>
        <v>N</v>
      </c>
      <c r="AH29" s="3" t="str">
        <f>IF(Table1[[#This Row],[Passing Attempts]] &lt;15, "Y", "N")</f>
        <v>N</v>
      </c>
      <c r="AI29" s="3" t="str">
        <f>IF(Table1[[#This Row],[Rushing Attempts]] &lt; 15, "Y", "N")</f>
        <v>N</v>
      </c>
      <c r="AJ29" s="3" t="str">
        <f>IF(Table1[[#This Row],[Opp Passing Attempts]]&lt;15, "Y", "N")</f>
        <v>N</v>
      </c>
      <c r="AK29" s="3" t="str">
        <f>IF(Table1[[#This Row],[Opp Rushing Attempts]]&lt;15, "Y", "N")</f>
        <v>N</v>
      </c>
      <c r="AL2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142.76</v>
      </c>
      <c r="AM2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92.97</v>
      </c>
      <c r="AN2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40.93</v>
      </c>
      <c r="AO2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108.73</v>
      </c>
      <c r="AP29" s="3">
        <f>ABS(Table1[[#This Row],[Team Score]]-Table1[[#This Row],[Opp Team Score]])</f>
        <v>3</v>
      </c>
      <c r="AQ29" s="3">
        <f>SUM(Table1[[#This Row],[Team Score]], Table1[[#This Row],[Opp Team Score]])</f>
        <v>51</v>
      </c>
      <c r="AR2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8.4299999999999784</v>
      </c>
      <c r="AS29" s="3">
        <f>IF(Table1[[#This Row],[Efficiency Difference]] = " ", " ", ROUND((Table1[[#This Row],[Winning Margin]]*100)/Table1[[#This Row],[Efficiency Difference]], 2))</f>
        <v>35.590000000000003</v>
      </c>
    </row>
    <row r="30" spans="1:45">
      <c r="A30" t="s">
        <v>108</v>
      </c>
      <c r="B30">
        <v>0</v>
      </c>
      <c r="C30">
        <v>24</v>
      </c>
      <c r="D30">
        <v>390</v>
      </c>
      <c r="E30">
        <v>49</v>
      </c>
      <c r="F30">
        <v>2</v>
      </c>
      <c r="G30">
        <v>30</v>
      </c>
      <c r="H30">
        <v>1</v>
      </c>
      <c r="I30">
        <v>98</v>
      </c>
      <c r="J30">
        <v>20</v>
      </c>
      <c r="K30">
        <v>1</v>
      </c>
      <c r="L30">
        <v>0</v>
      </c>
      <c r="M30" t="s">
        <v>109</v>
      </c>
      <c r="N30">
        <v>0</v>
      </c>
      <c r="O30">
        <v>38</v>
      </c>
      <c r="P30">
        <v>516</v>
      </c>
      <c r="Q30">
        <v>48</v>
      </c>
      <c r="R30">
        <v>4</v>
      </c>
      <c r="S30">
        <v>32</v>
      </c>
      <c r="T30">
        <v>1</v>
      </c>
      <c r="U30">
        <v>106</v>
      </c>
      <c r="V30">
        <v>22</v>
      </c>
      <c r="W30">
        <v>1</v>
      </c>
      <c r="X30">
        <v>0</v>
      </c>
      <c r="Y30" t="s">
        <v>15</v>
      </c>
      <c r="Z30">
        <v>0</v>
      </c>
      <c r="AA30" s="3">
        <f>IF(AND(Table1[[#This Row],[Throw Out Pass Eff]]="N", Table1[[#This Row],[Against FCS Team]]="N"), ROUND(((5.45 * D30) + (150 * F30) + (100 * G30) - (300 * H30)) / E30, 2), " ")</f>
        <v>104.6</v>
      </c>
      <c r="AB30" s="3">
        <f>IF(AND(Table1[[#This Row],[Throw Out Pass Def Eff]]="N", Table1[[#This Row],[Against FCS Team]]="N"),200 - ROUND(((5.45 * P30) + (150 * R30) + (100 * S30) - (300 * T30)) / Q30, 2), " ")</f>
        <v>68.5</v>
      </c>
      <c r="AC30" s="3">
        <f>IF(AND(Table1[[#This Row],[Throw Out Rush Eff]]="N", Table1[[#This Row],[Against FCS Team]]="N"), ROUND(((23.2 * I30) + (150 * K30) - (300 * L30)) / J30, 2), " ")</f>
        <v>121.18</v>
      </c>
      <c r="AD30" s="3">
        <f>IF(AND(Table1[[#This Row],[Throw Out Rush Def Eff]]="N", Table1[[#This Row],[Against FCS Team]]="N"), 200 - ROUND(((23.2 * U30) + (150 * W30) - (300 * X30)) / V30, 2), " ")</f>
        <v>81.400000000000006</v>
      </c>
      <c r="AE30" s="3">
        <f>ROUND(Table1[[#This Row],[Opp Passing Attempts]]/(Table1[[#This Row],[Opp Passing Attempts]]+Table1[[#This Row],[Opp Rushing Attempts]]), 2)</f>
        <v>0.69</v>
      </c>
      <c r="AF30" s="3">
        <f>1-Table1[[#This Row],[Passing Weight]]</f>
        <v>0.31000000000000005</v>
      </c>
      <c r="AG30" s="3" t="str">
        <f>IF(COUNTIF(A:A,Table1[[#This Row],[Opp Team Name]]) &gt; 0, "N", "Y")</f>
        <v>N</v>
      </c>
      <c r="AH30" s="3" t="str">
        <f>IF(Table1[[#This Row],[Passing Attempts]] &lt;15, "Y", "N")</f>
        <v>N</v>
      </c>
      <c r="AI30" s="3" t="str">
        <f>IF(Table1[[#This Row],[Rushing Attempts]] &lt; 15, "Y", "N")</f>
        <v>N</v>
      </c>
      <c r="AJ30" s="3" t="str">
        <f>IF(Table1[[#This Row],[Opp Passing Attempts]]&lt;15, "Y", "N")</f>
        <v>N</v>
      </c>
      <c r="AK30" s="3" t="str">
        <f>IF(Table1[[#This Row],[Opp Rushing Attempts]]&lt;15, "Y", "N")</f>
        <v>N</v>
      </c>
      <c r="AL3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97.72</v>
      </c>
      <c r="AM3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78.989999999999995</v>
      </c>
      <c r="AN3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121.73</v>
      </c>
      <c r="AO3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86.66</v>
      </c>
      <c r="AP30" s="3">
        <f>ABS(Table1[[#This Row],[Team Score]]-Table1[[#This Row],[Opp Team Score]])</f>
        <v>14</v>
      </c>
      <c r="AQ30" s="3">
        <f>SUM(Table1[[#This Row],[Team Score]], Table1[[#This Row],[Opp Team Score]])</f>
        <v>62</v>
      </c>
      <c r="AR3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24.319999999999993</v>
      </c>
      <c r="AS30" s="3">
        <f>IF(Table1[[#This Row],[Efficiency Difference]] = " ", " ", ROUND((Table1[[#This Row],[Winning Margin]]*100)/Table1[[#This Row],[Efficiency Difference]], 2))</f>
        <v>57.57</v>
      </c>
    </row>
    <row r="31" spans="1:45">
      <c r="A31" t="s">
        <v>109</v>
      </c>
      <c r="B31">
        <v>0</v>
      </c>
      <c r="C31">
        <v>38</v>
      </c>
      <c r="D31">
        <v>516</v>
      </c>
      <c r="E31">
        <v>48</v>
      </c>
      <c r="F31">
        <v>4</v>
      </c>
      <c r="G31">
        <v>32</v>
      </c>
      <c r="H31">
        <v>1</v>
      </c>
      <c r="I31">
        <v>106</v>
      </c>
      <c r="J31">
        <v>22</v>
      </c>
      <c r="K31">
        <v>1</v>
      </c>
      <c r="L31">
        <v>0</v>
      </c>
      <c r="M31" t="s">
        <v>108</v>
      </c>
      <c r="N31">
        <v>0</v>
      </c>
      <c r="O31">
        <v>24</v>
      </c>
      <c r="P31">
        <v>390</v>
      </c>
      <c r="Q31">
        <v>49</v>
      </c>
      <c r="R31">
        <v>2</v>
      </c>
      <c r="S31">
        <v>30</v>
      </c>
      <c r="T31">
        <v>1</v>
      </c>
      <c r="U31">
        <v>98</v>
      </c>
      <c r="V31">
        <v>20</v>
      </c>
      <c r="W31">
        <v>1</v>
      </c>
      <c r="X31">
        <v>0</v>
      </c>
      <c r="Y31" t="s">
        <v>14</v>
      </c>
      <c r="Z31">
        <v>0</v>
      </c>
      <c r="AA31">
        <f>IF(AND(Table1[[#This Row],[Throw Out Pass Eff]]="N", Table1[[#This Row],[Against FCS Team]]="N"), ROUND(((5.45 * D31) + (150 * F31) + (100 * G31) - (300 * H31)) / E31, 2), " ")</f>
        <v>131.5</v>
      </c>
      <c r="AB31">
        <f>IF(AND(Table1[[#This Row],[Throw Out Pass Def Eff]]="N", Table1[[#This Row],[Against FCS Team]]="N"),200 - ROUND(((5.45 * P31) + (150 * R31) + (100 * S31) - (300 * T31)) / Q31, 2), " ")</f>
        <v>95.4</v>
      </c>
      <c r="AC31">
        <f>IF(AND(Table1[[#This Row],[Throw Out Rush Eff]]="N", Table1[[#This Row],[Against FCS Team]]="N"), ROUND(((23.2 * I31) + (150 * K31) - (300 * L31)) / J31, 2), " ")</f>
        <v>118.6</v>
      </c>
      <c r="AD31" s="3">
        <f>IF(AND(Table1[[#This Row],[Throw Out Rush Def Eff]]="N", Table1[[#This Row],[Against FCS Team]]="N"), 200 - ROUND(((23.2 * U31) + (150 * W31) - (300 * X31)) / V31, 2), " ")</f>
        <v>78.819999999999993</v>
      </c>
      <c r="AE31" s="3">
        <f>ROUND(Table1[[#This Row],[Opp Passing Attempts]]/(Table1[[#This Row],[Opp Passing Attempts]]+Table1[[#This Row],[Opp Rushing Attempts]]), 2)</f>
        <v>0.71</v>
      </c>
      <c r="AF31" s="3">
        <f>1-Table1[[#This Row],[Passing Weight]]</f>
        <v>0.29000000000000004</v>
      </c>
      <c r="AG31" s="3" t="str">
        <f>IF(COUNTIF(A:A,Table1[[#This Row],[Opp Team Name]]) &gt; 0, "N", "Y")</f>
        <v>N</v>
      </c>
      <c r="AH31" s="3" t="str">
        <f>IF(Table1[[#This Row],[Passing Attempts]] &lt;15, "Y", "N")</f>
        <v>N</v>
      </c>
      <c r="AI31" s="3" t="str">
        <f>IF(Table1[[#This Row],[Rushing Attempts]] &lt; 15, "Y", "N")</f>
        <v>N</v>
      </c>
      <c r="AJ31" s="3" t="str">
        <f>IF(Table1[[#This Row],[Opp Passing Attempts]]&lt;15, "Y", "N")</f>
        <v>N</v>
      </c>
      <c r="AK31" s="3" t="str">
        <f>IF(Table1[[#This Row],[Opp Rushing Attempts]]&lt;15, "Y", "N")</f>
        <v>N</v>
      </c>
      <c r="AL3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121.85</v>
      </c>
      <c r="AM3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81</v>
      </c>
      <c r="AN3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124.99</v>
      </c>
      <c r="AO3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72.849999999999994</v>
      </c>
      <c r="AP31" s="3">
        <f>ABS(Table1[[#This Row],[Team Score]]-Table1[[#This Row],[Opp Team Score]])</f>
        <v>14</v>
      </c>
      <c r="AQ31" s="3">
        <f>SUM(Table1[[#This Row],[Team Score]], Table1[[#This Row],[Opp Team Score]])</f>
        <v>62</v>
      </c>
      <c r="AR3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24.319999999999993</v>
      </c>
      <c r="AS31" s="3">
        <f>IF(Table1[[#This Row],[Efficiency Difference]] = " ", " ", ROUND((Table1[[#This Row],[Winning Margin]]*100)/Table1[[#This Row],[Efficiency Difference]], 2))</f>
        <v>57.57</v>
      </c>
    </row>
    <row r="32" spans="1:45">
      <c r="A32" t="s">
        <v>110</v>
      </c>
      <c r="B32">
        <v>0</v>
      </c>
      <c r="C32">
        <v>20</v>
      </c>
      <c r="D32">
        <v>272</v>
      </c>
      <c r="E32">
        <v>46</v>
      </c>
      <c r="F32">
        <v>1</v>
      </c>
      <c r="G32">
        <v>24</v>
      </c>
      <c r="H32">
        <v>1</v>
      </c>
      <c r="I32">
        <v>38</v>
      </c>
      <c r="J32">
        <v>13</v>
      </c>
      <c r="K32">
        <v>0</v>
      </c>
      <c r="L32">
        <v>2</v>
      </c>
      <c r="M32" t="s">
        <v>111</v>
      </c>
      <c r="N32">
        <v>0</v>
      </c>
      <c r="O32">
        <v>23</v>
      </c>
      <c r="P32">
        <v>99</v>
      </c>
      <c r="Q32">
        <v>22</v>
      </c>
      <c r="R32">
        <v>1</v>
      </c>
      <c r="S32">
        <v>13</v>
      </c>
      <c r="T32">
        <v>0</v>
      </c>
      <c r="U32">
        <v>190</v>
      </c>
      <c r="V32">
        <v>39</v>
      </c>
      <c r="W32">
        <v>1</v>
      </c>
      <c r="X32">
        <v>1</v>
      </c>
      <c r="Y32" t="s">
        <v>15</v>
      </c>
      <c r="Z32">
        <v>0</v>
      </c>
      <c r="AA32">
        <f>IF(AND(Table1[[#This Row],[Throw Out Pass Eff]]="N", Table1[[#This Row],[Against FCS Team]]="N"), ROUND(((5.45 * D32) + (150 * F32) + (100 * G32) - (300 * H32)) / E32, 2), " ")</f>
        <v>81.14</v>
      </c>
      <c r="AB32">
        <f>IF(AND(Table1[[#This Row],[Throw Out Pass Def Eff]]="N", Table1[[#This Row],[Against FCS Team]]="N"),200 - ROUND(((5.45 * P32) + (150 * R32) + (100 * S32) - (300 * T32)) / Q32, 2), " ")</f>
        <v>109.57</v>
      </c>
      <c r="AC32" t="str">
        <f>IF(AND(Table1[[#This Row],[Throw Out Rush Eff]]="N", Table1[[#This Row],[Against FCS Team]]="N"), ROUND(((23.2 * I32) + (150 * K32) - (300 * L32)) / J32, 2), " ")</f>
        <v xml:space="preserve"> </v>
      </c>
      <c r="AD32" s="3">
        <f>IF(AND(Table1[[#This Row],[Throw Out Rush Def Eff]]="N", Table1[[#This Row],[Against FCS Team]]="N"), 200 - ROUND(((23.2 * U32) + (150 * W32) - (300 * X32)) / V32, 2), " ")</f>
        <v>90.82</v>
      </c>
      <c r="AE32" s="3">
        <f>ROUND(Table1[[#This Row],[Opp Passing Attempts]]/(Table1[[#This Row],[Opp Passing Attempts]]+Table1[[#This Row],[Opp Rushing Attempts]]), 2)</f>
        <v>0.36</v>
      </c>
      <c r="AF32" s="3">
        <f>1-Table1[[#This Row],[Passing Weight]]</f>
        <v>0.64</v>
      </c>
      <c r="AG32" s="3" t="str">
        <f>IF(COUNTIF(A:A,Table1[[#This Row],[Opp Team Name]]) &gt; 0, "N", "Y")</f>
        <v>N</v>
      </c>
      <c r="AH32" s="3" t="str">
        <f>IF(Table1[[#This Row],[Passing Attempts]] &lt;15, "Y", "N")</f>
        <v>N</v>
      </c>
      <c r="AI32" s="3" t="str">
        <f>IF(Table1[[#This Row],[Rushing Attempts]] &lt; 15, "Y", "N")</f>
        <v>Y</v>
      </c>
      <c r="AJ32" s="3" t="str">
        <f>IF(Table1[[#This Row],[Opp Passing Attempts]]&lt;15, "Y", "N")</f>
        <v>N</v>
      </c>
      <c r="AK32" s="3" t="str">
        <f>IF(Table1[[#This Row],[Opp Rushing Attempts]]&lt;15, "Y", "N")</f>
        <v>N</v>
      </c>
      <c r="AL3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91.87</v>
      </c>
      <c r="AM3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95.32</v>
      </c>
      <c r="AN32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3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111.98</v>
      </c>
      <c r="AP32" s="3">
        <f>ABS(Table1[[#This Row],[Team Score]]-Table1[[#This Row],[Opp Team Score]])</f>
        <v>3</v>
      </c>
      <c r="AQ32" s="3">
        <f>SUM(Table1[[#This Row],[Team Score]], Table1[[#This Row],[Opp Team Score]])</f>
        <v>43</v>
      </c>
      <c r="AR3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2" s="3" t="str">
        <f>IF(Table1[[#This Row],[Efficiency Difference]] = " ", " ", ROUND((Table1[[#This Row],[Winning Margin]]*100)/Table1[[#This Row],[Efficiency Difference]], 2))</f>
        <v xml:space="preserve"> </v>
      </c>
    </row>
    <row r="33" spans="1:45">
      <c r="A33" t="s">
        <v>111</v>
      </c>
      <c r="B33">
        <v>0</v>
      </c>
      <c r="C33">
        <v>23</v>
      </c>
      <c r="D33">
        <v>99</v>
      </c>
      <c r="E33">
        <v>22</v>
      </c>
      <c r="F33">
        <v>1</v>
      </c>
      <c r="G33">
        <v>13</v>
      </c>
      <c r="H33">
        <v>0</v>
      </c>
      <c r="I33">
        <v>190</v>
      </c>
      <c r="J33">
        <v>39</v>
      </c>
      <c r="K33">
        <v>1</v>
      </c>
      <c r="L33">
        <v>1</v>
      </c>
      <c r="M33" t="s">
        <v>110</v>
      </c>
      <c r="N33">
        <v>0</v>
      </c>
      <c r="O33">
        <v>20</v>
      </c>
      <c r="P33">
        <v>272</v>
      </c>
      <c r="Q33">
        <v>46</v>
      </c>
      <c r="R33">
        <v>1</v>
      </c>
      <c r="S33">
        <v>24</v>
      </c>
      <c r="T33">
        <v>1</v>
      </c>
      <c r="U33">
        <v>38</v>
      </c>
      <c r="V33">
        <v>13</v>
      </c>
      <c r="W33">
        <v>0</v>
      </c>
      <c r="X33">
        <v>2</v>
      </c>
      <c r="Y33" t="s">
        <v>14</v>
      </c>
      <c r="Z33">
        <v>0</v>
      </c>
      <c r="AA33">
        <f>IF(AND(Table1[[#This Row],[Throw Out Pass Eff]]="N", Table1[[#This Row],[Against FCS Team]]="N"), ROUND(((5.45 * D33) + (150 * F33) + (100 * G33) - (300 * H33)) / E33, 2), " ")</f>
        <v>90.43</v>
      </c>
      <c r="AB33">
        <f>IF(AND(Table1[[#This Row],[Throw Out Pass Def Eff]]="N", Table1[[#This Row],[Against FCS Team]]="N"),200 - ROUND(((5.45 * P33) + (150 * R33) + (100 * S33) - (300 * T33)) / Q33, 2), " ")</f>
        <v>118.86</v>
      </c>
      <c r="AC33">
        <f>IF(AND(Table1[[#This Row],[Throw Out Rush Eff]]="N", Table1[[#This Row],[Against FCS Team]]="N"), ROUND(((23.2 * I33) + (150 * K33) - (300 * L33)) / J33, 2), " ")</f>
        <v>109.18</v>
      </c>
      <c r="AD33" s="3" t="str">
        <f>IF(AND(Table1[[#This Row],[Throw Out Rush Def Eff]]="N", Table1[[#This Row],[Against FCS Team]]="N"), 200 - ROUND(((23.2 * U33) + (150 * W33) - (300 * X33)) / V33, 2), " ")</f>
        <v xml:space="preserve"> </v>
      </c>
      <c r="AE33" s="3">
        <f>ROUND(Table1[[#This Row],[Opp Passing Attempts]]/(Table1[[#This Row],[Opp Passing Attempts]]+Table1[[#This Row],[Opp Rushing Attempts]]), 2)</f>
        <v>0.78</v>
      </c>
      <c r="AF33" s="3">
        <f>1-Table1[[#This Row],[Passing Weight]]</f>
        <v>0.21999999999999997</v>
      </c>
      <c r="AG33" s="3" t="str">
        <f>IF(COUNTIF(A:A,Table1[[#This Row],[Opp Team Name]]) &gt; 0, "N", "Y")</f>
        <v>N</v>
      </c>
      <c r="AH33" s="3" t="str">
        <f>IF(Table1[[#This Row],[Passing Attempts]] &lt;15, "Y", "N")</f>
        <v>N</v>
      </c>
      <c r="AI33" s="3" t="str">
        <f>IF(Table1[[#This Row],[Rushing Attempts]] &lt; 15, "Y", "N")</f>
        <v>N</v>
      </c>
      <c r="AJ33" s="3" t="str">
        <f>IF(Table1[[#This Row],[Opp Passing Attempts]]&lt;15, "Y", "N")</f>
        <v>N</v>
      </c>
      <c r="AK33" s="3" t="str">
        <f>IF(Table1[[#This Row],[Opp Rushing Attempts]]&lt;15, "Y", "N")</f>
        <v>Y</v>
      </c>
      <c r="AL3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81.53</v>
      </c>
      <c r="AM3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102.38</v>
      </c>
      <c r="AN3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131.75</v>
      </c>
      <c r="AO33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33" s="3">
        <f>ABS(Table1[[#This Row],[Team Score]]-Table1[[#This Row],[Opp Team Score]])</f>
        <v>3</v>
      </c>
      <c r="AQ33" s="3">
        <f>SUM(Table1[[#This Row],[Team Score]], Table1[[#This Row],[Opp Team Score]])</f>
        <v>43</v>
      </c>
      <c r="AR33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3" s="3" t="str">
        <f>IF(Table1[[#This Row],[Efficiency Difference]] = " ", " ", ROUND((Table1[[#This Row],[Winning Margin]]*100)/Table1[[#This Row],[Efficiency Difference]], 2))</f>
        <v xml:space="preserve"> </v>
      </c>
    </row>
    <row r="34" spans="1:45">
      <c r="A34" t="s">
        <v>95</v>
      </c>
      <c r="B34">
        <v>0</v>
      </c>
      <c r="C34">
        <v>24</v>
      </c>
      <c r="D34">
        <v>297</v>
      </c>
      <c r="E34">
        <v>31</v>
      </c>
      <c r="F34">
        <v>1</v>
      </c>
      <c r="G34">
        <v>23</v>
      </c>
      <c r="H34">
        <v>0</v>
      </c>
      <c r="I34">
        <v>124</v>
      </c>
      <c r="J34">
        <v>35</v>
      </c>
      <c r="K34">
        <v>2</v>
      </c>
      <c r="L34">
        <v>0</v>
      </c>
      <c r="M34" t="s">
        <v>105</v>
      </c>
      <c r="N34">
        <v>0</v>
      </c>
      <c r="O34">
        <v>0</v>
      </c>
      <c r="P34">
        <v>133</v>
      </c>
      <c r="Q34">
        <v>29</v>
      </c>
      <c r="R34">
        <v>0</v>
      </c>
      <c r="S34">
        <v>20</v>
      </c>
      <c r="T34">
        <v>0</v>
      </c>
      <c r="U34">
        <v>31</v>
      </c>
      <c r="V34">
        <v>13</v>
      </c>
      <c r="W34">
        <v>0</v>
      </c>
      <c r="X34">
        <v>0</v>
      </c>
      <c r="Y34" t="s">
        <v>14</v>
      </c>
      <c r="Z34">
        <v>0</v>
      </c>
      <c r="AA34">
        <f>IF(AND(Table1[[#This Row],[Throw Out Pass Eff]]="N", Table1[[#This Row],[Against FCS Team]]="N"), ROUND(((5.45 * D34) + (150 * F34) + (100 * G34) - (300 * H34)) / E34, 2), " ")</f>
        <v>131.25</v>
      </c>
      <c r="AB34">
        <f>IF(AND(Table1[[#This Row],[Throw Out Pass Def Eff]]="N", Table1[[#This Row],[Against FCS Team]]="N"),200 - ROUND(((5.45 * P34) + (150 * R34) + (100 * S34) - (300 * T34)) / Q34, 2), " ")</f>
        <v>106.04</v>
      </c>
      <c r="AC34">
        <f>IF(AND(Table1[[#This Row],[Throw Out Rush Eff]]="N", Table1[[#This Row],[Against FCS Team]]="N"), ROUND(((23.2 * I34) + (150 * K34) - (300 * L34)) / J34, 2), " ")</f>
        <v>90.77</v>
      </c>
      <c r="AD34" s="3" t="str">
        <f>IF(AND(Table1[[#This Row],[Throw Out Rush Def Eff]]="N", Table1[[#This Row],[Against FCS Team]]="N"), 200 - ROUND(((23.2 * U34) + (150 * W34) - (300 * X34)) / V34, 2), " ")</f>
        <v xml:space="preserve"> </v>
      </c>
      <c r="AE34" s="3">
        <f>ROUND(Table1[[#This Row],[Opp Passing Attempts]]/(Table1[[#This Row],[Opp Passing Attempts]]+Table1[[#This Row],[Opp Rushing Attempts]]), 2)</f>
        <v>0.69</v>
      </c>
      <c r="AF34" s="3">
        <f>1-Table1[[#This Row],[Passing Weight]]</f>
        <v>0.31000000000000005</v>
      </c>
      <c r="AG34" s="3" t="str">
        <f>IF(COUNTIF(A:A,Table1[[#This Row],[Opp Team Name]]) &gt; 0, "N", "Y")</f>
        <v>N</v>
      </c>
      <c r="AH34" s="3" t="str">
        <f>IF(Table1[[#This Row],[Passing Attempts]] &lt;15, "Y", "N")</f>
        <v>N</v>
      </c>
      <c r="AI34" s="3" t="str">
        <f>IF(Table1[[#This Row],[Rushing Attempts]] &lt; 15, "Y", "N")</f>
        <v>N</v>
      </c>
      <c r="AJ34" s="3" t="str">
        <f>IF(Table1[[#This Row],[Opp Passing Attempts]]&lt;15, "Y", "N")</f>
        <v>N</v>
      </c>
      <c r="AK34" s="3" t="str">
        <f>IF(Table1[[#This Row],[Opp Rushing Attempts]]&lt;15, "Y", "N")</f>
        <v>Y</v>
      </c>
      <c r="AL3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128.72999999999999</v>
      </c>
      <c r="AM3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87.93</v>
      </c>
      <c r="AN3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116.39</v>
      </c>
      <c r="AO34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34" s="3">
        <f>ABS(Table1[[#This Row],[Team Score]]-Table1[[#This Row],[Opp Team Score]])</f>
        <v>24</v>
      </c>
      <c r="AQ34" s="3">
        <f>SUM(Table1[[#This Row],[Team Score]], Table1[[#This Row],[Opp Team Score]])</f>
        <v>24</v>
      </c>
      <c r="AR34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4" s="3" t="str">
        <f>IF(Table1[[#This Row],[Efficiency Difference]] = " ", " ", ROUND((Table1[[#This Row],[Winning Margin]]*100)/Table1[[#This Row],[Efficiency Difference]], 2))</f>
        <v xml:space="preserve"> </v>
      </c>
    </row>
    <row r="35" spans="1:45">
      <c r="A35" t="s">
        <v>105</v>
      </c>
      <c r="B35">
        <v>0</v>
      </c>
      <c r="C35">
        <v>0</v>
      </c>
      <c r="D35">
        <v>133</v>
      </c>
      <c r="E35">
        <v>29</v>
      </c>
      <c r="F35">
        <v>0</v>
      </c>
      <c r="G35">
        <v>20</v>
      </c>
      <c r="H35">
        <v>0</v>
      </c>
      <c r="I35">
        <v>31</v>
      </c>
      <c r="J35">
        <v>13</v>
      </c>
      <c r="K35">
        <v>0</v>
      </c>
      <c r="L35">
        <v>0</v>
      </c>
      <c r="M35" t="s">
        <v>95</v>
      </c>
      <c r="N35">
        <v>0</v>
      </c>
      <c r="O35">
        <v>24</v>
      </c>
      <c r="P35">
        <v>297</v>
      </c>
      <c r="Q35">
        <v>31</v>
      </c>
      <c r="R35">
        <v>1</v>
      </c>
      <c r="S35">
        <v>23</v>
      </c>
      <c r="T35">
        <v>0</v>
      </c>
      <c r="U35">
        <v>124</v>
      </c>
      <c r="V35">
        <v>35</v>
      </c>
      <c r="W35">
        <v>2</v>
      </c>
      <c r="X35">
        <v>0</v>
      </c>
      <c r="Y35" t="s">
        <v>15</v>
      </c>
      <c r="Z35">
        <v>0</v>
      </c>
      <c r="AA35">
        <f>IF(AND(Table1[[#This Row],[Throw Out Pass Eff]]="N", Table1[[#This Row],[Against FCS Team]]="N"), ROUND(((5.45 * D35) + (150 * F35) + (100 * G35) - (300 * H35)) / E35, 2), " ")</f>
        <v>93.96</v>
      </c>
      <c r="AB35">
        <f>IF(AND(Table1[[#This Row],[Throw Out Pass Def Eff]]="N", Table1[[#This Row],[Against FCS Team]]="N"),200 - ROUND(((5.45 * P35) + (150 * R35) + (100 * S35) - (300 * T35)) / Q35, 2), " ")</f>
        <v>68.75</v>
      </c>
      <c r="AC35" t="str">
        <f>IF(AND(Table1[[#This Row],[Throw Out Rush Eff]]="N", Table1[[#This Row],[Against FCS Team]]="N"), ROUND(((23.2 * I35) + (150 * K35) - (300 * L35)) / J35, 2), " ")</f>
        <v xml:space="preserve"> </v>
      </c>
      <c r="AD35" s="3">
        <f>IF(AND(Table1[[#This Row],[Throw Out Rush Def Eff]]="N", Table1[[#This Row],[Against FCS Team]]="N"), 200 - ROUND(((23.2 * U35) + (150 * W35) - (300 * X35)) / V35, 2), " ")</f>
        <v>109.23</v>
      </c>
      <c r="AE35" s="3">
        <f>ROUND(Table1[[#This Row],[Opp Passing Attempts]]/(Table1[[#This Row],[Opp Passing Attempts]]+Table1[[#This Row],[Opp Rushing Attempts]]), 2)</f>
        <v>0.47</v>
      </c>
      <c r="AF35" s="3">
        <f>1-Table1[[#This Row],[Passing Weight]]</f>
        <v>0.53</v>
      </c>
      <c r="AG35" s="3" t="str">
        <f>IF(COUNTIF(A:A,Table1[[#This Row],[Opp Team Name]]) &gt; 0, "N", "Y")</f>
        <v>N</v>
      </c>
      <c r="AH35" s="3" t="str">
        <f>IF(Table1[[#This Row],[Passing Attempts]] &lt;15, "Y", "N")</f>
        <v>N</v>
      </c>
      <c r="AI35" s="3" t="str">
        <f>IF(Table1[[#This Row],[Rushing Attempts]] &lt; 15, "Y", "N")</f>
        <v>Y</v>
      </c>
      <c r="AJ35" s="3" t="str">
        <f>IF(Table1[[#This Row],[Opp Passing Attempts]]&lt;15, "Y", "N")</f>
        <v>N</v>
      </c>
      <c r="AK35" s="3" t="str">
        <f>IF(Table1[[#This Row],[Opp Rushing Attempts]]&lt;15, "Y", "N")</f>
        <v>N</v>
      </c>
      <c r="AL3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103.68</v>
      </c>
      <c r="AM3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73</v>
      </c>
      <c r="AN35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3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97.45</v>
      </c>
      <c r="AP35" s="3">
        <f>ABS(Table1[[#This Row],[Team Score]]-Table1[[#This Row],[Opp Team Score]])</f>
        <v>24</v>
      </c>
      <c r="AQ35" s="3">
        <f>SUM(Table1[[#This Row],[Team Score]], Table1[[#This Row],[Opp Team Score]])</f>
        <v>24</v>
      </c>
      <c r="AR3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5" s="3" t="str">
        <f>IF(Table1[[#This Row],[Efficiency Difference]] = " ", " ", ROUND((Table1[[#This Row],[Winning Margin]]*100)/Table1[[#This Row],[Efficiency Difference]], 2))</f>
        <v xml:space="preserve"> </v>
      </c>
    </row>
    <row r="36" spans="1:45">
      <c r="A36" t="s">
        <v>89</v>
      </c>
      <c r="B36">
        <v>0</v>
      </c>
      <c r="C36">
        <v>26</v>
      </c>
      <c r="D36">
        <v>358</v>
      </c>
      <c r="E36">
        <v>42</v>
      </c>
      <c r="F36">
        <v>1</v>
      </c>
      <c r="G36">
        <v>30</v>
      </c>
      <c r="H36">
        <v>1</v>
      </c>
      <c r="I36">
        <v>74</v>
      </c>
      <c r="J36">
        <v>29</v>
      </c>
      <c r="K36">
        <v>1</v>
      </c>
      <c r="L36">
        <v>0</v>
      </c>
      <c r="M36" t="s">
        <v>94</v>
      </c>
      <c r="N36">
        <v>0</v>
      </c>
      <c r="O36">
        <v>13</v>
      </c>
      <c r="P36">
        <v>184</v>
      </c>
      <c r="Q36">
        <v>32</v>
      </c>
      <c r="R36">
        <v>1</v>
      </c>
      <c r="S36">
        <v>15</v>
      </c>
      <c r="T36">
        <v>2</v>
      </c>
      <c r="U36">
        <v>45</v>
      </c>
      <c r="V36">
        <v>17</v>
      </c>
      <c r="W36">
        <v>0</v>
      </c>
      <c r="X36">
        <v>1</v>
      </c>
      <c r="Y36" t="s">
        <v>14</v>
      </c>
      <c r="Z36">
        <v>0</v>
      </c>
      <c r="AA36">
        <f>IF(AND(Table1[[#This Row],[Throw Out Pass Eff]]="N", Table1[[#This Row],[Against FCS Team]]="N"), ROUND(((5.45 * D36) + (150 * F36) + (100 * G36) - (300 * H36)) / E36, 2), " ")</f>
        <v>114.31</v>
      </c>
      <c r="AB36">
        <f>IF(AND(Table1[[#This Row],[Throw Out Pass Def Eff]]="N", Table1[[#This Row],[Against FCS Team]]="N"),200 - ROUND(((5.45 * P36) + (150 * R36) + (100 * S36) - (300 * T36)) / Q36, 2), " ")</f>
        <v>135.85</v>
      </c>
      <c r="AC36">
        <f>IF(AND(Table1[[#This Row],[Throw Out Rush Eff]]="N", Table1[[#This Row],[Against FCS Team]]="N"), ROUND(((23.2 * I36) + (150 * K36) - (300 * L36)) / J36, 2), " ")</f>
        <v>64.37</v>
      </c>
      <c r="AD36" s="3">
        <f>IF(AND(Table1[[#This Row],[Throw Out Rush Def Eff]]="N", Table1[[#This Row],[Against FCS Team]]="N"), 200 - ROUND(((23.2 * U36) + (150 * W36) - (300 * X36)) / V36, 2), " ")</f>
        <v>156.24</v>
      </c>
      <c r="AE36" s="3">
        <f>ROUND(Table1[[#This Row],[Opp Passing Attempts]]/(Table1[[#This Row],[Opp Passing Attempts]]+Table1[[#This Row],[Opp Rushing Attempts]]), 2)</f>
        <v>0.65</v>
      </c>
      <c r="AF36" s="3">
        <f>1-Table1[[#This Row],[Passing Weight]]</f>
        <v>0.35</v>
      </c>
      <c r="AG36" s="3" t="str">
        <f>IF(COUNTIF(A:A,Table1[[#This Row],[Opp Team Name]]) &gt; 0, "N", "Y")</f>
        <v>N</v>
      </c>
      <c r="AH36" s="3" t="str">
        <f>IF(Table1[[#This Row],[Passing Attempts]] &lt;15, "Y", "N")</f>
        <v>N</v>
      </c>
      <c r="AI36" s="3" t="str">
        <f>IF(Table1[[#This Row],[Rushing Attempts]] &lt; 15, "Y", "N")</f>
        <v>N</v>
      </c>
      <c r="AJ36" s="3" t="str">
        <f>IF(Table1[[#This Row],[Opp Passing Attempts]]&lt;15, "Y", "N")</f>
        <v>N</v>
      </c>
      <c r="AK36" s="3" t="str">
        <f>IF(Table1[[#This Row],[Opp Rushing Attempts]]&lt;15, "Y", "N")</f>
        <v>N</v>
      </c>
      <c r="AL3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143.72</v>
      </c>
      <c r="AM3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114.22</v>
      </c>
      <c r="AN3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93.92</v>
      </c>
      <c r="AO3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142.27000000000001</v>
      </c>
      <c r="AP36" s="3">
        <f>ABS(Table1[[#This Row],[Team Score]]-Table1[[#This Row],[Opp Team Score]])</f>
        <v>13</v>
      </c>
      <c r="AQ36" s="3">
        <f>SUM(Table1[[#This Row],[Team Score]], Table1[[#This Row],[Opp Team Score]])</f>
        <v>39</v>
      </c>
      <c r="AR3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70.770000000000039</v>
      </c>
      <c r="AS36" s="3">
        <f>IF(Table1[[#This Row],[Efficiency Difference]] = " ", " ", ROUND((Table1[[#This Row],[Winning Margin]]*100)/Table1[[#This Row],[Efficiency Difference]], 2))</f>
        <v>18.37</v>
      </c>
    </row>
    <row r="37" spans="1:45">
      <c r="A37" t="s">
        <v>94</v>
      </c>
      <c r="B37">
        <v>0</v>
      </c>
      <c r="C37">
        <v>13</v>
      </c>
      <c r="D37">
        <v>184</v>
      </c>
      <c r="E37">
        <v>32</v>
      </c>
      <c r="F37">
        <v>1</v>
      </c>
      <c r="G37">
        <v>15</v>
      </c>
      <c r="H37">
        <v>2</v>
      </c>
      <c r="I37">
        <v>45</v>
      </c>
      <c r="J37">
        <v>17</v>
      </c>
      <c r="K37">
        <v>0</v>
      </c>
      <c r="L37">
        <v>1</v>
      </c>
      <c r="M37" t="s">
        <v>89</v>
      </c>
      <c r="N37">
        <v>0</v>
      </c>
      <c r="O37">
        <v>26</v>
      </c>
      <c r="P37">
        <v>358</v>
      </c>
      <c r="Q37">
        <v>42</v>
      </c>
      <c r="R37">
        <v>1</v>
      </c>
      <c r="S37">
        <v>30</v>
      </c>
      <c r="T37">
        <v>1</v>
      </c>
      <c r="U37">
        <v>74</v>
      </c>
      <c r="V37">
        <v>29</v>
      </c>
      <c r="W37">
        <v>1</v>
      </c>
      <c r="X37">
        <v>0</v>
      </c>
      <c r="Y37" t="s">
        <v>15</v>
      </c>
      <c r="Z37">
        <v>0</v>
      </c>
      <c r="AA37">
        <f>IF(AND(Table1[[#This Row],[Throw Out Pass Eff]]="N", Table1[[#This Row],[Against FCS Team]]="N"), ROUND(((5.45 * D37) + (150 * F37) + (100 * G37) - (300 * H37)) / E37, 2), " ")</f>
        <v>64.150000000000006</v>
      </c>
      <c r="AB37">
        <f>IF(AND(Table1[[#This Row],[Throw Out Pass Def Eff]]="N", Table1[[#This Row],[Against FCS Team]]="N"),200 - ROUND(((5.45 * P37) + (150 * R37) + (100 * S37) - (300 * T37)) / Q37, 2), " ")</f>
        <v>85.69</v>
      </c>
      <c r="AC37">
        <f>IF(AND(Table1[[#This Row],[Throw Out Rush Eff]]="N", Table1[[#This Row],[Against FCS Team]]="N"), ROUND(((23.2 * I37) + (150 * K37) - (300 * L37)) / J37, 2), " ")</f>
        <v>43.76</v>
      </c>
      <c r="AD37" s="3">
        <f>IF(AND(Table1[[#This Row],[Throw Out Rush Def Eff]]="N", Table1[[#This Row],[Against FCS Team]]="N"), 200 - ROUND(((23.2 * U37) + (150 * W37) - (300 * X37)) / V37, 2), " ")</f>
        <v>135.63</v>
      </c>
      <c r="AE37" s="3">
        <f>ROUND(Table1[[#This Row],[Opp Passing Attempts]]/(Table1[[#This Row],[Opp Passing Attempts]]+Table1[[#This Row],[Opp Rushing Attempts]]), 2)</f>
        <v>0.59</v>
      </c>
      <c r="AF37" s="3">
        <f>1-Table1[[#This Row],[Passing Weight]]</f>
        <v>0.41000000000000003</v>
      </c>
      <c r="AG37" s="3" t="str">
        <f>IF(COUNTIF(A:A,Table1[[#This Row],[Opp Team Name]]) &gt; 0, "N", "Y")</f>
        <v>N</v>
      </c>
      <c r="AH37" s="3" t="str">
        <f>IF(Table1[[#This Row],[Passing Attempts]] &lt;15, "Y", "N")</f>
        <v>N</v>
      </c>
      <c r="AI37" s="3" t="str">
        <f>IF(Table1[[#This Row],[Rushing Attempts]] &lt; 15, "Y", "N")</f>
        <v>N</v>
      </c>
      <c r="AJ37" s="3" t="str">
        <f>IF(Table1[[#This Row],[Opp Passing Attempts]]&lt;15, "Y", "N")</f>
        <v>N</v>
      </c>
      <c r="AK37" s="3" t="str">
        <f>IF(Table1[[#This Row],[Opp Rushing Attempts]]&lt;15, "Y", "N")</f>
        <v>N</v>
      </c>
      <c r="AL3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61.19</v>
      </c>
      <c r="AM3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84.15</v>
      </c>
      <c r="AN3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49.7</v>
      </c>
      <c r="AO3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92.66</v>
      </c>
      <c r="AP37" s="3">
        <f>ABS(Table1[[#This Row],[Team Score]]-Table1[[#This Row],[Opp Team Score]])</f>
        <v>13</v>
      </c>
      <c r="AQ37" s="3">
        <f>SUM(Table1[[#This Row],[Team Score]], Table1[[#This Row],[Opp Team Score]])</f>
        <v>39</v>
      </c>
      <c r="AR3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70.77000000000001</v>
      </c>
      <c r="AS37" s="3">
        <f>IF(Table1[[#This Row],[Efficiency Difference]] = " ", " ", ROUND((Table1[[#This Row],[Winning Margin]]*100)/Table1[[#This Row],[Efficiency Difference]], 2))</f>
        <v>18.37</v>
      </c>
    </row>
    <row r="38" spans="1:45">
      <c r="A38" t="s">
        <v>106</v>
      </c>
      <c r="B38">
        <v>0</v>
      </c>
      <c r="C38">
        <v>32</v>
      </c>
      <c r="D38">
        <v>182</v>
      </c>
      <c r="E38">
        <v>24</v>
      </c>
      <c r="F38">
        <v>2</v>
      </c>
      <c r="G38">
        <v>17</v>
      </c>
      <c r="H38">
        <v>2</v>
      </c>
      <c r="I38">
        <v>101</v>
      </c>
      <c r="J38">
        <v>32</v>
      </c>
      <c r="K38">
        <v>1</v>
      </c>
      <c r="L38">
        <v>0</v>
      </c>
      <c r="M38" t="s">
        <v>88</v>
      </c>
      <c r="N38">
        <v>0</v>
      </c>
      <c r="O38">
        <v>3</v>
      </c>
      <c r="P38">
        <v>91</v>
      </c>
      <c r="Q38">
        <v>25</v>
      </c>
      <c r="R38">
        <v>0</v>
      </c>
      <c r="S38">
        <v>11</v>
      </c>
      <c r="T38">
        <v>4</v>
      </c>
      <c r="U38">
        <v>112</v>
      </c>
      <c r="V38">
        <v>27</v>
      </c>
      <c r="W38">
        <v>0</v>
      </c>
      <c r="X38">
        <v>0</v>
      </c>
      <c r="Y38" t="s">
        <v>14</v>
      </c>
      <c r="Z38">
        <v>0</v>
      </c>
      <c r="AA38">
        <f>IF(AND(Table1[[#This Row],[Throw Out Pass Eff]]="N", Table1[[#This Row],[Against FCS Team]]="N"), ROUND(((5.45 * D38) + (150 * F38) + (100 * G38) - (300 * H38)) / E38, 2), " ")</f>
        <v>99.66</v>
      </c>
      <c r="AB38">
        <f>IF(AND(Table1[[#This Row],[Throw Out Pass Def Eff]]="N", Table1[[#This Row],[Against FCS Team]]="N"),200 - ROUND(((5.45 * P38) + (150 * R38) + (100 * S38) - (300 * T38)) / Q38, 2), " ")</f>
        <v>184.16</v>
      </c>
      <c r="AC38">
        <f>IF(AND(Table1[[#This Row],[Throw Out Rush Eff]]="N", Table1[[#This Row],[Against FCS Team]]="N"), ROUND(((23.2 * I38) + (150 * K38) - (300 * L38)) / J38, 2), " ")</f>
        <v>77.91</v>
      </c>
      <c r="AD38" s="3">
        <f>IF(AND(Table1[[#This Row],[Throw Out Rush Def Eff]]="N", Table1[[#This Row],[Against FCS Team]]="N"), 200 - ROUND(((23.2 * U38) + (150 * W38) - (300 * X38)) / V38, 2), " ")</f>
        <v>103.76</v>
      </c>
      <c r="AE38" s="3">
        <f>ROUND(Table1[[#This Row],[Opp Passing Attempts]]/(Table1[[#This Row],[Opp Passing Attempts]]+Table1[[#This Row],[Opp Rushing Attempts]]), 2)</f>
        <v>0.48</v>
      </c>
      <c r="AF38" s="3">
        <f>1-Table1[[#This Row],[Passing Weight]]</f>
        <v>0.52</v>
      </c>
      <c r="AG38" s="3" t="str">
        <f>IF(COUNTIF(A:A,Table1[[#This Row],[Opp Team Name]]) &gt; 0, "N", "Y")</f>
        <v>N</v>
      </c>
      <c r="AH38" s="3" t="str">
        <f>IF(Table1[[#This Row],[Passing Attempts]] &lt;15, "Y", "N")</f>
        <v>N</v>
      </c>
      <c r="AI38" s="3" t="str">
        <f>IF(Table1[[#This Row],[Rushing Attempts]] &lt; 15, "Y", "N")</f>
        <v>N</v>
      </c>
      <c r="AJ38" s="3" t="str">
        <f>IF(Table1[[#This Row],[Opp Passing Attempts]]&lt;15, "Y", "N")</f>
        <v>N</v>
      </c>
      <c r="AK38" s="3" t="str">
        <f>IF(Table1[[#This Row],[Opp Rushing Attempts]]&lt;15, "Y", "N")</f>
        <v>N</v>
      </c>
      <c r="AL3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107.5</v>
      </c>
      <c r="AM3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129.88</v>
      </c>
      <c r="AN3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79</v>
      </c>
      <c r="AO3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94.45</v>
      </c>
      <c r="AP38" s="3">
        <f>ABS(Table1[[#This Row],[Team Score]]-Table1[[#This Row],[Opp Team Score]])</f>
        <v>29</v>
      </c>
      <c r="AQ38" s="3">
        <f>SUM(Table1[[#This Row],[Team Score]], Table1[[#This Row],[Opp Team Score]])</f>
        <v>35</v>
      </c>
      <c r="AR3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65.490000000000009</v>
      </c>
      <c r="AS38" s="3">
        <f>IF(Table1[[#This Row],[Efficiency Difference]] = " ", " ", ROUND((Table1[[#This Row],[Winning Margin]]*100)/Table1[[#This Row],[Efficiency Difference]], 2))</f>
        <v>44.28</v>
      </c>
    </row>
    <row r="39" spans="1:45">
      <c r="A39" t="s">
        <v>88</v>
      </c>
      <c r="B39">
        <v>0</v>
      </c>
      <c r="C39">
        <v>3</v>
      </c>
      <c r="D39">
        <v>91</v>
      </c>
      <c r="E39">
        <v>25</v>
      </c>
      <c r="F39">
        <v>0</v>
      </c>
      <c r="G39">
        <v>11</v>
      </c>
      <c r="H39">
        <v>4</v>
      </c>
      <c r="I39">
        <v>112</v>
      </c>
      <c r="J39">
        <v>27</v>
      </c>
      <c r="K39">
        <v>0</v>
      </c>
      <c r="L39">
        <v>0</v>
      </c>
      <c r="M39" t="s">
        <v>106</v>
      </c>
      <c r="N39">
        <v>0</v>
      </c>
      <c r="O39">
        <v>32</v>
      </c>
      <c r="P39">
        <v>182</v>
      </c>
      <c r="Q39">
        <v>24</v>
      </c>
      <c r="R39">
        <v>2</v>
      </c>
      <c r="S39">
        <v>17</v>
      </c>
      <c r="T39">
        <v>2</v>
      </c>
      <c r="U39">
        <v>101</v>
      </c>
      <c r="V39">
        <v>32</v>
      </c>
      <c r="W39">
        <v>1</v>
      </c>
      <c r="X39">
        <v>0</v>
      </c>
      <c r="Y39" t="s">
        <v>15</v>
      </c>
      <c r="Z39">
        <v>0</v>
      </c>
      <c r="AA39">
        <f>IF(AND(Table1[[#This Row],[Throw Out Pass Eff]]="N", Table1[[#This Row],[Against FCS Team]]="N"), ROUND(((5.45 * D39) + (150 * F39) + (100 * G39) - (300 * H39)) / E39, 2), " ")</f>
        <v>15.84</v>
      </c>
      <c r="AB39">
        <f>IF(AND(Table1[[#This Row],[Throw Out Pass Def Eff]]="N", Table1[[#This Row],[Against FCS Team]]="N"),200 - ROUND(((5.45 * P39) + (150 * R39) + (100 * S39) - (300 * T39)) / Q39, 2), " ")</f>
        <v>100.34</v>
      </c>
      <c r="AC39">
        <f>IF(AND(Table1[[#This Row],[Throw Out Rush Eff]]="N", Table1[[#This Row],[Against FCS Team]]="N"), ROUND(((23.2 * I39) + (150 * K39) - (300 * L39)) / J39, 2), " ")</f>
        <v>96.24</v>
      </c>
      <c r="AD39" s="3">
        <f>IF(AND(Table1[[#This Row],[Throw Out Rush Def Eff]]="N", Table1[[#This Row],[Against FCS Team]]="N"), 200 - ROUND(((23.2 * U39) + (150 * W39) - (300 * X39)) / V39, 2), " ")</f>
        <v>122.09</v>
      </c>
      <c r="AE39" s="3">
        <f>ROUND(Table1[[#This Row],[Opp Passing Attempts]]/(Table1[[#This Row],[Opp Passing Attempts]]+Table1[[#This Row],[Opp Rushing Attempts]]), 2)</f>
        <v>0.43</v>
      </c>
      <c r="AF39" s="3">
        <f>1-Table1[[#This Row],[Passing Weight]]</f>
        <v>0.57000000000000006</v>
      </c>
      <c r="AG39" s="3" t="str">
        <f>IF(COUNTIF(A:A,Table1[[#This Row],[Opp Team Name]]) &gt; 0, "N", "Y")</f>
        <v>N</v>
      </c>
      <c r="AH39" s="3" t="str">
        <f>IF(Table1[[#This Row],[Passing Attempts]] &lt;15, "Y", "N")</f>
        <v>N</v>
      </c>
      <c r="AI39" s="3" t="str">
        <f>IF(Table1[[#This Row],[Rushing Attempts]] &lt; 15, "Y", "N")</f>
        <v>N</v>
      </c>
      <c r="AJ39" s="3" t="str">
        <f>IF(Table1[[#This Row],[Opp Passing Attempts]]&lt;15, "Y", "N")</f>
        <v>N</v>
      </c>
      <c r="AK39" s="3" t="str">
        <f>IF(Table1[[#This Row],[Opp Rushing Attempts]]&lt;15, "Y", "N")</f>
        <v>N</v>
      </c>
      <c r="AL3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19.97</v>
      </c>
      <c r="AM3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91.56</v>
      </c>
      <c r="AN3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98.98</v>
      </c>
      <c r="AO3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86.48</v>
      </c>
      <c r="AP39" s="3">
        <f>ABS(Table1[[#This Row],[Team Score]]-Table1[[#This Row],[Opp Team Score]])</f>
        <v>29</v>
      </c>
      <c r="AQ39" s="3">
        <f>SUM(Table1[[#This Row],[Team Score]], Table1[[#This Row],[Opp Team Score]])</f>
        <v>35</v>
      </c>
      <c r="AR3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65.489999999999995</v>
      </c>
      <c r="AS39" s="3">
        <f>IF(Table1[[#This Row],[Efficiency Difference]] = " ", " ", ROUND((Table1[[#This Row],[Winning Margin]]*100)/Table1[[#This Row],[Efficiency Difference]], 2))</f>
        <v>44.28</v>
      </c>
    </row>
    <row r="40" spans="1:45">
      <c r="A40" t="s">
        <v>100</v>
      </c>
      <c r="B40">
        <v>0</v>
      </c>
      <c r="C40">
        <v>22</v>
      </c>
      <c r="D40">
        <v>283</v>
      </c>
      <c r="E40">
        <v>43</v>
      </c>
      <c r="F40">
        <v>2</v>
      </c>
      <c r="G40">
        <v>25</v>
      </c>
      <c r="H40">
        <v>2</v>
      </c>
      <c r="I40">
        <v>172</v>
      </c>
      <c r="J40">
        <v>35</v>
      </c>
      <c r="K40">
        <v>0</v>
      </c>
      <c r="L40">
        <v>0</v>
      </c>
      <c r="M40" t="s">
        <v>102</v>
      </c>
      <c r="N40">
        <v>0</v>
      </c>
      <c r="O40">
        <v>21</v>
      </c>
      <c r="P40">
        <v>231</v>
      </c>
      <c r="Q40">
        <v>30</v>
      </c>
      <c r="R40">
        <v>2</v>
      </c>
      <c r="S40">
        <v>17</v>
      </c>
      <c r="T40">
        <v>1</v>
      </c>
      <c r="U40">
        <v>93</v>
      </c>
      <c r="V40">
        <v>15</v>
      </c>
      <c r="W40">
        <v>1</v>
      </c>
      <c r="X40">
        <v>1</v>
      </c>
      <c r="Y40" t="s">
        <v>14</v>
      </c>
      <c r="Z40">
        <v>0</v>
      </c>
      <c r="AA40">
        <f>IF(AND(Table1[[#This Row],[Throw Out Pass Eff]]="N", Table1[[#This Row],[Against FCS Team]]="N"), ROUND(((5.45 * D40) + (150 * F40) + (100 * G40) - (300 * H40)) / E40, 2), " ")</f>
        <v>87.03</v>
      </c>
      <c r="AB40">
        <f>IF(AND(Table1[[#This Row],[Throw Out Pass Def Eff]]="N", Table1[[#This Row],[Against FCS Team]]="N"),200 - ROUND(((5.45 * P40) + (150 * R40) + (100 * S40) - (300 * T40)) / Q40, 2), " ")</f>
        <v>101.37</v>
      </c>
      <c r="AC40">
        <f>IF(AND(Table1[[#This Row],[Throw Out Rush Eff]]="N", Table1[[#This Row],[Against FCS Team]]="N"), ROUND(((23.2 * I40) + (150 * K40) - (300 * L40)) / J40, 2), " ")</f>
        <v>114.01</v>
      </c>
      <c r="AD40" s="3">
        <f>IF(AND(Table1[[#This Row],[Throw Out Rush Def Eff]]="N", Table1[[#This Row],[Against FCS Team]]="N"), 200 - ROUND(((23.2 * U40) + (150 * W40) - (300 * X40)) / V40, 2), " ")</f>
        <v>66.16</v>
      </c>
      <c r="AE40" s="3">
        <f>ROUND(Table1[[#This Row],[Opp Passing Attempts]]/(Table1[[#This Row],[Opp Passing Attempts]]+Table1[[#This Row],[Opp Rushing Attempts]]), 2)</f>
        <v>0.67</v>
      </c>
      <c r="AF40" s="3">
        <f>1-Table1[[#This Row],[Passing Weight]]</f>
        <v>0.32999999999999996</v>
      </c>
      <c r="AG40" s="3" t="str">
        <f>IF(COUNTIF(A:A,Table1[[#This Row],[Opp Team Name]]) &gt; 0, "N", "Y")</f>
        <v>N</v>
      </c>
      <c r="AH40" s="3" t="str">
        <f>IF(Table1[[#This Row],[Passing Attempts]] &lt;15, "Y", "N")</f>
        <v>N</v>
      </c>
      <c r="AI40" s="3" t="str">
        <f>IF(Table1[[#This Row],[Rushing Attempts]] &lt; 15, "Y", "N")</f>
        <v>N</v>
      </c>
      <c r="AJ40" s="3" t="str">
        <f>IF(Table1[[#This Row],[Opp Passing Attempts]]&lt;15, "Y", "N")</f>
        <v>N</v>
      </c>
      <c r="AK40" s="3" t="str">
        <f>IF(Table1[[#This Row],[Opp Rushing Attempts]]&lt;15, "Y", "N")</f>
        <v>N</v>
      </c>
      <c r="AL4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84.48</v>
      </c>
      <c r="AM4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93.39</v>
      </c>
      <c r="AN4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130.44</v>
      </c>
      <c r="AO4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63.65</v>
      </c>
      <c r="AP40" s="3">
        <f>ABS(Table1[[#This Row],[Team Score]]-Table1[[#This Row],[Opp Team Score]])</f>
        <v>1</v>
      </c>
      <c r="AQ40" s="3">
        <f>SUM(Table1[[#This Row],[Team Score]], Table1[[#This Row],[Opp Team Score]])</f>
        <v>43</v>
      </c>
      <c r="AR4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31.429999999999978</v>
      </c>
      <c r="AS40" s="3">
        <f>IF(Table1[[#This Row],[Efficiency Difference]] = " ", " ", ROUND((Table1[[#This Row],[Winning Margin]]*100)/Table1[[#This Row],[Efficiency Difference]], 2))</f>
        <v>3.18</v>
      </c>
    </row>
    <row r="41" spans="1:45">
      <c r="A41" t="s">
        <v>102</v>
      </c>
      <c r="B41">
        <v>0</v>
      </c>
      <c r="C41">
        <v>21</v>
      </c>
      <c r="D41">
        <v>231</v>
      </c>
      <c r="E41">
        <v>30</v>
      </c>
      <c r="F41">
        <v>2</v>
      </c>
      <c r="G41">
        <v>17</v>
      </c>
      <c r="H41">
        <v>1</v>
      </c>
      <c r="I41">
        <v>93</v>
      </c>
      <c r="J41">
        <v>15</v>
      </c>
      <c r="K41">
        <v>1</v>
      </c>
      <c r="L41">
        <v>1</v>
      </c>
      <c r="M41" t="s">
        <v>100</v>
      </c>
      <c r="N41">
        <v>0</v>
      </c>
      <c r="O41">
        <v>22</v>
      </c>
      <c r="P41">
        <v>283</v>
      </c>
      <c r="Q41">
        <v>43</v>
      </c>
      <c r="R41">
        <v>2</v>
      </c>
      <c r="S41">
        <v>25</v>
      </c>
      <c r="T41">
        <v>2</v>
      </c>
      <c r="U41">
        <v>172</v>
      </c>
      <c r="V41">
        <v>35</v>
      </c>
      <c r="W41">
        <v>0</v>
      </c>
      <c r="X41">
        <v>0</v>
      </c>
      <c r="Y41" t="s">
        <v>15</v>
      </c>
      <c r="Z41">
        <v>0</v>
      </c>
      <c r="AA41">
        <f>IF(AND(Table1[[#This Row],[Throw Out Pass Eff]]="N", Table1[[#This Row],[Against FCS Team]]="N"), ROUND(((5.45 * D41) + (150 * F41) + (100 * G41) - (300 * H41)) / E41, 2), " ")</f>
        <v>98.63</v>
      </c>
      <c r="AB41">
        <f>IF(AND(Table1[[#This Row],[Throw Out Pass Def Eff]]="N", Table1[[#This Row],[Against FCS Team]]="N"),200 - ROUND(((5.45 * P41) + (150 * R41) + (100 * S41) - (300 * T41)) / Q41, 2), " ")</f>
        <v>112.97</v>
      </c>
      <c r="AC41">
        <f>IF(AND(Table1[[#This Row],[Throw Out Rush Eff]]="N", Table1[[#This Row],[Against FCS Team]]="N"), ROUND(((23.2 * I41) + (150 * K41) - (300 * L41)) / J41, 2), " ")</f>
        <v>133.84</v>
      </c>
      <c r="AD41" s="3">
        <f>IF(AND(Table1[[#This Row],[Throw Out Rush Def Eff]]="N", Table1[[#This Row],[Against FCS Team]]="N"), 200 - ROUND(((23.2 * U41) + (150 * W41) - (300 * X41)) / V41, 2), " ")</f>
        <v>85.99</v>
      </c>
      <c r="AE41" s="3">
        <f>ROUND(Table1[[#This Row],[Opp Passing Attempts]]/(Table1[[#This Row],[Opp Passing Attempts]]+Table1[[#This Row],[Opp Rushing Attempts]]), 2)</f>
        <v>0.55000000000000004</v>
      </c>
      <c r="AF41" s="3">
        <f>1-Table1[[#This Row],[Passing Weight]]</f>
        <v>0.44999999999999996</v>
      </c>
      <c r="AG41" s="3" t="str">
        <f>IF(COUNTIF(A:A,Table1[[#This Row],[Opp Team Name]]) &gt; 0, "N", "Y")</f>
        <v>N</v>
      </c>
      <c r="AH41" s="3" t="str">
        <f>IF(Table1[[#This Row],[Passing Attempts]] &lt;15, "Y", "N")</f>
        <v>N</v>
      </c>
      <c r="AI41" s="3" t="str">
        <f>IF(Table1[[#This Row],[Rushing Attempts]] &lt; 15, "Y", "N")</f>
        <v>N</v>
      </c>
      <c r="AJ41" s="3" t="str">
        <f>IF(Table1[[#This Row],[Opp Passing Attempts]]&lt;15, "Y", "N")</f>
        <v>N</v>
      </c>
      <c r="AK41" s="3" t="str">
        <f>IF(Table1[[#This Row],[Opp Rushing Attempts]]&lt;15, "Y", "N")</f>
        <v>N</v>
      </c>
      <c r="AL4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104.51</v>
      </c>
      <c r="AM4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93.24</v>
      </c>
      <c r="AN4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129.69</v>
      </c>
      <c r="AO4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72.2</v>
      </c>
      <c r="AP41" s="3">
        <f>ABS(Table1[[#This Row],[Team Score]]-Table1[[#This Row],[Opp Team Score]])</f>
        <v>1</v>
      </c>
      <c r="AQ41" s="3">
        <f>SUM(Table1[[#This Row],[Team Score]], Table1[[#This Row],[Opp Team Score]])</f>
        <v>43</v>
      </c>
      <c r="AR4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31.429999999999978</v>
      </c>
      <c r="AS41" s="3">
        <f>IF(Table1[[#This Row],[Efficiency Difference]] = " ", " ", ROUND((Table1[[#This Row],[Winning Margin]]*100)/Table1[[#This Row],[Efficiency Difference]], 2))</f>
        <v>3.18</v>
      </c>
    </row>
    <row r="42" spans="1:45">
      <c r="A42" t="s">
        <v>87</v>
      </c>
      <c r="B42">
        <v>0</v>
      </c>
      <c r="C42">
        <v>38</v>
      </c>
      <c r="D42">
        <v>258</v>
      </c>
      <c r="E42">
        <v>46</v>
      </c>
      <c r="F42">
        <v>3</v>
      </c>
      <c r="G42">
        <v>28</v>
      </c>
      <c r="H42">
        <v>1</v>
      </c>
      <c r="I42">
        <v>223</v>
      </c>
      <c r="J42">
        <v>24</v>
      </c>
      <c r="K42">
        <v>2</v>
      </c>
      <c r="L42">
        <v>0</v>
      </c>
      <c r="M42" t="s">
        <v>111</v>
      </c>
      <c r="N42">
        <v>0</v>
      </c>
      <c r="O42">
        <v>35</v>
      </c>
      <c r="P42">
        <v>323</v>
      </c>
      <c r="Q42">
        <v>33</v>
      </c>
      <c r="R42">
        <v>2</v>
      </c>
      <c r="S42">
        <v>23</v>
      </c>
      <c r="T42">
        <v>1</v>
      </c>
      <c r="U42">
        <v>131</v>
      </c>
      <c r="V42">
        <v>30</v>
      </c>
      <c r="W42">
        <v>3</v>
      </c>
      <c r="X42">
        <v>1</v>
      </c>
      <c r="Y42" t="s">
        <v>14</v>
      </c>
      <c r="Z42">
        <v>0</v>
      </c>
      <c r="AA42">
        <f>IF(AND(Table1[[#This Row],[Throw Out Pass Eff]]="N", Table1[[#This Row],[Against FCS Team]]="N"), ROUND(((5.45 * D42) + (150 * F42) + (100 * G42) - (300 * H42)) / E42, 2), " ")</f>
        <v>94.7</v>
      </c>
      <c r="AB42">
        <f>IF(AND(Table1[[#This Row],[Throw Out Pass Def Eff]]="N", Table1[[#This Row],[Against FCS Team]]="N"),200 - ROUND(((5.45 * P42) + (150 * R42) + (100 * S42) - (300 * T42)) / Q42, 2), " ")</f>
        <v>76.959999999999994</v>
      </c>
      <c r="AC42">
        <f>IF(AND(Table1[[#This Row],[Throw Out Rush Eff]]="N", Table1[[#This Row],[Against FCS Team]]="N"), ROUND(((23.2 * I42) + (150 * K42) - (300 * L42)) / J42, 2), " ")</f>
        <v>228.07</v>
      </c>
      <c r="AD42" s="3">
        <f>IF(AND(Table1[[#This Row],[Throw Out Rush Def Eff]]="N", Table1[[#This Row],[Against FCS Team]]="N"), 200 - ROUND(((23.2 * U42) + (150 * W42) - (300 * X42)) / V42, 2), " ")</f>
        <v>93.69</v>
      </c>
      <c r="AE42" s="3">
        <f>ROUND(Table1[[#This Row],[Opp Passing Attempts]]/(Table1[[#This Row],[Opp Passing Attempts]]+Table1[[#This Row],[Opp Rushing Attempts]]), 2)</f>
        <v>0.52</v>
      </c>
      <c r="AF42" s="3">
        <f>1-Table1[[#This Row],[Passing Weight]]</f>
        <v>0.48</v>
      </c>
      <c r="AG42" s="3" t="str">
        <f>IF(COUNTIF(A:A,Table1[[#This Row],[Opp Team Name]]) &gt; 0, "N", "Y")</f>
        <v>N</v>
      </c>
      <c r="AH42" s="3" t="str">
        <f>IF(Table1[[#This Row],[Passing Attempts]] &lt;15, "Y", "N")</f>
        <v>N</v>
      </c>
      <c r="AI42" s="3" t="str">
        <f>IF(Table1[[#This Row],[Rushing Attempts]] &lt; 15, "Y", "N")</f>
        <v>N</v>
      </c>
      <c r="AJ42" s="3" t="str">
        <f>IF(Table1[[#This Row],[Opp Passing Attempts]]&lt;15, "Y", "N")</f>
        <v>N</v>
      </c>
      <c r="AK42" s="3" t="str">
        <f>IF(Table1[[#This Row],[Opp Rushing Attempts]]&lt;15, "Y", "N")</f>
        <v>N</v>
      </c>
      <c r="AL4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107.23</v>
      </c>
      <c r="AM4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66.95</v>
      </c>
      <c r="AN4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197.95</v>
      </c>
      <c r="AO4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115.52</v>
      </c>
      <c r="AP42" s="3">
        <f>ABS(Table1[[#This Row],[Team Score]]-Table1[[#This Row],[Opp Team Score]])</f>
        <v>3</v>
      </c>
      <c r="AQ42" s="3">
        <f>SUM(Table1[[#This Row],[Team Score]], Table1[[#This Row],[Opp Team Score]])</f>
        <v>73</v>
      </c>
      <c r="AR4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93.419999999999959</v>
      </c>
      <c r="AS42" s="3">
        <f>IF(Table1[[#This Row],[Efficiency Difference]] = " ", " ", ROUND((Table1[[#This Row],[Winning Margin]]*100)/Table1[[#This Row],[Efficiency Difference]], 2))</f>
        <v>3.21</v>
      </c>
    </row>
    <row r="43" spans="1:45">
      <c r="A43" t="s">
        <v>111</v>
      </c>
      <c r="B43">
        <v>0</v>
      </c>
      <c r="C43">
        <v>35</v>
      </c>
      <c r="D43">
        <v>323</v>
      </c>
      <c r="E43">
        <v>33</v>
      </c>
      <c r="F43">
        <v>2</v>
      </c>
      <c r="G43">
        <v>23</v>
      </c>
      <c r="H43">
        <v>1</v>
      </c>
      <c r="I43">
        <v>131</v>
      </c>
      <c r="J43">
        <v>30</v>
      </c>
      <c r="K43">
        <v>3</v>
      </c>
      <c r="L43">
        <v>1</v>
      </c>
      <c r="M43" t="s">
        <v>87</v>
      </c>
      <c r="N43">
        <v>0</v>
      </c>
      <c r="O43">
        <v>38</v>
      </c>
      <c r="P43">
        <v>258</v>
      </c>
      <c r="Q43">
        <v>46</v>
      </c>
      <c r="R43">
        <v>3</v>
      </c>
      <c r="S43">
        <v>28</v>
      </c>
      <c r="T43">
        <v>1</v>
      </c>
      <c r="U43">
        <v>223</v>
      </c>
      <c r="V43">
        <v>24</v>
      </c>
      <c r="W43">
        <v>2</v>
      </c>
      <c r="X43">
        <v>0</v>
      </c>
      <c r="Y43" t="s">
        <v>15</v>
      </c>
      <c r="Z43">
        <v>0</v>
      </c>
      <c r="AA43">
        <f>IF(AND(Table1[[#This Row],[Throw Out Pass Eff]]="N", Table1[[#This Row],[Against FCS Team]]="N"), ROUND(((5.45 * D43) + (150 * F43) + (100 * G43) - (300 * H43)) / E43, 2), " ")</f>
        <v>123.04</v>
      </c>
      <c r="AB43">
        <f>IF(AND(Table1[[#This Row],[Throw Out Pass Def Eff]]="N", Table1[[#This Row],[Against FCS Team]]="N"),200 - ROUND(((5.45 * P43) + (150 * R43) + (100 * S43) - (300 * T43)) / Q43, 2), " ")</f>
        <v>105.3</v>
      </c>
      <c r="AC43">
        <f>IF(AND(Table1[[#This Row],[Throw Out Rush Eff]]="N", Table1[[#This Row],[Against FCS Team]]="N"), ROUND(((23.2 * I43) + (150 * K43) - (300 * L43)) / J43, 2), " ")</f>
        <v>106.31</v>
      </c>
      <c r="AD43" s="3">
        <f>IF(AND(Table1[[#This Row],[Throw Out Rush Def Eff]]="N", Table1[[#This Row],[Against FCS Team]]="N"), 200 - ROUND(((23.2 * U43) + (150 * W43) - (300 * X43)) / V43, 2), " ")</f>
        <v>-28.069999999999993</v>
      </c>
      <c r="AE43" s="3">
        <f>ROUND(Table1[[#This Row],[Opp Passing Attempts]]/(Table1[[#This Row],[Opp Passing Attempts]]+Table1[[#This Row],[Opp Rushing Attempts]]), 2)</f>
        <v>0.66</v>
      </c>
      <c r="AF43" s="3">
        <f>1-Table1[[#This Row],[Passing Weight]]</f>
        <v>0.33999999999999997</v>
      </c>
      <c r="AG43" s="3" t="str">
        <f>IF(COUNTIF(A:A,Table1[[#This Row],[Opp Team Name]]) &gt; 0, "N", "Y")</f>
        <v>N</v>
      </c>
      <c r="AH43" s="3" t="str">
        <f>IF(Table1[[#This Row],[Passing Attempts]] &lt;15, "Y", "N")</f>
        <v>N</v>
      </c>
      <c r="AI43" s="3" t="str">
        <f>IF(Table1[[#This Row],[Rushing Attempts]] &lt; 15, "Y", "N")</f>
        <v>N</v>
      </c>
      <c r="AJ43" s="3" t="str">
        <f>IF(Table1[[#This Row],[Opp Passing Attempts]]&lt;15, "Y", "N")</f>
        <v>N</v>
      </c>
      <c r="AK43" s="3" t="str">
        <f>IF(Table1[[#This Row],[Opp Rushing Attempts]]&lt;15, "Y", "N")</f>
        <v>N</v>
      </c>
      <c r="AL4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127.59</v>
      </c>
      <c r="AM4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109.39</v>
      </c>
      <c r="AN4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83.11</v>
      </c>
      <c r="AO4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-37.1</v>
      </c>
      <c r="AP43" s="3">
        <f>ABS(Table1[[#This Row],[Team Score]]-Table1[[#This Row],[Opp Team Score]])</f>
        <v>3</v>
      </c>
      <c r="AQ43" s="3">
        <f>SUM(Table1[[#This Row],[Team Score]], Table1[[#This Row],[Opp Team Score]])</f>
        <v>73</v>
      </c>
      <c r="AR4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93.419999999999959</v>
      </c>
      <c r="AS43" s="3">
        <f>IF(Table1[[#This Row],[Efficiency Difference]] = " ", " ", ROUND((Table1[[#This Row],[Winning Margin]]*100)/Table1[[#This Row],[Efficiency Difference]], 2))</f>
        <v>3.21</v>
      </c>
    </row>
    <row r="44" spans="1:45">
      <c r="A44" t="s">
        <v>99</v>
      </c>
      <c r="B44">
        <v>0</v>
      </c>
      <c r="C44">
        <v>20</v>
      </c>
      <c r="D44">
        <v>212</v>
      </c>
      <c r="E44">
        <v>30</v>
      </c>
      <c r="F44">
        <v>0</v>
      </c>
      <c r="G44">
        <v>18</v>
      </c>
      <c r="H44">
        <v>0</v>
      </c>
      <c r="I44">
        <v>186</v>
      </c>
      <c r="J44">
        <v>33</v>
      </c>
      <c r="K44">
        <v>2</v>
      </c>
      <c r="L44">
        <v>1</v>
      </c>
      <c r="M44" t="s">
        <v>96</v>
      </c>
      <c r="N44">
        <v>0</v>
      </c>
      <c r="O44">
        <v>24</v>
      </c>
      <c r="P44">
        <v>230</v>
      </c>
      <c r="Q44">
        <v>31</v>
      </c>
      <c r="R44">
        <v>1</v>
      </c>
      <c r="S44">
        <v>22</v>
      </c>
      <c r="T44">
        <v>1</v>
      </c>
      <c r="U44">
        <v>105</v>
      </c>
      <c r="V44">
        <v>19</v>
      </c>
      <c r="W44">
        <v>2</v>
      </c>
      <c r="X44">
        <v>0</v>
      </c>
      <c r="Y44" t="s">
        <v>15</v>
      </c>
      <c r="Z44">
        <v>0</v>
      </c>
      <c r="AA44" s="3">
        <f>IF(AND(Table1[[#This Row],[Throw Out Pass Eff]]="N", Table1[[#This Row],[Against FCS Team]]="N"), ROUND(((5.45 * D44) + (150 * F44) + (100 * G44) - (300 * H44)) / E44, 2), " ")</f>
        <v>98.51</v>
      </c>
      <c r="AB44" s="3">
        <f>IF(AND(Table1[[#This Row],[Throw Out Pass Def Eff]]="N", Table1[[#This Row],[Against FCS Team]]="N"),200 - ROUND(((5.45 * P44) + (150 * R44) + (100 * S44) - (300 * T44)) / Q44, 2), " ")</f>
        <v>93.44</v>
      </c>
      <c r="AC44" s="3">
        <f>IF(AND(Table1[[#This Row],[Throw Out Rush Eff]]="N", Table1[[#This Row],[Against FCS Team]]="N"), ROUND(((23.2 * I44) + (150 * K44) - (300 * L44)) / J44, 2), " ")</f>
        <v>130.76</v>
      </c>
      <c r="AD44" s="3">
        <f>IF(AND(Table1[[#This Row],[Throw Out Rush Def Eff]]="N", Table1[[#This Row],[Against FCS Team]]="N"), 200 - ROUND(((23.2 * U44) + (150 * W44) - (300 * X44)) / V44, 2), " ")</f>
        <v>56</v>
      </c>
      <c r="AE44" s="3">
        <f>ROUND(Table1[[#This Row],[Opp Passing Attempts]]/(Table1[[#This Row],[Opp Passing Attempts]]+Table1[[#This Row],[Opp Rushing Attempts]]), 2)</f>
        <v>0.62</v>
      </c>
      <c r="AF44" s="3">
        <f>1-Table1[[#This Row],[Passing Weight]]</f>
        <v>0.38</v>
      </c>
      <c r="AG44" s="3" t="str">
        <f>IF(COUNTIF(A:A,Table1[[#This Row],[Opp Team Name]]) &gt; 0, "N", "Y")</f>
        <v>N</v>
      </c>
      <c r="AH44" s="3" t="str">
        <f>IF(Table1[[#This Row],[Passing Attempts]] &lt;15, "Y", "N")</f>
        <v>N</v>
      </c>
      <c r="AI44" s="3" t="str">
        <f>IF(Table1[[#This Row],[Rushing Attempts]] &lt; 15, "Y", "N")</f>
        <v>N</v>
      </c>
      <c r="AJ44" s="3" t="str">
        <f>IF(Table1[[#This Row],[Opp Passing Attempts]]&lt;15, "Y", "N")</f>
        <v>N</v>
      </c>
      <c r="AK44" s="3" t="str">
        <f>IF(Table1[[#This Row],[Opp Rushing Attempts]]&lt;15, "Y", "N")</f>
        <v>N</v>
      </c>
      <c r="AL4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96.04</v>
      </c>
      <c r="AM4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82.16</v>
      </c>
      <c r="AN4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144.13</v>
      </c>
      <c r="AO4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55.91</v>
      </c>
      <c r="AP44" s="3">
        <f>ABS(Table1[[#This Row],[Team Score]]-Table1[[#This Row],[Opp Team Score]])</f>
        <v>4</v>
      </c>
      <c r="AQ44" s="3">
        <f>SUM(Table1[[#This Row],[Team Score]], Table1[[#This Row],[Opp Team Score]])</f>
        <v>44</v>
      </c>
      <c r="AR4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21.29000000000002</v>
      </c>
      <c r="AS44" s="3">
        <f>IF(Table1[[#This Row],[Efficiency Difference]] = " ", " ", ROUND((Table1[[#This Row],[Winning Margin]]*100)/Table1[[#This Row],[Efficiency Difference]], 2))</f>
        <v>18.79</v>
      </c>
    </row>
    <row r="45" spans="1:45">
      <c r="A45" t="s">
        <v>96</v>
      </c>
      <c r="B45">
        <v>0</v>
      </c>
      <c r="C45">
        <v>24</v>
      </c>
      <c r="D45">
        <v>230</v>
      </c>
      <c r="E45">
        <v>31</v>
      </c>
      <c r="F45">
        <v>1</v>
      </c>
      <c r="G45">
        <v>22</v>
      </c>
      <c r="H45">
        <v>1</v>
      </c>
      <c r="I45">
        <v>105</v>
      </c>
      <c r="J45">
        <v>19</v>
      </c>
      <c r="K45">
        <v>2</v>
      </c>
      <c r="L45">
        <v>0</v>
      </c>
      <c r="M45" t="s">
        <v>99</v>
      </c>
      <c r="N45">
        <v>0</v>
      </c>
      <c r="O45">
        <v>20</v>
      </c>
      <c r="P45">
        <v>212</v>
      </c>
      <c r="Q45">
        <v>30</v>
      </c>
      <c r="R45">
        <v>0</v>
      </c>
      <c r="S45">
        <v>18</v>
      </c>
      <c r="T45">
        <v>0</v>
      </c>
      <c r="U45">
        <v>186</v>
      </c>
      <c r="V45">
        <v>33</v>
      </c>
      <c r="W45">
        <v>2</v>
      </c>
      <c r="X45">
        <v>1</v>
      </c>
      <c r="Y45" t="s">
        <v>14</v>
      </c>
      <c r="Z45">
        <v>0</v>
      </c>
      <c r="AA45">
        <f>IF(AND(Table1[[#This Row],[Throw Out Pass Eff]]="N", Table1[[#This Row],[Against FCS Team]]="N"), ROUND(((5.45 * D45) + (150 * F45) + (100 * G45) - (300 * H45)) / E45, 2), " ")</f>
        <v>106.56</v>
      </c>
      <c r="AB45">
        <f>IF(AND(Table1[[#This Row],[Throw Out Pass Def Eff]]="N", Table1[[#This Row],[Against FCS Team]]="N"),200 - ROUND(((5.45 * P45) + (150 * R45) + (100 * S45) - (300 * T45)) / Q45, 2), " ")</f>
        <v>101.49</v>
      </c>
      <c r="AC45">
        <f>IF(AND(Table1[[#This Row],[Throw Out Rush Eff]]="N", Table1[[#This Row],[Against FCS Team]]="N"), ROUND(((23.2 * I45) + (150 * K45) - (300 * L45)) / J45, 2), " ")</f>
        <v>144</v>
      </c>
      <c r="AD45" s="3">
        <f>IF(AND(Table1[[#This Row],[Throw Out Rush Def Eff]]="N", Table1[[#This Row],[Against FCS Team]]="N"), 200 - ROUND(((23.2 * U45) + (150 * W45) - (300 * X45)) / V45, 2), " ")</f>
        <v>69.240000000000009</v>
      </c>
      <c r="AE45" s="3">
        <f>ROUND(Table1[[#This Row],[Opp Passing Attempts]]/(Table1[[#This Row],[Opp Passing Attempts]]+Table1[[#This Row],[Opp Rushing Attempts]]), 2)</f>
        <v>0.48</v>
      </c>
      <c r="AF45" s="3">
        <f>1-Table1[[#This Row],[Passing Weight]]</f>
        <v>0.52</v>
      </c>
      <c r="AG45" s="3" t="str">
        <f>IF(COUNTIF(A:A,Table1[[#This Row],[Opp Team Name]]) &gt; 0, "N", "Y")</f>
        <v>N</v>
      </c>
      <c r="AH45" s="3" t="str">
        <f>IF(Table1[[#This Row],[Passing Attempts]] &lt;15, "Y", "N")</f>
        <v>N</v>
      </c>
      <c r="AI45" s="3" t="str">
        <f>IF(Table1[[#This Row],[Rushing Attempts]] &lt; 15, "Y", "N")</f>
        <v>N</v>
      </c>
      <c r="AJ45" s="3" t="str">
        <f>IF(Table1[[#This Row],[Opp Passing Attempts]]&lt;15, "Y", "N")</f>
        <v>N</v>
      </c>
      <c r="AK45" s="3" t="str">
        <f>IF(Table1[[#This Row],[Opp Rushing Attempts]]&lt;15, "Y", "N")</f>
        <v>N</v>
      </c>
      <c r="AL4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96.92</v>
      </c>
      <c r="AM4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85.25</v>
      </c>
      <c r="AN4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169.29</v>
      </c>
      <c r="AO4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88.45</v>
      </c>
      <c r="AP45" s="3">
        <f>ABS(Table1[[#This Row],[Team Score]]-Table1[[#This Row],[Opp Team Score]])</f>
        <v>4</v>
      </c>
      <c r="AQ45" s="3">
        <f>SUM(Table1[[#This Row],[Team Score]], Table1[[#This Row],[Opp Team Score]])</f>
        <v>44</v>
      </c>
      <c r="AR4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21.29000000000002</v>
      </c>
      <c r="AS45" s="3">
        <f>IF(Table1[[#This Row],[Efficiency Difference]] = " ", " ", ROUND((Table1[[#This Row],[Winning Margin]]*100)/Table1[[#This Row],[Efficiency Difference]], 2))</f>
        <v>18.79</v>
      </c>
    </row>
    <row r="46" spans="1:45">
      <c r="A46" t="s">
        <v>81</v>
      </c>
      <c r="B46">
        <v>0</v>
      </c>
      <c r="C46">
        <v>30</v>
      </c>
      <c r="D46">
        <v>264</v>
      </c>
      <c r="E46">
        <v>37</v>
      </c>
      <c r="F46">
        <v>3</v>
      </c>
      <c r="G46">
        <v>26</v>
      </c>
      <c r="H46">
        <v>0</v>
      </c>
      <c r="I46">
        <v>118</v>
      </c>
      <c r="J46">
        <v>29</v>
      </c>
      <c r="K46">
        <v>0</v>
      </c>
      <c r="L46">
        <v>1</v>
      </c>
      <c r="M46" t="s">
        <v>82</v>
      </c>
      <c r="N46">
        <v>0</v>
      </c>
      <c r="O46">
        <v>13</v>
      </c>
      <c r="P46">
        <v>186</v>
      </c>
      <c r="Q46">
        <v>45</v>
      </c>
      <c r="R46">
        <v>1</v>
      </c>
      <c r="S46">
        <v>19</v>
      </c>
      <c r="T46">
        <v>0</v>
      </c>
      <c r="U46">
        <v>60</v>
      </c>
      <c r="V46">
        <v>12</v>
      </c>
      <c r="W46">
        <v>0</v>
      </c>
      <c r="X46">
        <v>1</v>
      </c>
      <c r="Y46" t="s">
        <v>14</v>
      </c>
      <c r="Z46">
        <v>0</v>
      </c>
      <c r="AA46">
        <f>IF(AND(Table1[[#This Row],[Throw Out Pass Eff]]="N", Table1[[#This Row],[Against FCS Team]]="N"), ROUND(((5.45 * D46) + (150 * F46) + (100 * G46) - (300 * H46)) / E46, 2), " ")</f>
        <v>121.32</v>
      </c>
      <c r="AB46">
        <f>IF(AND(Table1[[#This Row],[Throw Out Pass Def Eff]]="N", Table1[[#This Row],[Against FCS Team]]="N"),200 - ROUND(((5.45 * P46) + (150 * R46) + (100 * S46) - (300 * T46)) / Q46, 2), " ")</f>
        <v>131.92000000000002</v>
      </c>
      <c r="AC46">
        <f>IF(AND(Table1[[#This Row],[Throw Out Rush Eff]]="N", Table1[[#This Row],[Against FCS Team]]="N"), ROUND(((23.2 * I46) + (150 * K46) - (300 * L46)) / J46, 2), " ")</f>
        <v>84.06</v>
      </c>
      <c r="AD46" s="3" t="str">
        <f>IF(AND(Table1[[#This Row],[Throw Out Rush Def Eff]]="N", Table1[[#This Row],[Against FCS Team]]="N"), 200 - ROUND(((23.2 * U46) + (150 * W46) - (300 * X46)) / V46, 2), " ")</f>
        <v xml:space="preserve"> </v>
      </c>
      <c r="AE46" s="3">
        <f>ROUND(Table1[[#This Row],[Opp Passing Attempts]]/(Table1[[#This Row],[Opp Passing Attempts]]+Table1[[#This Row],[Opp Rushing Attempts]]), 2)</f>
        <v>0.79</v>
      </c>
      <c r="AF46" s="3">
        <f>1-Table1[[#This Row],[Passing Weight]]</f>
        <v>0.20999999999999996</v>
      </c>
      <c r="AG46" s="3" t="str">
        <f>IF(COUNTIF(A:A,Table1[[#This Row],[Opp Team Name]]) &gt; 0, "N", "Y")</f>
        <v>N</v>
      </c>
      <c r="AH46" s="3" t="str">
        <f>IF(Table1[[#This Row],[Passing Attempts]] &lt;15, "Y", "N")</f>
        <v>N</v>
      </c>
      <c r="AI46" s="3" t="str">
        <f>IF(Table1[[#This Row],[Rushing Attempts]] &lt; 15, "Y", "N")</f>
        <v>N</v>
      </c>
      <c r="AJ46" s="3" t="str">
        <f>IF(Table1[[#This Row],[Opp Passing Attempts]]&lt;15, "Y", "N")</f>
        <v>N</v>
      </c>
      <c r="AK46" s="3" t="str">
        <f>IF(Table1[[#This Row],[Opp Rushing Attempts]]&lt;15, "Y", "N")</f>
        <v>Y</v>
      </c>
      <c r="AL4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119.3</v>
      </c>
      <c r="AM4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122.75</v>
      </c>
      <c r="AN4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64.78</v>
      </c>
      <c r="AO46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46" s="3">
        <f>ABS(Table1[[#This Row],[Team Score]]-Table1[[#This Row],[Opp Team Score]])</f>
        <v>17</v>
      </c>
      <c r="AQ46" s="3">
        <f>SUM(Table1[[#This Row],[Team Score]], Table1[[#This Row],[Opp Team Score]])</f>
        <v>43</v>
      </c>
      <c r="AR4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6" s="3" t="str">
        <f>IF(Table1[[#This Row],[Efficiency Difference]] = " ", " ", ROUND((Table1[[#This Row],[Winning Margin]]*100)/Table1[[#This Row],[Efficiency Difference]], 2))</f>
        <v xml:space="preserve"> </v>
      </c>
    </row>
    <row r="47" spans="1:45">
      <c r="A47" t="s">
        <v>82</v>
      </c>
      <c r="B47">
        <v>0</v>
      </c>
      <c r="C47">
        <v>13</v>
      </c>
      <c r="D47">
        <v>186</v>
      </c>
      <c r="E47">
        <v>45</v>
      </c>
      <c r="F47">
        <v>1</v>
      </c>
      <c r="G47">
        <v>19</v>
      </c>
      <c r="H47">
        <v>0</v>
      </c>
      <c r="I47">
        <v>60</v>
      </c>
      <c r="J47">
        <v>12</v>
      </c>
      <c r="K47">
        <v>0</v>
      </c>
      <c r="L47">
        <v>1</v>
      </c>
      <c r="M47" t="s">
        <v>81</v>
      </c>
      <c r="N47">
        <v>0</v>
      </c>
      <c r="O47">
        <v>30</v>
      </c>
      <c r="P47">
        <v>264</v>
      </c>
      <c r="Q47">
        <v>37</v>
      </c>
      <c r="R47">
        <v>3</v>
      </c>
      <c r="S47">
        <v>26</v>
      </c>
      <c r="T47">
        <v>0</v>
      </c>
      <c r="U47">
        <v>118</v>
      </c>
      <c r="V47">
        <v>29</v>
      </c>
      <c r="W47">
        <v>0</v>
      </c>
      <c r="X47">
        <v>1</v>
      </c>
      <c r="Y47" t="s">
        <v>15</v>
      </c>
      <c r="Z47">
        <v>0</v>
      </c>
      <c r="AA47">
        <f>IF(AND(Table1[[#This Row],[Throw Out Pass Eff]]="N", Table1[[#This Row],[Against FCS Team]]="N"), ROUND(((5.45 * D47) + (150 * F47) + (100 * G47) - (300 * H47)) / E47, 2), " ")</f>
        <v>68.08</v>
      </c>
      <c r="AB47">
        <f>IF(AND(Table1[[#This Row],[Throw Out Pass Def Eff]]="N", Table1[[#This Row],[Against FCS Team]]="N"),200 - ROUND(((5.45 * P47) + (150 * R47) + (100 * S47) - (300 * T47)) / Q47, 2), " ")</f>
        <v>78.680000000000007</v>
      </c>
      <c r="AC47" t="str">
        <f>IF(AND(Table1[[#This Row],[Throw Out Rush Eff]]="N", Table1[[#This Row],[Against FCS Team]]="N"), ROUND(((23.2 * I47) + (150 * K47) - (300 * L47)) / J47, 2), " ")</f>
        <v xml:space="preserve"> </v>
      </c>
      <c r="AD47" s="3">
        <f>IF(AND(Table1[[#This Row],[Throw Out Rush Def Eff]]="N", Table1[[#This Row],[Against FCS Team]]="N"), 200 - ROUND(((23.2 * U47) + (150 * W47) - (300 * X47)) / V47, 2), " ")</f>
        <v>115.94</v>
      </c>
      <c r="AE47" s="3">
        <f>ROUND(Table1[[#This Row],[Opp Passing Attempts]]/(Table1[[#This Row],[Opp Passing Attempts]]+Table1[[#This Row],[Opp Rushing Attempts]]), 2)</f>
        <v>0.56000000000000005</v>
      </c>
      <c r="AF47" s="3">
        <f>1-Table1[[#This Row],[Passing Weight]]</f>
        <v>0.43999999999999995</v>
      </c>
      <c r="AG47" s="3" t="str">
        <f>IF(COUNTIF(A:A,Table1[[#This Row],[Opp Team Name]]) &gt; 0, "N", "Y")</f>
        <v>N</v>
      </c>
      <c r="AH47" s="3" t="str">
        <f>IF(Table1[[#This Row],[Passing Attempts]] &lt;15, "Y", "N")</f>
        <v>N</v>
      </c>
      <c r="AI47" s="3" t="str">
        <f>IF(Table1[[#This Row],[Rushing Attempts]] &lt; 15, "Y", "N")</f>
        <v>Y</v>
      </c>
      <c r="AJ47" s="3" t="str">
        <f>IF(Table1[[#This Row],[Opp Passing Attempts]]&lt;15, "Y", "N")</f>
        <v>N</v>
      </c>
      <c r="AK47" s="3" t="str">
        <f>IF(Table1[[#This Row],[Opp Rushing Attempts]]&lt;15, "Y", "N")</f>
        <v>N</v>
      </c>
      <c r="AL4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74.83</v>
      </c>
      <c r="AM4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91.96</v>
      </c>
      <c r="AN47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4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118.96</v>
      </c>
      <c r="AP47" s="3">
        <f>ABS(Table1[[#This Row],[Team Score]]-Table1[[#This Row],[Opp Team Score]])</f>
        <v>17</v>
      </c>
      <c r="AQ47" s="3">
        <f>SUM(Table1[[#This Row],[Team Score]], Table1[[#This Row],[Opp Team Score]])</f>
        <v>43</v>
      </c>
      <c r="AR4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7" s="3" t="str">
        <f>IF(Table1[[#This Row],[Efficiency Difference]] = " ", " ", ROUND((Table1[[#This Row],[Winning Margin]]*100)/Table1[[#This Row],[Efficiency Difference]], 2))</f>
        <v xml:space="preserve"> </v>
      </c>
    </row>
    <row r="48" spans="1:45">
      <c r="A48" t="s">
        <v>103</v>
      </c>
      <c r="B48">
        <v>0</v>
      </c>
      <c r="C48">
        <v>23</v>
      </c>
      <c r="D48">
        <v>404</v>
      </c>
      <c r="E48">
        <v>46</v>
      </c>
      <c r="F48">
        <v>1</v>
      </c>
      <c r="G48">
        <v>28</v>
      </c>
      <c r="H48">
        <v>3</v>
      </c>
      <c r="I48">
        <v>71</v>
      </c>
      <c r="J48">
        <v>21</v>
      </c>
      <c r="K48">
        <v>1</v>
      </c>
      <c r="L48">
        <v>1</v>
      </c>
      <c r="M48" t="s">
        <v>80</v>
      </c>
      <c r="N48">
        <v>0</v>
      </c>
      <c r="O48">
        <v>30</v>
      </c>
      <c r="P48">
        <v>295</v>
      </c>
      <c r="Q48">
        <v>30</v>
      </c>
      <c r="R48">
        <v>2</v>
      </c>
      <c r="S48">
        <v>19</v>
      </c>
      <c r="T48">
        <v>0</v>
      </c>
      <c r="U48">
        <v>124</v>
      </c>
      <c r="V48">
        <v>21</v>
      </c>
      <c r="W48">
        <v>1</v>
      </c>
      <c r="X48">
        <v>1</v>
      </c>
      <c r="Y48" t="s">
        <v>15</v>
      </c>
      <c r="Z48">
        <v>0</v>
      </c>
      <c r="AA48">
        <f>IF(AND(Table1[[#This Row],[Throw Out Pass Eff]]="N", Table1[[#This Row],[Against FCS Team]]="N"), ROUND(((5.45 * D48) + (150 * F48) + (100 * G48) - (300 * H48)) / E48, 2), " ")</f>
        <v>92.43</v>
      </c>
      <c r="AB48">
        <f>IF(AND(Table1[[#This Row],[Throw Out Pass Def Eff]]="N", Table1[[#This Row],[Against FCS Team]]="N"),200 - ROUND(((5.45 * P48) + (150 * R48) + (100 * S48) - (300 * T48)) / Q48, 2), " ")</f>
        <v>73.069999999999993</v>
      </c>
      <c r="AC48">
        <f>IF(AND(Table1[[#This Row],[Throw Out Rush Eff]]="N", Table1[[#This Row],[Against FCS Team]]="N"), ROUND(((23.2 * I48) + (150 * K48) - (300 * L48)) / J48, 2), " ")</f>
        <v>71.3</v>
      </c>
      <c r="AD48" s="3">
        <f>IF(AND(Table1[[#This Row],[Throw Out Rush Def Eff]]="N", Table1[[#This Row],[Against FCS Team]]="N"), 200 - ROUND(((23.2 * U48) + (150 * W48) - (300 * X48)) / V48, 2), " ")</f>
        <v>70.150000000000006</v>
      </c>
      <c r="AE48" s="3">
        <f>ROUND(Table1[[#This Row],[Opp Passing Attempts]]/(Table1[[#This Row],[Opp Passing Attempts]]+Table1[[#This Row],[Opp Rushing Attempts]]), 2)</f>
        <v>0.59</v>
      </c>
      <c r="AF48" s="3">
        <f>1-Table1[[#This Row],[Passing Weight]]</f>
        <v>0.41000000000000003</v>
      </c>
      <c r="AG48" s="3" t="str">
        <f>IF(COUNTIF(A:A,Table1[[#This Row],[Opp Team Name]]) &gt; 0, "N", "Y")</f>
        <v>N</v>
      </c>
      <c r="AH48" s="3" t="str">
        <f>IF(Table1[[#This Row],[Passing Attempts]] &lt;15, "Y", "N")</f>
        <v>N</v>
      </c>
      <c r="AI48" s="3" t="str">
        <f>IF(Table1[[#This Row],[Rushing Attempts]] &lt; 15, "Y", "N")</f>
        <v>N</v>
      </c>
      <c r="AJ48" s="3" t="str">
        <f>IF(Table1[[#This Row],[Opp Passing Attempts]]&lt;15, "Y", "N")</f>
        <v>N</v>
      </c>
      <c r="AK48" s="3" t="str">
        <f>IF(Table1[[#This Row],[Opp Rushing Attempts]]&lt;15, "Y", "N")</f>
        <v>N</v>
      </c>
      <c r="AL4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101.78</v>
      </c>
      <c r="AM4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95.43</v>
      </c>
      <c r="AN4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66.239999999999995</v>
      </c>
      <c r="AO4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61.18</v>
      </c>
      <c r="AP48" s="3">
        <f>ABS(Table1[[#This Row],[Team Score]]-Table1[[#This Row],[Opp Team Score]])</f>
        <v>7</v>
      </c>
      <c r="AQ48" s="3">
        <f>SUM(Table1[[#This Row],[Team Score]], Table1[[#This Row],[Opp Team Score]])</f>
        <v>53</v>
      </c>
      <c r="AR4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93.049999999999955</v>
      </c>
      <c r="AS48" s="3">
        <f>IF(Table1[[#This Row],[Efficiency Difference]] = " ", " ", ROUND((Table1[[#This Row],[Winning Margin]]*100)/Table1[[#This Row],[Efficiency Difference]], 2))</f>
        <v>7.52</v>
      </c>
    </row>
    <row r="49" spans="1:45">
      <c r="A49" t="s">
        <v>80</v>
      </c>
      <c r="B49">
        <v>0</v>
      </c>
      <c r="C49">
        <v>30</v>
      </c>
      <c r="D49">
        <v>295</v>
      </c>
      <c r="E49">
        <v>30</v>
      </c>
      <c r="F49">
        <v>2</v>
      </c>
      <c r="G49">
        <v>19</v>
      </c>
      <c r="H49">
        <v>0</v>
      </c>
      <c r="I49">
        <v>124</v>
      </c>
      <c r="J49">
        <v>21</v>
      </c>
      <c r="K49">
        <v>1</v>
      </c>
      <c r="L49">
        <v>1</v>
      </c>
      <c r="M49" t="s">
        <v>103</v>
      </c>
      <c r="N49">
        <v>0</v>
      </c>
      <c r="O49">
        <v>23</v>
      </c>
      <c r="P49">
        <v>404</v>
      </c>
      <c r="Q49">
        <v>46</v>
      </c>
      <c r="R49">
        <v>1</v>
      </c>
      <c r="S49">
        <v>28</v>
      </c>
      <c r="T49">
        <v>3</v>
      </c>
      <c r="U49">
        <v>71</v>
      </c>
      <c r="V49">
        <v>21</v>
      </c>
      <c r="W49">
        <v>1</v>
      </c>
      <c r="X49">
        <v>1</v>
      </c>
      <c r="Y49" t="s">
        <v>14</v>
      </c>
      <c r="Z49">
        <v>0</v>
      </c>
      <c r="AA49">
        <f>IF(AND(Table1[[#This Row],[Throw Out Pass Eff]]="N", Table1[[#This Row],[Against FCS Team]]="N"), ROUND(((5.45 * D49) + (150 * F49) + (100 * G49) - (300 * H49)) / E49, 2), " ")</f>
        <v>126.93</v>
      </c>
      <c r="AB49">
        <f>IF(AND(Table1[[#This Row],[Throw Out Pass Def Eff]]="N", Table1[[#This Row],[Against FCS Team]]="N"),200 - ROUND(((5.45 * P49) + (150 * R49) + (100 * S49) - (300 * T49)) / Q49, 2), " ")</f>
        <v>107.57</v>
      </c>
      <c r="AC49">
        <f>IF(AND(Table1[[#This Row],[Throw Out Rush Eff]]="N", Table1[[#This Row],[Against FCS Team]]="N"), ROUND(((23.2 * I49) + (150 * K49) - (300 * L49)) / J49, 2), " ")</f>
        <v>129.85</v>
      </c>
      <c r="AD49" s="3">
        <f>IF(AND(Table1[[#This Row],[Throw Out Rush Def Eff]]="N", Table1[[#This Row],[Against FCS Team]]="N"), 200 - ROUND(((23.2 * U49) + (150 * W49) - (300 * X49)) / V49, 2), " ")</f>
        <v>128.69999999999999</v>
      </c>
      <c r="AE49" s="3">
        <f>ROUND(Table1[[#This Row],[Opp Passing Attempts]]/(Table1[[#This Row],[Opp Passing Attempts]]+Table1[[#This Row],[Opp Rushing Attempts]]), 2)</f>
        <v>0.69</v>
      </c>
      <c r="AF49" s="3">
        <f>1-Table1[[#This Row],[Passing Weight]]</f>
        <v>0.31000000000000005</v>
      </c>
      <c r="AG49" s="3" t="str">
        <f>IF(COUNTIF(A:A,Table1[[#This Row],[Opp Team Name]]) &gt; 0, "N", "Y")</f>
        <v>N</v>
      </c>
      <c r="AH49" s="3" t="str">
        <f>IF(Table1[[#This Row],[Passing Attempts]] &lt;15, "Y", "N")</f>
        <v>N</v>
      </c>
      <c r="AI49" s="3" t="str">
        <f>IF(Table1[[#This Row],[Rushing Attempts]] &lt; 15, "Y", "N")</f>
        <v>N</v>
      </c>
      <c r="AJ49" s="3" t="str">
        <f>IF(Table1[[#This Row],[Opp Passing Attempts]]&lt;15, "Y", "N")</f>
        <v>N</v>
      </c>
      <c r="AK49" s="3" t="str">
        <f>IF(Table1[[#This Row],[Opp Rushing Attempts]]&lt;15, "Y", "N")</f>
        <v>N</v>
      </c>
      <c r="AL4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121.64</v>
      </c>
      <c r="AM4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107.33</v>
      </c>
      <c r="AN4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117.69</v>
      </c>
      <c r="AO4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152.47999999999999</v>
      </c>
      <c r="AP49" s="3">
        <f>ABS(Table1[[#This Row],[Team Score]]-Table1[[#This Row],[Opp Team Score]])</f>
        <v>7</v>
      </c>
      <c r="AQ49" s="3">
        <f>SUM(Table1[[#This Row],[Team Score]], Table1[[#This Row],[Opp Team Score]])</f>
        <v>53</v>
      </c>
      <c r="AR4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93.049999999999955</v>
      </c>
      <c r="AS49" s="3">
        <f>IF(Table1[[#This Row],[Efficiency Difference]] = " ", " ", ROUND((Table1[[#This Row],[Winning Margin]]*100)/Table1[[#This Row],[Efficiency Difference]], 2))</f>
        <v>7.52</v>
      </c>
    </row>
    <row r="50" spans="1:45">
      <c r="A50" t="s">
        <v>85</v>
      </c>
      <c r="B50">
        <v>0</v>
      </c>
      <c r="C50">
        <v>19</v>
      </c>
      <c r="D50">
        <v>176</v>
      </c>
      <c r="E50">
        <v>38</v>
      </c>
      <c r="F50">
        <v>1</v>
      </c>
      <c r="G50">
        <v>19</v>
      </c>
      <c r="H50">
        <v>1</v>
      </c>
      <c r="I50">
        <v>109</v>
      </c>
      <c r="J50">
        <v>26</v>
      </c>
      <c r="K50">
        <v>0</v>
      </c>
      <c r="L50">
        <v>1</v>
      </c>
      <c r="M50" t="s">
        <v>90</v>
      </c>
      <c r="N50">
        <v>0</v>
      </c>
      <c r="O50">
        <v>27</v>
      </c>
      <c r="P50">
        <v>197</v>
      </c>
      <c r="Q50">
        <v>32</v>
      </c>
      <c r="R50">
        <v>1</v>
      </c>
      <c r="S50">
        <v>22</v>
      </c>
      <c r="T50">
        <v>0</v>
      </c>
      <c r="U50">
        <v>106</v>
      </c>
      <c r="V50">
        <v>34</v>
      </c>
      <c r="W50">
        <v>2</v>
      </c>
      <c r="X50">
        <v>1</v>
      </c>
      <c r="Y50" t="s">
        <v>15</v>
      </c>
      <c r="Z50">
        <v>0</v>
      </c>
      <c r="AA50">
        <f>IF(AND(Table1[[#This Row],[Throw Out Pass Eff]]="N", Table1[[#This Row],[Against FCS Team]]="N"), ROUND(((5.45 * D50) + (150 * F50) + (100 * G50) - (300 * H50)) / E50, 2), " ")</f>
        <v>71.290000000000006</v>
      </c>
      <c r="AB50">
        <f>IF(AND(Table1[[#This Row],[Throw Out Pass Def Eff]]="N", Table1[[#This Row],[Against FCS Team]]="N"),200 - ROUND(((5.45 * P50) + (150 * R50) + (100 * S50) - (300 * T50)) / Q50, 2), " ")</f>
        <v>93.01</v>
      </c>
      <c r="AC50">
        <f>IF(AND(Table1[[#This Row],[Throw Out Rush Eff]]="N", Table1[[#This Row],[Against FCS Team]]="N"), ROUND(((23.2 * I50) + (150 * K50) - (300 * L50)) / J50, 2), " ")</f>
        <v>85.72</v>
      </c>
      <c r="AD50" s="3">
        <f>IF(AND(Table1[[#This Row],[Throw Out Rush Def Eff]]="N", Table1[[#This Row],[Against FCS Team]]="N"), 200 - ROUND(((23.2 * U50) + (150 * W50) - (300 * X50)) / V50, 2), " ")</f>
        <v>127.67</v>
      </c>
      <c r="AE50" s="3">
        <f>ROUND(Table1[[#This Row],[Opp Passing Attempts]]/(Table1[[#This Row],[Opp Passing Attempts]]+Table1[[#This Row],[Opp Rushing Attempts]]), 2)</f>
        <v>0.48</v>
      </c>
      <c r="AF50" s="3">
        <f>1-Table1[[#This Row],[Passing Weight]]</f>
        <v>0.52</v>
      </c>
      <c r="AG50" s="3" t="str">
        <f>IF(COUNTIF(A:A,Table1[[#This Row],[Opp Team Name]]) &gt; 0, "N", "Y")</f>
        <v>N</v>
      </c>
      <c r="AH50" s="3" t="str">
        <f>IF(Table1[[#This Row],[Passing Attempts]] &lt;15, "Y", "N")</f>
        <v>N</v>
      </c>
      <c r="AI50" s="3" t="str">
        <f>IF(Table1[[#This Row],[Rushing Attempts]] &lt; 15, "Y", "N")</f>
        <v>N</v>
      </c>
      <c r="AJ50" s="3" t="str">
        <f>IF(Table1[[#This Row],[Opp Passing Attempts]]&lt;15, "Y", "N")</f>
        <v>N</v>
      </c>
      <c r="AK50" s="3" t="str">
        <f>IF(Table1[[#This Row],[Opp Rushing Attempts]]&lt;15, "Y", "N")</f>
        <v>N</v>
      </c>
      <c r="AL5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78.760000000000005</v>
      </c>
      <c r="AM5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78.099999999999994</v>
      </c>
      <c r="AN5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97.49</v>
      </c>
      <c r="AO5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95.89</v>
      </c>
      <c r="AP50" s="3">
        <f>ABS(Table1[[#This Row],[Team Score]]-Table1[[#This Row],[Opp Team Score]])</f>
        <v>8</v>
      </c>
      <c r="AQ50" s="3">
        <f>SUM(Table1[[#This Row],[Team Score]], Table1[[#This Row],[Opp Team Score]])</f>
        <v>46</v>
      </c>
      <c r="AR5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22.310000000000002</v>
      </c>
      <c r="AS50" s="3">
        <f>IF(Table1[[#This Row],[Efficiency Difference]] = " ", " ", ROUND((Table1[[#This Row],[Winning Margin]]*100)/Table1[[#This Row],[Efficiency Difference]], 2))</f>
        <v>35.86</v>
      </c>
    </row>
    <row r="51" spans="1:45">
      <c r="A51" t="s">
        <v>90</v>
      </c>
      <c r="B51">
        <v>0</v>
      </c>
      <c r="C51">
        <v>27</v>
      </c>
      <c r="D51">
        <v>197</v>
      </c>
      <c r="E51">
        <v>32</v>
      </c>
      <c r="F51">
        <v>1</v>
      </c>
      <c r="G51">
        <v>22</v>
      </c>
      <c r="H51">
        <v>0</v>
      </c>
      <c r="I51">
        <v>106</v>
      </c>
      <c r="J51">
        <v>34</v>
      </c>
      <c r="K51">
        <v>2</v>
      </c>
      <c r="L51">
        <v>1</v>
      </c>
      <c r="M51" t="s">
        <v>85</v>
      </c>
      <c r="N51">
        <v>0</v>
      </c>
      <c r="O51">
        <v>19</v>
      </c>
      <c r="P51">
        <v>176</v>
      </c>
      <c r="Q51">
        <v>38</v>
      </c>
      <c r="R51">
        <v>1</v>
      </c>
      <c r="S51">
        <v>19</v>
      </c>
      <c r="T51">
        <v>1</v>
      </c>
      <c r="U51">
        <v>109</v>
      </c>
      <c r="V51">
        <v>26</v>
      </c>
      <c r="W51">
        <v>0</v>
      </c>
      <c r="X51">
        <v>1</v>
      </c>
      <c r="Y51" t="s">
        <v>14</v>
      </c>
      <c r="Z51">
        <v>0</v>
      </c>
      <c r="AA51" s="3">
        <f>IF(AND(Table1[[#This Row],[Throw Out Pass Eff]]="N", Table1[[#This Row],[Against FCS Team]]="N"), ROUND(((5.45 * D51) + (150 * F51) + (100 * G51) - (300 * H51)) / E51, 2), " ")</f>
        <v>106.99</v>
      </c>
      <c r="AB51" s="3">
        <f>IF(AND(Table1[[#This Row],[Throw Out Pass Def Eff]]="N", Table1[[#This Row],[Against FCS Team]]="N"),200 - ROUND(((5.45 * P51) + (150 * R51) + (100 * S51) - (300 * T51)) / Q51, 2), " ")</f>
        <v>128.70999999999998</v>
      </c>
      <c r="AC51" s="3">
        <f>IF(AND(Table1[[#This Row],[Throw Out Rush Eff]]="N", Table1[[#This Row],[Against FCS Team]]="N"), ROUND(((23.2 * I51) + (150 * K51) - (300 * L51)) / J51, 2), " ")</f>
        <v>72.33</v>
      </c>
      <c r="AD51" s="3">
        <f>IF(AND(Table1[[#This Row],[Throw Out Rush Def Eff]]="N", Table1[[#This Row],[Against FCS Team]]="N"), 200 - ROUND(((23.2 * U51) + (150 * W51) - (300 * X51)) / V51, 2), " ")</f>
        <v>114.28</v>
      </c>
      <c r="AE51" s="3">
        <f>ROUND(Table1[[#This Row],[Opp Passing Attempts]]/(Table1[[#This Row],[Opp Passing Attempts]]+Table1[[#This Row],[Opp Rushing Attempts]]), 2)</f>
        <v>0.59</v>
      </c>
      <c r="AF51" s="3">
        <f>1-Table1[[#This Row],[Passing Weight]]</f>
        <v>0.41000000000000003</v>
      </c>
      <c r="AG51" s="3" t="str">
        <f>IF(COUNTIF(A:A,Table1[[#This Row],[Opp Team Name]]) &gt; 0, "N", "Y")</f>
        <v>N</v>
      </c>
      <c r="AH51" s="3" t="str">
        <f>IF(Table1[[#This Row],[Passing Attempts]] &lt;15, "Y", "N")</f>
        <v>N</v>
      </c>
      <c r="AI51" s="3" t="str">
        <f>IF(Table1[[#This Row],[Rushing Attempts]] &lt; 15, "Y", "N")</f>
        <v>N</v>
      </c>
      <c r="AJ51" s="3" t="str">
        <f>IF(Table1[[#This Row],[Opp Passing Attempts]]&lt;15, "Y", "N")</f>
        <v>N</v>
      </c>
      <c r="AK51" s="3" t="str">
        <f>IF(Table1[[#This Row],[Opp Rushing Attempts]]&lt;15, "Y", "N")</f>
        <v>N</v>
      </c>
      <c r="AL5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83.35</v>
      </c>
      <c r="AM5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110.67</v>
      </c>
      <c r="AN5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74.540000000000006</v>
      </c>
      <c r="AO5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96.14</v>
      </c>
      <c r="AP51" s="3">
        <f>ABS(Table1[[#This Row],[Team Score]]-Table1[[#This Row],[Opp Team Score]])</f>
        <v>8</v>
      </c>
      <c r="AQ51" s="3">
        <f>SUM(Table1[[#This Row],[Team Score]], Table1[[#This Row],[Opp Team Score]])</f>
        <v>46</v>
      </c>
      <c r="AR5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22.309999999999974</v>
      </c>
      <c r="AS51" s="3">
        <f>IF(Table1[[#This Row],[Efficiency Difference]] = " ", " ", ROUND((Table1[[#This Row],[Winning Margin]]*100)/Table1[[#This Row],[Efficiency Difference]], 2))</f>
        <v>35.86</v>
      </c>
    </row>
    <row r="52" spans="1:45">
      <c r="A52" t="s">
        <v>97</v>
      </c>
      <c r="B52">
        <v>0</v>
      </c>
      <c r="C52">
        <v>48</v>
      </c>
      <c r="D52">
        <v>322</v>
      </c>
      <c r="E52">
        <v>40</v>
      </c>
      <c r="F52">
        <v>4</v>
      </c>
      <c r="G52">
        <v>24</v>
      </c>
      <c r="H52">
        <v>1</v>
      </c>
      <c r="I52">
        <v>89</v>
      </c>
      <c r="J52">
        <v>30</v>
      </c>
      <c r="K52">
        <v>2</v>
      </c>
      <c r="L52">
        <v>0</v>
      </c>
      <c r="M52" t="s">
        <v>86</v>
      </c>
      <c r="N52">
        <v>0</v>
      </c>
      <c r="O52">
        <v>3</v>
      </c>
      <c r="P52">
        <v>116</v>
      </c>
      <c r="Q52">
        <v>23</v>
      </c>
      <c r="R52">
        <v>0</v>
      </c>
      <c r="S52">
        <v>15</v>
      </c>
      <c r="T52">
        <v>3</v>
      </c>
      <c r="U52">
        <v>151</v>
      </c>
      <c r="V52">
        <v>29</v>
      </c>
      <c r="W52">
        <v>0</v>
      </c>
      <c r="X52">
        <v>3</v>
      </c>
      <c r="Y52" t="s">
        <v>14</v>
      </c>
      <c r="Z52">
        <v>0</v>
      </c>
      <c r="AA52">
        <f>IF(AND(Table1[[#This Row],[Throw Out Pass Eff]]="N", Table1[[#This Row],[Against FCS Team]]="N"), ROUND(((5.45 * D52) + (150 * F52) + (100 * G52) - (300 * H52)) / E52, 2), " ")</f>
        <v>111.37</v>
      </c>
      <c r="AB52">
        <f>IF(AND(Table1[[#This Row],[Throw Out Pass Def Eff]]="N", Table1[[#This Row],[Against FCS Team]]="N"),200 - ROUND(((5.45 * P52) + (150 * R52) + (100 * S52) - (300 * T52)) / Q52, 2), " ")</f>
        <v>146.43</v>
      </c>
      <c r="AC52">
        <f>IF(AND(Table1[[#This Row],[Throw Out Rush Eff]]="N", Table1[[#This Row],[Against FCS Team]]="N"), ROUND(((23.2 * I52) + (150 * K52) - (300 * L52)) / J52, 2), " ")</f>
        <v>78.83</v>
      </c>
      <c r="AD52" s="3">
        <f>IF(AND(Table1[[#This Row],[Throw Out Rush Def Eff]]="N", Table1[[#This Row],[Against FCS Team]]="N"), 200 - ROUND(((23.2 * U52) + (150 * W52) - (300 * X52)) / V52, 2), " ")</f>
        <v>110.23</v>
      </c>
      <c r="AE52" s="3">
        <f>ROUND(Table1[[#This Row],[Opp Passing Attempts]]/(Table1[[#This Row],[Opp Passing Attempts]]+Table1[[#This Row],[Opp Rushing Attempts]]), 2)</f>
        <v>0.44</v>
      </c>
      <c r="AF52" s="3">
        <f>1-Table1[[#This Row],[Passing Weight]]</f>
        <v>0.56000000000000005</v>
      </c>
      <c r="AG52" s="3" t="str">
        <f>IF(COUNTIF(A:A,Table1[[#This Row],[Opp Team Name]]) &gt; 0, "N", "Y")</f>
        <v>N</v>
      </c>
      <c r="AH52" s="3" t="str">
        <f>IF(Table1[[#This Row],[Passing Attempts]] &lt;15, "Y", "N")</f>
        <v>N</v>
      </c>
      <c r="AI52" s="3" t="str">
        <f>IF(Table1[[#This Row],[Rushing Attempts]] &lt; 15, "Y", "N")</f>
        <v>N</v>
      </c>
      <c r="AJ52" s="3" t="str">
        <f>IF(Table1[[#This Row],[Opp Passing Attempts]]&lt;15, "Y", "N")</f>
        <v>N</v>
      </c>
      <c r="AK52" s="3" t="str">
        <f>IF(Table1[[#This Row],[Opp Rushing Attempts]]&lt;15, "Y", "N")</f>
        <v>N</v>
      </c>
      <c r="AL5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120.78</v>
      </c>
      <c r="AM5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133.63</v>
      </c>
      <c r="AN5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78.48</v>
      </c>
      <c r="AO5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102.77</v>
      </c>
      <c r="AP52" s="3">
        <f>ABS(Table1[[#This Row],[Team Score]]-Table1[[#This Row],[Opp Team Score]])</f>
        <v>45</v>
      </c>
      <c r="AQ52" s="3">
        <f>SUM(Table1[[#This Row],[Team Score]], Table1[[#This Row],[Opp Team Score]])</f>
        <v>51</v>
      </c>
      <c r="AR5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46.860000000000014</v>
      </c>
      <c r="AS52" s="3">
        <f>IF(Table1[[#This Row],[Efficiency Difference]] = " ", " ", ROUND((Table1[[#This Row],[Winning Margin]]*100)/Table1[[#This Row],[Efficiency Difference]], 2))</f>
        <v>96.03</v>
      </c>
    </row>
    <row r="53" spans="1:45">
      <c r="A53" t="s">
        <v>86</v>
      </c>
      <c r="B53">
        <v>0</v>
      </c>
      <c r="C53">
        <v>3</v>
      </c>
      <c r="D53">
        <v>116</v>
      </c>
      <c r="E53">
        <v>23</v>
      </c>
      <c r="F53">
        <v>0</v>
      </c>
      <c r="G53">
        <v>15</v>
      </c>
      <c r="H53">
        <v>3</v>
      </c>
      <c r="I53">
        <v>151</v>
      </c>
      <c r="J53">
        <v>29</v>
      </c>
      <c r="K53">
        <v>0</v>
      </c>
      <c r="L53">
        <v>3</v>
      </c>
      <c r="M53" t="s">
        <v>97</v>
      </c>
      <c r="N53">
        <v>0</v>
      </c>
      <c r="O53">
        <v>48</v>
      </c>
      <c r="P53">
        <v>322</v>
      </c>
      <c r="Q53">
        <v>40</v>
      </c>
      <c r="R53">
        <v>4</v>
      </c>
      <c r="S53">
        <v>24</v>
      </c>
      <c r="T53">
        <v>1</v>
      </c>
      <c r="U53">
        <v>89</v>
      </c>
      <c r="V53">
        <v>30</v>
      </c>
      <c r="W53">
        <v>2</v>
      </c>
      <c r="X53">
        <v>0</v>
      </c>
      <c r="Y53" t="s">
        <v>15</v>
      </c>
      <c r="Z53">
        <v>0</v>
      </c>
      <c r="AA53">
        <f>IF(AND(Table1[[#This Row],[Throw Out Pass Eff]]="N", Table1[[#This Row],[Against FCS Team]]="N"), ROUND(((5.45 * D53) + (150 * F53) + (100 * G53) - (300 * H53)) / E53, 2), " ")</f>
        <v>53.57</v>
      </c>
      <c r="AB53">
        <f>IF(AND(Table1[[#This Row],[Throw Out Pass Def Eff]]="N", Table1[[#This Row],[Against FCS Team]]="N"),200 - ROUND(((5.45 * P53) + (150 * R53) + (100 * S53) - (300 * T53)) / Q53, 2), " ")</f>
        <v>88.63</v>
      </c>
      <c r="AC53">
        <f>IF(AND(Table1[[#This Row],[Throw Out Rush Eff]]="N", Table1[[#This Row],[Against FCS Team]]="N"), ROUND(((23.2 * I53) + (150 * K53) - (300 * L53)) / J53, 2), " ")</f>
        <v>89.77</v>
      </c>
      <c r="AD53" s="3">
        <f>IF(AND(Table1[[#This Row],[Throw Out Rush Def Eff]]="N", Table1[[#This Row],[Against FCS Team]]="N"), 200 - ROUND(((23.2 * U53) + (150 * W53) - (300 * X53)) / V53, 2), " ")</f>
        <v>121.17</v>
      </c>
      <c r="AE53" s="3">
        <f>ROUND(Table1[[#This Row],[Opp Passing Attempts]]/(Table1[[#This Row],[Opp Passing Attempts]]+Table1[[#This Row],[Opp Rushing Attempts]]), 2)</f>
        <v>0.56999999999999995</v>
      </c>
      <c r="AF53" s="3">
        <f>1-Table1[[#This Row],[Passing Weight]]</f>
        <v>0.43000000000000005</v>
      </c>
      <c r="AG53" s="3" t="str">
        <f>IF(COUNTIF(A:A,Table1[[#This Row],[Opp Team Name]]) &gt; 0, "N", "Y")</f>
        <v>N</v>
      </c>
      <c r="AH53" s="3" t="str">
        <f>IF(Table1[[#This Row],[Passing Attempts]] &lt;15, "Y", "N")</f>
        <v>N</v>
      </c>
      <c r="AI53" s="3" t="str">
        <f>IF(Table1[[#This Row],[Rushing Attempts]] &lt; 15, "Y", "N")</f>
        <v>N</v>
      </c>
      <c r="AJ53" s="3" t="str">
        <f>IF(Table1[[#This Row],[Opp Passing Attempts]]&lt;15, "Y", "N")</f>
        <v>N</v>
      </c>
      <c r="AK53" s="3" t="str">
        <f>IF(Table1[[#This Row],[Opp Rushing Attempts]]&lt;15, "Y", "N")</f>
        <v>N</v>
      </c>
      <c r="AL5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61.82</v>
      </c>
      <c r="AM5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91.11</v>
      </c>
      <c r="AN5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81.97</v>
      </c>
      <c r="AO5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117.87</v>
      </c>
      <c r="AP53" s="3">
        <f>ABS(Table1[[#This Row],[Team Score]]-Table1[[#This Row],[Opp Team Score]])</f>
        <v>45</v>
      </c>
      <c r="AQ53" s="3">
        <f>SUM(Table1[[#This Row],[Team Score]], Table1[[#This Row],[Opp Team Score]])</f>
        <v>51</v>
      </c>
      <c r="AR5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46.859999999999985</v>
      </c>
      <c r="AS53" s="3">
        <f>IF(Table1[[#This Row],[Efficiency Difference]] = " ", " ", ROUND((Table1[[#This Row],[Winning Margin]]*100)/Table1[[#This Row],[Efficiency Difference]], 2))</f>
        <v>96.03</v>
      </c>
    </row>
    <row r="54" spans="1:45">
      <c r="A54" t="s">
        <v>104</v>
      </c>
      <c r="B54">
        <v>0</v>
      </c>
      <c r="C54">
        <v>24</v>
      </c>
      <c r="D54">
        <v>132</v>
      </c>
      <c r="E54">
        <v>24</v>
      </c>
      <c r="F54">
        <v>2</v>
      </c>
      <c r="G54">
        <v>16</v>
      </c>
      <c r="H54">
        <v>1</v>
      </c>
      <c r="I54">
        <v>74</v>
      </c>
      <c r="J54">
        <v>24</v>
      </c>
      <c r="K54">
        <v>1</v>
      </c>
      <c r="L54">
        <v>0</v>
      </c>
      <c r="M54" t="s">
        <v>107</v>
      </c>
      <c r="N54">
        <v>0</v>
      </c>
      <c r="O54">
        <v>27</v>
      </c>
      <c r="P54">
        <v>427</v>
      </c>
      <c r="Q54">
        <v>43</v>
      </c>
      <c r="R54">
        <v>3</v>
      </c>
      <c r="S54">
        <v>26</v>
      </c>
      <c r="T54">
        <v>2</v>
      </c>
      <c r="U54">
        <v>45</v>
      </c>
      <c r="V54">
        <v>22</v>
      </c>
      <c r="W54">
        <v>0</v>
      </c>
      <c r="X54">
        <v>0</v>
      </c>
      <c r="Y54" t="s">
        <v>15</v>
      </c>
      <c r="Z54">
        <v>0</v>
      </c>
      <c r="AA54">
        <f>IF(AND(Table1[[#This Row],[Throw Out Pass Eff]]="N", Table1[[#This Row],[Against FCS Team]]="N"), ROUND(((5.45 * D54) + (150 * F54) + (100 * G54) - (300 * H54)) / E54, 2), " ")</f>
        <v>96.64</v>
      </c>
      <c r="AB54">
        <f>IF(AND(Table1[[#This Row],[Throw Out Pass Def Eff]]="N", Table1[[#This Row],[Against FCS Team]]="N"),200 - ROUND(((5.45 * P54) + (150 * R54) + (100 * S54) - (300 * T54)) / Q54, 2), " ")</f>
        <v>88.9</v>
      </c>
      <c r="AC54">
        <f>IF(AND(Table1[[#This Row],[Throw Out Rush Eff]]="N", Table1[[#This Row],[Against FCS Team]]="N"), ROUND(((23.2 * I54) + (150 * K54) - (300 * L54)) / J54, 2), " ")</f>
        <v>77.78</v>
      </c>
      <c r="AD54" s="3">
        <f>IF(AND(Table1[[#This Row],[Throw Out Rush Def Eff]]="N", Table1[[#This Row],[Against FCS Team]]="N"), 200 - ROUND(((23.2 * U54) + (150 * W54) - (300 * X54)) / V54, 2), " ")</f>
        <v>152.55000000000001</v>
      </c>
      <c r="AE54" s="3">
        <f>ROUND(Table1[[#This Row],[Opp Passing Attempts]]/(Table1[[#This Row],[Opp Passing Attempts]]+Table1[[#This Row],[Opp Rushing Attempts]]), 2)</f>
        <v>0.66</v>
      </c>
      <c r="AF54" s="3">
        <f>1-Table1[[#This Row],[Passing Weight]]</f>
        <v>0.33999999999999997</v>
      </c>
      <c r="AG54" s="3" t="str">
        <f>IF(COUNTIF(A:A,Table1[[#This Row],[Opp Team Name]]) &gt; 0, "N", "Y")</f>
        <v>N</v>
      </c>
      <c r="AH54" s="3" t="str">
        <f>IF(Table1[[#This Row],[Passing Attempts]] &lt;15, "Y", "N")</f>
        <v>N</v>
      </c>
      <c r="AI54" s="3" t="str">
        <f>IF(Table1[[#This Row],[Rushing Attempts]] &lt; 15, "Y", "N")</f>
        <v>N</v>
      </c>
      <c r="AJ54" s="3" t="str">
        <f>IF(Table1[[#This Row],[Opp Passing Attempts]]&lt;15, "Y", "N")</f>
        <v>N</v>
      </c>
      <c r="AK54" s="3" t="str">
        <f>IF(Table1[[#This Row],[Opp Rushing Attempts]]&lt;15, "Y", "N")</f>
        <v>N</v>
      </c>
      <c r="AL5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106</v>
      </c>
      <c r="AM5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92.18</v>
      </c>
      <c r="AN5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103.05</v>
      </c>
      <c r="AO5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139.05000000000001</v>
      </c>
      <c r="AP54" s="3">
        <f>ABS(Table1[[#This Row],[Team Score]]-Table1[[#This Row],[Opp Team Score]])</f>
        <v>3</v>
      </c>
      <c r="AQ54" s="3">
        <f>SUM(Table1[[#This Row],[Team Score]], Table1[[#This Row],[Opp Team Score]])</f>
        <v>51</v>
      </c>
      <c r="AR5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15.870000000000033</v>
      </c>
      <c r="AS54" s="3">
        <f>IF(Table1[[#This Row],[Efficiency Difference]] = " ", " ", ROUND((Table1[[#This Row],[Winning Margin]]*100)/Table1[[#This Row],[Efficiency Difference]], 2))</f>
        <v>18.899999999999999</v>
      </c>
    </row>
    <row r="55" spans="1:45">
      <c r="A55" t="s">
        <v>107</v>
      </c>
      <c r="B55">
        <v>0</v>
      </c>
      <c r="C55">
        <v>27</v>
      </c>
      <c r="D55">
        <v>427</v>
      </c>
      <c r="E55">
        <v>43</v>
      </c>
      <c r="F55">
        <v>3</v>
      </c>
      <c r="G55">
        <v>26</v>
      </c>
      <c r="H55">
        <v>2</v>
      </c>
      <c r="I55">
        <v>45</v>
      </c>
      <c r="J55">
        <v>22</v>
      </c>
      <c r="K55">
        <v>0</v>
      </c>
      <c r="L55">
        <v>0</v>
      </c>
      <c r="M55" t="s">
        <v>104</v>
      </c>
      <c r="N55">
        <v>0</v>
      </c>
      <c r="O55">
        <v>24</v>
      </c>
      <c r="P55">
        <v>132</v>
      </c>
      <c r="Q55">
        <v>24</v>
      </c>
      <c r="R55">
        <v>2</v>
      </c>
      <c r="S55">
        <v>16</v>
      </c>
      <c r="T55">
        <v>1</v>
      </c>
      <c r="U55">
        <v>74</v>
      </c>
      <c r="V55">
        <v>24</v>
      </c>
      <c r="W55">
        <v>1</v>
      </c>
      <c r="X55">
        <v>0</v>
      </c>
      <c r="Y55" t="s">
        <v>14</v>
      </c>
      <c r="Z55">
        <v>0</v>
      </c>
      <c r="AA55">
        <f>IF(AND(Table1[[#This Row],[Throw Out Pass Eff]]="N", Table1[[#This Row],[Against FCS Team]]="N"), ROUND(((5.45 * D55) + (150 * F55) + (100 * G55) - (300 * H55)) / E55, 2), " ")</f>
        <v>111.1</v>
      </c>
      <c r="AB55">
        <f>IF(AND(Table1[[#This Row],[Throw Out Pass Def Eff]]="N", Table1[[#This Row],[Against FCS Team]]="N"),200 - ROUND(((5.45 * P55) + (150 * R55) + (100 * S55) - (300 * T55)) / Q55, 2), " ")</f>
        <v>103.36</v>
      </c>
      <c r="AC55">
        <f>IF(AND(Table1[[#This Row],[Throw Out Rush Eff]]="N", Table1[[#This Row],[Against FCS Team]]="N"), ROUND(((23.2 * I55) + (150 * K55) - (300 * L55)) / J55, 2), " ")</f>
        <v>47.45</v>
      </c>
      <c r="AD55" s="3">
        <f>IF(AND(Table1[[#This Row],[Throw Out Rush Def Eff]]="N", Table1[[#This Row],[Against FCS Team]]="N"), 200 - ROUND(((23.2 * U55) + (150 * W55) - (300 * X55)) / V55, 2), " ")</f>
        <v>122.22</v>
      </c>
      <c r="AE55" s="3">
        <f>ROUND(Table1[[#This Row],[Opp Passing Attempts]]/(Table1[[#This Row],[Opp Passing Attempts]]+Table1[[#This Row],[Opp Rushing Attempts]]), 2)</f>
        <v>0.5</v>
      </c>
      <c r="AF55" s="3">
        <f>1-Table1[[#This Row],[Passing Weight]]</f>
        <v>0.5</v>
      </c>
      <c r="AG55" s="3" t="str">
        <f>IF(COUNTIF(A:A,Table1[[#This Row],[Opp Team Name]]) &gt; 0, "N", "Y")</f>
        <v>N</v>
      </c>
      <c r="AH55" s="3" t="str">
        <f>IF(Table1[[#This Row],[Passing Attempts]] &lt;15, "Y", "N")</f>
        <v>N</v>
      </c>
      <c r="AI55" s="3" t="str">
        <f>IF(Table1[[#This Row],[Rushing Attempts]] &lt; 15, "Y", "N")</f>
        <v>N</v>
      </c>
      <c r="AJ55" s="3" t="str">
        <f>IF(Table1[[#This Row],[Opp Passing Attempts]]&lt;15, "Y", "N")</f>
        <v>N</v>
      </c>
      <c r="AK55" s="3" t="str">
        <f>IF(Table1[[#This Row],[Opp Rushing Attempts]]&lt;15, "Y", "N")</f>
        <v>N</v>
      </c>
      <c r="AL5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126.75</v>
      </c>
      <c r="AM5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107.65</v>
      </c>
      <c r="AN5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61.81</v>
      </c>
      <c r="AO5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126.21</v>
      </c>
      <c r="AP55" s="3">
        <f>ABS(Table1[[#This Row],[Team Score]]-Table1[[#This Row],[Opp Team Score]])</f>
        <v>3</v>
      </c>
      <c r="AQ55" s="3">
        <f>SUM(Table1[[#This Row],[Team Score]], Table1[[#This Row],[Opp Team Score]])</f>
        <v>51</v>
      </c>
      <c r="AR5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15.870000000000005</v>
      </c>
      <c r="AS55" s="3">
        <f>IF(Table1[[#This Row],[Efficiency Difference]] = " ", " ", ROUND((Table1[[#This Row],[Winning Margin]]*100)/Table1[[#This Row],[Efficiency Difference]], 2))</f>
        <v>18.899999999999999</v>
      </c>
    </row>
    <row r="56" spans="1:45">
      <c r="A56" t="s">
        <v>110</v>
      </c>
      <c r="B56">
        <v>0</v>
      </c>
      <c r="C56">
        <v>24</v>
      </c>
      <c r="D56">
        <v>187</v>
      </c>
      <c r="E56">
        <v>25</v>
      </c>
      <c r="F56">
        <v>2</v>
      </c>
      <c r="G56">
        <v>15</v>
      </c>
      <c r="H56">
        <v>0</v>
      </c>
      <c r="I56">
        <v>131</v>
      </c>
      <c r="J56">
        <v>36</v>
      </c>
      <c r="K56">
        <v>1</v>
      </c>
      <c r="L56">
        <v>2</v>
      </c>
      <c r="M56" t="s">
        <v>91</v>
      </c>
      <c r="N56">
        <v>0</v>
      </c>
      <c r="O56">
        <v>22</v>
      </c>
      <c r="P56">
        <v>310</v>
      </c>
      <c r="Q56">
        <v>41</v>
      </c>
      <c r="R56">
        <v>2</v>
      </c>
      <c r="S56">
        <v>27</v>
      </c>
      <c r="T56">
        <v>0</v>
      </c>
      <c r="U56">
        <v>72</v>
      </c>
      <c r="V56">
        <v>20</v>
      </c>
      <c r="W56">
        <v>0</v>
      </c>
      <c r="X56">
        <v>0</v>
      </c>
      <c r="Y56" t="s">
        <v>14</v>
      </c>
      <c r="Z56">
        <v>0</v>
      </c>
      <c r="AA56">
        <f>IF(AND(Table1[[#This Row],[Throw Out Pass Eff]]="N", Table1[[#This Row],[Against FCS Team]]="N"), ROUND(((5.45 * D56) + (150 * F56) + (100 * G56) - (300 * H56)) / E56, 2), " ")</f>
        <v>112.77</v>
      </c>
      <c r="AB56">
        <f>IF(AND(Table1[[#This Row],[Throw Out Pass Def Eff]]="N", Table1[[#This Row],[Against FCS Team]]="N"),200 - ROUND(((5.45 * P56) + (150 * R56) + (100 * S56) - (300 * T56)) / Q56, 2), " ")</f>
        <v>85.62</v>
      </c>
      <c r="AC56">
        <f>IF(AND(Table1[[#This Row],[Throw Out Rush Eff]]="N", Table1[[#This Row],[Against FCS Team]]="N"), ROUND(((23.2 * I56) + (150 * K56) - (300 * L56)) / J56, 2), " ")</f>
        <v>71.92</v>
      </c>
      <c r="AD56" s="3">
        <f>IF(AND(Table1[[#This Row],[Throw Out Rush Def Eff]]="N", Table1[[#This Row],[Against FCS Team]]="N"), 200 - ROUND(((23.2 * U56) + (150 * W56) - (300 * X56)) / V56, 2), " ")</f>
        <v>116.48</v>
      </c>
      <c r="AE56" s="3">
        <f>ROUND(Table1[[#This Row],[Opp Passing Attempts]]/(Table1[[#This Row],[Opp Passing Attempts]]+Table1[[#This Row],[Opp Rushing Attempts]]), 2)</f>
        <v>0.67</v>
      </c>
      <c r="AF56" s="3">
        <f>1-Table1[[#This Row],[Passing Weight]]</f>
        <v>0.32999999999999996</v>
      </c>
      <c r="AG56" s="3" t="str">
        <f>IF(COUNTIF(A:A,Table1[[#This Row],[Opp Team Name]]) &gt; 0, "N", "Y")</f>
        <v>N</v>
      </c>
      <c r="AH56" s="3" t="str">
        <f>IF(Table1[[#This Row],[Passing Attempts]] &lt;15, "Y", "N")</f>
        <v>N</v>
      </c>
      <c r="AI56" s="3" t="str">
        <f>IF(Table1[[#This Row],[Rushing Attempts]] &lt; 15, "Y", "N")</f>
        <v>N</v>
      </c>
      <c r="AJ56" s="3" t="str">
        <f>IF(Table1[[#This Row],[Opp Passing Attempts]]&lt;15, "Y", "N")</f>
        <v>N</v>
      </c>
      <c r="AK56" s="3" t="str">
        <f>IF(Table1[[#This Row],[Opp Rushing Attempts]]&lt;15, "Y", "N")</f>
        <v>N</v>
      </c>
      <c r="AL5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119.25</v>
      </c>
      <c r="AM5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81.510000000000005</v>
      </c>
      <c r="AN5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93.41</v>
      </c>
      <c r="AO5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102.65</v>
      </c>
      <c r="AP56" s="3">
        <f>ABS(Table1[[#This Row],[Team Score]]-Table1[[#This Row],[Opp Team Score]])</f>
        <v>2</v>
      </c>
      <c r="AQ56" s="3">
        <f>SUM(Table1[[#This Row],[Team Score]], Table1[[#This Row],[Opp Team Score]])</f>
        <v>46</v>
      </c>
      <c r="AR5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13.20999999999998</v>
      </c>
      <c r="AS56" s="3">
        <f>IF(Table1[[#This Row],[Efficiency Difference]] = " ", " ", ROUND((Table1[[#This Row],[Winning Margin]]*100)/Table1[[#This Row],[Efficiency Difference]], 2))</f>
        <v>15.14</v>
      </c>
    </row>
    <row r="57" spans="1:45">
      <c r="A57" t="s">
        <v>91</v>
      </c>
      <c r="B57">
        <v>0</v>
      </c>
      <c r="C57">
        <v>22</v>
      </c>
      <c r="D57">
        <v>310</v>
      </c>
      <c r="E57">
        <v>41</v>
      </c>
      <c r="F57">
        <v>2</v>
      </c>
      <c r="G57">
        <v>27</v>
      </c>
      <c r="H57">
        <v>0</v>
      </c>
      <c r="I57">
        <v>72</v>
      </c>
      <c r="J57">
        <v>20</v>
      </c>
      <c r="K57">
        <v>0</v>
      </c>
      <c r="L57">
        <v>0</v>
      </c>
      <c r="M57" t="s">
        <v>110</v>
      </c>
      <c r="N57">
        <v>0</v>
      </c>
      <c r="O57">
        <v>24</v>
      </c>
      <c r="P57">
        <v>187</v>
      </c>
      <c r="Q57">
        <v>25</v>
      </c>
      <c r="R57">
        <v>2</v>
      </c>
      <c r="S57">
        <v>15</v>
      </c>
      <c r="T57">
        <v>0</v>
      </c>
      <c r="U57">
        <v>131</v>
      </c>
      <c r="V57">
        <v>36</v>
      </c>
      <c r="W57">
        <v>1</v>
      </c>
      <c r="X57">
        <v>2</v>
      </c>
      <c r="Y57" t="s">
        <v>15</v>
      </c>
      <c r="Z57">
        <v>0</v>
      </c>
      <c r="AA57">
        <f>IF(AND(Table1[[#This Row],[Throw Out Pass Eff]]="N", Table1[[#This Row],[Against FCS Team]]="N"), ROUND(((5.45 * D57) + (150 * F57) + (100 * G57) - (300 * H57)) / E57, 2), " ")</f>
        <v>114.38</v>
      </c>
      <c r="AB57">
        <f>IF(AND(Table1[[#This Row],[Throw Out Pass Def Eff]]="N", Table1[[#This Row],[Against FCS Team]]="N"),200 - ROUND(((5.45 * P57) + (150 * R57) + (100 * S57) - (300 * T57)) / Q57, 2), " ")</f>
        <v>87.23</v>
      </c>
      <c r="AC57">
        <f>IF(AND(Table1[[#This Row],[Throw Out Rush Eff]]="N", Table1[[#This Row],[Against FCS Team]]="N"), ROUND(((23.2 * I57) + (150 * K57) - (300 * L57)) / J57, 2), " ")</f>
        <v>83.52</v>
      </c>
      <c r="AD57" s="3">
        <f>IF(AND(Table1[[#This Row],[Throw Out Rush Def Eff]]="N", Table1[[#This Row],[Against FCS Team]]="N"), 200 - ROUND(((23.2 * U57) + (150 * W57) - (300 * X57)) / V57, 2), " ")</f>
        <v>128.07999999999998</v>
      </c>
      <c r="AE57" s="3">
        <f>ROUND(Table1[[#This Row],[Opp Passing Attempts]]/(Table1[[#This Row],[Opp Passing Attempts]]+Table1[[#This Row],[Opp Rushing Attempts]]), 2)</f>
        <v>0.41</v>
      </c>
      <c r="AF57" s="3">
        <f>1-Table1[[#This Row],[Passing Weight]]</f>
        <v>0.59000000000000008</v>
      </c>
      <c r="AG57" s="3" t="str">
        <f>IF(COUNTIF(A:A,Table1[[#This Row],[Opp Team Name]]) &gt; 0, "N", "Y")</f>
        <v>N</v>
      </c>
      <c r="AH57" s="3" t="str">
        <f>IF(Table1[[#This Row],[Passing Attempts]] &lt;15, "Y", "N")</f>
        <v>N</v>
      </c>
      <c r="AI57" s="3" t="str">
        <f>IF(Table1[[#This Row],[Rushing Attempts]] &lt; 15, "Y", "N")</f>
        <v>N</v>
      </c>
      <c r="AJ57" s="3" t="str">
        <f>IF(Table1[[#This Row],[Opp Passing Attempts]]&lt;15, "Y", "N")</f>
        <v>N</v>
      </c>
      <c r="AK57" s="3" t="str">
        <f>IF(Table1[[#This Row],[Opp Rushing Attempts]]&lt;15, "Y", "N")</f>
        <v>N</v>
      </c>
      <c r="AL5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103.13</v>
      </c>
      <c r="AM5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75.14</v>
      </c>
      <c r="AN5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100.79</v>
      </c>
      <c r="AO5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128.97999999999999</v>
      </c>
      <c r="AP57" s="3">
        <f>ABS(Table1[[#This Row],[Team Score]]-Table1[[#This Row],[Opp Team Score]])</f>
        <v>2</v>
      </c>
      <c r="AQ57" s="3">
        <f>SUM(Table1[[#This Row],[Team Score]], Table1[[#This Row],[Opp Team Score]])</f>
        <v>46</v>
      </c>
      <c r="AR5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13.20999999999998</v>
      </c>
      <c r="AS57" s="3">
        <f>IF(Table1[[#This Row],[Efficiency Difference]] = " ", " ", ROUND((Table1[[#This Row],[Winning Margin]]*100)/Table1[[#This Row],[Efficiency Difference]], 2))</f>
        <v>15.14</v>
      </c>
    </row>
    <row r="58" spans="1:45">
      <c r="A58" t="s">
        <v>108</v>
      </c>
      <c r="B58">
        <v>0</v>
      </c>
      <c r="C58">
        <v>13</v>
      </c>
      <c r="D58">
        <v>153</v>
      </c>
      <c r="E58">
        <v>30</v>
      </c>
      <c r="F58">
        <v>1</v>
      </c>
      <c r="G58">
        <v>12</v>
      </c>
      <c r="H58">
        <v>1</v>
      </c>
      <c r="I58">
        <v>153</v>
      </c>
      <c r="J58">
        <v>28</v>
      </c>
      <c r="K58">
        <v>0</v>
      </c>
      <c r="L58">
        <v>1</v>
      </c>
      <c r="M58" t="s">
        <v>84</v>
      </c>
      <c r="N58">
        <v>0</v>
      </c>
      <c r="O58">
        <v>23</v>
      </c>
      <c r="P58">
        <v>207</v>
      </c>
      <c r="Q58">
        <v>29</v>
      </c>
      <c r="R58">
        <v>2</v>
      </c>
      <c r="S58">
        <v>21</v>
      </c>
      <c r="T58">
        <v>0</v>
      </c>
      <c r="U58">
        <v>138</v>
      </c>
      <c r="V58">
        <v>36</v>
      </c>
      <c r="W58">
        <v>0</v>
      </c>
      <c r="X58">
        <v>0</v>
      </c>
      <c r="Y58" t="s">
        <v>15</v>
      </c>
      <c r="Z58">
        <v>0</v>
      </c>
      <c r="AA58" s="3">
        <f>IF(AND(Table1[[#This Row],[Throw Out Pass Eff]]="N", Table1[[#This Row],[Against FCS Team]]="N"), ROUND(((5.45 * D58) + (150 * F58) + (100 * G58) - (300 * H58)) / E58, 2), " ")</f>
        <v>62.8</v>
      </c>
      <c r="AB58" s="3">
        <f>IF(AND(Table1[[#This Row],[Throw Out Pass Def Eff]]="N", Table1[[#This Row],[Against FCS Team]]="N"),200 - ROUND(((5.45 * P58) + (150 * R58) + (100 * S58) - (300 * T58)) / Q58, 2), " ")</f>
        <v>78.34</v>
      </c>
      <c r="AC58" s="3">
        <f>IF(AND(Table1[[#This Row],[Throw Out Rush Eff]]="N", Table1[[#This Row],[Against FCS Team]]="N"), ROUND(((23.2 * I58) + (150 * K58) - (300 * L58)) / J58, 2), " ")</f>
        <v>116.06</v>
      </c>
      <c r="AD58" s="3">
        <f>IF(AND(Table1[[#This Row],[Throw Out Rush Def Eff]]="N", Table1[[#This Row],[Against FCS Team]]="N"), 200 - ROUND(((23.2 * U58) + (150 * W58) - (300 * X58)) / V58, 2), " ")</f>
        <v>111.07</v>
      </c>
      <c r="AE58" s="3">
        <f>ROUND(Table1[[#This Row],[Opp Passing Attempts]]/(Table1[[#This Row],[Opp Passing Attempts]]+Table1[[#This Row],[Opp Rushing Attempts]]), 2)</f>
        <v>0.45</v>
      </c>
      <c r="AF58" s="3">
        <f>1-Table1[[#This Row],[Passing Weight]]</f>
        <v>0.55000000000000004</v>
      </c>
      <c r="AG58" s="3" t="str">
        <f>IF(COUNTIF(A:A,Table1[[#This Row],[Opp Team Name]]) &gt; 0, "N", "Y")</f>
        <v>N</v>
      </c>
      <c r="AH58" s="3" t="str">
        <f>IF(Table1[[#This Row],[Passing Attempts]] &lt;15, "Y", "N")</f>
        <v>N</v>
      </c>
      <c r="AI58" s="3" t="str">
        <f>IF(Table1[[#This Row],[Rushing Attempts]] &lt; 15, "Y", "N")</f>
        <v>N</v>
      </c>
      <c r="AJ58" s="3" t="str">
        <f>IF(Table1[[#This Row],[Opp Passing Attempts]]&lt;15, "Y", "N")</f>
        <v>N</v>
      </c>
      <c r="AK58" s="3" t="str">
        <f>IF(Table1[[#This Row],[Opp Rushing Attempts]]&lt;15, "Y", "N")</f>
        <v>N</v>
      </c>
      <c r="AL5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75.599999999999994</v>
      </c>
      <c r="AM5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87.26</v>
      </c>
      <c r="AN5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117.69</v>
      </c>
      <c r="AO5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107.17</v>
      </c>
      <c r="AP58" s="3">
        <f>ABS(Table1[[#This Row],[Team Score]]-Table1[[#This Row],[Opp Team Score]])</f>
        <v>10</v>
      </c>
      <c r="AQ58" s="3">
        <f>SUM(Table1[[#This Row],[Team Score]], Table1[[#This Row],[Opp Team Score]])</f>
        <v>36</v>
      </c>
      <c r="AR5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31.72999999999999</v>
      </c>
      <c r="AS58" s="3">
        <f>IF(Table1[[#This Row],[Efficiency Difference]] = " ", " ", ROUND((Table1[[#This Row],[Winning Margin]]*100)/Table1[[#This Row],[Efficiency Difference]], 2))</f>
        <v>31.52</v>
      </c>
    </row>
    <row r="59" spans="1:45">
      <c r="A59" t="s">
        <v>84</v>
      </c>
      <c r="B59">
        <v>0</v>
      </c>
      <c r="C59">
        <v>23</v>
      </c>
      <c r="D59">
        <v>207</v>
      </c>
      <c r="E59">
        <v>29</v>
      </c>
      <c r="F59">
        <v>2</v>
      </c>
      <c r="G59">
        <v>21</v>
      </c>
      <c r="H59">
        <v>0</v>
      </c>
      <c r="I59">
        <v>138</v>
      </c>
      <c r="J59">
        <v>36</v>
      </c>
      <c r="K59">
        <v>0</v>
      </c>
      <c r="L59">
        <v>0</v>
      </c>
      <c r="M59" t="s">
        <v>108</v>
      </c>
      <c r="N59">
        <v>0</v>
      </c>
      <c r="O59">
        <v>13</v>
      </c>
      <c r="P59">
        <v>153</v>
      </c>
      <c r="Q59">
        <v>30</v>
      </c>
      <c r="R59">
        <v>1</v>
      </c>
      <c r="S59">
        <v>12</v>
      </c>
      <c r="T59">
        <v>1</v>
      </c>
      <c r="U59">
        <v>153</v>
      </c>
      <c r="V59">
        <v>28</v>
      </c>
      <c r="W59">
        <v>0</v>
      </c>
      <c r="X59">
        <v>1</v>
      </c>
      <c r="Y59" t="s">
        <v>14</v>
      </c>
      <c r="Z59">
        <v>0</v>
      </c>
      <c r="AA59">
        <f>IF(AND(Table1[[#This Row],[Throw Out Pass Eff]]="N", Table1[[#This Row],[Against FCS Team]]="N"), ROUND(((5.45 * D59) + (150 * F59) + (100 * G59) - (300 * H59)) / E59, 2), " ")</f>
        <v>121.66</v>
      </c>
      <c r="AB59">
        <f>IF(AND(Table1[[#This Row],[Throw Out Pass Def Eff]]="N", Table1[[#This Row],[Against FCS Team]]="N"),200 - ROUND(((5.45 * P59) + (150 * R59) + (100 * S59) - (300 * T59)) / Q59, 2), " ")</f>
        <v>137.19999999999999</v>
      </c>
      <c r="AC59">
        <f>IF(AND(Table1[[#This Row],[Throw Out Rush Eff]]="N", Table1[[#This Row],[Against FCS Team]]="N"), ROUND(((23.2 * I59) + (150 * K59) - (300 * L59)) / J59, 2), " ")</f>
        <v>88.93</v>
      </c>
      <c r="AD59" s="3">
        <f>IF(AND(Table1[[#This Row],[Throw Out Rush Def Eff]]="N", Table1[[#This Row],[Against FCS Team]]="N"), 200 - ROUND(((23.2 * U59) + (150 * W59) - (300 * X59)) / V59, 2), " ")</f>
        <v>83.94</v>
      </c>
      <c r="AE59" s="3">
        <f>ROUND(Table1[[#This Row],[Opp Passing Attempts]]/(Table1[[#This Row],[Opp Passing Attempts]]+Table1[[#This Row],[Opp Rushing Attempts]]), 2)</f>
        <v>0.52</v>
      </c>
      <c r="AF59" s="3">
        <f>1-Table1[[#This Row],[Passing Weight]]</f>
        <v>0.48</v>
      </c>
      <c r="AG59" s="3" t="str">
        <f>IF(COUNTIF(A:A,Table1[[#This Row],[Opp Team Name]]) &gt; 0, "N", "Y")</f>
        <v>N</v>
      </c>
      <c r="AH59" s="3" t="str">
        <f>IF(Table1[[#This Row],[Passing Attempts]] &lt;15, "Y", "N")</f>
        <v>N</v>
      </c>
      <c r="AI59" s="3" t="str">
        <f>IF(Table1[[#This Row],[Rushing Attempts]] &lt; 15, "Y", "N")</f>
        <v>N</v>
      </c>
      <c r="AJ59" s="3" t="str">
        <f>IF(Table1[[#This Row],[Opp Passing Attempts]]&lt;15, "Y", "N")</f>
        <v>N</v>
      </c>
      <c r="AK59" s="3" t="str">
        <f>IF(Table1[[#This Row],[Opp Rushing Attempts]]&lt;15, "Y", "N")</f>
        <v>N</v>
      </c>
      <c r="AL5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112.74</v>
      </c>
      <c r="AM5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116.49</v>
      </c>
      <c r="AN5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93.72</v>
      </c>
      <c r="AO5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77.58</v>
      </c>
      <c r="AP59" s="3">
        <f>ABS(Table1[[#This Row],[Team Score]]-Table1[[#This Row],[Opp Team Score]])</f>
        <v>10</v>
      </c>
      <c r="AQ59" s="3">
        <f>SUM(Table1[[#This Row],[Team Score]], Table1[[#This Row],[Opp Team Score]])</f>
        <v>36</v>
      </c>
      <c r="AR5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31.72999999999999</v>
      </c>
      <c r="AS59" s="3">
        <f>IF(Table1[[#This Row],[Efficiency Difference]] = " ", " ", ROUND((Table1[[#This Row],[Winning Margin]]*100)/Table1[[#This Row],[Efficiency Difference]], 2))</f>
        <v>31.52</v>
      </c>
    </row>
    <row r="60" spans="1:45">
      <c r="A60" t="s">
        <v>109</v>
      </c>
      <c r="B60">
        <v>0</v>
      </c>
      <c r="C60">
        <v>35</v>
      </c>
      <c r="D60">
        <v>410</v>
      </c>
      <c r="E60">
        <v>40</v>
      </c>
      <c r="F60">
        <v>3</v>
      </c>
      <c r="G60">
        <v>31</v>
      </c>
      <c r="H60">
        <v>0</v>
      </c>
      <c r="I60">
        <v>94</v>
      </c>
      <c r="J60">
        <v>25</v>
      </c>
      <c r="K60">
        <v>1</v>
      </c>
      <c r="L60">
        <v>0</v>
      </c>
      <c r="M60" t="s">
        <v>98</v>
      </c>
      <c r="N60">
        <v>0</v>
      </c>
      <c r="O60">
        <v>21</v>
      </c>
      <c r="P60">
        <v>372</v>
      </c>
      <c r="Q60">
        <v>40</v>
      </c>
      <c r="R60">
        <v>2</v>
      </c>
      <c r="S60">
        <v>29</v>
      </c>
      <c r="T60">
        <v>2</v>
      </c>
      <c r="U60">
        <v>98</v>
      </c>
      <c r="V60">
        <v>24</v>
      </c>
      <c r="W60">
        <v>1</v>
      </c>
      <c r="X60">
        <v>2</v>
      </c>
      <c r="Y60" t="s">
        <v>14</v>
      </c>
      <c r="Z60">
        <v>0</v>
      </c>
      <c r="AA60">
        <f>IF(AND(Table1[[#This Row],[Throw Out Pass Eff]]="N", Table1[[#This Row],[Against FCS Team]]="N"), ROUND(((5.45 * D60) + (150 * F60) + (100 * G60) - (300 * H60)) / E60, 2), " ")</f>
        <v>144.61000000000001</v>
      </c>
      <c r="AB60">
        <f>IF(AND(Table1[[#This Row],[Throw Out Pass Def Eff]]="N", Table1[[#This Row],[Against FCS Team]]="N"),200 - ROUND(((5.45 * P60) + (150 * R60) + (100 * S60) - (300 * T60)) / Q60, 2), " ")</f>
        <v>84.31</v>
      </c>
      <c r="AC60">
        <f>IF(AND(Table1[[#This Row],[Throw Out Rush Eff]]="N", Table1[[#This Row],[Against FCS Team]]="N"), ROUND(((23.2 * I60) + (150 * K60) - (300 * L60)) / J60, 2), " ")</f>
        <v>93.23</v>
      </c>
      <c r="AD60" s="3">
        <f>IF(AND(Table1[[#This Row],[Throw Out Rush Def Eff]]="N", Table1[[#This Row],[Against FCS Team]]="N"), 200 - ROUND(((23.2 * U60) + (150 * W60) - (300 * X60)) / V60, 2), " ")</f>
        <v>124.02</v>
      </c>
      <c r="AE60" s="3">
        <f>ROUND(Table1[[#This Row],[Opp Passing Attempts]]/(Table1[[#This Row],[Opp Passing Attempts]]+Table1[[#This Row],[Opp Rushing Attempts]]), 2)</f>
        <v>0.63</v>
      </c>
      <c r="AF60" s="3">
        <f>1-Table1[[#This Row],[Passing Weight]]</f>
        <v>0.37</v>
      </c>
      <c r="AG60" s="3" t="str">
        <f>IF(COUNTIF(A:A,Table1[[#This Row],[Opp Team Name]]) &gt; 0, "N", "Y")</f>
        <v>N</v>
      </c>
      <c r="AH60" s="3" t="str">
        <f>IF(Table1[[#This Row],[Passing Attempts]] &lt;15, "Y", "N")</f>
        <v>N</v>
      </c>
      <c r="AI60" s="3" t="str">
        <f>IF(Table1[[#This Row],[Rushing Attempts]] &lt; 15, "Y", "N")</f>
        <v>N</v>
      </c>
      <c r="AJ60" s="3" t="str">
        <f>IF(Table1[[#This Row],[Opp Passing Attempts]]&lt;15, "Y", "N")</f>
        <v>N</v>
      </c>
      <c r="AK60" s="3" t="str">
        <f>IF(Table1[[#This Row],[Opp Rushing Attempts]]&lt;15, "Y", "N")</f>
        <v>N</v>
      </c>
      <c r="AL6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161.88</v>
      </c>
      <c r="AM6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82.4</v>
      </c>
      <c r="AN6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82.52</v>
      </c>
      <c r="AO6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114.18</v>
      </c>
      <c r="AP60" s="3">
        <f>ABS(Table1[[#This Row],[Team Score]]-Table1[[#This Row],[Opp Team Score]])</f>
        <v>14</v>
      </c>
      <c r="AQ60" s="3">
        <f>SUM(Table1[[#This Row],[Team Score]], Table1[[#This Row],[Opp Team Score]])</f>
        <v>56</v>
      </c>
      <c r="AR6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46.170000000000016</v>
      </c>
      <c r="AS60" s="3">
        <f>IF(Table1[[#This Row],[Efficiency Difference]] = " ", " ", ROUND((Table1[[#This Row],[Winning Margin]]*100)/Table1[[#This Row],[Efficiency Difference]], 2))</f>
        <v>30.32</v>
      </c>
    </row>
    <row r="61" spans="1:45">
      <c r="A61" t="s">
        <v>98</v>
      </c>
      <c r="B61">
        <v>0</v>
      </c>
      <c r="C61">
        <v>21</v>
      </c>
      <c r="D61">
        <v>372</v>
      </c>
      <c r="E61">
        <v>40</v>
      </c>
      <c r="F61">
        <v>2</v>
      </c>
      <c r="G61">
        <v>29</v>
      </c>
      <c r="H61">
        <v>2</v>
      </c>
      <c r="I61">
        <v>98</v>
      </c>
      <c r="J61">
        <v>24</v>
      </c>
      <c r="K61">
        <v>1</v>
      </c>
      <c r="L61">
        <v>2</v>
      </c>
      <c r="M61" t="s">
        <v>109</v>
      </c>
      <c r="N61">
        <v>0</v>
      </c>
      <c r="O61">
        <v>35</v>
      </c>
      <c r="P61">
        <v>410</v>
      </c>
      <c r="Q61">
        <v>40</v>
      </c>
      <c r="R61">
        <v>3</v>
      </c>
      <c r="S61">
        <v>31</v>
      </c>
      <c r="T61">
        <v>0</v>
      </c>
      <c r="U61">
        <v>94</v>
      </c>
      <c r="V61">
        <v>25</v>
      </c>
      <c r="W61">
        <v>1</v>
      </c>
      <c r="X61">
        <v>0</v>
      </c>
      <c r="Y61" t="s">
        <v>15</v>
      </c>
      <c r="Z61">
        <v>0</v>
      </c>
      <c r="AA61">
        <f>IF(AND(Table1[[#This Row],[Throw Out Pass Eff]]="N", Table1[[#This Row],[Against FCS Team]]="N"), ROUND(((5.45 * D61) + (150 * F61) + (100 * G61) - (300 * H61)) / E61, 2), " ")</f>
        <v>115.69</v>
      </c>
      <c r="AB61">
        <f>IF(AND(Table1[[#This Row],[Throw Out Pass Def Eff]]="N", Table1[[#This Row],[Against FCS Team]]="N"),200 - ROUND(((5.45 * P61) + (150 * R61) + (100 * S61) - (300 * T61)) / Q61, 2), " ")</f>
        <v>55.389999999999986</v>
      </c>
      <c r="AC61">
        <f>IF(AND(Table1[[#This Row],[Throw Out Rush Eff]]="N", Table1[[#This Row],[Against FCS Team]]="N"), ROUND(((23.2 * I61) + (150 * K61) - (300 * L61)) / J61, 2), " ")</f>
        <v>75.98</v>
      </c>
      <c r="AD61" s="3">
        <f>IF(AND(Table1[[#This Row],[Throw Out Rush Def Eff]]="N", Table1[[#This Row],[Against FCS Team]]="N"), 200 - ROUND(((23.2 * U61) + (150 * W61) - (300 * X61)) / V61, 2), " ")</f>
        <v>106.77</v>
      </c>
      <c r="AE61" s="3">
        <f>ROUND(Table1[[#This Row],[Opp Passing Attempts]]/(Table1[[#This Row],[Opp Passing Attempts]]+Table1[[#This Row],[Opp Rushing Attempts]]), 2)</f>
        <v>0.62</v>
      </c>
      <c r="AF61" s="3">
        <f>1-Table1[[#This Row],[Passing Weight]]</f>
        <v>0.38</v>
      </c>
      <c r="AG61" s="3" t="str">
        <f>IF(COUNTIF(A:A,Table1[[#This Row],[Opp Team Name]]) &gt; 0, "N", "Y")</f>
        <v>N</v>
      </c>
      <c r="AH61" s="3" t="str">
        <f>IF(Table1[[#This Row],[Passing Attempts]] &lt;15, "Y", "N")</f>
        <v>N</v>
      </c>
      <c r="AI61" s="3" t="str">
        <f>IF(Table1[[#This Row],[Rushing Attempts]] &lt; 15, "Y", "N")</f>
        <v>N</v>
      </c>
      <c r="AJ61" s="3" t="str">
        <f>IF(Table1[[#This Row],[Opp Passing Attempts]]&lt;15, "Y", "N")</f>
        <v>N</v>
      </c>
      <c r="AK61" s="3" t="str">
        <f>IF(Table1[[#This Row],[Opp Rushing Attempts]]&lt;15, "Y", "N")</f>
        <v>N</v>
      </c>
      <c r="AL6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108.08</v>
      </c>
      <c r="AM6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63.87</v>
      </c>
      <c r="AN6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76.319999999999993</v>
      </c>
      <c r="AO6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113.67</v>
      </c>
      <c r="AP61" s="3">
        <f>ABS(Table1[[#This Row],[Team Score]]-Table1[[#This Row],[Opp Team Score]])</f>
        <v>14</v>
      </c>
      <c r="AQ61" s="3">
        <f>SUM(Table1[[#This Row],[Team Score]], Table1[[#This Row],[Opp Team Score]])</f>
        <v>56</v>
      </c>
      <c r="AR6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46.170000000000016</v>
      </c>
      <c r="AS61" s="3">
        <f>IF(Table1[[#This Row],[Efficiency Difference]] = " ", " ", ROUND((Table1[[#This Row],[Winning Margin]]*100)/Table1[[#This Row],[Efficiency Difference]], 2))</f>
        <v>30.32</v>
      </c>
    </row>
    <row r="62" spans="1:45">
      <c r="A62" t="s">
        <v>83</v>
      </c>
      <c r="B62">
        <v>0</v>
      </c>
      <c r="C62">
        <v>35</v>
      </c>
      <c r="D62">
        <v>180</v>
      </c>
      <c r="E62">
        <v>28</v>
      </c>
      <c r="F62">
        <v>4</v>
      </c>
      <c r="G62">
        <v>17</v>
      </c>
      <c r="H62">
        <v>2</v>
      </c>
      <c r="I62">
        <v>138</v>
      </c>
      <c r="J62">
        <v>29</v>
      </c>
      <c r="K62">
        <v>1</v>
      </c>
      <c r="L62">
        <v>0</v>
      </c>
      <c r="M62" t="s">
        <v>93</v>
      </c>
      <c r="N62">
        <v>0</v>
      </c>
      <c r="O62">
        <v>31</v>
      </c>
      <c r="P62">
        <v>314</v>
      </c>
      <c r="Q62">
        <v>37</v>
      </c>
      <c r="R62">
        <v>2</v>
      </c>
      <c r="S62">
        <v>26</v>
      </c>
      <c r="T62">
        <v>1</v>
      </c>
      <c r="U62">
        <v>133</v>
      </c>
      <c r="V62">
        <v>30</v>
      </c>
      <c r="W62">
        <v>2</v>
      </c>
      <c r="X62">
        <v>2</v>
      </c>
      <c r="Y62" t="s">
        <v>14</v>
      </c>
      <c r="Z62">
        <v>0</v>
      </c>
      <c r="AA62">
        <f>IF(AND(Table1[[#This Row],[Throw Out Pass Eff]]="N", Table1[[#This Row],[Against FCS Team]]="N"), ROUND(((5.45 * D62) + (150 * F62) + (100 * G62) - (300 * H62)) / E62, 2), " ")</f>
        <v>95.75</v>
      </c>
      <c r="AB62">
        <f>IF(AND(Table1[[#This Row],[Throw Out Pass Def Eff]]="N", Table1[[#This Row],[Against FCS Team]]="N"),200 - ROUND(((5.45 * P62) + (150 * R62) + (100 * S62) - (300 * T62)) / Q62, 2), " ")</f>
        <v>83.48</v>
      </c>
      <c r="AC62">
        <f>IF(AND(Table1[[#This Row],[Throw Out Rush Eff]]="N", Table1[[#This Row],[Against FCS Team]]="N"), ROUND(((23.2 * I62) + (150 * K62) - (300 * L62)) / J62, 2), " ")</f>
        <v>115.57</v>
      </c>
      <c r="AD62" s="3">
        <f>IF(AND(Table1[[#This Row],[Throw Out Rush Def Eff]]="N", Table1[[#This Row],[Against FCS Team]]="N"), 200 - ROUND(((23.2 * U62) + (150 * W62) - (300 * X62)) / V62, 2), " ")</f>
        <v>107.15</v>
      </c>
      <c r="AE62" s="3">
        <f>ROUND(Table1[[#This Row],[Opp Passing Attempts]]/(Table1[[#This Row],[Opp Passing Attempts]]+Table1[[#This Row],[Opp Rushing Attempts]]), 2)</f>
        <v>0.55000000000000004</v>
      </c>
      <c r="AF62" s="3">
        <f>1-Table1[[#This Row],[Passing Weight]]</f>
        <v>0.44999999999999996</v>
      </c>
      <c r="AG62" s="3" t="str">
        <f>IF(COUNTIF(A:A,Table1[[#This Row],[Opp Team Name]]) &gt; 0, "N", "Y")</f>
        <v>N</v>
      </c>
      <c r="AH62" s="3" t="str">
        <f>IF(Table1[[#This Row],[Passing Attempts]] &lt;15, "Y", "N")</f>
        <v>N</v>
      </c>
      <c r="AI62" s="3" t="str">
        <f>IF(Table1[[#This Row],[Rushing Attempts]] &lt; 15, "Y", "N")</f>
        <v>N</v>
      </c>
      <c r="AJ62" s="3" t="str">
        <f>IF(Table1[[#This Row],[Opp Passing Attempts]]&lt;15, "Y", "N")</f>
        <v>N</v>
      </c>
      <c r="AK62" s="3" t="str">
        <f>IF(Table1[[#This Row],[Opp Rushing Attempts]]&lt;15, "Y", "N")</f>
        <v>N</v>
      </c>
      <c r="AL6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95.05</v>
      </c>
      <c r="AM6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76.650000000000006</v>
      </c>
      <c r="AN6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94.44</v>
      </c>
      <c r="AO6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139.76</v>
      </c>
      <c r="AP62" s="3">
        <f>ABS(Table1[[#This Row],[Team Score]]-Table1[[#This Row],[Opp Team Score]])</f>
        <v>4</v>
      </c>
      <c r="AQ62" s="3">
        <f>SUM(Table1[[#This Row],[Team Score]], Table1[[#This Row],[Opp Team Score]])</f>
        <v>66</v>
      </c>
      <c r="AR6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1.9499999999999886</v>
      </c>
      <c r="AS62" s="3">
        <f>IF(Table1[[#This Row],[Efficiency Difference]] = " ", " ", ROUND((Table1[[#This Row],[Winning Margin]]*100)/Table1[[#This Row],[Efficiency Difference]], 2))</f>
        <v>205.13</v>
      </c>
    </row>
    <row r="63" spans="1:45">
      <c r="A63" t="s">
        <v>93</v>
      </c>
      <c r="B63">
        <v>0</v>
      </c>
      <c r="C63">
        <v>31</v>
      </c>
      <c r="D63">
        <v>314</v>
      </c>
      <c r="E63">
        <v>37</v>
      </c>
      <c r="F63">
        <v>2</v>
      </c>
      <c r="G63">
        <v>26</v>
      </c>
      <c r="H63">
        <v>1</v>
      </c>
      <c r="I63">
        <v>133</v>
      </c>
      <c r="J63">
        <v>30</v>
      </c>
      <c r="K63">
        <v>2</v>
      </c>
      <c r="L63">
        <v>2</v>
      </c>
      <c r="M63" t="s">
        <v>83</v>
      </c>
      <c r="N63">
        <v>0</v>
      </c>
      <c r="O63">
        <v>35</v>
      </c>
      <c r="P63">
        <v>180</v>
      </c>
      <c r="Q63">
        <v>28</v>
      </c>
      <c r="R63">
        <v>4</v>
      </c>
      <c r="S63">
        <v>17</v>
      </c>
      <c r="T63">
        <v>2</v>
      </c>
      <c r="U63">
        <v>138</v>
      </c>
      <c r="V63">
        <v>29</v>
      </c>
      <c r="W63">
        <v>1</v>
      </c>
      <c r="X63">
        <v>0</v>
      </c>
      <c r="Y63" t="s">
        <v>15</v>
      </c>
      <c r="Z63">
        <v>0</v>
      </c>
      <c r="AA63">
        <f>IF(AND(Table1[[#This Row],[Throw Out Pass Eff]]="N", Table1[[#This Row],[Against FCS Team]]="N"), ROUND(((5.45 * D63) + (150 * F63) + (100 * G63) - (300 * H63)) / E63, 2), " ")</f>
        <v>116.52</v>
      </c>
      <c r="AB63">
        <f>IF(AND(Table1[[#This Row],[Throw Out Pass Def Eff]]="N", Table1[[#This Row],[Against FCS Team]]="N"),200 - ROUND(((5.45 * P63) + (150 * R63) + (100 * S63) - (300 * T63)) / Q63, 2), " ")</f>
        <v>104.25</v>
      </c>
      <c r="AC63">
        <f>IF(AND(Table1[[#This Row],[Throw Out Rush Eff]]="N", Table1[[#This Row],[Against FCS Team]]="N"), ROUND(((23.2 * I63) + (150 * K63) - (300 * L63)) / J63, 2), " ")</f>
        <v>92.85</v>
      </c>
      <c r="AD63" s="3">
        <f>IF(AND(Table1[[#This Row],[Throw Out Rush Def Eff]]="N", Table1[[#This Row],[Against FCS Team]]="N"), 200 - ROUND(((23.2 * U63) + (150 * W63) - (300 * X63)) / V63, 2), " ")</f>
        <v>84.43</v>
      </c>
      <c r="AE63" s="3">
        <f>ROUND(Table1[[#This Row],[Opp Passing Attempts]]/(Table1[[#This Row],[Opp Passing Attempts]]+Table1[[#This Row],[Opp Rushing Attempts]]), 2)</f>
        <v>0.49</v>
      </c>
      <c r="AF63" s="3">
        <f>1-Table1[[#This Row],[Passing Weight]]</f>
        <v>0.51</v>
      </c>
      <c r="AG63" s="3" t="str">
        <f>IF(COUNTIF(A:A,Table1[[#This Row],[Opp Team Name]]) &gt; 0, "N", "Y")</f>
        <v>N</v>
      </c>
      <c r="AH63" s="3" t="str">
        <f>IF(Table1[[#This Row],[Passing Attempts]] &lt;15, "Y", "N")</f>
        <v>N</v>
      </c>
      <c r="AI63" s="3" t="str">
        <f>IF(Table1[[#This Row],[Rushing Attempts]] &lt; 15, "Y", "N")</f>
        <v>N</v>
      </c>
      <c r="AJ63" s="3" t="str">
        <f>IF(Table1[[#This Row],[Opp Passing Attempts]]&lt;15, "Y", "N")</f>
        <v>N</v>
      </c>
      <c r="AK63" s="3" t="str">
        <f>IF(Table1[[#This Row],[Opp Rushing Attempts]]&lt;15, "Y", "N")</f>
        <v>N</v>
      </c>
      <c r="AL6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117.06</v>
      </c>
      <c r="AM6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94.65</v>
      </c>
      <c r="AN6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102</v>
      </c>
      <c r="AO6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75.92</v>
      </c>
      <c r="AP63" s="3">
        <f>ABS(Table1[[#This Row],[Team Score]]-Table1[[#This Row],[Opp Team Score]])</f>
        <v>4</v>
      </c>
      <c r="AQ63" s="3">
        <f>SUM(Table1[[#This Row],[Team Score]], Table1[[#This Row],[Opp Team Score]])</f>
        <v>66</v>
      </c>
      <c r="AR6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1.9499999999999886</v>
      </c>
      <c r="AS63" s="3">
        <f>IF(Table1[[#This Row],[Efficiency Difference]] = " ", " ", ROUND((Table1[[#This Row],[Winning Margin]]*100)/Table1[[#This Row],[Efficiency Difference]], 2))</f>
        <v>205.13</v>
      </c>
    </row>
    <row r="64" spans="1:45">
      <c r="A64" t="s">
        <v>101</v>
      </c>
      <c r="B64">
        <v>0</v>
      </c>
      <c r="C64">
        <v>28</v>
      </c>
      <c r="D64">
        <v>204</v>
      </c>
      <c r="E64">
        <v>30</v>
      </c>
      <c r="F64">
        <v>2</v>
      </c>
      <c r="G64">
        <v>19</v>
      </c>
      <c r="H64">
        <v>1</v>
      </c>
      <c r="I64">
        <v>119</v>
      </c>
      <c r="J64">
        <v>38</v>
      </c>
      <c r="K64">
        <v>1</v>
      </c>
      <c r="L64">
        <v>0</v>
      </c>
      <c r="M64" t="s">
        <v>92</v>
      </c>
      <c r="N64">
        <v>0</v>
      </c>
      <c r="O64">
        <v>16</v>
      </c>
      <c r="P64">
        <v>308</v>
      </c>
      <c r="Q64">
        <v>46</v>
      </c>
      <c r="R64">
        <v>1</v>
      </c>
      <c r="S64">
        <v>22</v>
      </c>
      <c r="T64">
        <v>0</v>
      </c>
      <c r="U64">
        <v>59</v>
      </c>
      <c r="V64">
        <v>19</v>
      </c>
      <c r="W64">
        <v>0</v>
      </c>
      <c r="X64">
        <v>2</v>
      </c>
      <c r="Y64" t="s">
        <v>14</v>
      </c>
      <c r="Z64">
        <v>0</v>
      </c>
      <c r="AA64">
        <f>IF(AND(Table1[[#This Row],[Throw Out Pass Eff]]="N", Table1[[#This Row],[Against FCS Team]]="N"), ROUND(((5.45 * D64) + (150 * F64) + (100 * G64) - (300 * H64)) / E64, 2), " ")</f>
        <v>100.39</v>
      </c>
      <c r="AB64">
        <f>IF(AND(Table1[[#This Row],[Throw Out Pass Def Eff]]="N", Table1[[#This Row],[Against FCS Team]]="N"),200 - ROUND(((5.45 * P64) + (150 * R64) + (100 * S64) - (300 * T64)) / Q64, 2), " ")</f>
        <v>112.42</v>
      </c>
      <c r="AC64">
        <f>IF(AND(Table1[[#This Row],[Throw Out Rush Eff]]="N", Table1[[#This Row],[Against FCS Team]]="N"), ROUND(((23.2 * I64) + (150 * K64) - (300 * L64)) / J64, 2), " ")</f>
        <v>76.599999999999994</v>
      </c>
      <c r="AD64" s="3">
        <f>IF(AND(Table1[[#This Row],[Throw Out Rush Def Eff]]="N", Table1[[#This Row],[Against FCS Team]]="N"), 200 - ROUND(((23.2 * U64) + (150 * W64) - (300 * X64)) / V64, 2), " ")</f>
        <v>159.54</v>
      </c>
      <c r="AE64" s="3">
        <f>ROUND(Table1[[#This Row],[Opp Passing Attempts]]/(Table1[[#This Row],[Opp Passing Attempts]]+Table1[[#This Row],[Opp Rushing Attempts]]), 2)</f>
        <v>0.71</v>
      </c>
      <c r="AF64" s="3">
        <f>1-Table1[[#This Row],[Passing Weight]]</f>
        <v>0.29000000000000004</v>
      </c>
      <c r="AG64" s="3" t="str">
        <f>IF(COUNTIF(A:A,Table1[[#This Row],[Opp Team Name]]) &gt; 0, "N", "Y")</f>
        <v>N</v>
      </c>
      <c r="AH64" s="3" t="str">
        <f>IF(Table1[[#This Row],[Passing Attempts]] &lt;15, "Y", "N")</f>
        <v>N</v>
      </c>
      <c r="AI64" s="3" t="str">
        <f>IF(Table1[[#This Row],[Rushing Attempts]] &lt; 15, "Y", "N")</f>
        <v>N</v>
      </c>
      <c r="AJ64" s="3" t="str">
        <f>IF(Table1[[#This Row],[Opp Passing Attempts]]&lt;15, "Y", "N")</f>
        <v>N</v>
      </c>
      <c r="AK64" s="3" t="str">
        <f>IF(Table1[[#This Row],[Opp Rushing Attempts]]&lt;15, "Y", "N")</f>
        <v>N</v>
      </c>
      <c r="AL6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102.93</v>
      </c>
      <c r="AM6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89.87</v>
      </c>
      <c r="AN6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54.53</v>
      </c>
      <c r="AO6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129.9</v>
      </c>
      <c r="AP64" s="3">
        <f>ABS(Table1[[#This Row],[Team Score]]-Table1[[#This Row],[Opp Team Score]])</f>
        <v>12</v>
      </c>
      <c r="AQ64" s="3">
        <f>SUM(Table1[[#This Row],[Team Score]], Table1[[#This Row],[Opp Team Score]])</f>
        <v>44</v>
      </c>
      <c r="AR6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48.949999999999989</v>
      </c>
      <c r="AS64" s="3">
        <f>IF(Table1[[#This Row],[Efficiency Difference]] = " ", " ", ROUND((Table1[[#This Row],[Winning Margin]]*100)/Table1[[#This Row],[Efficiency Difference]], 2))</f>
        <v>24.51</v>
      </c>
    </row>
    <row r="65" spans="1:45">
      <c r="A65" t="s">
        <v>92</v>
      </c>
      <c r="B65">
        <v>0</v>
      </c>
      <c r="C65">
        <v>16</v>
      </c>
      <c r="D65">
        <v>308</v>
      </c>
      <c r="E65">
        <v>46</v>
      </c>
      <c r="F65">
        <v>1</v>
      </c>
      <c r="G65">
        <v>22</v>
      </c>
      <c r="H65">
        <v>0</v>
      </c>
      <c r="I65">
        <v>59</v>
      </c>
      <c r="J65">
        <v>19</v>
      </c>
      <c r="K65">
        <v>0</v>
      </c>
      <c r="L65">
        <v>2</v>
      </c>
      <c r="M65" t="s">
        <v>101</v>
      </c>
      <c r="N65">
        <v>0</v>
      </c>
      <c r="O65">
        <v>28</v>
      </c>
      <c r="P65">
        <v>204</v>
      </c>
      <c r="Q65">
        <v>30</v>
      </c>
      <c r="R65">
        <v>2</v>
      </c>
      <c r="S65">
        <v>19</v>
      </c>
      <c r="T65">
        <v>1</v>
      </c>
      <c r="U65">
        <v>119</v>
      </c>
      <c r="V65">
        <v>38</v>
      </c>
      <c r="W65">
        <v>1</v>
      </c>
      <c r="X65">
        <v>0</v>
      </c>
      <c r="Y65" t="s">
        <v>15</v>
      </c>
      <c r="Z65">
        <v>0</v>
      </c>
      <c r="AA65">
        <f>IF(AND(Table1[[#This Row],[Throw Out Pass Eff]]="N", Table1[[#This Row],[Against FCS Team]]="N"), ROUND(((5.45 * D65) + (150 * F65) + (100 * G65) - (300 * H65)) / E65, 2), " ")</f>
        <v>87.58</v>
      </c>
      <c r="AB65">
        <f>IF(AND(Table1[[#This Row],[Throw Out Pass Def Eff]]="N", Table1[[#This Row],[Against FCS Team]]="N"),200 - ROUND(((5.45 * P65) + (150 * R65) + (100 * S65) - (300 * T65)) / Q65, 2), " ")</f>
        <v>99.61</v>
      </c>
      <c r="AC65">
        <f>IF(AND(Table1[[#This Row],[Throw Out Rush Eff]]="N", Table1[[#This Row],[Against FCS Team]]="N"), ROUND(((23.2 * I65) + (150 * K65) - (300 * L65)) / J65, 2), " ")</f>
        <v>40.46</v>
      </c>
      <c r="AD65" s="3">
        <f>IF(AND(Table1[[#This Row],[Throw Out Rush Def Eff]]="N", Table1[[#This Row],[Against FCS Team]]="N"), 200 - ROUND(((23.2 * U65) + (150 * W65) - (300 * X65)) / V65, 2), " ")</f>
        <v>123.4</v>
      </c>
      <c r="AE65" s="3">
        <f>ROUND(Table1[[#This Row],[Opp Passing Attempts]]/(Table1[[#This Row],[Opp Passing Attempts]]+Table1[[#This Row],[Opp Rushing Attempts]]), 2)</f>
        <v>0.44</v>
      </c>
      <c r="AF65" s="3">
        <f>1-Table1[[#This Row],[Passing Weight]]</f>
        <v>0.56000000000000005</v>
      </c>
      <c r="AG65" s="3" t="str">
        <f>IF(COUNTIF(A:A,Table1[[#This Row],[Opp Team Name]]) &gt; 0, "N", "Y")</f>
        <v>N</v>
      </c>
      <c r="AH65" s="3" t="str">
        <f>IF(Table1[[#This Row],[Passing Attempts]] &lt;15, "Y", "N")</f>
        <v>N</v>
      </c>
      <c r="AI65" s="3" t="str">
        <f>IF(Table1[[#This Row],[Rushing Attempts]] &lt; 15, "Y", "N")</f>
        <v>N</v>
      </c>
      <c r="AJ65" s="3" t="str">
        <f>IF(Table1[[#This Row],[Opp Passing Attempts]]&lt;15, "Y", "N")</f>
        <v>N</v>
      </c>
      <c r="AK65" s="3" t="str">
        <f>IF(Table1[[#This Row],[Opp Rushing Attempts]]&lt;15, "Y", "N")</f>
        <v>N</v>
      </c>
      <c r="AL6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93.91</v>
      </c>
      <c r="AM6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112.23</v>
      </c>
      <c r="AN6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41.25</v>
      </c>
      <c r="AO6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93.04</v>
      </c>
      <c r="AP65" s="3">
        <f>ABS(Table1[[#This Row],[Team Score]]-Table1[[#This Row],[Opp Team Score]])</f>
        <v>12</v>
      </c>
      <c r="AQ65" s="3">
        <f>SUM(Table1[[#This Row],[Team Score]], Table1[[#This Row],[Opp Team Score]])</f>
        <v>44</v>
      </c>
      <c r="AR6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48.950000000000017</v>
      </c>
      <c r="AS65" s="3">
        <f>IF(Table1[[#This Row],[Efficiency Difference]] = " ", " ", ROUND((Table1[[#This Row],[Winning Margin]]*100)/Table1[[#This Row],[Efficiency Difference]], 2))</f>
        <v>24.51</v>
      </c>
    </row>
    <row r="66" spans="1:45">
      <c r="A66" t="s">
        <v>103</v>
      </c>
      <c r="B66">
        <v>0</v>
      </c>
      <c r="C66">
        <v>16</v>
      </c>
      <c r="D66">
        <v>158</v>
      </c>
      <c r="E66">
        <v>34</v>
      </c>
      <c r="F66">
        <v>1</v>
      </c>
      <c r="G66">
        <v>18</v>
      </c>
      <c r="H66">
        <v>0</v>
      </c>
      <c r="I66">
        <v>107</v>
      </c>
      <c r="J66">
        <v>28</v>
      </c>
      <c r="K66">
        <v>0</v>
      </c>
      <c r="L66">
        <v>0</v>
      </c>
      <c r="M66" t="s">
        <v>88</v>
      </c>
      <c r="N66">
        <v>0</v>
      </c>
      <c r="O66">
        <v>10</v>
      </c>
      <c r="P66">
        <v>129</v>
      </c>
      <c r="Q66">
        <v>21</v>
      </c>
      <c r="R66">
        <v>1</v>
      </c>
      <c r="S66">
        <v>12</v>
      </c>
      <c r="T66">
        <v>1</v>
      </c>
      <c r="U66">
        <v>128</v>
      </c>
      <c r="V66">
        <v>34</v>
      </c>
      <c r="W66">
        <v>0</v>
      </c>
      <c r="X66">
        <v>0</v>
      </c>
      <c r="Y66" t="s">
        <v>14</v>
      </c>
      <c r="Z66">
        <v>0</v>
      </c>
      <c r="AA66" s="3">
        <f>IF(AND(Table1[[#This Row],[Throw Out Pass Eff]]="N", Table1[[#This Row],[Against FCS Team]]="N"), ROUND(((5.45 * D66) + (150 * F66) + (100 * G66) - (300 * H66)) / E66, 2), " ")</f>
        <v>82.68</v>
      </c>
      <c r="AB66" s="3">
        <f>IF(AND(Table1[[#This Row],[Throw Out Pass Def Eff]]="N", Table1[[#This Row],[Against FCS Team]]="N"),200 - ROUND(((5.45 * P66) + (150 * R66) + (100 * S66) - (300 * T66)) / Q66, 2), " ")</f>
        <v>116.52</v>
      </c>
      <c r="AC66" s="3">
        <f>IF(AND(Table1[[#This Row],[Throw Out Rush Eff]]="N", Table1[[#This Row],[Against FCS Team]]="N"), ROUND(((23.2 * I66) + (150 * K66) - (300 * L66)) / J66, 2), " ")</f>
        <v>88.66</v>
      </c>
      <c r="AD66" s="3">
        <f>IF(AND(Table1[[#This Row],[Throw Out Rush Def Eff]]="N", Table1[[#This Row],[Against FCS Team]]="N"), 200 - ROUND(((23.2 * U66) + (150 * W66) - (300 * X66)) / V66, 2), " ")</f>
        <v>112.66</v>
      </c>
      <c r="AE66" s="3">
        <f>ROUND(Table1[[#This Row],[Opp Passing Attempts]]/(Table1[[#This Row],[Opp Passing Attempts]]+Table1[[#This Row],[Opp Rushing Attempts]]), 2)</f>
        <v>0.38</v>
      </c>
      <c r="AF66" s="3">
        <f>1-Table1[[#This Row],[Passing Weight]]</f>
        <v>0.62</v>
      </c>
      <c r="AG66" s="3" t="str">
        <f>IF(COUNTIF(A:A,Table1[[#This Row],[Opp Team Name]]) &gt; 0, "N", "Y")</f>
        <v>N</v>
      </c>
      <c r="AH66" s="3" t="str">
        <f>IF(Table1[[#This Row],[Passing Attempts]] &lt;15, "Y", "N")</f>
        <v>N</v>
      </c>
      <c r="AI66" s="3" t="str">
        <f>IF(Table1[[#This Row],[Rushing Attempts]] &lt; 15, "Y", "N")</f>
        <v>N</v>
      </c>
      <c r="AJ66" s="3" t="str">
        <f>IF(Table1[[#This Row],[Opp Passing Attempts]]&lt;15, "Y", "N")</f>
        <v>N</v>
      </c>
      <c r="AK66" s="3" t="str">
        <f>IF(Table1[[#This Row],[Opp Rushing Attempts]]&lt;15, "Y", "N")</f>
        <v>N</v>
      </c>
      <c r="AL6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89.18</v>
      </c>
      <c r="AM6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82.17</v>
      </c>
      <c r="AN6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89.9</v>
      </c>
      <c r="AO6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102.56</v>
      </c>
      <c r="AP66" s="3">
        <f>ABS(Table1[[#This Row],[Team Score]]-Table1[[#This Row],[Opp Team Score]])</f>
        <v>6</v>
      </c>
      <c r="AQ66" s="3">
        <f>SUM(Table1[[#This Row],[Team Score]], Table1[[#This Row],[Opp Team Score]])</f>
        <v>26</v>
      </c>
      <c r="AR6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0.52000000000001023</v>
      </c>
      <c r="AS66" s="3">
        <f>IF(Table1[[#This Row],[Efficiency Difference]] = " ", " ", ROUND((Table1[[#This Row],[Winning Margin]]*100)/Table1[[#This Row],[Efficiency Difference]], 2))</f>
        <v>1153.8499999999999</v>
      </c>
    </row>
    <row r="67" spans="1:45">
      <c r="A67" t="s">
        <v>88</v>
      </c>
      <c r="B67">
        <v>0</v>
      </c>
      <c r="C67">
        <v>10</v>
      </c>
      <c r="D67">
        <v>129</v>
      </c>
      <c r="E67">
        <v>21</v>
      </c>
      <c r="F67">
        <v>1</v>
      </c>
      <c r="G67">
        <v>12</v>
      </c>
      <c r="H67">
        <v>1</v>
      </c>
      <c r="I67">
        <v>128</v>
      </c>
      <c r="J67">
        <v>34</v>
      </c>
      <c r="K67">
        <v>0</v>
      </c>
      <c r="L67">
        <v>0</v>
      </c>
      <c r="M67" t="s">
        <v>103</v>
      </c>
      <c r="N67">
        <v>0</v>
      </c>
      <c r="O67">
        <v>16</v>
      </c>
      <c r="P67">
        <v>158</v>
      </c>
      <c r="Q67">
        <v>34</v>
      </c>
      <c r="R67">
        <v>1</v>
      </c>
      <c r="S67">
        <v>18</v>
      </c>
      <c r="T67">
        <v>0</v>
      </c>
      <c r="U67">
        <v>107</v>
      </c>
      <c r="V67">
        <v>28</v>
      </c>
      <c r="W67">
        <v>0</v>
      </c>
      <c r="X67">
        <v>0</v>
      </c>
      <c r="Y67" t="s">
        <v>15</v>
      </c>
      <c r="Z67">
        <v>0</v>
      </c>
      <c r="AA67">
        <f>IF(AND(Table1[[#This Row],[Throw Out Pass Eff]]="N", Table1[[#This Row],[Against FCS Team]]="N"), ROUND(((5.45 * D67) + (150 * F67) + (100 * G67) - (300 * H67)) / E67, 2), " ")</f>
        <v>83.48</v>
      </c>
      <c r="AB67">
        <f>IF(AND(Table1[[#This Row],[Throw Out Pass Def Eff]]="N", Table1[[#This Row],[Against FCS Team]]="N"),200 - ROUND(((5.45 * P67) + (150 * R67) + (100 * S67) - (300 * T67)) / Q67, 2), " ")</f>
        <v>117.32</v>
      </c>
      <c r="AC67">
        <f>IF(AND(Table1[[#This Row],[Throw Out Rush Eff]]="N", Table1[[#This Row],[Against FCS Team]]="N"), ROUND(((23.2 * I67) + (150 * K67) - (300 * L67)) / J67, 2), " ")</f>
        <v>87.34</v>
      </c>
      <c r="AD67" s="3">
        <f>IF(AND(Table1[[#This Row],[Throw Out Rush Def Eff]]="N", Table1[[#This Row],[Against FCS Team]]="N"), 200 - ROUND(((23.2 * U67) + (150 * W67) - (300 * X67)) / V67, 2), " ")</f>
        <v>111.34</v>
      </c>
      <c r="AE67" s="3">
        <f>ROUND(Table1[[#This Row],[Opp Passing Attempts]]/(Table1[[#This Row],[Opp Passing Attempts]]+Table1[[#This Row],[Opp Rushing Attempts]]), 2)</f>
        <v>0.55000000000000004</v>
      </c>
      <c r="AF67" s="3">
        <f>1-Table1[[#This Row],[Passing Weight]]</f>
        <v>0.44999999999999996</v>
      </c>
      <c r="AG67" s="3" t="str">
        <f>IF(COUNTIF(A:A,Table1[[#This Row],[Opp Team Name]]) &gt; 0, "N", "Y")</f>
        <v>N</v>
      </c>
      <c r="AH67" s="3" t="str">
        <f>IF(Table1[[#This Row],[Passing Attempts]] &lt;15, "Y", "N")</f>
        <v>N</v>
      </c>
      <c r="AI67" s="3" t="str">
        <f>IF(Table1[[#This Row],[Rushing Attempts]] &lt; 15, "Y", "N")</f>
        <v>N</v>
      </c>
      <c r="AJ67" s="3" t="str">
        <f>IF(Table1[[#This Row],[Opp Passing Attempts]]&lt;15, "Y", "N")</f>
        <v>N</v>
      </c>
      <c r="AK67" s="3" t="str">
        <f>IF(Table1[[#This Row],[Opp Rushing Attempts]]&lt;15, "Y", "N")</f>
        <v>N</v>
      </c>
      <c r="AL6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80</v>
      </c>
      <c r="AM6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117.06</v>
      </c>
      <c r="AN6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79.16</v>
      </c>
      <c r="AO6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131.91</v>
      </c>
      <c r="AP67" s="3">
        <f>ABS(Table1[[#This Row],[Team Score]]-Table1[[#This Row],[Opp Team Score]])</f>
        <v>6</v>
      </c>
      <c r="AQ67" s="3">
        <f>SUM(Table1[[#This Row],[Team Score]], Table1[[#This Row],[Opp Team Score]])</f>
        <v>26</v>
      </c>
      <c r="AR6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0.52000000000001023</v>
      </c>
      <c r="AS67" s="3">
        <f>IF(Table1[[#This Row],[Efficiency Difference]] = " ", " ", ROUND((Table1[[#This Row],[Winning Margin]]*100)/Table1[[#This Row],[Efficiency Difference]], 2))</f>
        <v>1153.8499999999999</v>
      </c>
    </row>
    <row r="68" spans="1:45">
      <c r="A68" t="s">
        <v>89</v>
      </c>
      <c r="B68">
        <v>0</v>
      </c>
      <c r="C68">
        <v>17</v>
      </c>
      <c r="D68">
        <v>295</v>
      </c>
      <c r="E68">
        <v>36</v>
      </c>
      <c r="F68">
        <v>2</v>
      </c>
      <c r="G68">
        <v>27</v>
      </c>
      <c r="H68">
        <v>0</v>
      </c>
      <c r="I68">
        <v>38</v>
      </c>
      <c r="J68">
        <v>23</v>
      </c>
      <c r="K68">
        <v>0</v>
      </c>
      <c r="L68">
        <v>2</v>
      </c>
      <c r="M68" t="s">
        <v>110</v>
      </c>
      <c r="N68">
        <v>0</v>
      </c>
      <c r="O68">
        <v>14</v>
      </c>
      <c r="P68">
        <v>172</v>
      </c>
      <c r="Q68">
        <v>39</v>
      </c>
      <c r="R68">
        <v>2</v>
      </c>
      <c r="S68">
        <v>24</v>
      </c>
      <c r="T68">
        <v>2</v>
      </c>
      <c r="U68">
        <v>59</v>
      </c>
      <c r="V68">
        <v>23</v>
      </c>
      <c r="W68">
        <v>0</v>
      </c>
      <c r="X68">
        <v>0</v>
      </c>
      <c r="Y68" t="s">
        <v>14</v>
      </c>
      <c r="Z68">
        <v>0</v>
      </c>
      <c r="AA68">
        <f>IF(AND(Table1[[#This Row],[Throw Out Pass Eff]]="N", Table1[[#This Row],[Against FCS Team]]="N"), ROUND(((5.45 * D68) + (150 * F68) + (100 * G68) - (300 * H68)) / E68, 2), " ")</f>
        <v>127.99</v>
      </c>
      <c r="AB68">
        <f>IF(AND(Table1[[#This Row],[Throw Out Pass Def Eff]]="N", Table1[[#This Row],[Against FCS Team]]="N"),200 - ROUND(((5.45 * P68) + (150 * R68) + (100 * S68) - (300 * T68)) / Q68, 2), " ")</f>
        <v>122.12</v>
      </c>
      <c r="AC68">
        <f>IF(AND(Table1[[#This Row],[Throw Out Rush Eff]]="N", Table1[[#This Row],[Against FCS Team]]="N"), ROUND(((23.2 * I68) + (150 * K68) - (300 * L68)) / J68, 2), " ")</f>
        <v>12.24</v>
      </c>
      <c r="AD68" s="3">
        <f>IF(AND(Table1[[#This Row],[Throw Out Rush Def Eff]]="N", Table1[[#This Row],[Against FCS Team]]="N"), 200 - ROUND(((23.2 * U68) + (150 * W68) - (300 * X68)) / V68, 2), " ")</f>
        <v>140.49</v>
      </c>
      <c r="AE68" s="3">
        <f>ROUND(Table1[[#This Row],[Opp Passing Attempts]]/(Table1[[#This Row],[Opp Passing Attempts]]+Table1[[#This Row],[Opp Rushing Attempts]]), 2)</f>
        <v>0.63</v>
      </c>
      <c r="AF68" s="3">
        <f>1-Table1[[#This Row],[Passing Weight]]</f>
        <v>0.37</v>
      </c>
      <c r="AG68" s="3" t="str">
        <f>IF(COUNTIF(A:A,Table1[[#This Row],[Opp Team Name]]) &gt; 0, "N", "Y")</f>
        <v>N</v>
      </c>
      <c r="AH68" s="3" t="str">
        <f>IF(Table1[[#This Row],[Passing Attempts]] &lt;15, "Y", "N")</f>
        <v>N</v>
      </c>
      <c r="AI68" s="3" t="str">
        <f>IF(Table1[[#This Row],[Rushing Attempts]] &lt; 15, "Y", "N")</f>
        <v>N</v>
      </c>
      <c r="AJ68" s="3" t="str">
        <f>IF(Table1[[#This Row],[Opp Passing Attempts]]&lt;15, "Y", "N")</f>
        <v>N</v>
      </c>
      <c r="AK68" s="3" t="str">
        <f>IF(Table1[[#This Row],[Opp Rushing Attempts]]&lt;15, "Y", "N")</f>
        <v>N</v>
      </c>
      <c r="AL6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115.4</v>
      </c>
      <c r="AM6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105.19</v>
      </c>
      <c r="AN6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14.77</v>
      </c>
      <c r="AO6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141.47999999999999</v>
      </c>
      <c r="AP68" s="3">
        <f>ABS(Table1[[#This Row],[Team Score]]-Table1[[#This Row],[Opp Team Score]])</f>
        <v>3</v>
      </c>
      <c r="AQ68" s="3">
        <f>SUM(Table1[[#This Row],[Team Score]], Table1[[#This Row],[Opp Team Score]])</f>
        <v>31</v>
      </c>
      <c r="AR6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2.8400000000000034</v>
      </c>
      <c r="AS68" s="3">
        <f>IF(Table1[[#This Row],[Efficiency Difference]] = " ", " ", ROUND((Table1[[#This Row],[Winning Margin]]*100)/Table1[[#This Row],[Efficiency Difference]], 2))</f>
        <v>105.63</v>
      </c>
    </row>
    <row r="69" spans="1:45">
      <c r="A69" t="s">
        <v>110</v>
      </c>
      <c r="B69">
        <v>0</v>
      </c>
      <c r="C69">
        <v>14</v>
      </c>
      <c r="D69">
        <v>172</v>
      </c>
      <c r="E69">
        <v>39</v>
      </c>
      <c r="F69">
        <v>2</v>
      </c>
      <c r="G69">
        <v>24</v>
      </c>
      <c r="H69">
        <v>2</v>
      </c>
      <c r="I69">
        <v>59</v>
      </c>
      <c r="J69">
        <v>23</v>
      </c>
      <c r="K69">
        <v>0</v>
      </c>
      <c r="L69">
        <v>0</v>
      </c>
      <c r="M69" t="s">
        <v>89</v>
      </c>
      <c r="N69">
        <v>0</v>
      </c>
      <c r="O69">
        <v>17</v>
      </c>
      <c r="P69">
        <v>295</v>
      </c>
      <c r="Q69">
        <v>36</v>
      </c>
      <c r="R69">
        <v>2</v>
      </c>
      <c r="S69">
        <v>27</v>
      </c>
      <c r="T69">
        <v>0</v>
      </c>
      <c r="U69">
        <v>38</v>
      </c>
      <c r="V69">
        <v>23</v>
      </c>
      <c r="W69">
        <v>0</v>
      </c>
      <c r="X69">
        <v>2</v>
      </c>
      <c r="Y69" t="s">
        <v>15</v>
      </c>
      <c r="Z69">
        <v>0</v>
      </c>
      <c r="AA69">
        <f>IF(AND(Table1[[#This Row],[Throw Out Pass Eff]]="N", Table1[[#This Row],[Against FCS Team]]="N"), ROUND(((5.45 * D69) + (150 * F69) + (100 * G69) - (300 * H69)) / E69, 2), " ")</f>
        <v>77.88</v>
      </c>
      <c r="AB69">
        <f>IF(AND(Table1[[#This Row],[Throw Out Pass Def Eff]]="N", Table1[[#This Row],[Against FCS Team]]="N"),200 - ROUND(((5.45 * P69) + (150 * R69) + (100 * S69) - (300 * T69)) / Q69, 2), " ")</f>
        <v>72.010000000000005</v>
      </c>
      <c r="AC69">
        <f>IF(AND(Table1[[#This Row],[Throw Out Rush Eff]]="N", Table1[[#This Row],[Against FCS Team]]="N"), ROUND(((23.2 * I69) + (150 * K69) - (300 * L69)) / J69, 2), " ")</f>
        <v>59.51</v>
      </c>
      <c r="AD69" s="3">
        <f>IF(AND(Table1[[#This Row],[Throw Out Rush Def Eff]]="N", Table1[[#This Row],[Against FCS Team]]="N"), 200 - ROUND(((23.2 * U69) + (150 * W69) - (300 * X69)) / V69, 2), " ")</f>
        <v>187.76</v>
      </c>
      <c r="AE69" s="3">
        <f>ROUND(Table1[[#This Row],[Opp Passing Attempts]]/(Table1[[#This Row],[Opp Passing Attempts]]+Table1[[#This Row],[Opp Rushing Attempts]]), 2)</f>
        <v>0.61</v>
      </c>
      <c r="AF69" s="3">
        <f>1-Table1[[#This Row],[Passing Weight]]</f>
        <v>0.39</v>
      </c>
      <c r="AG69" s="3" t="str">
        <f>IF(COUNTIF(A:A,Table1[[#This Row],[Opp Team Name]]) &gt; 0, "N", "Y")</f>
        <v>N</v>
      </c>
      <c r="AH69" s="3" t="str">
        <f>IF(Table1[[#This Row],[Passing Attempts]] &lt;15, "Y", "N")</f>
        <v>N</v>
      </c>
      <c r="AI69" s="3" t="str">
        <f>IF(Table1[[#This Row],[Rushing Attempts]] &lt; 15, "Y", "N")</f>
        <v>N</v>
      </c>
      <c r="AJ69" s="3" t="str">
        <f>IF(Table1[[#This Row],[Opp Passing Attempts]]&lt;15, "Y", "N")</f>
        <v>N</v>
      </c>
      <c r="AK69" s="3" t="str">
        <f>IF(Table1[[#This Row],[Opp Rushing Attempts]]&lt;15, "Y", "N")</f>
        <v>N</v>
      </c>
      <c r="AL6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74.28</v>
      </c>
      <c r="AM6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70.72</v>
      </c>
      <c r="AN6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67.59</v>
      </c>
      <c r="AO6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128.27000000000001</v>
      </c>
      <c r="AP69" s="3">
        <f>ABS(Table1[[#This Row],[Team Score]]-Table1[[#This Row],[Opp Team Score]])</f>
        <v>3</v>
      </c>
      <c r="AQ69" s="3">
        <f>SUM(Table1[[#This Row],[Team Score]], Table1[[#This Row],[Opp Team Score]])</f>
        <v>31</v>
      </c>
      <c r="AR6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2.8400000000000318</v>
      </c>
      <c r="AS69" s="3">
        <f>IF(Table1[[#This Row],[Efficiency Difference]] = " ", " ", ROUND((Table1[[#This Row],[Winning Margin]]*100)/Table1[[#This Row],[Efficiency Difference]], 2))</f>
        <v>105.63</v>
      </c>
    </row>
    <row r="70" spans="1:45">
      <c r="A70" t="s">
        <v>81</v>
      </c>
      <c r="B70">
        <v>0</v>
      </c>
      <c r="C70">
        <v>40</v>
      </c>
      <c r="D70">
        <v>354</v>
      </c>
      <c r="E70">
        <v>44</v>
      </c>
      <c r="F70">
        <v>3</v>
      </c>
      <c r="G70">
        <v>31</v>
      </c>
      <c r="H70">
        <v>2</v>
      </c>
      <c r="I70">
        <v>100</v>
      </c>
      <c r="J70">
        <v>22</v>
      </c>
      <c r="K70">
        <v>2</v>
      </c>
      <c r="L70">
        <v>0</v>
      </c>
      <c r="M70" t="s">
        <v>84</v>
      </c>
      <c r="N70">
        <v>0</v>
      </c>
      <c r="O70">
        <v>33</v>
      </c>
      <c r="P70">
        <v>364</v>
      </c>
      <c r="Q70">
        <v>39</v>
      </c>
      <c r="R70">
        <v>3</v>
      </c>
      <c r="S70">
        <v>22</v>
      </c>
      <c r="T70">
        <v>1</v>
      </c>
      <c r="U70">
        <v>109</v>
      </c>
      <c r="V70">
        <v>25</v>
      </c>
      <c r="W70">
        <v>0</v>
      </c>
      <c r="X70">
        <v>0</v>
      </c>
      <c r="Y70" t="s">
        <v>14</v>
      </c>
      <c r="Z70">
        <v>0</v>
      </c>
      <c r="AA70">
        <f>IF(AND(Table1[[#This Row],[Throw Out Pass Eff]]="N", Table1[[#This Row],[Against FCS Team]]="N"), ROUND(((5.45 * D70) + (150 * F70) + (100 * G70) - (300 * H70)) / E70, 2), " ")</f>
        <v>110.89</v>
      </c>
      <c r="AB70">
        <f>IF(AND(Table1[[#This Row],[Throw Out Pass Def Eff]]="N", Table1[[#This Row],[Against FCS Team]]="N"),200 - ROUND(((5.45 * P70) + (150 * R70) + (100 * S70) - (300 * T70)) / Q70, 2), " ")</f>
        <v>88.88</v>
      </c>
      <c r="AC70">
        <f>IF(AND(Table1[[#This Row],[Throw Out Rush Eff]]="N", Table1[[#This Row],[Against FCS Team]]="N"), ROUND(((23.2 * I70) + (150 * K70) - (300 * L70)) / J70, 2), " ")</f>
        <v>119.09</v>
      </c>
      <c r="AD70" s="3">
        <f>IF(AND(Table1[[#This Row],[Throw Out Rush Def Eff]]="N", Table1[[#This Row],[Against FCS Team]]="N"), 200 - ROUND(((23.2 * U70) + (150 * W70) - (300 * X70)) / V70, 2), " ")</f>
        <v>98.85</v>
      </c>
      <c r="AE70" s="3">
        <f>ROUND(Table1[[#This Row],[Opp Passing Attempts]]/(Table1[[#This Row],[Opp Passing Attempts]]+Table1[[#This Row],[Opp Rushing Attempts]]), 2)</f>
        <v>0.61</v>
      </c>
      <c r="AF70" s="3">
        <f>1-Table1[[#This Row],[Passing Weight]]</f>
        <v>0.39</v>
      </c>
      <c r="AG70" s="3" t="str">
        <f>IF(COUNTIF(A:A,Table1[[#This Row],[Opp Team Name]]) &gt; 0, "N", "Y")</f>
        <v>N</v>
      </c>
      <c r="AH70" s="3" t="str">
        <f>IF(Table1[[#This Row],[Passing Attempts]] &lt;15, "Y", "N")</f>
        <v>N</v>
      </c>
      <c r="AI70" s="3" t="str">
        <f>IF(Table1[[#This Row],[Rushing Attempts]] &lt; 15, "Y", "N")</f>
        <v>N</v>
      </c>
      <c r="AJ70" s="3" t="str">
        <f>IF(Table1[[#This Row],[Opp Passing Attempts]]&lt;15, "Y", "N")</f>
        <v>N</v>
      </c>
      <c r="AK70" s="3" t="str">
        <f>IF(Table1[[#This Row],[Opp Rushing Attempts]]&lt;15, "Y", "N")</f>
        <v>N</v>
      </c>
      <c r="AL7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133.47999999999999</v>
      </c>
      <c r="AM7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</v>
      </c>
      <c r="AN7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120.76</v>
      </c>
      <c r="AO7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95.38</v>
      </c>
      <c r="AP70" s="3">
        <f>ABS(Table1[[#This Row],[Team Score]]-Table1[[#This Row],[Opp Team Score]])</f>
        <v>7</v>
      </c>
      <c r="AQ70" s="3">
        <f>SUM(Table1[[#This Row],[Team Score]], Table1[[#This Row],[Opp Team Score]])</f>
        <v>73</v>
      </c>
      <c r="AR7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17.710000000000008</v>
      </c>
      <c r="AS70" s="3">
        <f>IF(Table1[[#This Row],[Efficiency Difference]] = " ", " ", ROUND((Table1[[#This Row],[Winning Margin]]*100)/Table1[[#This Row],[Efficiency Difference]], 2))</f>
        <v>39.53</v>
      </c>
    </row>
    <row r="71" spans="1:45">
      <c r="A71" t="s">
        <v>84</v>
      </c>
      <c r="B71">
        <v>0</v>
      </c>
      <c r="C71">
        <v>33</v>
      </c>
      <c r="D71">
        <v>364</v>
      </c>
      <c r="E71">
        <v>39</v>
      </c>
      <c r="F71">
        <v>3</v>
      </c>
      <c r="G71">
        <v>22</v>
      </c>
      <c r="H71">
        <v>1</v>
      </c>
      <c r="I71">
        <v>109</v>
      </c>
      <c r="J71">
        <v>25</v>
      </c>
      <c r="K71">
        <v>0</v>
      </c>
      <c r="L71">
        <v>0</v>
      </c>
      <c r="M71" t="s">
        <v>81</v>
      </c>
      <c r="N71">
        <v>0</v>
      </c>
      <c r="O71">
        <v>40</v>
      </c>
      <c r="P71">
        <v>354</v>
      </c>
      <c r="Q71">
        <v>44</v>
      </c>
      <c r="R71">
        <v>3</v>
      </c>
      <c r="S71">
        <v>31</v>
      </c>
      <c r="T71">
        <v>2</v>
      </c>
      <c r="U71">
        <v>100</v>
      </c>
      <c r="V71">
        <v>22</v>
      </c>
      <c r="W71">
        <v>2</v>
      </c>
      <c r="X71">
        <v>0</v>
      </c>
      <c r="Y71" t="s">
        <v>15</v>
      </c>
      <c r="Z71">
        <v>0</v>
      </c>
      <c r="AA71">
        <f>IF(AND(Table1[[#This Row],[Throw Out Pass Eff]]="N", Table1[[#This Row],[Against FCS Team]]="N"), ROUND(((5.45 * D71) + (150 * F71) + (100 * G71) - (300 * H71)) / E71, 2), " ")</f>
        <v>111.12</v>
      </c>
      <c r="AB71">
        <f>IF(AND(Table1[[#This Row],[Throw Out Pass Def Eff]]="N", Table1[[#This Row],[Against FCS Team]]="N"),200 - ROUND(((5.45 * P71) + (150 * R71) + (100 * S71) - (300 * T71)) / Q71, 2), " ")</f>
        <v>89.11</v>
      </c>
      <c r="AC71">
        <f>IF(AND(Table1[[#This Row],[Throw Out Rush Eff]]="N", Table1[[#This Row],[Against FCS Team]]="N"), ROUND(((23.2 * I71) + (150 * K71) - (300 * L71)) / J71, 2), " ")</f>
        <v>101.15</v>
      </c>
      <c r="AD71" s="3">
        <f>IF(AND(Table1[[#This Row],[Throw Out Rush Def Eff]]="N", Table1[[#This Row],[Against FCS Team]]="N"), 200 - ROUND(((23.2 * U71) + (150 * W71) - (300 * X71)) / V71, 2), " ")</f>
        <v>80.91</v>
      </c>
      <c r="AE71" s="3">
        <f>ROUND(Table1[[#This Row],[Opp Passing Attempts]]/(Table1[[#This Row],[Opp Passing Attempts]]+Table1[[#This Row],[Opp Rushing Attempts]]), 2)</f>
        <v>0.67</v>
      </c>
      <c r="AF71" s="3">
        <f>1-Table1[[#This Row],[Passing Weight]]</f>
        <v>0.32999999999999996</v>
      </c>
      <c r="AG71" s="3" t="str">
        <f>IF(COUNTIF(A:A,Table1[[#This Row],[Opp Team Name]]) &gt; 0, "N", "Y")</f>
        <v>N</v>
      </c>
      <c r="AH71" s="3" t="str">
        <f>IF(Table1[[#This Row],[Passing Attempts]] &lt;15, "Y", "N")</f>
        <v>N</v>
      </c>
      <c r="AI71" s="3" t="str">
        <f>IF(Table1[[#This Row],[Rushing Attempts]] &lt; 15, "Y", "N")</f>
        <v>N</v>
      </c>
      <c r="AJ71" s="3" t="str">
        <f>IF(Table1[[#This Row],[Opp Passing Attempts]]&lt;15, "Y", "N")</f>
        <v>N</v>
      </c>
      <c r="AK71" s="3" t="str">
        <f>IF(Table1[[#This Row],[Opp Rushing Attempts]]&lt;15, "Y", "N")</f>
        <v>N</v>
      </c>
      <c r="AL7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122.14</v>
      </c>
      <c r="AM7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104.15</v>
      </c>
      <c r="AN7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72.069999999999993</v>
      </c>
      <c r="AO7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83.02</v>
      </c>
      <c r="AP71" s="3">
        <f>ABS(Table1[[#This Row],[Team Score]]-Table1[[#This Row],[Opp Team Score]])</f>
        <v>7</v>
      </c>
      <c r="AQ71" s="3">
        <f>SUM(Table1[[#This Row],[Team Score]], Table1[[#This Row],[Opp Team Score]])</f>
        <v>73</v>
      </c>
      <c r="AR7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17.710000000000008</v>
      </c>
      <c r="AS71" s="3">
        <f>IF(Table1[[#This Row],[Efficiency Difference]] = " ", " ", ROUND((Table1[[#This Row],[Winning Margin]]*100)/Table1[[#This Row],[Efficiency Difference]], 2))</f>
        <v>39.53</v>
      </c>
    </row>
    <row r="72" spans="1:45">
      <c r="A72" t="s">
        <v>99</v>
      </c>
      <c r="B72">
        <v>0</v>
      </c>
      <c r="C72">
        <v>23</v>
      </c>
      <c r="D72">
        <v>189</v>
      </c>
      <c r="E72">
        <v>36</v>
      </c>
      <c r="F72">
        <v>1</v>
      </c>
      <c r="G72">
        <v>22</v>
      </c>
      <c r="H72">
        <v>0</v>
      </c>
      <c r="I72">
        <v>132</v>
      </c>
      <c r="J72">
        <v>23</v>
      </c>
      <c r="K72">
        <v>1</v>
      </c>
      <c r="L72">
        <v>0</v>
      </c>
      <c r="M72" t="s">
        <v>97</v>
      </c>
      <c r="N72">
        <v>0</v>
      </c>
      <c r="O72">
        <v>26</v>
      </c>
      <c r="P72">
        <v>338</v>
      </c>
      <c r="Q72">
        <v>46</v>
      </c>
      <c r="R72">
        <v>2</v>
      </c>
      <c r="S72">
        <v>32</v>
      </c>
      <c r="T72">
        <v>0</v>
      </c>
      <c r="U72">
        <v>20</v>
      </c>
      <c r="V72">
        <v>19</v>
      </c>
      <c r="W72">
        <v>0</v>
      </c>
      <c r="X72">
        <v>0</v>
      </c>
      <c r="Y72" t="s">
        <v>15</v>
      </c>
      <c r="Z72">
        <v>0</v>
      </c>
      <c r="AA72">
        <f>IF(AND(Table1[[#This Row],[Throw Out Pass Eff]]="N", Table1[[#This Row],[Against FCS Team]]="N"), ROUND(((5.45 * D72) + (150 * F72) + (100 * G72) - (300 * H72)) / E72, 2), " ")</f>
        <v>93.89</v>
      </c>
      <c r="AB72">
        <f>IF(AND(Table1[[#This Row],[Throw Out Pass Def Eff]]="N", Table1[[#This Row],[Against FCS Team]]="N"),200 - ROUND(((5.45 * P72) + (150 * R72) + (100 * S72) - (300 * T72)) / Q72, 2), " ")</f>
        <v>83.87</v>
      </c>
      <c r="AC72">
        <f>IF(AND(Table1[[#This Row],[Throw Out Rush Eff]]="N", Table1[[#This Row],[Against FCS Team]]="N"), ROUND(((23.2 * I72) + (150 * K72) - (300 * L72)) / J72, 2), " ")</f>
        <v>139.66999999999999</v>
      </c>
      <c r="AD72" s="3">
        <f>IF(AND(Table1[[#This Row],[Throw Out Rush Def Eff]]="N", Table1[[#This Row],[Against FCS Team]]="N"), 200 - ROUND(((23.2 * U72) + (150 * W72) - (300 * X72)) / V72, 2), " ")</f>
        <v>175.57999999999998</v>
      </c>
      <c r="AE72" s="3">
        <f>ROUND(Table1[[#This Row],[Opp Passing Attempts]]/(Table1[[#This Row],[Opp Passing Attempts]]+Table1[[#This Row],[Opp Rushing Attempts]]), 2)</f>
        <v>0.71</v>
      </c>
      <c r="AF72" s="3">
        <f>1-Table1[[#This Row],[Passing Weight]]</f>
        <v>0.29000000000000004</v>
      </c>
      <c r="AG72" s="3" t="str">
        <f>IF(COUNTIF(A:A,Table1[[#This Row],[Opp Team Name]]) &gt; 0, "N", "Y")</f>
        <v>N</v>
      </c>
      <c r="AH72" s="3" t="str">
        <f>IF(Table1[[#This Row],[Passing Attempts]] &lt;15, "Y", "N")</f>
        <v>N</v>
      </c>
      <c r="AI72" s="3" t="str">
        <f>IF(Table1[[#This Row],[Rushing Attempts]] &lt; 15, "Y", "N")</f>
        <v>N</v>
      </c>
      <c r="AJ72" s="3" t="str">
        <f>IF(Table1[[#This Row],[Opp Passing Attempts]]&lt;15, "Y", "N")</f>
        <v>N</v>
      </c>
      <c r="AK72" s="3" t="str">
        <f>IF(Table1[[#This Row],[Opp Rushing Attempts]]&lt;15, "Y", "N")</f>
        <v>N</v>
      </c>
      <c r="AL7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108.36</v>
      </c>
      <c r="AM7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86.21</v>
      </c>
      <c r="AN7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127.53</v>
      </c>
      <c r="AO7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170.79</v>
      </c>
      <c r="AP72" s="3">
        <f>ABS(Table1[[#This Row],[Team Score]]-Table1[[#This Row],[Opp Team Score]])</f>
        <v>3</v>
      </c>
      <c r="AQ72" s="3">
        <f>SUM(Table1[[#This Row],[Team Score]], Table1[[#This Row],[Opp Team Score]])</f>
        <v>49</v>
      </c>
      <c r="AR7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93.009999999999991</v>
      </c>
      <c r="AS72" s="3">
        <f>IF(Table1[[#This Row],[Efficiency Difference]] = " ", " ", ROUND((Table1[[#This Row],[Winning Margin]]*100)/Table1[[#This Row],[Efficiency Difference]], 2))</f>
        <v>3.23</v>
      </c>
    </row>
    <row r="73" spans="1:45">
      <c r="A73" t="s">
        <v>97</v>
      </c>
      <c r="B73">
        <v>0</v>
      </c>
      <c r="C73">
        <v>26</v>
      </c>
      <c r="D73">
        <v>338</v>
      </c>
      <c r="E73">
        <v>46</v>
      </c>
      <c r="F73">
        <v>2</v>
      </c>
      <c r="G73">
        <v>32</v>
      </c>
      <c r="H73">
        <v>0</v>
      </c>
      <c r="I73">
        <v>20</v>
      </c>
      <c r="J73">
        <v>19</v>
      </c>
      <c r="K73">
        <v>0</v>
      </c>
      <c r="L73">
        <v>0</v>
      </c>
      <c r="M73" t="s">
        <v>99</v>
      </c>
      <c r="N73">
        <v>0</v>
      </c>
      <c r="O73">
        <v>23</v>
      </c>
      <c r="P73">
        <v>189</v>
      </c>
      <c r="Q73">
        <v>36</v>
      </c>
      <c r="R73">
        <v>1</v>
      </c>
      <c r="S73">
        <v>22</v>
      </c>
      <c r="T73">
        <v>0</v>
      </c>
      <c r="U73">
        <v>132</v>
      </c>
      <c r="V73">
        <v>23</v>
      </c>
      <c r="W73">
        <v>1</v>
      </c>
      <c r="X73">
        <v>0</v>
      </c>
      <c r="Y73" t="s">
        <v>14</v>
      </c>
      <c r="Z73">
        <v>0</v>
      </c>
      <c r="AA73">
        <f>IF(AND(Table1[[#This Row],[Throw Out Pass Eff]]="N", Table1[[#This Row],[Against FCS Team]]="N"), ROUND(((5.45 * D73) + (150 * F73) + (100 * G73) - (300 * H73)) / E73, 2), " ")</f>
        <v>116.13</v>
      </c>
      <c r="AB73">
        <f>IF(AND(Table1[[#This Row],[Throw Out Pass Def Eff]]="N", Table1[[#This Row],[Against FCS Team]]="N"),200 - ROUND(((5.45 * P73) + (150 * R73) + (100 * S73) - (300 * T73)) / Q73, 2), " ")</f>
        <v>106.11</v>
      </c>
      <c r="AC73">
        <f>IF(AND(Table1[[#This Row],[Throw Out Rush Eff]]="N", Table1[[#This Row],[Against FCS Team]]="N"), ROUND(((23.2 * I73) + (150 * K73) - (300 * L73)) / J73, 2), " ")</f>
        <v>24.42</v>
      </c>
      <c r="AD73" s="3">
        <f>IF(AND(Table1[[#This Row],[Throw Out Rush Def Eff]]="N", Table1[[#This Row],[Against FCS Team]]="N"), 200 - ROUND(((23.2 * U73) + (150 * W73) - (300 * X73)) / V73, 2), " ")</f>
        <v>60.330000000000013</v>
      </c>
      <c r="AE73" s="3">
        <f>ROUND(Table1[[#This Row],[Opp Passing Attempts]]/(Table1[[#This Row],[Opp Passing Attempts]]+Table1[[#This Row],[Opp Rushing Attempts]]), 2)</f>
        <v>0.61</v>
      </c>
      <c r="AF73" s="3">
        <f>1-Table1[[#This Row],[Passing Weight]]</f>
        <v>0.39</v>
      </c>
      <c r="AG73" s="3" t="str">
        <f>IF(COUNTIF(A:A,Table1[[#This Row],[Opp Team Name]]) &gt; 0, "N", "Y")</f>
        <v>N</v>
      </c>
      <c r="AH73" s="3" t="str">
        <f>IF(Table1[[#This Row],[Passing Attempts]] &lt;15, "Y", "N")</f>
        <v>N</v>
      </c>
      <c r="AI73" s="3" t="str">
        <f>IF(Table1[[#This Row],[Rushing Attempts]] &lt; 15, "Y", "N")</f>
        <v>N</v>
      </c>
      <c r="AJ73" s="3" t="str">
        <f>IF(Table1[[#This Row],[Opp Passing Attempts]]&lt;15, "Y", "N")</f>
        <v>N</v>
      </c>
      <c r="AK73" s="3" t="str">
        <f>IF(Table1[[#This Row],[Opp Rushing Attempts]]&lt;15, "Y", "N")</f>
        <v>N</v>
      </c>
      <c r="AL7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105.62</v>
      </c>
      <c r="AM7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89.13</v>
      </c>
      <c r="AN7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28.71</v>
      </c>
      <c r="AO7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77.069999999999993</v>
      </c>
      <c r="AP73" s="3">
        <f>ABS(Table1[[#This Row],[Team Score]]-Table1[[#This Row],[Opp Team Score]])</f>
        <v>3</v>
      </c>
      <c r="AQ73" s="3">
        <f>SUM(Table1[[#This Row],[Team Score]], Table1[[#This Row],[Opp Team Score]])</f>
        <v>49</v>
      </c>
      <c r="AR7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93.009999999999991</v>
      </c>
      <c r="AS73" s="3">
        <f>IF(Table1[[#This Row],[Efficiency Difference]] = " ", " ", ROUND((Table1[[#This Row],[Winning Margin]]*100)/Table1[[#This Row],[Efficiency Difference]], 2))</f>
        <v>3.23</v>
      </c>
    </row>
    <row r="74" spans="1:45">
      <c r="A74" t="s">
        <v>93</v>
      </c>
      <c r="B74">
        <v>0</v>
      </c>
      <c r="C74">
        <v>16</v>
      </c>
      <c r="D74">
        <v>199</v>
      </c>
      <c r="E74">
        <v>30</v>
      </c>
      <c r="F74">
        <v>0</v>
      </c>
      <c r="G74">
        <v>20</v>
      </c>
      <c r="H74">
        <v>3</v>
      </c>
      <c r="I74">
        <v>177</v>
      </c>
      <c r="J74">
        <v>40</v>
      </c>
      <c r="K74">
        <v>1</v>
      </c>
      <c r="L74">
        <v>0</v>
      </c>
      <c r="M74" t="s">
        <v>101</v>
      </c>
      <c r="N74">
        <v>0</v>
      </c>
      <c r="O74">
        <v>29</v>
      </c>
      <c r="P74">
        <v>232</v>
      </c>
      <c r="Q74">
        <v>23</v>
      </c>
      <c r="R74">
        <v>4</v>
      </c>
      <c r="S74">
        <v>16</v>
      </c>
      <c r="T74">
        <v>0</v>
      </c>
      <c r="U74">
        <v>102</v>
      </c>
      <c r="V74">
        <v>25</v>
      </c>
      <c r="W74">
        <v>0</v>
      </c>
      <c r="X74">
        <v>0</v>
      </c>
      <c r="Y74" t="s">
        <v>15</v>
      </c>
      <c r="Z74">
        <v>0</v>
      </c>
      <c r="AA74" s="3">
        <f>IF(AND(Table1[[#This Row],[Throw Out Pass Eff]]="N", Table1[[#This Row],[Against FCS Team]]="N"), ROUND(((5.45 * D74) + (150 * F74) + (100 * G74) - (300 * H74)) / E74, 2), " ")</f>
        <v>72.819999999999993</v>
      </c>
      <c r="AB74" s="3">
        <f>IF(AND(Table1[[#This Row],[Throw Out Pass Def Eff]]="N", Table1[[#This Row],[Against FCS Team]]="N"),200 - ROUND(((5.45 * P74) + (150 * R74) + (100 * S74) - (300 * T74)) / Q74, 2), " ")</f>
        <v>49.370000000000005</v>
      </c>
      <c r="AC74" s="3">
        <f>IF(AND(Table1[[#This Row],[Throw Out Rush Eff]]="N", Table1[[#This Row],[Against FCS Team]]="N"), ROUND(((23.2 * I74) + (150 * K74) - (300 * L74)) / J74, 2), " ")</f>
        <v>106.41</v>
      </c>
      <c r="AD74" s="3">
        <f>IF(AND(Table1[[#This Row],[Throw Out Rush Def Eff]]="N", Table1[[#This Row],[Against FCS Team]]="N"), 200 - ROUND(((23.2 * U74) + (150 * W74) - (300 * X74)) / V74, 2), " ")</f>
        <v>105.34</v>
      </c>
      <c r="AE74" s="3">
        <f>ROUND(Table1[[#This Row],[Opp Passing Attempts]]/(Table1[[#This Row],[Opp Passing Attempts]]+Table1[[#This Row],[Opp Rushing Attempts]]), 2)</f>
        <v>0.48</v>
      </c>
      <c r="AF74" s="3">
        <f>1-Table1[[#This Row],[Passing Weight]]</f>
        <v>0.52</v>
      </c>
      <c r="AG74" s="3" t="str">
        <f>IF(COUNTIF(A:A,Table1[[#This Row],[Opp Team Name]]) &gt; 0, "N", "Y")</f>
        <v>N</v>
      </c>
      <c r="AH74" s="3" t="str">
        <f>IF(Table1[[#This Row],[Passing Attempts]] &lt;15, "Y", "N")</f>
        <v>N</v>
      </c>
      <c r="AI74" s="3" t="str">
        <f>IF(Table1[[#This Row],[Rushing Attempts]] &lt; 15, "Y", "N")</f>
        <v>N</v>
      </c>
      <c r="AJ74" s="3" t="str">
        <f>IF(Table1[[#This Row],[Opp Passing Attempts]]&lt;15, "Y", "N")</f>
        <v>N</v>
      </c>
      <c r="AK74" s="3" t="str">
        <f>IF(Table1[[#This Row],[Opp Rushing Attempts]]&lt;15, "Y", "N")</f>
        <v>N</v>
      </c>
      <c r="AL7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78.09</v>
      </c>
      <c r="AM7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55.63</v>
      </c>
      <c r="AN7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108.49</v>
      </c>
      <c r="AO7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79.430000000000007</v>
      </c>
      <c r="AP74" s="3">
        <f>ABS(Table1[[#This Row],[Team Score]]-Table1[[#This Row],[Opp Team Score]])</f>
        <v>13</v>
      </c>
      <c r="AQ74" s="3">
        <f>SUM(Table1[[#This Row],[Team Score]], Table1[[#This Row],[Opp Team Score]])</f>
        <v>45</v>
      </c>
      <c r="AR7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66.06</v>
      </c>
      <c r="AS74" s="3">
        <f>IF(Table1[[#This Row],[Efficiency Difference]] = " ", " ", ROUND((Table1[[#This Row],[Winning Margin]]*100)/Table1[[#This Row],[Efficiency Difference]], 2))</f>
        <v>19.68</v>
      </c>
    </row>
    <row r="75" spans="1:45">
      <c r="A75" t="s">
        <v>101</v>
      </c>
      <c r="B75">
        <v>0</v>
      </c>
      <c r="C75">
        <v>29</v>
      </c>
      <c r="D75">
        <v>232</v>
      </c>
      <c r="E75">
        <v>23</v>
      </c>
      <c r="F75">
        <v>4</v>
      </c>
      <c r="G75">
        <v>16</v>
      </c>
      <c r="H75">
        <v>0</v>
      </c>
      <c r="I75">
        <v>102</v>
      </c>
      <c r="J75">
        <v>25</v>
      </c>
      <c r="K75">
        <v>0</v>
      </c>
      <c r="L75">
        <v>0</v>
      </c>
      <c r="M75" t="s">
        <v>93</v>
      </c>
      <c r="N75">
        <v>0</v>
      </c>
      <c r="O75">
        <v>16</v>
      </c>
      <c r="P75">
        <v>199</v>
      </c>
      <c r="Q75">
        <v>30</v>
      </c>
      <c r="R75">
        <v>0</v>
      </c>
      <c r="S75">
        <v>20</v>
      </c>
      <c r="T75">
        <v>3</v>
      </c>
      <c r="U75">
        <v>177</v>
      </c>
      <c r="V75">
        <v>40</v>
      </c>
      <c r="W75">
        <v>1</v>
      </c>
      <c r="X75">
        <v>0</v>
      </c>
      <c r="Y75" t="s">
        <v>14</v>
      </c>
      <c r="Z75">
        <v>0</v>
      </c>
      <c r="AA75">
        <f>IF(AND(Table1[[#This Row],[Throw Out Pass Eff]]="N", Table1[[#This Row],[Against FCS Team]]="N"), ROUND(((5.45 * D75) + (150 * F75) + (100 * G75) - (300 * H75)) / E75, 2), " ")</f>
        <v>150.63</v>
      </c>
      <c r="AB75">
        <f>IF(AND(Table1[[#This Row],[Throw Out Pass Def Eff]]="N", Table1[[#This Row],[Against FCS Team]]="N"),200 - ROUND(((5.45 * P75) + (150 * R75) + (100 * S75) - (300 * T75)) / Q75, 2), " ")</f>
        <v>127.18</v>
      </c>
      <c r="AC75">
        <f>IF(AND(Table1[[#This Row],[Throw Out Rush Eff]]="N", Table1[[#This Row],[Against FCS Team]]="N"), ROUND(((23.2 * I75) + (150 * K75) - (300 * L75)) / J75, 2), " ")</f>
        <v>94.66</v>
      </c>
      <c r="AD75" s="3">
        <f>IF(AND(Table1[[#This Row],[Throw Out Rush Def Eff]]="N", Table1[[#This Row],[Against FCS Team]]="N"), 200 - ROUND(((23.2 * U75) + (150 * W75) - (300 * X75)) / V75, 2), " ")</f>
        <v>93.59</v>
      </c>
      <c r="AE75" s="3">
        <f>ROUND(Table1[[#This Row],[Opp Passing Attempts]]/(Table1[[#This Row],[Opp Passing Attempts]]+Table1[[#This Row],[Opp Rushing Attempts]]), 2)</f>
        <v>0.43</v>
      </c>
      <c r="AF75" s="3">
        <f>1-Table1[[#This Row],[Passing Weight]]</f>
        <v>0.57000000000000006</v>
      </c>
      <c r="AG75" s="3" t="str">
        <f>IF(COUNTIF(A:A,Table1[[#This Row],[Opp Team Name]]) &gt; 0, "N", "Y")</f>
        <v>N</v>
      </c>
      <c r="AH75" s="3" t="str">
        <f>IF(Table1[[#This Row],[Passing Attempts]] &lt;15, "Y", "N")</f>
        <v>N</v>
      </c>
      <c r="AI75" s="3" t="str">
        <f>IF(Table1[[#This Row],[Rushing Attempts]] &lt; 15, "Y", "N")</f>
        <v>N</v>
      </c>
      <c r="AJ75" s="3" t="str">
        <f>IF(Table1[[#This Row],[Opp Passing Attempts]]&lt;15, "Y", "N")</f>
        <v>N</v>
      </c>
      <c r="AK75" s="3" t="str">
        <f>IF(Table1[[#This Row],[Opp Rushing Attempts]]&lt;15, "Y", "N")</f>
        <v>N</v>
      </c>
      <c r="AL7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149.53</v>
      </c>
      <c r="AM7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116.77</v>
      </c>
      <c r="AN7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77.349999999999994</v>
      </c>
      <c r="AO7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122.07</v>
      </c>
      <c r="AP75" s="3">
        <f>ABS(Table1[[#This Row],[Team Score]]-Table1[[#This Row],[Opp Team Score]])</f>
        <v>13</v>
      </c>
      <c r="AQ75" s="3">
        <f>SUM(Table1[[#This Row],[Team Score]], Table1[[#This Row],[Opp Team Score]])</f>
        <v>45</v>
      </c>
      <c r="AR7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66.06</v>
      </c>
      <c r="AS75" s="3">
        <f>IF(Table1[[#This Row],[Efficiency Difference]] = " ", " ", ROUND((Table1[[#This Row],[Winning Margin]]*100)/Table1[[#This Row],[Efficiency Difference]], 2))</f>
        <v>19.68</v>
      </c>
    </row>
    <row r="76" spans="1:45">
      <c r="A76" t="s">
        <v>87</v>
      </c>
      <c r="B76">
        <v>0</v>
      </c>
      <c r="C76">
        <v>34</v>
      </c>
      <c r="D76">
        <v>369</v>
      </c>
      <c r="E76">
        <v>40</v>
      </c>
      <c r="F76">
        <v>2</v>
      </c>
      <c r="G76">
        <v>27</v>
      </c>
      <c r="H76">
        <v>2</v>
      </c>
      <c r="I76">
        <v>79</v>
      </c>
      <c r="J76">
        <v>20</v>
      </c>
      <c r="K76">
        <v>1</v>
      </c>
      <c r="L76">
        <v>0</v>
      </c>
      <c r="M76" t="s">
        <v>109</v>
      </c>
      <c r="N76">
        <v>0</v>
      </c>
      <c r="O76">
        <v>31</v>
      </c>
      <c r="P76">
        <v>387</v>
      </c>
      <c r="Q76">
        <v>45</v>
      </c>
      <c r="R76">
        <v>4</v>
      </c>
      <c r="S76">
        <v>30</v>
      </c>
      <c r="T76">
        <v>4</v>
      </c>
      <c r="U76">
        <v>108</v>
      </c>
      <c r="V76">
        <v>26</v>
      </c>
      <c r="W76">
        <v>0</v>
      </c>
      <c r="X76">
        <v>0</v>
      </c>
      <c r="Y76" t="s">
        <v>14</v>
      </c>
      <c r="Z76">
        <v>0</v>
      </c>
      <c r="AA76">
        <f>IF(AND(Table1[[#This Row],[Throw Out Pass Eff]]="N", Table1[[#This Row],[Against FCS Team]]="N"), ROUND(((5.45 * D76) + (150 * F76) + (100 * G76) - (300 * H76)) / E76, 2), " ")</f>
        <v>110.28</v>
      </c>
      <c r="AB76">
        <f>IF(AND(Table1[[#This Row],[Throw Out Pass Def Eff]]="N", Table1[[#This Row],[Against FCS Team]]="N"),200 - ROUND(((5.45 * P76) + (150 * R76) + (100 * S76) - (300 * T76)) / Q76, 2), " ")</f>
        <v>99.8</v>
      </c>
      <c r="AC76">
        <f>IF(AND(Table1[[#This Row],[Throw Out Rush Eff]]="N", Table1[[#This Row],[Against FCS Team]]="N"), ROUND(((23.2 * I76) + (150 * K76) - (300 * L76)) / J76, 2), " ")</f>
        <v>99.14</v>
      </c>
      <c r="AD76" s="3">
        <f>IF(AND(Table1[[#This Row],[Throw Out Rush Def Eff]]="N", Table1[[#This Row],[Against FCS Team]]="N"), 200 - ROUND(((23.2 * U76) + (150 * W76) - (300 * X76)) / V76, 2), " ")</f>
        <v>103.63</v>
      </c>
      <c r="AE76" s="3">
        <f>ROUND(Table1[[#This Row],[Opp Passing Attempts]]/(Table1[[#This Row],[Opp Passing Attempts]]+Table1[[#This Row],[Opp Rushing Attempts]]), 2)</f>
        <v>0.63</v>
      </c>
      <c r="AF76" s="3">
        <f>1-Table1[[#This Row],[Passing Weight]]</f>
        <v>0.37</v>
      </c>
      <c r="AG76" s="3" t="str">
        <f>IF(COUNTIF(A:A,Table1[[#This Row],[Opp Team Name]]) &gt; 0, "N", "Y")</f>
        <v>N</v>
      </c>
      <c r="AH76" s="3" t="str">
        <f>IF(Table1[[#This Row],[Passing Attempts]] &lt;15, "Y", "N")</f>
        <v>N</v>
      </c>
      <c r="AI76" s="3" t="str">
        <f>IF(Table1[[#This Row],[Rushing Attempts]] &lt; 15, "Y", "N")</f>
        <v>N</v>
      </c>
      <c r="AJ76" s="3" t="str">
        <f>IF(Table1[[#This Row],[Opp Passing Attempts]]&lt;15, "Y", "N")</f>
        <v>N</v>
      </c>
      <c r="AK76" s="3" t="str">
        <f>IF(Table1[[#This Row],[Opp Rushing Attempts]]&lt;15, "Y", "N")</f>
        <v>N</v>
      </c>
      <c r="AL7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103.02</v>
      </c>
      <c r="AM7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115.08</v>
      </c>
      <c r="AN7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99.59</v>
      </c>
      <c r="AO7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110.33</v>
      </c>
      <c r="AP76" s="3">
        <f>ABS(Table1[[#This Row],[Team Score]]-Table1[[#This Row],[Opp Team Score]])</f>
        <v>3</v>
      </c>
      <c r="AQ76" s="3">
        <f>SUM(Table1[[#This Row],[Team Score]], Table1[[#This Row],[Opp Team Score]])</f>
        <v>65</v>
      </c>
      <c r="AR7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12.850000000000023</v>
      </c>
      <c r="AS76" s="3">
        <f>IF(Table1[[#This Row],[Efficiency Difference]] = " ", " ", ROUND((Table1[[#This Row],[Winning Margin]]*100)/Table1[[#This Row],[Efficiency Difference]], 2))</f>
        <v>23.35</v>
      </c>
    </row>
    <row r="77" spans="1:45">
      <c r="A77" t="s">
        <v>109</v>
      </c>
      <c r="B77">
        <v>0</v>
      </c>
      <c r="C77">
        <v>31</v>
      </c>
      <c r="D77">
        <v>387</v>
      </c>
      <c r="E77">
        <v>45</v>
      </c>
      <c r="F77">
        <v>4</v>
      </c>
      <c r="G77">
        <v>30</v>
      </c>
      <c r="H77">
        <v>4</v>
      </c>
      <c r="I77">
        <v>108</v>
      </c>
      <c r="J77">
        <v>26</v>
      </c>
      <c r="K77">
        <v>0</v>
      </c>
      <c r="L77">
        <v>0</v>
      </c>
      <c r="M77" t="s">
        <v>87</v>
      </c>
      <c r="N77">
        <v>0</v>
      </c>
      <c r="O77">
        <v>34</v>
      </c>
      <c r="P77">
        <v>369</v>
      </c>
      <c r="Q77">
        <v>40</v>
      </c>
      <c r="R77">
        <v>2</v>
      </c>
      <c r="S77">
        <v>27</v>
      </c>
      <c r="T77">
        <v>2</v>
      </c>
      <c r="U77">
        <v>79</v>
      </c>
      <c r="V77">
        <v>20</v>
      </c>
      <c r="W77">
        <v>1</v>
      </c>
      <c r="X77">
        <v>0</v>
      </c>
      <c r="Y77" t="s">
        <v>15</v>
      </c>
      <c r="Z77">
        <v>0</v>
      </c>
      <c r="AA77">
        <f>IF(AND(Table1[[#This Row],[Throw Out Pass Eff]]="N", Table1[[#This Row],[Against FCS Team]]="N"), ROUND(((5.45 * D77) + (150 * F77) + (100 * G77) - (300 * H77)) / E77, 2), " ")</f>
        <v>100.2</v>
      </c>
      <c r="AB77">
        <f>IF(AND(Table1[[#This Row],[Throw Out Pass Def Eff]]="N", Table1[[#This Row],[Against FCS Team]]="N"),200 - ROUND(((5.45 * P77) + (150 * R77) + (100 * S77) - (300 * T77)) / Q77, 2), " ")</f>
        <v>89.72</v>
      </c>
      <c r="AC77">
        <f>IF(AND(Table1[[#This Row],[Throw Out Rush Eff]]="N", Table1[[#This Row],[Against FCS Team]]="N"), ROUND(((23.2 * I77) + (150 * K77) - (300 * L77)) / J77, 2), " ")</f>
        <v>96.37</v>
      </c>
      <c r="AD77" s="3">
        <f>IF(AND(Table1[[#This Row],[Throw Out Rush Def Eff]]="N", Table1[[#This Row],[Against FCS Team]]="N"), 200 - ROUND(((23.2 * U77) + (150 * W77) - (300 * X77)) / V77, 2), " ")</f>
        <v>100.86</v>
      </c>
      <c r="AE77" s="3">
        <f>ROUND(Table1[[#This Row],[Opp Passing Attempts]]/(Table1[[#This Row],[Opp Passing Attempts]]+Table1[[#This Row],[Opp Rushing Attempts]]), 2)</f>
        <v>0.67</v>
      </c>
      <c r="AF77" s="3">
        <f>1-Table1[[#This Row],[Passing Weight]]</f>
        <v>0.32999999999999996</v>
      </c>
      <c r="AG77" s="3" t="str">
        <f>IF(COUNTIF(A:A,Table1[[#This Row],[Opp Team Name]]) &gt; 0, "N", "Y")</f>
        <v>N</v>
      </c>
      <c r="AH77" s="3" t="str">
        <f>IF(Table1[[#This Row],[Passing Attempts]] &lt;15, "Y", "N")</f>
        <v>N</v>
      </c>
      <c r="AI77" s="3" t="str">
        <f>IF(Table1[[#This Row],[Rushing Attempts]] &lt; 15, "Y", "N")</f>
        <v>N</v>
      </c>
      <c r="AJ77" s="3" t="str">
        <f>IF(Table1[[#This Row],[Opp Passing Attempts]]&lt;15, "Y", "N")</f>
        <v>N</v>
      </c>
      <c r="AK77" s="3" t="str">
        <f>IF(Table1[[#This Row],[Opp Rushing Attempts]]&lt;15, "Y", "N")</f>
        <v>N</v>
      </c>
      <c r="AL7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103.91</v>
      </c>
      <c r="AM7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93.2</v>
      </c>
      <c r="AN7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75.34</v>
      </c>
      <c r="AO7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133.32</v>
      </c>
      <c r="AP77" s="3">
        <f>ABS(Table1[[#This Row],[Team Score]]-Table1[[#This Row],[Opp Team Score]])</f>
        <v>3</v>
      </c>
      <c r="AQ77" s="3">
        <f>SUM(Table1[[#This Row],[Team Score]], Table1[[#This Row],[Opp Team Score]])</f>
        <v>65</v>
      </c>
      <c r="AR7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12.850000000000023</v>
      </c>
      <c r="AS77" s="3">
        <f>IF(Table1[[#This Row],[Efficiency Difference]] = " ", " ", ROUND((Table1[[#This Row],[Winning Margin]]*100)/Table1[[#This Row],[Efficiency Difference]], 2))</f>
        <v>23.35</v>
      </c>
    </row>
    <row r="78" spans="1:45">
      <c r="A78" t="s">
        <v>90</v>
      </c>
      <c r="B78">
        <v>0</v>
      </c>
      <c r="C78">
        <v>17</v>
      </c>
      <c r="D78">
        <v>210</v>
      </c>
      <c r="E78">
        <v>39</v>
      </c>
      <c r="F78">
        <v>2</v>
      </c>
      <c r="G78">
        <v>19</v>
      </c>
      <c r="H78">
        <v>1</v>
      </c>
      <c r="I78">
        <v>70</v>
      </c>
      <c r="J78">
        <v>19</v>
      </c>
      <c r="K78">
        <v>0</v>
      </c>
      <c r="L78">
        <v>0</v>
      </c>
      <c r="M78" t="s">
        <v>108</v>
      </c>
      <c r="N78">
        <v>0</v>
      </c>
      <c r="O78">
        <v>16</v>
      </c>
      <c r="P78">
        <v>231</v>
      </c>
      <c r="Q78">
        <v>29</v>
      </c>
      <c r="R78">
        <v>1</v>
      </c>
      <c r="S78">
        <v>19</v>
      </c>
      <c r="T78">
        <v>1</v>
      </c>
      <c r="U78">
        <v>138</v>
      </c>
      <c r="V78">
        <v>38</v>
      </c>
      <c r="W78">
        <v>0</v>
      </c>
      <c r="X78">
        <v>1</v>
      </c>
      <c r="Y78" t="s">
        <v>14</v>
      </c>
      <c r="Z78">
        <v>0</v>
      </c>
      <c r="AA78">
        <f>IF(AND(Table1[[#This Row],[Throw Out Pass Eff]]="N", Table1[[#This Row],[Against FCS Team]]="N"), ROUND(((5.45 * D78) + (150 * F78) + (100 * G78) - (300 * H78)) / E78, 2), " ")</f>
        <v>78.06</v>
      </c>
      <c r="AB78">
        <f>IF(AND(Table1[[#This Row],[Throw Out Pass Def Eff]]="N", Table1[[#This Row],[Against FCS Team]]="N"),200 - ROUND(((5.45 * P78) + (150 * R78) + (100 * S78) - (300 * T78)) / Q78, 2), " ")</f>
        <v>96.24</v>
      </c>
      <c r="AC78">
        <f>IF(AND(Table1[[#This Row],[Throw Out Rush Eff]]="N", Table1[[#This Row],[Against FCS Team]]="N"), ROUND(((23.2 * I78) + (150 * K78) - (300 * L78)) / J78, 2), " ")</f>
        <v>85.47</v>
      </c>
      <c r="AD78" s="3">
        <f>IF(AND(Table1[[#This Row],[Throw Out Rush Def Eff]]="N", Table1[[#This Row],[Against FCS Team]]="N"), 200 - ROUND(((23.2 * U78) + (150 * W78) - (300 * X78)) / V78, 2), " ")</f>
        <v>123.64</v>
      </c>
      <c r="AE78" s="3">
        <f>ROUND(Table1[[#This Row],[Opp Passing Attempts]]/(Table1[[#This Row],[Opp Passing Attempts]]+Table1[[#This Row],[Opp Rushing Attempts]]), 2)</f>
        <v>0.43</v>
      </c>
      <c r="AF78" s="3">
        <f>1-Table1[[#This Row],[Passing Weight]]</f>
        <v>0.57000000000000006</v>
      </c>
      <c r="AG78" s="3" t="str">
        <f>IF(COUNTIF(A:A,Table1[[#This Row],[Opp Team Name]]) &gt; 0, "N", "Y")</f>
        <v>N</v>
      </c>
      <c r="AH78" s="3" t="str">
        <f>IF(Table1[[#This Row],[Passing Attempts]] &lt;15, "Y", "N")</f>
        <v>N</v>
      </c>
      <c r="AI78" s="3" t="str">
        <f>IF(Table1[[#This Row],[Rushing Attempts]] &lt; 15, "Y", "N")</f>
        <v>N</v>
      </c>
      <c r="AJ78" s="3" t="str">
        <f>IF(Table1[[#This Row],[Opp Passing Attempts]]&lt;15, "Y", "N")</f>
        <v>N</v>
      </c>
      <c r="AK78" s="3" t="str">
        <f>IF(Table1[[#This Row],[Opp Rushing Attempts]]&lt;15, "Y", "N")</f>
        <v>N</v>
      </c>
      <c r="AL7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72.33</v>
      </c>
      <c r="AM7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81.72</v>
      </c>
      <c r="AN7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90.08</v>
      </c>
      <c r="AO7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114.27</v>
      </c>
      <c r="AP78" s="3">
        <f>ABS(Table1[[#This Row],[Team Score]]-Table1[[#This Row],[Opp Team Score]])</f>
        <v>1</v>
      </c>
      <c r="AQ78" s="3">
        <f>SUM(Table1[[#This Row],[Team Score]], Table1[[#This Row],[Opp Team Score]])</f>
        <v>33</v>
      </c>
      <c r="AR7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16.590000000000003</v>
      </c>
      <c r="AS78" s="3">
        <f>IF(Table1[[#This Row],[Efficiency Difference]] = " ", " ", ROUND((Table1[[#This Row],[Winning Margin]]*100)/Table1[[#This Row],[Efficiency Difference]], 2))</f>
        <v>6.03</v>
      </c>
    </row>
    <row r="79" spans="1:45">
      <c r="A79" t="s">
        <v>108</v>
      </c>
      <c r="B79">
        <v>0</v>
      </c>
      <c r="C79">
        <v>16</v>
      </c>
      <c r="D79">
        <v>231</v>
      </c>
      <c r="E79">
        <v>29</v>
      </c>
      <c r="F79">
        <v>1</v>
      </c>
      <c r="G79">
        <v>19</v>
      </c>
      <c r="H79">
        <v>1</v>
      </c>
      <c r="I79">
        <v>138</v>
      </c>
      <c r="J79">
        <v>38</v>
      </c>
      <c r="K79">
        <v>0</v>
      </c>
      <c r="L79">
        <v>1</v>
      </c>
      <c r="M79" t="s">
        <v>90</v>
      </c>
      <c r="N79">
        <v>0</v>
      </c>
      <c r="O79">
        <v>17</v>
      </c>
      <c r="P79">
        <v>210</v>
      </c>
      <c r="Q79">
        <v>39</v>
      </c>
      <c r="R79">
        <v>2</v>
      </c>
      <c r="S79">
        <v>19</v>
      </c>
      <c r="T79">
        <v>1</v>
      </c>
      <c r="U79">
        <v>70</v>
      </c>
      <c r="V79">
        <v>19</v>
      </c>
      <c r="W79">
        <v>0</v>
      </c>
      <c r="X79">
        <v>0</v>
      </c>
      <c r="Y79" t="s">
        <v>15</v>
      </c>
      <c r="Z79">
        <v>0</v>
      </c>
      <c r="AA79">
        <f>IF(AND(Table1[[#This Row],[Throw Out Pass Eff]]="N", Table1[[#This Row],[Against FCS Team]]="N"), ROUND(((5.45 * D79) + (150 * F79) + (100 * G79) - (300 * H79)) / E79, 2), " ")</f>
        <v>103.76</v>
      </c>
      <c r="AB79">
        <f>IF(AND(Table1[[#This Row],[Throw Out Pass Def Eff]]="N", Table1[[#This Row],[Against FCS Team]]="N"),200 - ROUND(((5.45 * P79) + (150 * R79) + (100 * S79) - (300 * T79)) / Q79, 2), " ")</f>
        <v>121.94</v>
      </c>
      <c r="AC79">
        <f>IF(AND(Table1[[#This Row],[Throw Out Rush Eff]]="N", Table1[[#This Row],[Against FCS Team]]="N"), ROUND(((23.2 * I79) + (150 * K79) - (300 * L79)) / J79, 2), " ")</f>
        <v>76.36</v>
      </c>
      <c r="AD79" s="3">
        <f>IF(AND(Table1[[#This Row],[Throw Out Rush Def Eff]]="N", Table1[[#This Row],[Against FCS Team]]="N"), 200 - ROUND(((23.2 * U79) + (150 * W79) - (300 * X79)) / V79, 2), " ")</f>
        <v>114.53</v>
      </c>
      <c r="AE79" s="3">
        <f>ROUND(Table1[[#This Row],[Opp Passing Attempts]]/(Table1[[#This Row],[Opp Passing Attempts]]+Table1[[#This Row],[Opp Rushing Attempts]]), 2)</f>
        <v>0.67</v>
      </c>
      <c r="AF79" s="3">
        <f>1-Table1[[#This Row],[Passing Weight]]</f>
        <v>0.32999999999999996</v>
      </c>
      <c r="AG79" s="3" t="str">
        <f>IF(COUNTIF(A:A,Table1[[#This Row],[Opp Team Name]]) &gt; 0, "N", "Y")</f>
        <v>N</v>
      </c>
      <c r="AH79" s="3" t="str">
        <f>IF(Table1[[#This Row],[Passing Attempts]] &lt;15, "Y", "N")</f>
        <v>N</v>
      </c>
      <c r="AI79" s="3" t="str">
        <f>IF(Table1[[#This Row],[Rushing Attempts]] &lt; 15, "Y", "N")</f>
        <v>N</v>
      </c>
      <c r="AJ79" s="3" t="str">
        <f>IF(Table1[[#This Row],[Opp Passing Attempts]]&lt;15, "Y", "N")</f>
        <v>N</v>
      </c>
      <c r="AK79" s="3" t="str">
        <f>IF(Table1[[#This Row],[Opp Rushing Attempts]]&lt;15, "Y", "N")</f>
        <v>N</v>
      </c>
      <c r="AL7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114.64</v>
      </c>
      <c r="AM7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102.39</v>
      </c>
      <c r="AN7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86.84</v>
      </c>
      <c r="AO7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86.02</v>
      </c>
      <c r="AP79" s="3">
        <f>ABS(Table1[[#This Row],[Team Score]]-Table1[[#This Row],[Opp Team Score]])</f>
        <v>1</v>
      </c>
      <c r="AQ79" s="3">
        <f>SUM(Table1[[#This Row],[Team Score]], Table1[[#This Row],[Opp Team Score]])</f>
        <v>33</v>
      </c>
      <c r="AR7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16.590000000000003</v>
      </c>
      <c r="AS79" s="3">
        <f>IF(Table1[[#This Row],[Efficiency Difference]] = " ", " ", ROUND((Table1[[#This Row],[Winning Margin]]*100)/Table1[[#This Row],[Efficiency Difference]], 2))</f>
        <v>6.03</v>
      </c>
    </row>
    <row r="80" spans="1:45">
      <c r="A80" t="s">
        <v>91</v>
      </c>
      <c r="B80">
        <v>0</v>
      </c>
      <c r="C80">
        <v>8</v>
      </c>
      <c r="D80">
        <v>149</v>
      </c>
      <c r="E80">
        <v>32</v>
      </c>
      <c r="F80">
        <v>0</v>
      </c>
      <c r="G80">
        <v>17</v>
      </c>
      <c r="H80">
        <v>2</v>
      </c>
      <c r="I80">
        <v>79</v>
      </c>
      <c r="J80">
        <v>20</v>
      </c>
      <c r="K80">
        <v>0</v>
      </c>
      <c r="L80">
        <v>1</v>
      </c>
      <c r="M80" t="s">
        <v>104</v>
      </c>
      <c r="N80">
        <v>0</v>
      </c>
      <c r="O80">
        <v>13</v>
      </c>
      <c r="P80">
        <v>176</v>
      </c>
      <c r="Q80">
        <v>30</v>
      </c>
      <c r="R80">
        <v>0</v>
      </c>
      <c r="S80">
        <v>20</v>
      </c>
      <c r="T80">
        <v>0</v>
      </c>
      <c r="U80">
        <v>50</v>
      </c>
      <c r="V80">
        <v>29</v>
      </c>
      <c r="W80">
        <v>1</v>
      </c>
      <c r="X80">
        <v>1</v>
      </c>
      <c r="Y80" t="s">
        <v>15</v>
      </c>
      <c r="Z80">
        <v>0</v>
      </c>
      <c r="AA80">
        <f>IF(AND(Table1[[#This Row],[Throw Out Pass Eff]]="N", Table1[[#This Row],[Against FCS Team]]="N"), ROUND(((5.45 * D80) + (150 * F80) + (100 * G80) - (300 * H80)) / E80, 2), " ")</f>
        <v>59.75</v>
      </c>
      <c r="AB80">
        <f>IF(AND(Table1[[#This Row],[Throw Out Pass Def Eff]]="N", Table1[[#This Row],[Against FCS Team]]="N"),200 - ROUND(((5.45 * P80) + (150 * R80) + (100 * S80) - (300 * T80)) / Q80, 2), " ")</f>
        <v>101.36</v>
      </c>
      <c r="AC80">
        <f>IF(AND(Table1[[#This Row],[Throw Out Rush Eff]]="N", Table1[[#This Row],[Against FCS Team]]="N"), ROUND(((23.2 * I80) + (150 * K80) - (300 * L80)) / J80, 2), " ")</f>
        <v>76.64</v>
      </c>
      <c r="AD80" s="3">
        <f>IF(AND(Table1[[#This Row],[Throw Out Rush Def Eff]]="N", Table1[[#This Row],[Against FCS Team]]="N"), 200 - ROUND(((23.2 * U80) + (150 * W80) - (300 * X80)) / V80, 2), " ")</f>
        <v>165.17000000000002</v>
      </c>
      <c r="AE80" s="3">
        <f>ROUND(Table1[[#This Row],[Opp Passing Attempts]]/(Table1[[#This Row],[Opp Passing Attempts]]+Table1[[#This Row],[Opp Rushing Attempts]]), 2)</f>
        <v>0.51</v>
      </c>
      <c r="AF80" s="3">
        <f>1-Table1[[#This Row],[Passing Weight]]</f>
        <v>0.49</v>
      </c>
      <c r="AG80" s="3" t="str">
        <f>IF(COUNTIF(A:A,Table1[[#This Row],[Opp Team Name]]) &gt; 0, "N", "Y")</f>
        <v>N</v>
      </c>
      <c r="AH80" s="3" t="str">
        <f>IF(Table1[[#This Row],[Passing Attempts]] &lt;15, "Y", "N")</f>
        <v>N</v>
      </c>
      <c r="AI80" s="3" t="str">
        <f>IF(Table1[[#This Row],[Rushing Attempts]] &lt; 15, "Y", "N")</f>
        <v>N</v>
      </c>
      <c r="AJ80" s="3" t="str">
        <f>IF(Table1[[#This Row],[Opp Passing Attempts]]&lt;15, "Y", "N")</f>
        <v>N</v>
      </c>
      <c r="AK80" s="3" t="str">
        <f>IF(Table1[[#This Row],[Opp Rushing Attempts]]&lt;15, "Y", "N")</f>
        <v>N</v>
      </c>
      <c r="AL8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68.17</v>
      </c>
      <c r="AM8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105.57</v>
      </c>
      <c r="AN8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99.84</v>
      </c>
      <c r="AO8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170.57</v>
      </c>
      <c r="AP80" s="3">
        <f>ABS(Table1[[#This Row],[Team Score]]-Table1[[#This Row],[Opp Team Score]])</f>
        <v>5</v>
      </c>
      <c r="AQ80" s="3">
        <f>SUM(Table1[[#This Row],[Team Score]], Table1[[#This Row],[Opp Team Score]])</f>
        <v>21</v>
      </c>
      <c r="AR8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2.9200000000000159</v>
      </c>
      <c r="AS80" s="3">
        <f>IF(Table1[[#This Row],[Efficiency Difference]] = " ", " ", ROUND((Table1[[#This Row],[Winning Margin]]*100)/Table1[[#This Row],[Efficiency Difference]], 2))</f>
        <v>171.23</v>
      </c>
    </row>
    <row r="81" spans="1:45">
      <c r="A81" t="s">
        <v>104</v>
      </c>
      <c r="B81">
        <v>0</v>
      </c>
      <c r="C81">
        <v>13</v>
      </c>
      <c r="D81">
        <v>176</v>
      </c>
      <c r="E81">
        <v>30</v>
      </c>
      <c r="F81">
        <v>0</v>
      </c>
      <c r="G81">
        <v>20</v>
      </c>
      <c r="H81">
        <v>0</v>
      </c>
      <c r="I81">
        <v>50</v>
      </c>
      <c r="J81">
        <v>29</v>
      </c>
      <c r="K81">
        <v>1</v>
      </c>
      <c r="L81">
        <v>1</v>
      </c>
      <c r="M81" t="s">
        <v>91</v>
      </c>
      <c r="N81">
        <v>0</v>
      </c>
      <c r="O81">
        <v>8</v>
      </c>
      <c r="P81">
        <v>149</v>
      </c>
      <c r="Q81">
        <v>32</v>
      </c>
      <c r="R81">
        <v>0</v>
      </c>
      <c r="S81">
        <v>17</v>
      </c>
      <c r="T81">
        <v>2</v>
      </c>
      <c r="U81">
        <v>79</v>
      </c>
      <c r="V81">
        <v>20</v>
      </c>
      <c r="W81">
        <v>0</v>
      </c>
      <c r="X81">
        <v>1</v>
      </c>
      <c r="Y81" t="s">
        <v>14</v>
      </c>
      <c r="Z81">
        <v>0</v>
      </c>
      <c r="AA81">
        <f>IF(AND(Table1[[#This Row],[Throw Out Pass Eff]]="N", Table1[[#This Row],[Against FCS Team]]="N"), ROUND(((5.45 * D81) + (150 * F81) + (100 * G81) - (300 * H81)) / E81, 2), " ")</f>
        <v>98.64</v>
      </c>
      <c r="AB81">
        <f>IF(AND(Table1[[#This Row],[Throw Out Pass Def Eff]]="N", Table1[[#This Row],[Against FCS Team]]="N"),200 - ROUND(((5.45 * P81) + (150 * R81) + (100 * S81) - (300 * T81)) / Q81, 2), " ")</f>
        <v>140.25</v>
      </c>
      <c r="AC81">
        <f>IF(AND(Table1[[#This Row],[Throw Out Rush Eff]]="N", Table1[[#This Row],[Against FCS Team]]="N"), ROUND(((23.2 * I81) + (150 * K81) - (300 * L81)) / J81, 2), " ")</f>
        <v>34.83</v>
      </c>
      <c r="AD81" s="3">
        <f>IF(AND(Table1[[#This Row],[Throw Out Rush Def Eff]]="N", Table1[[#This Row],[Against FCS Team]]="N"), 200 - ROUND(((23.2 * U81) + (150 * W81) - (300 * X81)) / V81, 2), " ")</f>
        <v>123.36</v>
      </c>
      <c r="AE81" s="3">
        <f>ROUND(Table1[[#This Row],[Opp Passing Attempts]]/(Table1[[#This Row],[Opp Passing Attempts]]+Table1[[#This Row],[Opp Rushing Attempts]]), 2)</f>
        <v>0.62</v>
      </c>
      <c r="AF81" s="3">
        <f>1-Table1[[#This Row],[Passing Weight]]</f>
        <v>0.38</v>
      </c>
      <c r="AG81" s="3" t="str">
        <f>IF(COUNTIF(A:A,Table1[[#This Row],[Opp Team Name]]) &gt; 0, "N", "Y")</f>
        <v>N</v>
      </c>
      <c r="AH81" s="3" t="str">
        <f>IF(Table1[[#This Row],[Passing Attempts]] &lt;15, "Y", "N")</f>
        <v>N</v>
      </c>
      <c r="AI81" s="3" t="str">
        <f>IF(Table1[[#This Row],[Rushing Attempts]] &lt; 15, "Y", "N")</f>
        <v>N</v>
      </c>
      <c r="AJ81" s="3" t="str">
        <f>IF(Table1[[#This Row],[Opp Passing Attempts]]&lt;15, "Y", "N")</f>
        <v>N</v>
      </c>
      <c r="AK81" s="3" t="str">
        <f>IF(Table1[[#This Row],[Opp Rushing Attempts]]&lt;15, "Y", "N")</f>
        <v>N</v>
      </c>
      <c r="AL8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104.31</v>
      </c>
      <c r="AM8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133.52000000000001</v>
      </c>
      <c r="AN8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45.24</v>
      </c>
      <c r="AO8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108.71</v>
      </c>
      <c r="AP81" s="3">
        <f>ABS(Table1[[#This Row],[Team Score]]-Table1[[#This Row],[Opp Team Score]])</f>
        <v>5</v>
      </c>
      <c r="AQ81" s="3">
        <f>SUM(Table1[[#This Row],[Team Score]], Table1[[#This Row],[Opp Team Score]])</f>
        <v>21</v>
      </c>
      <c r="AR8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2.9199999999999875</v>
      </c>
      <c r="AS81" s="3">
        <f>IF(Table1[[#This Row],[Efficiency Difference]] = " ", " ", ROUND((Table1[[#This Row],[Winning Margin]]*100)/Table1[[#This Row],[Efficiency Difference]], 2))</f>
        <v>171.23</v>
      </c>
    </row>
    <row r="82" spans="1:45">
      <c r="A82" t="s">
        <v>111</v>
      </c>
      <c r="B82">
        <v>0</v>
      </c>
      <c r="C82">
        <v>34</v>
      </c>
      <c r="D82">
        <v>149</v>
      </c>
      <c r="E82">
        <v>27</v>
      </c>
      <c r="F82">
        <v>0</v>
      </c>
      <c r="G82">
        <v>18</v>
      </c>
      <c r="H82">
        <v>0</v>
      </c>
      <c r="I82">
        <v>234</v>
      </c>
      <c r="J82">
        <v>32</v>
      </c>
      <c r="K82">
        <v>4</v>
      </c>
      <c r="L82">
        <v>0</v>
      </c>
      <c r="M82" t="s">
        <v>106</v>
      </c>
      <c r="N82">
        <v>0</v>
      </c>
      <c r="O82">
        <v>24</v>
      </c>
      <c r="P82">
        <v>339</v>
      </c>
      <c r="Q82">
        <v>43</v>
      </c>
      <c r="R82">
        <v>2</v>
      </c>
      <c r="S82">
        <v>27</v>
      </c>
      <c r="T82">
        <v>1</v>
      </c>
      <c r="U82">
        <v>100</v>
      </c>
      <c r="V82">
        <v>25</v>
      </c>
      <c r="W82">
        <v>1</v>
      </c>
      <c r="X82">
        <v>1</v>
      </c>
      <c r="Y82" t="s">
        <v>14</v>
      </c>
      <c r="Z82">
        <v>0</v>
      </c>
      <c r="AA82">
        <f>IF(AND(Table1[[#This Row],[Throw Out Pass Eff]]="N", Table1[[#This Row],[Against FCS Team]]="N"), ROUND(((5.45 * D82) + (150 * F82) + (100 * G82) - (300 * H82)) / E82, 2), " ")</f>
        <v>96.74</v>
      </c>
      <c r="AB82">
        <f>IF(AND(Table1[[#This Row],[Throw Out Pass Def Eff]]="N", Table1[[#This Row],[Against FCS Team]]="N"),200 - ROUND(((5.45 * P82) + (150 * R82) + (100 * S82) - (300 * T82)) / Q82, 2), " ")</f>
        <v>94.24</v>
      </c>
      <c r="AC82">
        <f>IF(AND(Table1[[#This Row],[Throw Out Rush Eff]]="N", Table1[[#This Row],[Against FCS Team]]="N"), ROUND(((23.2 * I82) + (150 * K82) - (300 * L82)) / J82, 2), " ")</f>
        <v>188.4</v>
      </c>
      <c r="AD82" s="3">
        <f>IF(AND(Table1[[#This Row],[Throw Out Rush Def Eff]]="N", Table1[[#This Row],[Against FCS Team]]="N"), 200 - ROUND(((23.2 * U82) + (150 * W82) - (300 * X82)) / V82, 2), " ")</f>
        <v>113.2</v>
      </c>
      <c r="AE82" s="3">
        <f>ROUND(Table1[[#This Row],[Opp Passing Attempts]]/(Table1[[#This Row],[Opp Passing Attempts]]+Table1[[#This Row],[Opp Rushing Attempts]]), 2)</f>
        <v>0.63</v>
      </c>
      <c r="AF82" s="3">
        <f>1-Table1[[#This Row],[Passing Weight]]</f>
        <v>0.37</v>
      </c>
      <c r="AG82" s="3" t="str">
        <f>IF(COUNTIF(A:A,Table1[[#This Row],[Opp Team Name]]) &gt; 0, "N", "Y")</f>
        <v>N</v>
      </c>
      <c r="AH82" s="3" t="str">
        <f>IF(Table1[[#This Row],[Passing Attempts]] &lt;15, "Y", "N")</f>
        <v>N</v>
      </c>
      <c r="AI82" s="3" t="str">
        <f>IF(Table1[[#This Row],[Rushing Attempts]] &lt; 15, "Y", "N")</f>
        <v>N</v>
      </c>
      <c r="AJ82" s="3" t="str">
        <f>IF(Table1[[#This Row],[Opp Passing Attempts]]&lt;15, "Y", "N")</f>
        <v>N</v>
      </c>
      <c r="AK82" s="3" t="str">
        <f>IF(Table1[[#This Row],[Opp Rushing Attempts]]&lt;15, "Y", "N")</f>
        <v>N</v>
      </c>
      <c r="AL8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121.96</v>
      </c>
      <c r="AM8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85.99</v>
      </c>
      <c r="AN8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193.76</v>
      </c>
      <c r="AO8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80.19</v>
      </c>
      <c r="AP82" s="3">
        <f>ABS(Table1[[#This Row],[Team Score]]-Table1[[#This Row],[Opp Team Score]])</f>
        <v>10</v>
      </c>
      <c r="AQ82" s="3">
        <f>SUM(Table1[[#This Row],[Team Score]], Table1[[#This Row],[Opp Team Score]])</f>
        <v>58</v>
      </c>
      <c r="AR8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92.579999999999984</v>
      </c>
      <c r="AS82" s="3">
        <f>IF(Table1[[#This Row],[Efficiency Difference]] = " ", " ", ROUND((Table1[[#This Row],[Winning Margin]]*100)/Table1[[#This Row],[Efficiency Difference]], 2))</f>
        <v>10.8</v>
      </c>
    </row>
    <row r="83" spans="1:45">
      <c r="A83" t="s">
        <v>106</v>
      </c>
      <c r="B83">
        <v>0</v>
      </c>
      <c r="C83">
        <v>24</v>
      </c>
      <c r="D83">
        <v>339</v>
      </c>
      <c r="E83">
        <v>43</v>
      </c>
      <c r="F83">
        <v>2</v>
      </c>
      <c r="G83">
        <v>27</v>
      </c>
      <c r="H83">
        <v>1</v>
      </c>
      <c r="I83">
        <v>100</v>
      </c>
      <c r="J83">
        <v>25</v>
      </c>
      <c r="K83">
        <v>1</v>
      </c>
      <c r="L83">
        <v>1</v>
      </c>
      <c r="M83" t="s">
        <v>111</v>
      </c>
      <c r="N83">
        <v>0</v>
      </c>
      <c r="O83">
        <v>34</v>
      </c>
      <c r="P83">
        <v>149</v>
      </c>
      <c r="Q83">
        <v>27</v>
      </c>
      <c r="R83">
        <v>0</v>
      </c>
      <c r="S83">
        <v>18</v>
      </c>
      <c r="T83">
        <v>0</v>
      </c>
      <c r="U83">
        <v>234</v>
      </c>
      <c r="V83">
        <v>32</v>
      </c>
      <c r="W83">
        <v>4</v>
      </c>
      <c r="X83">
        <v>0</v>
      </c>
      <c r="Y83" t="s">
        <v>15</v>
      </c>
      <c r="Z83">
        <v>0</v>
      </c>
      <c r="AA83">
        <f>IF(AND(Table1[[#This Row],[Throw Out Pass Eff]]="N", Table1[[#This Row],[Against FCS Team]]="N"), ROUND(((5.45 * D83) + (150 * F83) + (100 * G83) - (300 * H83)) / E83, 2), " ")</f>
        <v>105.76</v>
      </c>
      <c r="AB83">
        <f>IF(AND(Table1[[#This Row],[Throw Out Pass Def Eff]]="N", Table1[[#This Row],[Against FCS Team]]="N"),200 - ROUND(((5.45 * P83) + (150 * R83) + (100 * S83) - (300 * T83)) / Q83, 2), " ")</f>
        <v>103.26</v>
      </c>
      <c r="AC83">
        <f>IF(AND(Table1[[#This Row],[Throw Out Rush Eff]]="N", Table1[[#This Row],[Against FCS Team]]="N"), ROUND(((23.2 * I83) + (150 * K83) - (300 * L83)) / J83, 2), " ")</f>
        <v>86.8</v>
      </c>
      <c r="AD83" s="3">
        <f>IF(AND(Table1[[#This Row],[Throw Out Rush Def Eff]]="N", Table1[[#This Row],[Against FCS Team]]="N"), 200 - ROUND(((23.2 * U83) + (150 * W83) - (300 * X83)) / V83, 2), " ")</f>
        <v>11.599999999999994</v>
      </c>
      <c r="AE83" s="3">
        <f>ROUND(Table1[[#This Row],[Opp Passing Attempts]]/(Table1[[#This Row],[Opp Passing Attempts]]+Table1[[#This Row],[Opp Rushing Attempts]]), 2)</f>
        <v>0.46</v>
      </c>
      <c r="AF83" s="3">
        <f>1-Table1[[#This Row],[Passing Weight]]</f>
        <v>0.54</v>
      </c>
      <c r="AG83" s="3" t="str">
        <f>IF(COUNTIF(A:A,Table1[[#This Row],[Opp Team Name]]) &gt; 0, "N", "Y")</f>
        <v>N</v>
      </c>
      <c r="AH83" s="3" t="str">
        <f>IF(Table1[[#This Row],[Passing Attempts]] &lt;15, "Y", "N")</f>
        <v>N</v>
      </c>
      <c r="AI83" s="3" t="str">
        <f>IF(Table1[[#This Row],[Rushing Attempts]] &lt; 15, "Y", "N")</f>
        <v>N</v>
      </c>
      <c r="AJ83" s="3" t="str">
        <f>IF(Table1[[#This Row],[Opp Passing Attempts]]&lt;15, "Y", "N")</f>
        <v>N</v>
      </c>
      <c r="AK83" s="3" t="str">
        <f>IF(Table1[[#This Row],[Opp Rushing Attempts]]&lt;15, "Y", "N")</f>
        <v>N</v>
      </c>
      <c r="AL8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119.75</v>
      </c>
      <c r="AM8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89.83</v>
      </c>
      <c r="AN8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75.34</v>
      </c>
      <c r="AO8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14.3</v>
      </c>
      <c r="AP83" s="3">
        <f>ABS(Table1[[#This Row],[Team Score]]-Table1[[#This Row],[Opp Team Score]])</f>
        <v>10</v>
      </c>
      <c r="AQ83" s="3">
        <f>SUM(Table1[[#This Row],[Team Score]], Table1[[#This Row],[Opp Team Score]])</f>
        <v>58</v>
      </c>
      <c r="AR8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92.579999999999984</v>
      </c>
      <c r="AS83" s="3">
        <f>IF(Table1[[#This Row],[Efficiency Difference]] = " ", " ", ROUND((Table1[[#This Row],[Winning Margin]]*100)/Table1[[#This Row],[Efficiency Difference]], 2))</f>
        <v>10.8</v>
      </c>
    </row>
    <row r="84" spans="1:45">
      <c r="A84" t="s">
        <v>92</v>
      </c>
      <c r="B84">
        <v>0</v>
      </c>
      <c r="C84">
        <v>7</v>
      </c>
      <c r="D84">
        <v>132</v>
      </c>
      <c r="E84">
        <v>32</v>
      </c>
      <c r="F84">
        <v>1</v>
      </c>
      <c r="G84">
        <v>16</v>
      </c>
      <c r="H84">
        <v>1</v>
      </c>
      <c r="I84">
        <v>112</v>
      </c>
      <c r="J84">
        <v>26</v>
      </c>
      <c r="K84">
        <v>0</v>
      </c>
      <c r="L84">
        <v>1</v>
      </c>
      <c r="M84" t="s">
        <v>94</v>
      </c>
      <c r="N84">
        <v>0</v>
      </c>
      <c r="O84">
        <v>37</v>
      </c>
      <c r="P84">
        <v>385</v>
      </c>
      <c r="Q84">
        <v>48</v>
      </c>
      <c r="R84">
        <v>3</v>
      </c>
      <c r="S84">
        <v>27</v>
      </c>
      <c r="T84">
        <v>0</v>
      </c>
      <c r="U84">
        <v>168</v>
      </c>
      <c r="V84">
        <v>26</v>
      </c>
      <c r="W84">
        <v>0</v>
      </c>
      <c r="X84">
        <v>1</v>
      </c>
      <c r="Y84" t="s">
        <v>15</v>
      </c>
      <c r="Z84">
        <v>0</v>
      </c>
      <c r="AA84">
        <f>IF(AND(Table1[[#This Row],[Throw Out Pass Eff]]="N", Table1[[#This Row],[Against FCS Team]]="N"), ROUND(((5.45 * D84) + (150 * F84) + (100 * G84) - (300 * H84)) / E84, 2), " ")</f>
        <v>67.790000000000006</v>
      </c>
      <c r="AB84">
        <f>IF(AND(Table1[[#This Row],[Throw Out Pass Def Eff]]="N", Table1[[#This Row],[Against FCS Team]]="N"),200 - ROUND(((5.45 * P84) + (150 * R84) + (100 * S84) - (300 * T84)) / Q84, 2), " ")</f>
        <v>90.66</v>
      </c>
      <c r="AC84">
        <f>IF(AND(Table1[[#This Row],[Throw Out Rush Eff]]="N", Table1[[#This Row],[Against FCS Team]]="N"), ROUND(((23.2 * I84) + (150 * K84) - (300 * L84)) / J84, 2), " ")</f>
        <v>88.4</v>
      </c>
      <c r="AD84" s="3">
        <f>IF(AND(Table1[[#This Row],[Throw Out Rush Def Eff]]="N", Table1[[#This Row],[Against FCS Team]]="N"), 200 - ROUND(((23.2 * U84) + (150 * W84) - (300 * X84)) / V84, 2), " ")</f>
        <v>61.629999999999995</v>
      </c>
      <c r="AE84" s="3">
        <f>ROUND(Table1[[#This Row],[Opp Passing Attempts]]/(Table1[[#This Row],[Opp Passing Attempts]]+Table1[[#This Row],[Opp Rushing Attempts]]), 2)</f>
        <v>0.65</v>
      </c>
      <c r="AF84" s="3">
        <f>1-Table1[[#This Row],[Passing Weight]]</f>
        <v>0.35</v>
      </c>
      <c r="AG84" s="3" t="str">
        <f>IF(COUNTIF(A:A,Table1[[#This Row],[Opp Team Name]]) &gt; 0, "N", "Y")</f>
        <v>N</v>
      </c>
      <c r="AH84" s="3" t="str">
        <f>IF(Table1[[#This Row],[Passing Attempts]] &lt;15, "Y", "N")</f>
        <v>N</v>
      </c>
      <c r="AI84" s="3" t="str">
        <f>IF(Table1[[#This Row],[Rushing Attempts]] &lt; 15, "Y", "N")</f>
        <v>N</v>
      </c>
      <c r="AJ84" s="3" t="str">
        <f>IF(Table1[[#This Row],[Opp Passing Attempts]]&lt;15, "Y", "N")</f>
        <v>N</v>
      </c>
      <c r="AK84" s="3" t="str">
        <f>IF(Table1[[#This Row],[Opp Rushing Attempts]]&lt;15, "Y", "N")</f>
        <v>N</v>
      </c>
      <c r="AL8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85.23</v>
      </c>
      <c r="AM8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76.23</v>
      </c>
      <c r="AN8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128.97999999999999</v>
      </c>
      <c r="AO8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56.12</v>
      </c>
      <c r="AP84" s="3">
        <f>ABS(Table1[[#This Row],[Team Score]]-Table1[[#This Row],[Opp Team Score]])</f>
        <v>30</v>
      </c>
      <c r="AQ84" s="3">
        <f>SUM(Table1[[#This Row],[Team Score]], Table1[[#This Row],[Opp Team Score]])</f>
        <v>44</v>
      </c>
      <c r="AR8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91.52000000000001</v>
      </c>
      <c r="AS84" s="3">
        <f>IF(Table1[[#This Row],[Efficiency Difference]] = " ", " ", ROUND((Table1[[#This Row],[Winning Margin]]*100)/Table1[[#This Row],[Efficiency Difference]], 2))</f>
        <v>32.78</v>
      </c>
    </row>
    <row r="85" spans="1:45">
      <c r="A85" t="s">
        <v>94</v>
      </c>
      <c r="B85">
        <v>0</v>
      </c>
      <c r="C85">
        <v>37</v>
      </c>
      <c r="D85">
        <v>385</v>
      </c>
      <c r="E85">
        <v>48</v>
      </c>
      <c r="F85">
        <v>3</v>
      </c>
      <c r="G85">
        <v>27</v>
      </c>
      <c r="H85">
        <v>0</v>
      </c>
      <c r="I85">
        <v>168</v>
      </c>
      <c r="J85">
        <v>26</v>
      </c>
      <c r="K85">
        <v>0</v>
      </c>
      <c r="L85">
        <v>1</v>
      </c>
      <c r="M85" t="s">
        <v>92</v>
      </c>
      <c r="N85">
        <v>0</v>
      </c>
      <c r="O85">
        <v>7</v>
      </c>
      <c r="P85">
        <v>132</v>
      </c>
      <c r="Q85">
        <v>32</v>
      </c>
      <c r="R85">
        <v>1</v>
      </c>
      <c r="S85">
        <v>16</v>
      </c>
      <c r="T85">
        <v>1</v>
      </c>
      <c r="U85">
        <v>112</v>
      </c>
      <c r="V85">
        <v>26</v>
      </c>
      <c r="W85">
        <v>0</v>
      </c>
      <c r="X85">
        <v>1</v>
      </c>
      <c r="Y85" t="s">
        <v>14</v>
      </c>
      <c r="Z85">
        <v>0</v>
      </c>
      <c r="AA85">
        <f>IF(AND(Table1[[#This Row],[Throw Out Pass Eff]]="N", Table1[[#This Row],[Against FCS Team]]="N"), ROUND(((5.45 * D85) + (150 * F85) + (100 * G85) - (300 * H85)) / E85, 2), " ")</f>
        <v>109.34</v>
      </c>
      <c r="AB85">
        <f>IF(AND(Table1[[#This Row],[Throw Out Pass Def Eff]]="N", Table1[[#This Row],[Against FCS Team]]="N"),200 - ROUND(((5.45 * P85) + (150 * R85) + (100 * S85) - (300 * T85)) / Q85, 2), " ")</f>
        <v>132.20999999999998</v>
      </c>
      <c r="AC85">
        <f>IF(AND(Table1[[#This Row],[Throw Out Rush Eff]]="N", Table1[[#This Row],[Against FCS Team]]="N"), ROUND(((23.2 * I85) + (150 * K85) - (300 * L85)) / J85, 2), " ")</f>
        <v>138.37</v>
      </c>
      <c r="AD85" s="3">
        <f>IF(AND(Table1[[#This Row],[Throw Out Rush Def Eff]]="N", Table1[[#This Row],[Against FCS Team]]="N"), 200 - ROUND(((23.2 * U85) + (150 * W85) - (300 * X85)) / V85, 2), " ")</f>
        <v>111.6</v>
      </c>
      <c r="AE85" s="3">
        <f>ROUND(Table1[[#This Row],[Opp Passing Attempts]]/(Table1[[#This Row],[Opp Passing Attempts]]+Table1[[#This Row],[Opp Rushing Attempts]]), 2)</f>
        <v>0.55000000000000004</v>
      </c>
      <c r="AF85" s="3">
        <f>1-Table1[[#This Row],[Passing Weight]]</f>
        <v>0.44999999999999996</v>
      </c>
      <c r="AG85" s="3" t="str">
        <f>IF(COUNTIF(A:A,Table1[[#This Row],[Opp Team Name]]) &gt; 0, "N", "Y")</f>
        <v>N</v>
      </c>
      <c r="AH85" s="3" t="str">
        <f>IF(Table1[[#This Row],[Passing Attempts]] &lt;15, "Y", "N")</f>
        <v>N</v>
      </c>
      <c r="AI85" s="3" t="str">
        <f>IF(Table1[[#This Row],[Rushing Attempts]] &lt; 15, "Y", "N")</f>
        <v>N</v>
      </c>
      <c r="AJ85" s="3" t="str">
        <f>IF(Table1[[#This Row],[Opp Passing Attempts]]&lt;15, "Y", "N")</f>
        <v>N</v>
      </c>
      <c r="AK85" s="3" t="str">
        <f>IF(Table1[[#This Row],[Opp Rushing Attempts]]&lt;15, "Y", "N")</f>
        <v>N</v>
      </c>
      <c r="AL8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112.11</v>
      </c>
      <c r="AM8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105.69</v>
      </c>
      <c r="AN8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98.5</v>
      </c>
      <c r="AO8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90.87</v>
      </c>
      <c r="AP85" s="3">
        <f>ABS(Table1[[#This Row],[Team Score]]-Table1[[#This Row],[Opp Team Score]])</f>
        <v>30</v>
      </c>
      <c r="AQ85" s="3">
        <f>SUM(Table1[[#This Row],[Team Score]], Table1[[#This Row],[Opp Team Score]])</f>
        <v>44</v>
      </c>
      <c r="AR8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91.519999999999982</v>
      </c>
      <c r="AS85" s="3">
        <f>IF(Table1[[#This Row],[Efficiency Difference]] = " ", " ", ROUND((Table1[[#This Row],[Winning Margin]]*100)/Table1[[#This Row],[Efficiency Difference]], 2))</f>
        <v>32.78</v>
      </c>
    </row>
    <row r="86" spans="1:45">
      <c r="A86" t="s">
        <v>98</v>
      </c>
      <c r="B86">
        <v>0</v>
      </c>
      <c r="C86">
        <v>20</v>
      </c>
      <c r="D86">
        <v>258</v>
      </c>
      <c r="E86">
        <v>38</v>
      </c>
      <c r="F86">
        <v>0</v>
      </c>
      <c r="G86">
        <v>24</v>
      </c>
      <c r="H86">
        <v>2</v>
      </c>
      <c r="I86">
        <v>117</v>
      </c>
      <c r="J86">
        <v>30</v>
      </c>
      <c r="K86">
        <v>2</v>
      </c>
      <c r="L86">
        <v>0</v>
      </c>
      <c r="M86" t="s">
        <v>86</v>
      </c>
      <c r="N86">
        <v>0</v>
      </c>
      <c r="O86">
        <v>17</v>
      </c>
      <c r="P86">
        <v>171</v>
      </c>
      <c r="Q86">
        <v>24</v>
      </c>
      <c r="R86">
        <v>2</v>
      </c>
      <c r="S86">
        <v>17</v>
      </c>
      <c r="T86">
        <v>1</v>
      </c>
      <c r="U86">
        <v>81</v>
      </c>
      <c r="V86">
        <v>27</v>
      </c>
      <c r="W86">
        <v>0</v>
      </c>
      <c r="X86">
        <v>0</v>
      </c>
      <c r="Y86" t="s">
        <v>14</v>
      </c>
      <c r="Z86">
        <v>0</v>
      </c>
      <c r="AA86">
        <f>IF(AND(Table1[[#This Row],[Throw Out Pass Eff]]="N", Table1[[#This Row],[Against FCS Team]]="N"), ROUND(((5.45 * D86) + (150 * F86) + (100 * G86) - (300 * H86)) / E86, 2), " ")</f>
        <v>84.37</v>
      </c>
      <c r="AB86">
        <f>IF(AND(Table1[[#This Row],[Throw Out Pass Def Eff]]="N", Table1[[#This Row],[Against FCS Team]]="N"),200 - ROUND(((5.45 * P86) + (150 * R86) + (100 * S86) - (300 * T86)) / Q86, 2), " ")</f>
        <v>90.34</v>
      </c>
      <c r="AC86">
        <f>IF(AND(Table1[[#This Row],[Throw Out Rush Eff]]="N", Table1[[#This Row],[Against FCS Team]]="N"), ROUND(((23.2 * I86) + (150 * K86) - (300 * L86)) / J86, 2), " ")</f>
        <v>100.48</v>
      </c>
      <c r="AD86" s="3">
        <f>IF(AND(Table1[[#This Row],[Throw Out Rush Def Eff]]="N", Table1[[#This Row],[Against FCS Team]]="N"), 200 - ROUND(((23.2 * U86) + (150 * W86) - (300 * X86)) / V86, 2), " ")</f>
        <v>130.4</v>
      </c>
      <c r="AE86" s="3">
        <f>ROUND(Table1[[#This Row],[Opp Passing Attempts]]/(Table1[[#This Row],[Opp Passing Attempts]]+Table1[[#This Row],[Opp Rushing Attempts]]), 2)</f>
        <v>0.47</v>
      </c>
      <c r="AF86" s="3">
        <f>1-Table1[[#This Row],[Passing Weight]]</f>
        <v>0.53</v>
      </c>
      <c r="AG86" s="3" t="str">
        <f>IF(COUNTIF(A:A,Table1[[#This Row],[Opp Team Name]]) &gt; 0, "N", "Y")</f>
        <v>N</v>
      </c>
      <c r="AH86" s="3" t="str">
        <f>IF(Table1[[#This Row],[Passing Attempts]] &lt;15, "Y", "N")</f>
        <v>N</v>
      </c>
      <c r="AI86" s="3" t="str">
        <f>IF(Table1[[#This Row],[Rushing Attempts]] &lt; 15, "Y", "N")</f>
        <v>N</v>
      </c>
      <c r="AJ86" s="3" t="str">
        <f>IF(Table1[[#This Row],[Opp Passing Attempts]]&lt;15, "Y", "N")</f>
        <v>N</v>
      </c>
      <c r="AK86" s="3" t="str">
        <f>IF(Table1[[#This Row],[Opp Rushing Attempts]]&lt;15, "Y", "N")</f>
        <v>N</v>
      </c>
      <c r="AL8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91.5</v>
      </c>
      <c r="AM8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82.44</v>
      </c>
      <c r="AN8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100.03</v>
      </c>
      <c r="AO8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121.58</v>
      </c>
      <c r="AP86" s="3">
        <f>ABS(Table1[[#This Row],[Team Score]]-Table1[[#This Row],[Opp Team Score]])</f>
        <v>3</v>
      </c>
      <c r="AQ86" s="3">
        <f>SUM(Table1[[#This Row],[Team Score]], Table1[[#This Row],[Opp Team Score]])</f>
        <v>37</v>
      </c>
      <c r="AR8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5.5900000000000318</v>
      </c>
      <c r="AS86" s="3">
        <f>IF(Table1[[#This Row],[Efficiency Difference]] = " ", " ", ROUND((Table1[[#This Row],[Winning Margin]]*100)/Table1[[#This Row],[Efficiency Difference]], 2))</f>
        <v>53.67</v>
      </c>
    </row>
    <row r="87" spans="1:45">
      <c r="A87" t="s">
        <v>86</v>
      </c>
      <c r="B87">
        <v>0</v>
      </c>
      <c r="C87">
        <v>17</v>
      </c>
      <c r="D87">
        <v>171</v>
      </c>
      <c r="E87">
        <v>24</v>
      </c>
      <c r="F87">
        <v>2</v>
      </c>
      <c r="G87">
        <v>17</v>
      </c>
      <c r="H87">
        <v>1</v>
      </c>
      <c r="I87">
        <v>81</v>
      </c>
      <c r="J87">
        <v>27</v>
      </c>
      <c r="K87">
        <v>0</v>
      </c>
      <c r="L87">
        <v>0</v>
      </c>
      <c r="M87" t="s">
        <v>98</v>
      </c>
      <c r="N87">
        <v>0</v>
      </c>
      <c r="O87">
        <v>20</v>
      </c>
      <c r="P87">
        <v>258</v>
      </c>
      <c r="Q87">
        <v>38</v>
      </c>
      <c r="R87">
        <v>0</v>
      </c>
      <c r="S87">
        <v>24</v>
      </c>
      <c r="T87">
        <v>2</v>
      </c>
      <c r="U87">
        <v>117</v>
      </c>
      <c r="V87">
        <v>30</v>
      </c>
      <c r="W87">
        <v>2</v>
      </c>
      <c r="X87">
        <v>0</v>
      </c>
      <c r="Y87" t="s">
        <v>15</v>
      </c>
      <c r="Z87">
        <v>0</v>
      </c>
      <c r="AA87" s="3">
        <f>IF(AND(Table1[[#This Row],[Throw Out Pass Eff]]="N", Table1[[#This Row],[Against FCS Team]]="N"), ROUND(((5.45 * D87) + (150 * F87) + (100 * G87) - (300 * H87)) / E87, 2), " ")</f>
        <v>109.66</v>
      </c>
      <c r="AB87" s="3">
        <f>IF(AND(Table1[[#This Row],[Throw Out Pass Def Eff]]="N", Table1[[#This Row],[Against FCS Team]]="N"),200 - ROUND(((5.45 * P87) + (150 * R87) + (100 * S87) - (300 * T87)) / Q87, 2), " ")</f>
        <v>115.63</v>
      </c>
      <c r="AC87" s="3">
        <f>IF(AND(Table1[[#This Row],[Throw Out Rush Eff]]="N", Table1[[#This Row],[Against FCS Team]]="N"), ROUND(((23.2 * I87) + (150 * K87) - (300 * L87)) / J87, 2), " ")</f>
        <v>69.599999999999994</v>
      </c>
      <c r="AD87" s="3">
        <f>IF(AND(Table1[[#This Row],[Throw Out Rush Def Eff]]="N", Table1[[#This Row],[Against FCS Team]]="N"), 200 - ROUND(((23.2 * U87) + (150 * W87) - (300 * X87)) / V87, 2), " ")</f>
        <v>99.52</v>
      </c>
      <c r="AE87" s="3">
        <f>ROUND(Table1[[#This Row],[Opp Passing Attempts]]/(Table1[[#This Row],[Opp Passing Attempts]]+Table1[[#This Row],[Opp Rushing Attempts]]), 2)</f>
        <v>0.56000000000000005</v>
      </c>
      <c r="AF87" s="3">
        <f>1-Table1[[#This Row],[Passing Weight]]</f>
        <v>0.43999999999999995</v>
      </c>
      <c r="AG87" s="3" t="str">
        <f>IF(COUNTIF(A:A,Table1[[#This Row],[Opp Team Name]]) &gt; 0, "N", "Y")</f>
        <v>N</v>
      </c>
      <c r="AH87" s="3" t="str">
        <f>IF(Table1[[#This Row],[Passing Attempts]] &lt;15, "Y", "N")</f>
        <v>N</v>
      </c>
      <c r="AI87" s="3" t="str">
        <f>IF(Table1[[#This Row],[Rushing Attempts]] &lt; 15, "Y", "N")</f>
        <v>N</v>
      </c>
      <c r="AJ87" s="3" t="str">
        <f>IF(Table1[[#This Row],[Opp Passing Attempts]]&lt;15, "Y", "N")</f>
        <v>N</v>
      </c>
      <c r="AK87" s="3" t="str">
        <f>IF(Table1[[#This Row],[Opp Rushing Attempts]]&lt;15, "Y", "N")</f>
        <v>N</v>
      </c>
      <c r="AL8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122.76</v>
      </c>
      <c r="AM8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113.02</v>
      </c>
      <c r="AN8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61.6</v>
      </c>
      <c r="AO8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91.62</v>
      </c>
      <c r="AP87" s="3">
        <f>ABS(Table1[[#This Row],[Team Score]]-Table1[[#This Row],[Opp Team Score]])</f>
        <v>3</v>
      </c>
      <c r="AQ87" s="3">
        <f>SUM(Table1[[#This Row],[Team Score]], Table1[[#This Row],[Opp Team Score]])</f>
        <v>37</v>
      </c>
      <c r="AR8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5.5900000000000318</v>
      </c>
      <c r="AS87" s="3">
        <f>IF(Table1[[#This Row],[Efficiency Difference]] = " ", " ", ROUND((Table1[[#This Row],[Winning Margin]]*100)/Table1[[#This Row],[Efficiency Difference]], 2))</f>
        <v>53.67</v>
      </c>
    </row>
    <row r="88" spans="1:45">
      <c r="A88" t="s">
        <v>96</v>
      </c>
      <c r="B88">
        <v>0</v>
      </c>
      <c r="C88">
        <v>16</v>
      </c>
      <c r="D88">
        <v>180</v>
      </c>
      <c r="E88">
        <v>32</v>
      </c>
      <c r="F88">
        <v>0</v>
      </c>
      <c r="G88">
        <v>22</v>
      </c>
      <c r="H88">
        <v>2</v>
      </c>
      <c r="I88">
        <v>115</v>
      </c>
      <c r="J88">
        <v>36</v>
      </c>
      <c r="K88">
        <v>1</v>
      </c>
      <c r="L88">
        <v>0</v>
      </c>
      <c r="M88" t="s">
        <v>83</v>
      </c>
      <c r="N88">
        <v>0</v>
      </c>
      <c r="O88">
        <v>13</v>
      </c>
      <c r="P88">
        <v>295</v>
      </c>
      <c r="Q88">
        <v>47</v>
      </c>
      <c r="R88">
        <v>1</v>
      </c>
      <c r="S88">
        <v>26</v>
      </c>
      <c r="T88">
        <v>1</v>
      </c>
      <c r="U88">
        <v>30</v>
      </c>
      <c r="V88">
        <v>15</v>
      </c>
      <c r="W88">
        <v>0</v>
      </c>
      <c r="X88">
        <v>2</v>
      </c>
      <c r="Y88" t="s">
        <v>14</v>
      </c>
      <c r="Z88">
        <v>0</v>
      </c>
      <c r="AA88">
        <f>IF(AND(Table1[[#This Row],[Throw Out Pass Eff]]="N", Table1[[#This Row],[Against FCS Team]]="N"), ROUND(((5.45 * D88) + (150 * F88) + (100 * G88) - (300 * H88)) / E88, 2), " ")</f>
        <v>80.66</v>
      </c>
      <c r="AB88">
        <f>IF(AND(Table1[[#This Row],[Throw Out Pass Def Eff]]="N", Table1[[#This Row],[Against FCS Team]]="N"),200 - ROUND(((5.45 * P88) + (150 * R88) + (100 * S88) - (300 * T88)) / Q88, 2), " ")</f>
        <v>113.66</v>
      </c>
      <c r="AC88">
        <f>IF(AND(Table1[[#This Row],[Throw Out Rush Eff]]="N", Table1[[#This Row],[Against FCS Team]]="N"), ROUND(((23.2 * I88) + (150 * K88) - (300 * L88)) / J88, 2), " ")</f>
        <v>78.28</v>
      </c>
      <c r="AD88" s="3">
        <f>IF(AND(Table1[[#This Row],[Throw Out Rush Def Eff]]="N", Table1[[#This Row],[Against FCS Team]]="N"), 200 - ROUND(((23.2 * U88) + (150 * W88) - (300 * X88)) / V88, 2), " ")</f>
        <v>193.6</v>
      </c>
      <c r="AE88" s="3">
        <f>ROUND(Table1[[#This Row],[Opp Passing Attempts]]/(Table1[[#This Row],[Opp Passing Attempts]]+Table1[[#This Row],[Opp Rushing Attempts]]), 2)</f>
        <v>0.76</v>
      </c>
      <c r="AF88" s="3">
        <f>1-Table1[[#This Row],[Passing Weight]]</f>
        <v>0.24</v>
      </c>
      <c r="AG88" s="3" t="str">
        <f>IF(COUNTIF(A:A,Table1[[#This Row],[Opp Team Name]]) &gt; 0, "N", "Y")</f>
        <v>N</v>
      </c>
      <c r="AH88" s="3" t="str">
        <f>IF(Table1[[#This Row],[Passing Attempts]] &lt;15, "Y", "N")</f>
        <v>N</v>
      </c>
      <c r="AI88" s="3" t="str">
        <f>IF(Table1[[#This Row],[Rushing Attempts]] &lt; 15, "Y", "N")</f>
        <v>N</v>
      </c>
      <c r="AJ88" s="3" t="str">
        <f>IF(Table1[[#This Row],[Opp Passing Attempts]]&lt;15, "Y", "N")</f>
        <v>N</v>
      </c>
      <c r="AK88" s="3" t="str">
        <f>IF(Table1[[#This Row],[Opp Rushing Attempts]]&lt;15, "Y", "N")</f>
        <v>N</v>
      </c>
      <c r="AL8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81.03</v>
      </c>
      <c r="AM8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103.19</v>
      </c>
      <c r="AN8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85.99</v>
      </c>
      <c r="AO8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174.09</v>
      </c>
      <c r="AP88" s="3">
        <f>ABS(Table1[[#This Row],[Team Score]]-Table1[[#This Row],[Opp Team Score]])</f>
        <v>3</v>
      </c>
      <c r="AQ88" s="3">
        <f>SUM(Table1[[#This Row],[Team Score]], Table1[[#This Row],[Opp Team Score]])</f>
        <v>29</v>
      </c>
      <c r="AR8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66.199999999999989</v>
      </c>
      <c r="AS88" s="3">
        <f>IF(Table1[[#This Row],[Efficiency Difference]] = " ", " ", ROUND((Table1[[#This Row],[Winning Margin]]*100)/Table1[[#This Row],[Efficiency Difference]], 2))</f>
        <v>4.53</v>
      </c>
    </row>
    <row r="89" spans="1:45">
      <c r="A89" t="s">
        <v>83</v>
      </c>
      <c r="B89">
        <v>0</v>
      </c>
      <c r="C89">
        <v>13</v>
      </c>
      <c r="D89">
        <v>295</v>
      </c>
      <c r="E89">
        <v>47</v>
      </c>
      <c r="F89">
        <v>1</v>
      </c>
      <c r="G89">
        <v>26</v>
      </c>
      <c r="H89">
        <v>1</v>
      </c>
      <c r="I89">
        <v>30</v>
      </c>
      <c r="J89">
        <v>15</v>
      </c>
      <c r="K89">
        <v>0</v>
      </c>
      <c r="L89">
        <v>2</v>
      </c>
      <c r="M89" t="s">
        <v>96</v>
      </c>
      <c r="N89">
        <v>0</v>
      </c>
      <c r="O89">
        <v>16</v>
      </c>
      <c r="P89">
        <v>180</v>
      </c>
      <c r="Q89">
        <v>32</v>
      </c>
      <c r="R89">
        <v>0</v>
      </c>
      <c r="S89">
        <v>22</v>
      </c>
      <c r="T89">
        <v>2</v>
      </c>
      <c r="U89">
        <v>115</v>
      </c>
      <c r="V89">
        <v>36</v>
      </c>
      <c r="W89">
        <v>1</v>
      </c>
      <c r="X89">
        <v>0</v>
      </c>
      <c r="Y89" t="s">
        <v>15</v>
      </c>
      <c r="Z89">
        <v>0</v>
      </c>
      <c r="AA89">
        <f>IF(AND(Table1[[#This Row],[Throw Out Pass Eff]]="N", Table1[[#This Row],[Against FCS Team]]="N"), ROUND(((5.45 * D89) + (150 * F89) + (100 * G89) - (300 * H89)) / E89, 2), " ")</f>
        <v>86.34</v>
      </c>
      <c r="AB89">
        <f>IF(AND(Table1[[#This Row],[Throw Out Pass Def Eff]]="N", Table1[[#This Row],[Against FCS Team]]="N"),200 - ROUND(((5.45 * P89) + (150 * R89) + (100 * S89) - (300 * T89)) / Q89, 2), " ")</f>
        <v>119.34</v>
      </c>
      <c r="AC89">
        <f>IF(AND(Table1[[#This Row],[Throw Out Rush Eff]]="N", Table1[[#This Row],[Against FCS Team]]="N"), ROUND(((23.2 * I89) + (150 * K89) - (300 * L89)) / J89, 2), " ")</f>
        <v>6.4</v>
      </c>
      <c r="AD89" s="3">
        <f>IF(AND(Table1[[#This Row],[Throw Out Rush Def Eff]]="N", Table1[[#This Row],[Against FCS Team]]="N"), 200 - ROUND(((23.2 * U89) + (150 * W89) - (300 * X89)) / V89, 2), " ")</f>
        <v>121.72</v>
      </c>
      <c r="AE89" s="3">
        <f>ROUND(Table1[[#This Row],[Opp Passing Attempts]]/(Table1[[#This Row],[Opp Passing Attempts]]+Table1[[#This Row],[Opp Rushing Attempts]]), 2)</f>
        <v>0.47</v>
      </c>
      <c r="AF89" s="3">
        <f>1-Table1[[#This Row],[Passing Weight]]</f>
        <v>0.53</v>
      </c>
      <c r="AG89" s="3" t="str">
        <f>IF(COUNTIF(A:A,Table1[[#This Row],[Opp Team Name]]) &gt; 0, "N", "Y")</f>
        <v>N</v>
      </c>
      <c r="AH89" s="3" t="str">
        <f>IF(Table1[[#This Row],[Passing Attempts]] &lt;15, "Y", "N")</f>
        <v>N</v>
      </c>
      <c r="AI89" s="3" t="str">
        <f>IF(Table1[[#This Row],[Rushing Attempts]] &lt; 15, "Y", "N")</f>
        <v>N</v>
      </c>
      <c r="AJ89" s="3" t="str">
        <f>IF(Table1[[#This Row],[Opp Passing Attempts]]&lt;15, "Y", "N")</f>
        <v>N</v>
      </c>
      <c r="AK89" s="3" t="str">
        <f>IF(Table1[[#This Row],[Opp Rushing Attempts]]&lt;15, "Y", "N")</f>
        <v>N</v>
      </c>
      <c r="AL8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84.17</v>
      </c>
      <c r="AM8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104.94</v>
      </c>
      <c r="AN8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7.05</v>
      </c>
      <c r="AO8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121.53</v>
      </c>
      <c r="AP89" s="3">
        <f>ABS(Table1[[#This Row],[Team Score]]-Table1[[#This Row],[Opp Team Score]])</f>
        <v>3</v>
      </c>
      <c r="AQ89" s="3">
        <f>SUM(Table1[[#This Row],[Team Score]], Table1[[#This Row],[Opp Team Score]])</f>
        <v>29</v>
      </c>
      <c r="AR8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66.199999999999989</v>
      </c>
      <c r="AS89" s="3">
        <f>IF(Table1[[#This Row],[Efficiency Difference]] = " ", " ", ROUND((Table1[[#This Row],[Winning Margin]]*100)/Table1[[#This Row],[Efficiency Difference]], 2))</f>
        <v>4.53</v>
      </c>
    </row>
    <row r="90" spans="1:45">
      <c r="A90" t="s">
        <v>82</v>
      </c>
      <c r="B90">
        <v>0</v>
      </c>
      <c r="C90">
        <v>17</v>
      </c>
      <c r="D90">
        <v>278</v>
      </c>
      <c r="E90">
        <v>37</v>
      </c>
      <c r="F90">
        <v>2</v>
      </c>
      <c r="G90">
        <v>21</v>
      </c>
      <c r="H90">
        <v>2</v>
      </c>
      <c r="I90">
        <v>13</v>
      </c>
      <c r="J90">
        <v>12</v>
      </c>
      <c r="K90">
        <v>0</v>
      </c>
      <c r="L90">
        <v>0</v>
      </c>
      <c r="M90" t="s">
        <v>80</v>
      </c>
      <c r="N90">
        <v>0</v>
      </c>
      <c r="O90">
        <v>27</v>
      </c>
      <c r="P90">
        <v>292</v>
      </c>
      <c r="Q90">
        <v>38</v>
      </c>
      <c r="R90">
        <v>3</v>
      </c>
      <c r="S90">
        <v>28</v>
      </c>
      <c r="T90">
        <v>1</v>
      </c>
      <c r="U90">
        <v>100</v>
      </c>
      <c r="V90">
        <v>29</v>
      </c>
      <c r="W90">
        <v>0</v>
      </c>
      <c r="X90">
        <v>1</v>
      </c>
      <c r="Y90" t="s">
        <v>15</v>
      </c>
      <c r="Z90">
        <v>0</v>
      </c>
      <c r="AA90">
        <f>IF(AND(Table1[[#This Row],[Throw Out Pass Eff]]="N", Table1[[#This Row],[Against FCS Team]]="N"), ROUND(((5.45 * D90) + (150 * F90) + (100 * G90) - (300 * H90)) / E90, 2), " ")</f>
        <v>89.6</v>
      </c>
      <c r="AB90">
        <f>IF(AND(Table1[[#This Row],[Throw Out Pass Def Eff]]="N", Table1[[#This Row],[Against FCS Team]]="N"),200 - ROUND(((5.45 * P90) + (150 * R90) + (100 * S90) - (300 * T90)) / Q90, 2), " ")</f>
        <v>80.489999999999995</v>
      </c>
      <c r="AC90" t="str">
        <f>IF(AND(Table1[[#This Row],[Throw Out Rush Eff]]="N", Table1[[#This Row],[Against FCS Team]]="N"), ROUND(((23.2 * I90) + (150 * K90) - (300 * L90)) / J90, 2), " ")</f>
        <v xml:space="preserve"> </v>
      </c>
      <c r="AD90" s="3">
        <f>IF(AND(Table1[[#This Row],[Throw Out Rush Def Eff]]="N", Table1[[#This Row],[Against FCS Team]]="N"), 200 - ROUND(((23.2 * U90) + (150 * W90) - (300 * X90)) / V90, 2), " ")</f>
        <v>130.34</v>
      </c>
      <c r="AE90" s="3">
        <f>ROUND(Table1[[#This Row],[Opp Passing Attempts]]/(Table1[[#This Row],[Opp Passing Attempts]]+Table1[[#This Row],[Opp Rushing Attempts]]), 2)</f>
        <v>0.56999999999999995</v>
      </c>
      <c r="AF90" s="3">
        <f>1-Table1[[#This Row],[Passing Weight]]</f>
        <v>0.43000000000000005</v>
      </c>
      <c r="AG90" s="3" t="str">
        <f>IF(COUNTIF(A:A,Table1[[#This Row],[Opp Team Name]]) &gt; 0, "N", "Y")</f>
        <v>N</v>
      </c>
      <c r="AH90" s="3" t="str">
        <f>IF(Table1[[#This Row],[Passing Attempts]] &lt;15, "Y", "N")</f>
        <v>N</v>
      </c>
      <c r="AI90" s="3" t="str">
        <f>IF(Table1[[#This Row],[Rushing Attempts]] &lt; 15, "Y", "N")</f>
        <v>Y</v>
      </c>
      <c r="AJ90" s="3" t="str">
        <f>IF(Table1[[#This Row],[Opp Passing Attempts]]&lt;15, "Y", "N")</f>
        <v>N</v>
      </c>
      <c r="AK90" s="3" t="str">
        <f>IF(Table1[[#This Row],[Opp Rushing Attempts]]&lt;15, "Y", "N")</f>
        <v>N</v>
      </c>
      <c r="AL9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98.67</v>
      </c>
      <c r="AM9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105.12</v>
      </c>
      <c r="AN90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9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113.67</v>
      </c>
      <c r="AP90" s="3">
        <f>ABS(Table1[[#This Row],[Team Score]]-Table1[[#This Row],[Opp Team Score]])</f>
        <v>10</v>
      </c>
      <c r="AQ90" s="3">
        <f>SUM(Table1[[#This Row],[Team Score]], Table1[[#This Row],[Opp Team Score]])</f>
        <v>44</v>
      </c>
      <c r="AR90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90" s="3" t="str">
        <f>IF(Table1[[#This Row],[Efficiency Difference]] = " ", " ", ROUND((Table1[[#This Row],[Winning Margin]]*100)/Table1[[#This Row],[Efficiency Difference]], 2))</f>
        <v xml:space="preserve"> </v>
      </c>
    </row>
    <row r="91" spans="1:45">
      <c r="A91" t="s">
        <v>80</v>
      </c>
      <c r="B91">
        <v>0</v>
      </c>
      <c r="C91">
        <v>27</v>
      </c>
      <c r="D91">
        <v>292</v>
      </c>
      <c r="E91">
        <v>38</v>
      </c>
      <c r="F91">
        <v>3</v>
      </c>
      <c r="G91">
        <v>28</v>
      </c>
      <c r="H91">
        <v>1</v>
      </c>
      <c r="I91">
        <v>100</v>
      </c>
      <c r="J91">
        <v>29</v>
      </c>
      <c r="K91">
        <v>0</v>
      </c>
      <c r="L91">
        <v>1</v>
      </c>
      <c r="M91" t="s">
        <v>82</v>
      </c>
      <c r="N91">
        <v>0</v>
      </c>
      <c r="O91">
        <v>17</v>
      </c>
      <c r="P91">
        <v>278</v>
      </c>
      <c r="Q91">
        <v>37</v>
      </c>
      <c r="R91">
        <v>2</v>
      </c>
      <c r="S91">
        <v>21</v>
      </c>
      <c r="T91">
        <v>2</v>
      </c>
      <c r="U91">
        <v>13</v>
      </c>
      <c r="V91">
        <v>12</v>
      </c>
      <c r="W91">
        <v>0</v>
      </c>
      <c r="X91">
        <v>0</v>
      </c>
      <c r="Y91" t="s">
        <v>14</v>
      </c>
      <c r="Z91">
        <v>0</v>
      </c>
      <c r="AA91">
        <f>IF(AND(Table1[[#This Row],[Throw Out Pass Eff]]="N", Table1[[#This Row],[Against FCS Team]]="N"), ROUND(((5.45 * D91) + (150 * F91) + (100 * G91) - (300 * H91)) / E91, 2), " ")</f>
        <v>119.51</v>
      </c>
      <c r="AB91">
        <f>IF(AND(Table1[[#This Row],[Throw Out Pass Def Eff]]="N", Table1[[#This Row],[Against FCS Team]]="N"),200 - ROUND(((5.45 * P91) + (150 * R91) + (100 * S91) - (300 * T91)) / Q91, 2), " ")</f>
        <v>110.4</v>
      </c>
      <c r="AC91">
        <f>IF(AND(Table1[[#This Row],[Throw Out Rush Eff]]="N", Table1[[#This Row],[Against FCS Team]]="N"), ROUND(((23.2 * I91) + (150 * K91) - (300 * L91)) / J91, 2), " ")</f>
        <v>69.66</v>
      </c>
      <c r="AD91" s="3" t="str">
        <f>IF(AND(Table1[[#This Row],[Throw Out Rush Def Eff]]="N", Table1[[#This Row],[Against FCS Team]]="N"), 200 - ROUND(((23.2 * U91) + (150 * W91) - (300 * X91)) / V91, 2), " ")</f>
        <v xml:space="preserve"> </v>
      </c>
      <c r="AE91" s="3">
        <f>ROUND(Table1[[#This Row],[Opp Passing Attempts]]/(Table1[[#This Row],[Opp Passing Attempts]]+Table1[[#This Row],[Opp Rushing Attempts]]), 2)</f>
        <v>0.76</v>
      </c>
      <c r="AF91" s="3">
        <f>1-Table1[[#This Row],[Passing Weight]]</f>
        <v>0.24</v>
      </c>
      <c r="AG91" s="3" t="str">
        <f>IF(COUNTIF(A:A,Table1[[#This Row],[Opp Team Name]]) &gt; 0, "N", "Y")</f>
        <v>N</v>
      </c>
      <c r="AH91" s="3" t="str">
        <f>IF(Table1[[#This Row],[Passing Attempts]] &lt;15, "Y", "N")</f>
        <v>N</v>
      </c>
      <c r="AI91" s="3" t="str">
        <f>IF(Table1[[#This Row],[Rushing Attempts]] &lt; 15, "Y", "N")</f>
        <v>N</v>
      </c>
      <c r="AJ91" s="3" t="str">
        <f>IF(Table1[[#This Row],[Opp Passing Attempts]]&lt;15, "Y", "N")</f>
        <v>N</v>
      </c>
      <c r="AK91" s="3" t="str">
        <f>IF(Table1[[#This Row],[Opp Rushing Attempts]]&lt;15, "Y", "N")</f>
        <v>Y</v>
      </c>
      <c r="AL9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117.52</v>
      </c>
      <c r="AM9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102.73</v>
      </c>
      <c r="AN9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53.68</v>
      </c>
      <c r="AO91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91" s="3">
        <f>ABS(Table1[[#This Row],[Team Score]]-Table1[[#This Row],[Opp Team Score]])</f>
        <v>10</v>
      </c>
      <c r="AQ91" s="3">
        <f>SUM(Table1[[#This Row],[Team Score]], Table1[[#This Row],[Opp Team Score]])</f>
        <v>44</v>
      </c>
      <c r="AR9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91" s="3" t="str">
        <f>IF(Table1[[#This Row],[Efficiency Difference]] = " ", " ", ROUND((Table1[[#This Row],[Winning Margin]]*100)/Table1[[#This Row],[Efficiency Difference]], 2))</f>
        <v xml:space="preserve"> </v>
      </c>
    </row>
    <row r="92" spans="1:45">
      <c r="A92" t="s">
        <v>105</v>
      </c>
      <c r="B92">
        <v>0</v>
      </c>
      <c r="C92">
        <v>13</v>
      </c>
      <c r="D92">
        <v>139</v>
      </c>
      <c r="E92">
        <v>31</v>
      </c>
      <c r="F92">
        <v>0</v>
      </c>
      <c r="G92">
        <v>18</v>
      </c>
      <c r="H92">
        <v>1</v>
      </c>
      <c r="I92">
        <v>122</v>
      </c>
      <c r="J92">
        <v>30</v>
      </c>
      <c r="K92">
        <v>1</v>
      </c>
      <c r="L92">
        <v>0</v>
      </c>
      <c r="M92" t="s">
        <v>102</v>
      </c>
      <c r="N92">
        <v>0</v>
      </c>
      <c r="O92">
        <v>10</v>
      </c>
      <c r="P92">
        <v>234</v>
      </c>
      <c r="Q92">
        <v>39</v>
      </c>
      <c r="R92">
        <v>1</v>
      </c>
      <c r="S92">
        <v>25</v>
      </c>
      <c r="T92">
        <v>2</v>
      </c>
      <c r="U92">
        <v>90</v>
      </c>
      <c r="V92">
        <v>28</v>
      </c>
      <c r="W92">
        <v>0</v>
      </c>
      <c r="X92">
        <v>0</v>
      </c>
      <c r="Y92" t="s">
        <v>14</v>
      </c>
      <c r="Z92">
        <v>0</v>
      </c>
      <c r="AA92">
        <f>IF(AND(Table1[[#This Row],[Throw Out Pass Eff]]="N", Table1[[#This Row],[Against FCS Team]]="N"), ROUND(((5.45 * D92) + (150 * F92) + (100 * G92) - (300 * H92)) / E92, 2), " ")</f>
        <v>72.819999999999993</v>
      </c>
      <c r="AB92">
        <f>IF(AND(Table1[[#This Row],[Throw Out Pass Def Eff]]="N", Table1[[#This Row],[Against FCS Team]]="N"),200 - ROUND(((5.45 * P92) + (150 * R92) + (100 * S92) - (300 * T92)) / Q92, 2), " ")</f>
        <v>114.74</v>
      </c>
      <c r="AC92">
        <f>IF(AND(Table1[[#This Row],[Throw Out Rush Eff]]="N", Table1[[#This Row],[Against FCS Team]]="N"), ROUND(((23.2 * I92) + (150 * K92) - (300 * L92)) / J92, 2), " ")</f>
        <v>99.35</v>
      </c>
      <c r="AD92" s="3">
        <f>IF(AND(Table1[[#This Row],[Throw Out Rush Def Eff]]="N", Table1[[#This Row],[Against FCS Team]]="N"), 200 - ROUND(((23.2 * U92) + (150 * W92) - (300 * X92)) / V92, 2), " ")</f>
        <v>125.43</v>
      </c>
      <c r="AE92" s="3">
        <f>ROUND(Table1[[#This Row],[Opp Passing Attempts]]/(Table1[[#This Row],[Opp Passing Attempts]]+Table1[[#This Row],[Opp Rushing Attempts]]), 2)</f>
        <v>0.57999999999999996</v>
      </c>
      <c r="AF92" s="3">
        <f>1-Table1[[#This Row],[Passing Weight]]</f>
        <v>0.42000000000000004</v>
      </c>
      <c r="AG92" s="3" t="str">
        <f>IF(COUNTIF(A:A,Table1[[#This Row],[Opp Team Name]]) &gt; 0, "N", "Y")</f>
        <v>N</v>
      </c>
      <c r="AH92" s="3" t="str">
        <f>IF(Table1[[#This Row],[Passing Attempts]] &lt;15, "Y", "N")</f>
        <v>N</v>
      </c>
      <c r="AI92" s="3" t="str">
        <f>IF(Table1[[#This Row],[Rushing Attempts]] &lt; 15, "Y", "N")</f>
        <v>N</v>
      </c>
      <c r="AJ92" s="3" t="str">
        <f>IF(Table1[[#This Row],[Opp Passing Attempts]]&lt;15, "Y", "N")</f>
        <v>N</v>
      </c>
      <c r="AK92" s="3" t="str">
        <f>IF(Table1[[#This Row],[Opp Rushing Attempts]]&lt;15, "Y", "N")</f>
        <v>N</v>
      </c>
      <c r="AL9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70.69</v>
      </c>
      <c r="AM9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105.71</v>
      </c>
      <c r="AN9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113.66</v>
      </c>
      <c r="AO9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120.68</v>
      </c>
      <c r="AP92" s="3">
        <f>ABS(Table1[[#This Row],[Team Score]]-Table1[[#This Row],[Opp Team Score]])</f>
        <v>3</v>
      </c>
      <c r="AQ92" s="3">
        <f>SUM(Table1[[#This Row],[Team Score]], Table1[[#This Row],[Opp Team Score]])</f>
        <v>23</v>
      </c>
      <c r="AR9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12.340000000000003</v>
      </c>
      <c r="AS92" s="3">
        <f>IF(Table1[[#This Row],[Efficiency Difference]] = " ", " ", ROUND((Table1[[#This Row],[Winning Margin]]*100)/Table1[[#This Row],[Efficiency Difference]], 2))</f>
        <v>24.31</v>
      </c>
    </row>
    <row r="93" spans="1:45">
      <c r="A93" t="s">
        <v>102</v>
      </c>
      <c r="B93">
        <v>0</v>
      </c>
      <c r="C93">
        <v>10</v>
      </c>
      <c r="D93">
        <v>234</v>
      </c>
      <c r="E93">
        <v>39</v>
      </c>
      <c r="F93">
        <v>1</v>
      </c>
      <c r="G93">
        <v>25</v>
      </c>
      <c r="H93">
        <v>2</v>
      </c>
      <c r="I93">
        <v>90</v>
      </c>
      <c r="J93">
        <v>28</v>
      </c>
      <c r="K93">
        <v>0</v>
      </c>
      <c r="L93">
        <v>0</v>
      </c>
      <c r="M93" t="s">
        <v>105</v>
      </c>
      <c r="N93">
        <v>0</v>
      </c>
      <c r="O93">
        <v>13</v>
      </c>
      <c r="P93">
        <v>139</v>
      </c>
      <c r="Q93">
        <v>31</v>
      </c>
      <c r="R93">
        <v>0</v>
      </c>
      <c r="S93">
        <v>18</v>
      </c>
      <c r="T93">
        <v>1</v>
      </c>
      <c r="U93">
        <v>122</v>
      </c>
      <c r="V93">
        <v>30</v>
      </c>
      <c r="W93">
        <v>1</v>
      </c>
      <c r="X93">
        <v>0</v>
      </c>
      <c r="Y93" t="s">
        <v>15</v>
      </c>
      <c r="Z93">
        <v>0</v>
      </c>
      <c r="AA93">
        <f>IF(AND(Table1[[#This Row],[Throw Out Pass Eff]]="N", Table1[[#This Row],[Against FCS Team]]="N"), ROUND(((5.45 * D93) + (150 * F93) + (100 * G93) - (300 * H93)) / E93, 2), " ")</f>
        <v>85.26</v>
      </c>
      <c r="AB93">
        <f>IF(AND(Table1[[#This Row],[Throw Out Pass Def Eff]]="N", Table1[[#This Row],[Against FCS Team]]="N"),200 - ROUND(((5.45 * P93) + (150 * R93) + (100 * S93) - (300 * T93)) / Q93, 2), " ")</f>
        <v>127.18</v>
      </c>
      <c r="AC93">
        <f>IF(AND(Table1[[#This Row],[Throw Out Rush Eff]]="N", Table1[[#This Row],[Against FCS Team]]="N"), ROUND(((23.2 * I93) + (150 * K93) - (300 * L93)) / J93, 2), " ")</f>
        <v>74.569999999999993</v>
      </c>
      <c r="AD93" s="3">
        <f>IF(AND(Table1[[#This Row],[Throw Out Rush Def Eff]]="N", Table1[[#This Row],[Against FCS Team]]="N"), 200 - ROUND(((23.2 * U93) + (150 * W93) - (300 * X93)) / V93, 2), " ")</f>
        <v>100.65</v>
      </c>
      <c r="AE93" s="3">
        <f>ROUND(Table1[[#This Row],[Opp Passing Attempts]]/(Table1[[#This Row],[Opp Passing Attempts]]+Table1[[#This Row],[Opp Rushing Attempts]]), 2)</f>
        <v>0.51</v>
      </c>
      <c r="AF93" s="3">
        <f>1-Table1[[#This Row],[Passing Weight]]</f>
        <v>0.49</v>
      </c>
      <c r="AG93" s="3" t="str">
        <f>IF(COUNTIF(A:A,Table1[[#This Row],[Opp Team Name]]) &gt; 0, "N", "Y")</f>
        <v>N</v>
      </c>
      <c r="AH93" s="3" t="str">
        <f>IF(Table1[[#This Row],[Passing Attempts]] &lt;15, "Y", "N")</f>
        <v>N</v>
      </c>
      <c r="AI93" s="3" t="str">
        <f>IF(Table1[[#This Row],[Rushing Attempts]] &lt; 15, "Y", "N")</f>
        <v>N</v>
      </c>
      <c r="AJ93" s="3" t="str">
        <f>IF(Table1[[#This Row],[Opp Passing Attempts]]&lt;15, "Y", "N")</f>
        <v>N</v>
      </c>
      <c r="AK93" s="3" t="str">
        <f>IF(Table1[[#This Row],[Opp Rushing Attempts]]&lt;15, "Y", "N")</f>
        <v>N</v>
      </c>
      <c r="AL9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83.62</v>
      </c>
      <c r="AM9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105.46</v>
      </c>
      <c r="AN9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95.61</v>
      </c>
      <c r="AO9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82.91</v>
      </c>
      <c r="AP93" s="3">
        <f>ABS(Table1[[#This Row],[Team Score]]-Table1[[#This Row],[Opp Team Score]])</f>
        <v>3</v>
      </c>
      <c r="AQ93" s="3">
        <f>SUM(Table1[[#This Row],[Team Score]], Table1[[#This Row],[Opp Team Score]])</f>
        <v>23</v>
      </c>
      <c r="AR9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12.340000000000003</v>
      </c>
      <c r="AS93" s="3">
        <f>IF(Table1[[#This Row],[Efficiency Difference]] = " ", " ", ROUND((Table1[[#This Row],[Winning Margin]]*100)/Table1[[#This Row],[Efficiency Difference]], 2))</f>
        <v>24.31</v>
      </c>
    </row>
    <row r="94" spans="1:45">
      <c r="A94" t="s">
        <v>85</v>
      </c>
      <c r="B94">
        <v>0</v>
      </c>
      <c r="C94">
        <v>20</v>
      </c>
      <c r="D94">
        <v>144</v>
      </c>
      <c r="E94">
        <v>40</v>
      </c>
      <c r="F94">
        <v>0</v>
      </c>
      <c r="G94">
        <v>18</v>
      </c>
      <c r="H94">
        <v>0</v>
      </c>
      <c r="I94">
        <v>97</v>
      </c>
      <c r="J94">
        <v>21</v>
      </c>
      <c r="K94">
        <v>1</v>
      </c>
      <c r="L94">
        <v>1</v>
      </c>
      <c r="M94" t="s">
        <v>95</v>
      </c>
      <c r="N94">
        <v>0</v>
      </c>
      <c r="O94">
        <v>23</v>
      </c>
      <c r="P94">
        <v>341</v>
      </c>
      <c r="Q94">
        <v>37</v>
      </c>
      <c r="R94">
        <v>1</v>
      </c>
      <c r="S94">
        <v>25</v>
      </c>
      <c r="T94">
        <v>1</v>
      </c>
      <c r="U94">
        <v>67</v>
      </c>
      <c r="V94">
        <v>28</v>
      </c>
      <c r="W94">
        <v>0</v>
      </c>
      <c r="X94">
        <v>2</v>
      </c>
      <c r="Y94" t="s">
        <v>15</v>
      </c>
      <c r="Z94">
        <v>0</v>
      </c>
      <c r="AA94" s="3">
        <f>IF(AND(Table1[[#This Row],[Throw Out Pass Eff]]="N", Table1[[#This Row],[Against FCS Team]]="N"), ROUND(((5.45 * D94) + (150 * F94) + (100 * G94) - (300 * H94)) / E94, 2), " ")</f>
        <v>64.62</v>
      </c>
      <c r="AB94" s="3">
        <f>IF(AND(Table1[[#This Row],[Throw Out Pass Def Eff]]="N", Table1[[#This Row],[Against FCS Team]]="N"),200 - ROUND(((5.45 * P94) + (150 * R94) + (100 * S94) - (300 * T94)) / Q94, 2), " ")</f>
        <v>86.26</v>
      </c>
      <c r="AC94" s="3">
        <f>IF(AND(Table1[[#This Row],[Throw Out Rush Eff]]="N", Table1[[#This Row],[Against FCS Team]]="N"), ROUND(((23.2 * I94) + (150 * K94) - (300 * L94)) / J94, 2), " ")</f>
        <v>100.02</v>
      </c>
      <c r="AD94" s="3">
        <f>IF(AND(Table1[[#This Row],[Throw Out Rush Def Eff]]="N", Table1[[#This Row],[Against FCS Team]]="N"), 200 - ROUND(((23.2 * U94) + (150 * W94) - (300 * X94)) / V94, 2), " ")</f>
        <v>165.91</v>
      </c>
      <c r="AE94" s="3">
        <f>ROUND(Table1[[#This Row],[Opp Passing Attempts]]/(Table1[[#This Row],[Opp Passing Attempts]]+Table1[[#This Row],[Opp Rushing Attempts]]), 2)</f>
        <v>0.56999999999999995</v>
      </c>
      <c r="AF94" s="3">
        <f>1-Table1[[#This Row],[Passing Weight]]</f>
        <v>0.43000000000000005</v>
      </c>
      <c r="AG94" s="3" t="str">
        <f>IF(COUNTIF(A:A,Table1[[#This Row],[Opp Team Name]]) &gt; 0, "N", "Y")</f>
        <v>N</v>
      </c>
      <c r="AH94" s="3" t="str">
        <f>IF(Table1[[#This Row],[Passing Attempts]] &lt;15, "Y", "N")</f>
        <v>N</v>
      </c>
      <c r="AI94" s="3" t="str">
        <f>IF(Table1[[#This Row],[Rushing Attempts]] &lt; 15, "Y", "N")</f>
        <v>N</v>
      </c>
      <c r="AJ94" s="3" t="str">
        <f>IF(Table1[[#This Row],[Opp Passing Attempts]]&lt;15, "Y", "N")</f>
        <v>N</v>
      </c>
      <c r="AK94" s="3" t="str">
        <f>IF(Table1[[#This Row],[Opp Rushing Attempts]]&lt;15, "Y", "N")</f>
        <v>N</v>
      </c>
      <c r="AL9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71.31</v>
      </c>
      <c r="AM9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91.59</v>
      </c>
      <c r="AN9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91.86</v>
      </c>
      <c r="AO9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148.01</v>
      </c>
      <c r="AP94" s="3">
        <f>ABS(Table1[[#This Row],[Team Score]]-Table1[[#This Row],[Opp Team Score]])</f>
        <v>3</v>
      </c>
      <c r="AQ94" s="3">
        <f>SUM(Table1[[#This Row],[Team Score]], Table1[[#This Row],[Opp Team Score]])</f>
        <v>43</v>
      </c>
      <c r="AR9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16.810000000000002</v>
      </c>
      <c r="AS94" s="3">
        <f>IF(Table1[[#This Row],[Efficiency Difference]] = " ", " ", ROUND((Table1[[#This Row],[Winning Margin]]*100)/Table1[[#This Row],[Efficiency Difference]], 2))</f>
        <v>17.850000000000001</v>
      </c>
    </row>
    <row r="95" spans="1:45">
      <c r="A95" t="s">
        <v>95</v>
      </c>
      <c r="B95">
        <v>0</v>
      </c>
      <c r="C95">
        <v>23</v>
      </c>
      <c r="D95">
        <v>341</v>
      </c>
      <c r="E95">
        <v>37</v>
      </c>
      <c r="F95">
        <v>1</v>
      </c>
      <c r="G95">
        <v>25</v>
      </c>
      <c r="H95">
        <v>1</v>
      </c>
      <c r="I95">
        <v>67</v>
      </c>
      <c r="J95">
        <v>28</v>
      </c>
      <c r="K95">
        <v>0</v>
      </c>
      <c r="L95">
        <v>2</v>
      </c>
      <c r="M95" t="s">
        <v>85</v>
      </c>
      <c r="N95">
        <v>0</v>
      </c>
      <c r="O95">
        <v>20</v>
      </c>
      <c r="P95">
        <v>144</v>
      </c>
      <c r="Q95">
        <v>40</v>
      </c>
      <c r="R95">
        <v>0</v>
      </c>
      <c r="S95">
        <v>18</v>
      </c>
      <c r="T95">
        <v>0</v>
      </c>
      <c r="U95">
        <v>97</v>
      </c>
      <c r="V95">
        <v>21</v>
      </c>
      <c r="W95">
        <v>1</v>
      </c>
      <c r="X95">
        <v>1</v>
      </c>
      <c r="Y95" t="s">
        <v>14</v>
      </c>
      <c r="Z95">
        <v>0</v>
      </c>
      <c r="AA95">
        <f>IF(AND(Table1[[#This Row],[Throw Out Pass Eff]]="N", Table1[[#This Row],[Against FCS Team]]="N"), ROUND(((5.45 * D95) + (150 * F95) + (100 * G95) - (300 * H95)) / E95, 2), " ")</f>
        <v>113.74</v>
      </c>
      <c r="AB95">
        <f>IF(AND(Table1[[#This Row],[Throw Out Pass Def Eff]]="N", Table1[[#This Row],[Against FCS Team]]="N"),200 - ROUND(((5.45 * P95) + (150 * R95) + (100 * S95) - (300 * T95)) / Q95, 2), " ")</f>
        <v>135.38</v>
      </c>
      <c r="AC95">
        <f>IF(AND(Table1[[#This Row],[Throw Out Rush Eff]]="N", Table1[[#This Row],[Against FCS Team]]="N"), ROUND(((23.2 * I95) + (150 * K95) - (300 * L95)) / J95, 2), " ")</f>
        <v>34.090000000000003</v>
      </c>
      <c r="AD95" s="3">
        <f>IF(AND(Table1[[#This Row],[Throw Out Rush Def Eff]]="N", Table1[[#This Row],[Against FCS Team]]="N"), 200 - ROUND(((23.2 * U95) + (150 * W95) - (300 * X95)) / V95, 2), " ")</f>
        <v>99.98</v>
      </c>
      <c r="AE95" s="3">
        <f>ROUND(Table1[[#This Row],[Opp Passing Attempts]]/(Table1[[#This Row],[Opp Passing Attempts]]+Table1[[#This Row],[Opp Rushing Attempts]]), 2)</f>
        <v>0.66</v>
      </c>
      <c r="AF95" s="3">
        <f>1-Table1[[#This Row],[Passing Weight]]</f>
        <v>0.33999999999999997</v>
      </c>
      <c r="AG95" s="3" t="str">
        <f>IF(COUNTIF(A:A,Table1[[#This Row],[Opp Team Name]]) &gt; 0, "N", "Y")</f>
        <v>N</v>
      </c>
      <c r="AH95" s="3" t="str">
        <f>IF(Table1[[#This Row],[Passing Attempts]] &lt;15, "Y", "N")</f>
        <v>N</v>
      </c>
      <c r="AI95" s="3" t="str">
        <f>IF(Table1[[#This Row],[Rushing Attempts]] &lt; 15, "Y", "N")</f>
        <v>N</v>
      </c>
      <c r="AJ95" s="3" t="str">
        <f>IF(Table1[[#This Row],[Opp Passing Attempts]]&lt;15, "Y", "N")</f>
        <v>N</v>
      </c>
      <c r="AK95" s="3" t="str">
        <f>IF(Table1[[#This Row],[Opp Rushing Attempts]]&lt;15, "Y", "N")</f>
        <v>N</v>
      </c>
      <c r="AL9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88.61</v>
      </c>
      <c r="AM9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116.41</v>
      </c>
      <c r="AN9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35.130000000000003</v>
      </c>
      <c r="AO9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84.11</v>
      </c>
      <c r="AP95" s="3">
        <f>ABS(Table1[[#This Row],[Team Score]]-Table1[[#This Row],[Opp Team Score]])</f>
        <v>3</v>
      </c>
      <c r="AQ95" s="3">
        <f>SUM(Table1[[#This Row],[Team Score]], Table1[[#This Row],[Opp Team Score]])</f>
        <v>43</v>
      </c>
      <c r="AR9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16.810000000000002</v>
      </c>
      <c r="AS95" s="3">
        <f>IF(Table1[[#This Row],[Efficiency Difference]] = " ", " ", ROUND((Table1[[#This Row],[Winning Margin]]*100)/Table1[[#This Row],[Efficiency Difference]], 2))</f>
        <v>17.850000000000001</v>
      </c>
    </row>
    <row r="96" spans="1:45">
      <c r="A96" t="s">
        <v>107</v>
      </c>
      <c r="B96">
        <v>0</v>
      </c>
      <c r="C96">
        <v>18</v>
      </c>
      <c r="D96">
        <v>250</v>
      </c>
      <c r="E96">
        <v>36</v>
      </c>
      <c r="F96">
        <v>0</v>
      </c>
      <c r="G96">
        <v>22</v>
      </c>
      <c r="H96">
        <v>1</v>
      </c>
      <c r="I96">
        <v>125</v>
      </c>
      <c r="J96">
        <v>26</v>
      </c>
      <c r="K96">
        <v>0</v>
      </c>
      <c r="L96">
        <v>1</v>
      </c>
      <c r="M96" t="s">
        <v>100</v>
      </c>
      <c r="N96">
        <v>0</v>
      </c>
      <c r="O96">
        <v>16</v>
      </c>
      <c r="P96">
        <v>233</v>
      </c>
      <c r="Q96">
        <v>37</v>
      </c>
      <c r="R96">
        <v>1</v>
      </c>
      <c r="S96">
        <v>22</v>
      </c>
      <c r="T96">
        <v>1</v>
      </c>
      <c r="U96">
        <v>65</v>
      </c>
      <c r="V96">
        <v>22</v>
      </c>
      <c r="W96">
        <v>0</v>
      </c>
      <c r="X96">
        <v>1</v>
      </c>
      <c r="Y96" t="s">
        <v>14</v>
      </c>
      <c r="Z96">
        <v>0</v>
      </c>
      <c r="AA96">
        <f>IF(AND(Table1[[#This Row],[Throw Out Pass Eff]]="N", Table1[[#This Row],[Against FCS Team]]="N"), ROUND(((5.45 * D96) + (150 * F96) + (100 * G96) - (300 * H96)) / E96, 2), " ")</f>
        <v>90.63</v>
      </c>
      <c r="AB96">
        <f>IF(AND(Table1[[#This Row],[Throw Out Pass Def Eff]]="N", Table1[[#This Row],[Against FCS Team]]="N"),200 - ROUND(((5.45 * P96) + (150 * R96) + (100 * S96) - (300 * T96)) / Q96, 2), " ")</f>
        <v>110.27</v>
      </c>
      <c r="AC96">
        <f>IF(AND(Table1[[#This Row],[Throw Out Rush Eff]]="N", Table1[[#This Row],[Against FCS Team]]="N"), ROUND(((23.2 * I96) + (150 * K96) - (300 * L96)) / J96, 2), " ")</f>
        <v>100</v>
      </c>
      <c r="AD96" s="3">
        <f>IF(AND(Table1[[#This Row],[Throw Out Rush Def Eff]]="N", Table1[[#This Row],[Against FCS Team]]="N"), 200 - ROUND(((23.2 * U96) + (150 * W96) - (300 * X96)) / V96, 2), " ")</f>
        <v>145.09</v>
      </c>
      <c r="AE96" s="3">
        <f>ROUND(Table1[[#This Row],[Opp Passing Attempts]]/(Table1[[#This Row],[Opp Passing Attempts]]+Table1[[#This Row],[Opp Rushing Attempts]]), 2)</f>
        <v>0.63</v>
      </c>
      <c r="AF96" s="3">
        <f>1-Table1[[#This Row],[Passing Weight]]</f>
        <v>0.37</v>
      </c>
      <c r="AG96" s="3" t="str">
        <f>IF(COUNTIF(A:A,Table1[[#This Row],[Opp Team Name]]) &gt; 0, "N", "Y")</f>
        <v>N</v>
      </c>
      <c r="AH96" s="3" t="str">
        <f>IF(Table1[[#This Row],[Passing Attempts]] &lt;15, "Y", "N")</f>
        <v>N</v>
      </c>
      <c r="AI96" s="3" t="str">
        <f>IF(Table1[[#This Row],[Rushing Attempts]] &lt; 15, "Y", "N")</f>
        <v>N</v>
      </c>
      <c r="AJ96" s="3" t="str">
        <f>IF(Table1[[#This Row],[Opp Passing Attempts]]&lt;15, "Y", "N")</f>
        <v>N</v>
      </c>
      <c r="AK96" s="3" t="str">
        <f>IF(Table1[[#This Row],[Opp Rushing Attempts]]&lt;15, "Y", "N")</f>
        <v>N</v>
      </c>
      <c r="AL9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96.03</v>
      </c>
      <c r="AM9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91.02</v>
      </c>
      <c r="AN9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96.9</v>
      </c>
      <c r="AO9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121.83</v>
      </c>
      <c r="AP96" s="3">
        <f>ABS(Table1[[#This Row],[Team Score]]-Table1[[#This Row],[Opp Team Score]])</f>
        <v>2</v>
      </c>
      <c r="AQ96" s="3">
        <f>SUM(Table1[[#This Row],[Team Score]], Table1[[#This Row],[Opp Team Score]])</f>
        <v>34</v>
      </c>
      <c r="AR9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45.990000000000009</v>
      </c>
      <c r="AS96" s="3">
        <f>IF(Table1[[#This Row],[Efficiency Difference]] = " ", " ", ROUND((Table1[[#This Row],[Winning Margin]]*100)/Table1[[#This Row],[Efficiency Difference]], 2))</f>
        <v>4.3499999999999996</v>
      </c>
    </row>
    <row r="97" spans="1:45">
      <c r="A97" t="s">
        <v>100</v>
      </c>
      <c r="B97">
        <v>0</v>
      </c>
      <c r="C97">
        <v>16</v>
      </c>
      <c r="D97">
        <v>233</v>
      </c>
      <c r="E97">
        <v>37</v>
      </c>
      <c r="F97">
        <v>1</v>
      </c>
      <c r="G97">
        <v>22</v>
      </c>
      <c r="H97">
        <v>1</v>
      </c>
      <c r="I97">
        <v>65</v>
      </c>
      <c r="J97">
        <v>22</v>
      </c>
      <c r="K97">
        <v>0</v>
      </c>
      <c r="L97">
        <v>1</v>
      </c>
      <c r="M97" t="s">
        <v>107</v>
      </c>
      <c r="N97">
        <v>0</v>
      </c>
      <c r="O97">
        <v>18</v>
      </c>
      <c r="P97">
        <v>250</v>
      </c>
      <c r="Q97">
        <v>36</v>
      </c>
      <c r="R97">
        <v>0</v>
      </c>
      <c r="S97">
        <v>22</v>
      </c>
      <c r="T97">
        <v>1</v>
      </c>
      <c r="U97">
        <v>125</v>
      </c>
      <c r="V97">
        <v>26</v>
      </c>
      <c r="W97">
        <v>0</v>
      </c>
      <c r="X97">
        <v>1</v>
      </c>
      <c r="Y97" t="s">
        <v>15</v>
      </c>
      <c r="Z97">
        <v>0</v>
      </c>
      <c r="AA97">
        <f>IF(AND(Table1[[#This Row],[Throw Out Pass Eff]]="N", Table1[[#This Row],[Against FCS Team]]="N"), ROUND(((5.45 * D97) + (150 * F97) + (100 * G97) - (300 * H97)) / E97, 2), " ")</f>
        <v>89.73</v>
      </c>
      <c r="AB97">
        <f>IF(AND(Table1[[#This Row],[Throw Out Pass Def Eff]]="N", Table1[[#This Row],[Against FCS Team]]="N"),200 - ROUND(((5.45 * P97) + (150 * R97) + (100 * S97) - (300 * T97)) / Q97, 2), " ")</f>
        <v>109.37</v>
      </c>
      <c r="AC97">
        <f>IF(AND(Table1[[#This Row],[Throw Out Rush Eff]]="N", Table1[[#This Row],[Against FCS Team]]="N"), ROUND(((23.2 * I97) + (150 * K97) - (300 * L97)) / J97, 2), " ")</f>
        <v>54.91</v>
      </c>
      <c r="AD97" s="3">
        <f>IF(AND(Table1[[#This Row],[Throw Out Rush Def Eff]]="N", Table1[[#This Row],[Against FCS Team]]="N"), 200 - ROUND(((23.2 * U97) + (150 * W97) - (300 * X97)) / V97, 2), " ")</f>
        <v>100</v>
      </c>
      <c r="AE97" s="3">
        <f>ROUND(Table1[[#This Row],[Opp Passing Attempts]]/(Table1[[#This Row],[Opp Passing Attempts]]+Table1[[#This Row],[Opp Rushing Attempts]]), 2)</f>
        <v>0.57999999999999996</v>
      </c>
      <c r="AF97" s="3">
        <f>1-Table1[[#This Row],[Passing Weight]]</f>
        <v>0.42000000000000004</v>
      </c>
      <c r="AG97" s="3" t="str">
        <f>IF(COUNTIF(A:A,Table1[[#This Row],[Opp Team Name]]) &gt; 0, "N", "Y")</f>
        <v>N</v>
      </c>
      <c r="AH97" s="3" t="str">
        <f>IF(Table1[[#This Row],[Passing Attempts]] &lt;15, "Y", "N")</f>
        <v>N</v>
      </c>
      <c r="AI97" s="3" t="str">
        <f>IF(Table1[[#This Row],[Rushing Attempts]] &lt; 15, "Y", "N")</f>
        <v>N</v>
      </c>
      <c r="AJ97" s="3" t="str">
        <f>IF(Table1[[#This Row],[Opp Passing Attempts]]&lt;15, "Y", "N")</f>
        <v>N</v>
      </c>
      <c r="AK97" s="3" t="str">
        <f>IF(Table1[[#This Row],[Opp Rushing Attempts]]&lt;15, "Y", "N")</f>
        <v>N</v>
      </c>
      <c r="AL9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98.42</v>
      </c>
      <c r="AM9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113.41</v>
      </c>
      <c r="AN9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72.75</v>
      </c>
      <c r="AO9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91.15</v>
      </c>
      <c r="AP97" s="3">
        <f>ABS(Table1[[#This Row],[Team Score]]-Table1[[#This Row],[Opp Team Score]])</f>
        <v>2</v>
      </c>
      <c r="AQ97" s="3">
        <f>SUM(Table1[[#This Row],[Team Score]], Table1[[#This Row],[Opp Team Score]])</f>
        <v>34</v>
      </c>
      <c r="AR9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45.990000000000009</v>
      </c>
      <c r="AS97" s="3">
        <f>IF(Table1[[#This Row],[Efficiency Difference]] = " ", " ", ROUND((Table1[[#This Row],[Winning Margin]]*100)/Table1[[#This Row],[Efficiency Difference]], 2))</f>
        <v>4.3499999999999996</v>
      </c>
    </row>
    <row r="98" spans="1:45">
      <c r="A98" t="s">
        <v>107</v>
      </c>
      <c r="B98">
        <v>0</v>
      </c>
      <c r="C98">
        <v>30</v>
      </c>
      <c r="D98">
        <v>321</v>
      </c>
      <c r="E98">
        <v>47</v>
      </c>
      <c r="F98">
        <v>3</v>
      </c>
      <c r="G98">
        <v>34</v>
      </c>
      <c r="H98">
        <v>3</v>
      </c>
      <c r="I98">
        <v>113</v>
      </c>
      <c r="J98">
        <v>27</v>
      </c>
      <c r="K98">
        <v>0</v>
      </c>
      <c r="L98">
        <v>0</v>
      </c>
      <c r="M98" t="s">
        <v>97</v>
      </c>
      <c r="N98">
        <v>0</v>
      </c>
      <c r="O98">
        <v>34</v>
      </c>
      <c r="P98">
        <v>240</v>
      </c>
      <c r="Q98">
        <v>43</v>
      </c>
      <c r="R98">
        <v>2</v>
      </c>
      <c r="S98">
        <v>21</v>
      </c>
      <c r="T98">
        <v>1</v>
      </c>
      <c r="U98">
        <v>63</v>
      </c>
      <c r="V98">
        <v>17</v>
      </c>
      <c r="W98">
        <v>0</v>
      </c>
      <c r="X98">
        <v>0</v>
      </c>
      <c r="Y98" t="s">
        <v>15</v>
      </c>
      <c r="Z98">
        <v>0</v>
      </c>
      <c r="AA98">
        <f>IF(AND(Table1[[#This Row],[Throw Out Pass Eff]]="N", Table1[[#This Row],[Against FCS Team]]="N"), ROUND(((5.45 * D98) + (150 * F98) + (100 * G98) - (300 * H98)) / E98, 2), " ")</f>
        <v>99.99</v>
      </c>
      <c r="AB98">
        <f>IF(AND(Table1[[#This Row],[Throw Out Pass Def Eff]]="N", Table1[[#This Row],[Against FCS Team]]="N"),200 - ROUND(((5.45 * P98) + (150 * R98) + (100 * S98) - (300 * T98)) / Q98, 2), " ")</f>
        <v>120.74</v>
      </c>
      <c r="AC98">
        <f>IF(AND(Table1[[#This Row],[Throw Out Rush Eff]]="N", Table1[[#This Row],[Against FCS Team]]="N"), ROUND(((23.2 * I98) + (150 * K98) - (300 * L98)) / J98, 2), " ")</f>
        <v>97.1</v>
      </c>
      <c r="AD98" s="3">
        <f>IF(AND(Table1[[#This Row],[Throw Out Rush Def Eff]]="N", Table1[[#This Row],[Against FCS Team]]="N"), 200 - ROUND(((23.2 * U98) + (150 * W98) - (300 * X98)) / V98, 2), " ")</f>
        <v>114.02</v>
      </c>
      <c r="AE98" s="3">
        <f>ROUND(Table1[[#This Row],[Opp Passing Attempts]]/(Table1[[#This Row],[Opp Passing Attempts]]+Table1[[#This Row],[Opp Rushing Attempts]]), 2)</f>
        <v>0.72</v>
      </c>
      <c r="AF98" s="3">
        <f>1-Table1[[#This Row],[Passing Weight]]</f>
        <v>0.28000000000000003</v>
      </c>
      <c r="AG98" s="3" t="str">
        <f>IF(COUNTIF(A:A,Table1[[#This Row],[Opp Team Name]]) &gt; 0, "N", "Y")</f>
        <v>N</v>
      </c>
      <c r="AH98" s="3" t="str">
        <f>IF(Table1[[#This Row],[Passing Attempts]] &lt;15, "Y", "N")</f>
        <v>N</v>
      </c>
      <c r="AI98" s="3" t="str">
        <f>IF(Table1[[#This Row],[Rushing Attempts]] &lt; 15, "Y", "N")</f>
        <v>N</v>
      </c>
      <c r="AJ98" s="3" t="str">
        <f>IF(Table1[[#This Row],[Opp Passing Attempts]]&lt;15, "Y", "N")</f>
        <v>N</v>
      </c>
      <c r="AK98" s="3" t="str">
        <f>IF(Table1[[#This Row],[Opp Rushing Attempts]]&lt;15, "Y", "N")</f>
        <v>N</v>
      </c>
      <c r="AL9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115.4</v>
      </c>
      <c r="AM9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124.12</v>
      </c>
      <c r="AN9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88.66</v>
      </c>
      <c r="AO9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110.91</v>
      </c>
      <c r="AP98" s="3">
        <f>ABS(Table1[[#This Row],[Team Score]]-Table1[[#This Row],[Opp Team Score]])</f>
        <v>4</v>
      </c>
      <c r="AQ98" s="3">
        <f>SUM(Table1[[#This Row],[Team Score]], Table1[[#This Row],[Opp Team Score]])</f>
        <v>64</v>
      </c>
      <c r="AR9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31.849999999999966</v>
      </c>
      <c r="AS98" s="3">
        <f>IF(Table1[[#This Row],[Efficiency Difference]] = " ", " ", ROUND((Table1[[#This Row],[Winning Margin]]*100)/Table1[[#This Row],[Efficiency Difference]], 2))</f>
        <v>12.56</v>
      </c>
    </row>
    <row r="99" spans="1:45">
      <c r="A99" t="s">
        <v>97</v>
      </c>
      <c r="B99">
        <v>0</v>
      </c>
      <c r="C99">
        <v>34</v>
      </c>
      <c r="D99">
        <v>240</v>
      </c>
      <c r="E99">
        <v>43</v>
      </c>
      <c r="F99">
        <v>2</v>
      </c>
      <c r="G99">
        <v>21</v>
      </c>
      <c r="H99">
        <v>1</v>
      </c>
      <c r="I99">
        <v>63</v>
      </c>
      <c r="J99">
        <v>17</v>
      </c>
      <c r="K99">
        <v>0</v>
      </c>
      <c r="L99">
        <v>0</v>
      </c>
      <c r="M99" t="s">
        <v>107</v>
      </c>
      <c r="N99">
        <v>0</v>
      </c>
      <c r="O99">
        <v>30</v>
      </c>
      <c r="P99">
        <v>321</v>
      </c>
      <c r="Q99">
        <v>47</v>
      </c>
      <c r="R99">
        <v>3</v>
      </c>
      <c r="S99">
        <v>34</v>
      </c>
      <c r="T99">
        <v>3</v>
      </c>
      <c r="U99">
        <v>113</v>
      </c>
      <c r="V99">
        <v>27</v>
      </c>
      <c r="W99">
        <v>0</v>
      </c>
      <c r="X99">
        <v>0</v>
      </c>
      <c r="Y99" t="s">
        <v>14</v>
      </c>
      <c r="Z99">
        <v>0</v>
      </c>
      <c r="AA99">
        <f>IF(AND(Table1[[#This Row],[Throw Out Pass Eff]]="N", Table1[[#This Row],[Against FCS Team]]="N"), ROUND(((5.45 * D99) + (150 * F99) + (100 * G99) - (300 * H99)) / E99, 2), " ")</f>
        <v>79.260000000000005</v>
      </c>
      <c r="AB99">
        <f>IF(AND(Table1[[#This Row],[Throw Out Pass Def Eff]]="N", Table1[[#This Row],[Against FCS Team]]="N"),200 - ROUND(((5.45 * P99) + (150 * R99) + (100 * S99) - (300 * T99)) / Q99, 2), " ")</f>
        <v>100.01</v>
      </c>
      <c r="AC99">
        <f>IF(AND(Table1[[#This Row],[Throw Out Rush Eff]]="N", Table1[[#This Row],[Against FCS Team]]="N"), ROUND(((23.2 * I99) + (150 * K99) - (300 * L99)) / J99, 2), " ")</f>
        <v>85.98</v>
      </c>
      <c r="AD99" s="3">
        <f>IF(AND(Table1[[#This Row],[Throw Out Rush Def Eff]]="N", Table1[[#This Row],[Against FCS Team]]="N"), 200 - ROUND(((23.2 * U99) + (150 * W99) - (300 * X99)) / V99, 2), " ")</f>
        <v>102.9</v>
      </c>
      <c r="AE99" s="3">
        <f>ROUND(Table1[[#This Row],[Opp Passing Attempts]]/(Table1[[#This Row],[Opp Passing Attempts]]+Table1[[#This Row],[Opp Rushing Attempts]]), 2)</f>
        <v>0.64</v>
      </c>
      <c r="AF99" s="3">
        <f>1-Table1[[#This Row],[Passing Weight]]</f>
        <v>0.36</v>
      </c>
      <c r="AG99" s="3" t="str">
        <f>IF(COUNTIF(A:A,Table1[[#This Row],[Opp Team Name]]) &gt; 0, "N", "Y")</f>
        <v>N</v>
      </c>
      <c r="AH99" s="3" t="str">
        <f>IF(Table1[[#This Row],[Passing Attempts]] &lt;15, "Y", "N")</f>
        <v>N</v>
      </c>
      <c r="AI99" s="3" t="str">
        <f>IF(Table1[[#This Row],[Rushing Attempts]] &lt; 15, "Y", "N")</f>
        <v>N</v>
      </c>
      <c r="AJ99" s="3" t="str">
        <f>IF(Table1[[#This Row],[Opp Passing Attempts]]&lt;15, "Y", "N")</f>
        <v>N</v>
      </c>
      <c r="AK99" s="3" t="str">
        <f>IF(Table1[[#This Row],[Opp Rushing Attempts]]&lt;15, "Y", "N")</f>
        <v>N</v>
      </c>
      <c r="AL9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86.94</v>
      </c>
      <c r="AM9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103.7</v>
      </c>
      <c r="AN9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113.91</v>
      </c>
      <c r="AO9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93.79</v>
      </c>
      <c r="AP99" s="3">
        <f>ABS(Table1[[#This Row],[Team Score]]-Table1[[#This Row],[Opp Team Score]])</f>
        <v>4</v>
      </c>
      <c r="AQ99" s="3">
        <f>SUM(Table1[[#This Row],[Team Score]], Table1[[#This Row],[Opp Team Score]])</f>
        <v>64</v>
      </c>
      <c r="AR9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31.849999999999966</v>
      </c>
      <c r="AS99" s="3">
        <f>IF(Table1[[#This Row],[Efficiency Difference]] = " ", " ", ROUND((Table1[[#This Row],[Winning Margin]]*100)/Table1[[#This Row],[Efficiency Difference]], 2))</f>
        <v>12.56</v>
      </c>
    </row>
    <row r="100" spans="1:45">
      <c r="A100" t="s">
        <v>82</v>
      </c>
      <c r="B100">
        <v>0</v>
      </c>
      <c r="C100">
        <v>34</v>
      </c>
      <c r="D100">
        <v>93</v>
      </c>
      <c r="E100">
        <v>17</v>
      </c>
      <c r="F100">
        <v>0</v>
      </c>
      <c r="G100">
        <v>9</v>
      </c>
      <c r="H100">
        <v>1</v>
      </c>
      <c r="I100">
        <v>224</v>
      </c>
      <c r="J100">
        <v>31</v>
      </c>
      <c r="K100">
        <v>2</v>
      </c>
      <c r="L100">
        <v>0</v>
      </c>
      <c r="M100" t="s">
        <v>103</v>
      </c>
      <c r="N100">
        <v>0</v>
      </c>
      <c r="O100">
        <v>29</v>
      </c>
      <c r="P100">
        <v>374</v>
      </c>
      <c r="Q100">
        <v>46</v>
      </c>
      <c r="R100">
        <v>1</v>
      </c>
      <c r="S100">
        <v>27</v>
      </c>
      <c r="T100">
        <v>1</v>
      </c>
      <c r="U100">
        <v>169</v>
      </c>
      <c r="V100">
        <v>26</v>
      </c>
      <c r="W100">
        <v>2</v>
      </c>
      <c r="X100">
        <v>0</v>
      </c>
      <c r="Y100" t="s">
        <v>14</v>
      </c>
      <c r="Z100">
        <v>0</v>
      </c>
      <c r="AA100">
        <f>IF(AND(Table1[[#This Row],[Throw Out Pass Eff]]="N", Table1[[#This Row],[Against FCS Team]]="N"), ROUND(((5.45 * D100) + (150 * F100) + (100 * G100) - (300 * H100)) / E100, 2), " ")</f>
        <v>65.11</v>
      </c>
      <c r="AB100">
        <f>IF(AND(Table1[[#This Row],[Throw Out Pass Def Eff]]="N", Table1[[#This Row],[Against FCS Team]]="N"),200 - ROUND(((5.45 * P100) + (150 * R100) + (100 * S100) - (300 * T100)) / Q100, 2), " ")</f>
        <v>100.25</v>
      </c>
      <c r="AC100">
        <f>IF(AND(Table1[[#This Row],[Throw Out Rush Eff]]="N", Table1[[#This Row],[Against FCS Team]]="N"), ROUND(((23.2 * I100) + (150 * K100) - (300 * L100)) / J100, 2), " ")</f>
        <v>177.32</v>
      </c>
      <c r="AD100" s="3">
        <f>IF(AND(Table1[[#This Row],[Throw Out Rush Def Eff]]="N", Table1[[#This Row],[Against FCS Team]]="N"), 200 - ROUND(((23.2 * U100) + (150 * W100) - (300 * X100)) / V100, 2), " ")</f>
        <v>37.659999999999997</v>
      </c>
      <c r="AE100" s="3">
        <f>ROUND(Table1[[#This Row],[Opp Passing Attempts]]/(Table1[[#This Row],[Opp Passing Attempts]]+Table1[[#This Row],[Opp Rushing Attempts]]), 2)</f>
        <v>0.64</v>
      </c>
      <c r="AF100" s="3">
        <f>1-Table1[[#This Row],[Passing Weight]]</f>
        <v>0.36</v>
      </c>
      <c r="AG100" s="3" t="str">
        <f>IF(COUNTIF(A:A,Table1[[#This Row],[Opp Team Name]]) &gt; 0, "N", "Y")</f>
        <v>N</v>
      </c>
      <c r="AH100" s="3" t="str">
        <f>IF(Table1[[#This Row],[Passing Attempts]] &lt;15, "Y", "N")</f>
        <v>N</v>
      </c>
      <c r="AI100" s="3" t="str">
        <f>IF(Table1[[#This Row],[Rushing Attempts]] &lt; 15, "Y", "N")</f>
        <v>N</v>
      </c>
      <c r="AJ100" s="3" t="str">
        <f>IF(Table1[[#This Row],[Opp Passing Attempts]]&lt;15, "Y", "N")</f>
        <v>N</v>
      </c>
      <c r="AK100" s="3" t="str">
        <f>IF(Table1[[#This Row],[Opp Rushing Attempts]]&lt;15, "Y", "N")</f>
        <v>N</v>
      </c>
      <c r="AL10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62.4</v>
      </c>
      <c r="AM10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100.03</v>
      </c>
      <c r="AN10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160.72</v>
      </c>
      <c r="AO10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44.62</v>
      </c>
      <c r="AP100" s="3">
        <f>ABS(Table1[[#This Row],[Team Score]]-Table1[[#This Row],[Opp Team Score]])</f>
        <v>5</v>
      </c>
      <c r="AQ100" s="3">
        <f>SUM(Table1[[#This Row],[Team Score]], Table1[[#This Row],[Opp Team Score]])</f>
        <v>63</v>
      </c>
      <c r="AR10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19.660000000000025</v>
      </c>
      <c r="AS100" s="3">
        <f>IF(Table1[[#This Row],[Efficiency Difference]] = " ", " ", ROUND((Table1[[#This Row],[Winning Margin]]*100)/Table1[[#This Row],[Efficiency Difference]], 2))</f>
        <v>25.43</v>
      </c>
    </row>
    <row r="101" spans="1:45">
      <c r="A101" t="s">
        <v>103</v>
      </c>
      <c r="B101">
        <v>0</v>
      </c>
      <c r="C101">
        <v>29</v>
      </c>
      <c r="D101">
        <v>374</v>
      </c>
      <c r="E101">
        <v>46</v>
      </c>
      <c r="F101">
        <v>1</v>
      </c>
      <c r="G101">
        <v>27</v>
      </c>
      <c r="H101">
        <v>1</v>
      </c>
      <c r="I101">
        <v>169</v>
      </c>
      <c r="J101">
        <v>26</v>
      </c>
      <c r="K101">
        <v>2</v>
      </c>
      <c r="L101">
        <v>0</v>
      </c>
      <c r="M101" t="s">
        <v>82</v>
      </c>
      <c r="N101">
        <v>0</v>
      </c>
      <c r="O101">
        <v>34</v>
      </c>
      <c r="P101">
        <v>93</v>
      </c>
      <c r="Q101">
        <v>17</v>
      </c>
      <c r="R101">
        <v>0</v>
      </c>
      <c r="S101">
        <v>9</v>
      </c>
      <c r="T101">
        <v>1</v>
      </c>
      <c r="U101">
        <v>224</v>
      </c>
      <c r="V101">
        <v>31</v>
      </c>
      <c r="W101">
        <v>2</v>
      </c>
      <c r="X101">
        <v>0</v>
      </c>
      <c r="Y101" t="s">
        <v>15</v>
      </c>
      <c r="Z101">
        <v>0</v>
      </c>
      <c r="AA101">
        <f>IF(AND(Table1[[#This Row],[Throw Out Pass Eff]]="N", Table1[[#This Row],[Against FCS Team]]="N"), ROUND(((5.45 * D101) + (150 * F101) + (100 * G101) - (300 * H101)) / E101, 2), " ")</f>
        <v>99.75</v>
      </c>
      <c r="AB101">
        <f>IF(AND(Table1[[#This Row],[Throw Out Pass Def Eff]]="N", Table1[[#This Row],[Against FCS Team]]="N"),200 - ROUND(((5.45 * P101) + (150 * R101) + (100 * S101) - (300 * T101)) / Q101, 2), " ")</f>
        <v>134.88999999999999</v>
      </c>
      <c r="AC101">
        <f>IF(AND(Table1[[#This Row],[Throw Out Rush Eff]]="N", Table1[[#This Row],[Against FCS Team]]="N"), ROUND(((23.2 * I101) + (150 * K101) - (300 * L101)) / J101, 2), " ")</f>
        <v>162.34</v>
      </c>
      <c r="AD101" s="3">
        <f>IF(AND(Table1[[#This Row],[Throw Out Rush Def Eff]]="N", Table1[[#This Row],[Against FCS Team]]="N"), 200 - ROUND(((23.2 * U101) + (150 * W101) - (300 * X101)) / V101, 2), " ")</f>
        <v>22.680000000000007</v>
      </c>
      <c r="AE101" s="3">
        <f>ROUND(Table1[[#This Row],[Opp Passing Attempts]]/(Table1[[#This Row],[Opp Passing Attempts]]+Table1[[#This Row],[Opp Rushing Attempts]]), 2)</f>
        <v>0.35</v>
      </c>
      <c r="AF101" s="3">
        <f>1-Table1[[#This Row],[Passing Weight]]</f>
        <v>0.65</v>
      </c>
      <c r="AG101" s="3" t="str">
        <f>IF(COUNTIF(A:A,Table1[[#This Row],[Opp Team Name]]) &gt; 0, "N", "Y")</f>
        <v>N</v>
      </c>
      <c r="AH101" s="3" t="str">
        <f>IF(Table1[[#This Row],[Passing Attempts]] &lt;15, "Y", "N")</f>
        <v>N</v>
      </c>
      <c r="AI101" s="3" t="str">
        <f>IF(Table1[[#This Row],[Rushing Attempts]] &lt; 15, "Y", "N")</f>
        <v>N</v>
      </c>
      <c r="AJ101" s="3" t="str">
        <f>IF(Table1[[#This Row],[Opp Passing Attempts]]&lt;15, "Y", "N")</f>
        <v>N</v>
      </c>
      <c r="AK101" s="3" t="str">
        <f>IF(Table1[[#This Row],[Opp Rushing Attempts]]&lt;15, "Y", "N")</f>
        <v>N</v>
      </c>
      <c r="AL10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98.09</v>
      </c>
      <c r="AM10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125.52</v>
      </c>
      <c r="AN10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125.11</v>
      </c>
      <c r="AO10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26.89</v>
      </c>
      <c r="AP101" s="3">
        <f>ABS(Table1[[#This Row],[Team Score]]-Table1[[#This Row],[Opp Team Score]])</f>
        <v>5</v>
      </c>
      <c r="AQ101" s="3">
        <f>SUM(Table1[[#This Row],[Team Score]], Table1[[#This Row],[Opp Team Score]])</f>
        <v>63</v>
      </c>
      <c r="AR10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19.660000000000025</v>
      </c>
      <c r="AS101" s="3">
        <f>IF(Table1[[#This Row],[Efficiency Difference]] = " ", " ", ROUND((Table1[[#This Row],[Winning Margin]]*100)/Table1[[#This Row],[Efficiency Difference]], 2))</f>
        <v>25.43</v>
      </c>
    </row>
    <row r="102" spans="1:45">
      <c r="A102" t="s">
        <v>88</v>
      </c>
      <c r="B102">
        <v>0</v>
      </c>
      <c r="C102">
        <v>10</v>
      </c>
      <c r="D102">
        <v>170</v>
      </c>
      <c r="E102">
        <v>42</v>
      </c>
      <c r="F102">
        <v>1</v>
      </c>
      <c r="G102">
        <v>16</v>
      </c>
      <c r="H102">
        <v>1</v>
      </c>
      <c r="I102">
        <v>104</v>
      </c>
      <c r="J102">
        <v>17</v>
      </c>
      <c r="K102">
        <v>0</v>
      </c>
      <c r="L102">
        <v>0</v>
      </c>
      <c r="M102" t="s">
        <v>81</v>
      </c>
      <c r="N102">
        <v>0</v>
      </c>
      <c r="O102">
        <v>23</v>
      </c>
      <c r="P102">
        <v>326</v>
      </c>
      <c r="Q102">
        <v>44</v>
      </c>
      <c r="R102">
        <v>1</v>
      </c>
      <c r="S102">
        <v>31</v>
      </c>
      <c r="T102">
        <v>2</v>
      </c>
      <c r="U102">
        <v>177</v>
      </c>
      <c r="V102">
        <v>34</v>
      </c>
      <c r="W102">
        <v>1</v>
      </c>
      <c r="X102">
        <v>0</v>
      </c>
      <c r="Y102" t="s">
        <v>15</v>
      </c>
      <c r="Z102">
        <v>0</v>
      </c>
      <c r="AA102" s="3">
        <f>IF(AND(Table1[[#This Row],[Throw Out Pass Eff]]="N", Table1[[#This Row],[Against FCS Team]]="N"), ROUND(((5.45 * D102) + (150 * F102) + (100 * G102) - (300 * H102)) / E102, 2), " ")</f>
        <v>56.58</v>
      </c>
      <c r="AB102" s="3">
        <f>IF(AND(Table1[[#This Row],[Throw Out Pass Def Eff]]="N", Table1[[#This Row],[Against FCS Team]]="N"),200 - ROUND(((5.45 * P102) + (150 * R102) + (100 * S102) - (300 * T102)) / Q102, 2), " ")</f>
        <v>99.39</v>
      </c>
      <c r="AC102" s="3">
        <f>IF(AND(Table1[[#This Row],[Throw Out Rush Eff]]="N", Table1[[#This Row],[Against FCS Team]]="N"), ROUND(((23.2 * I102) + (150 * K102) - (300 * L102)) / J102, 2), " ")</f>
        <v>141.93</v>
      </c>
      <c r="AD102" s="3">
        <f>IF(AND(Table1[[#This Row],[Throw Out Rush Def Eff]]="N", Table1[[#This Row],[Against FCS Team]]="N"), 200 - ROUND(((23.2 * U102) + (150 * W102) - (300 * X102)) / V102, 2), " ")</f>
        <v>74.81</v>
      </c>
      <c r="AE102" s="3">
        <f>ROUND(Table1[[#This Row],[Opp Passing Attempts]]/(Table1[[#This Row],[Opp Passing Attempts]]+Table1[[#This Row],[Opp Rushing Attempts]]), 2)</f>
        <v>0.56000000000000005</v>
      </c>
      <c r="AF102" s="3">
        <f>1-Table1[[#This Row],[Passing Weight]]</f>
        <v>0.43999999999999995</v>
      </c>
      <c r="AG102" s="3" t="str">
        <f>IF(COUNTIF(A:A,Table1[[#This Row],[Opp Team Name]]) &gt; 0, "N", "Y")</f>
        <v>N</v>
      </c>
      <c r="AH102" s="3" t="str">
        <f>IF(Table1[[#This Row],[Passing Attempts]] &lt;15, "Y", "N")</f>
        <v>N</v>
      </c>
      <c r="AI102" s="3" t="str">
        <f>IF(Table1[[#This Row],[Rushing Attempts]] &lt; 15, "Y", "N")</f>
        <v>N</v>
      </c>
      <c r="AJ102" s="3" t="str">
        <f>IF(Table1[[#This Row],[Opp Passing Attempts]]&lt;15, "Y", "N")</f>
        <v>N</v>
      </c>
      <c r="AK102" s="3" t="str">
        <f>IF(Table1[[#This Row],[Opp Rushing Attempts]]&lt;15, "Y", "N")</f>
        <v>N</v>
      </c>
      <c r="AL10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62.19</v>
      </c>
      <c r="AM10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116.16</v>
      </c>
      <c r="AN10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101.12</v>
      </c>
      <c r="AO10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76.760000000000005</v>
      </c>
      <c r="AP102" s="3">
        <f>ABS(Table1[[#This Row],[Team Score]]-Table1[[#This Row],[Opp Team Score]])</f>
        <v>13</v>
      </c>
      <c r="AQ102" s="3">
        <f>SUM(Table1[[#This Row],[Team Score]], Table1[[#This Row],[Opp Team Score]])</f>
        <v>33</v>
      </c>
      <c r="AR10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27.29000000000002</v>
      </c>
      <c r="AS102" s="3">
        <f>IF(Table1[[#This Row],[Efficiency Difference]] = " ", " ", ROUND((Table1[[#This Row],[Winning Margin]]*100)/Table1[[#This Row],[Efficiency Difference]], 2))</f>
        <v>47.64</v>
      </c>
    </row>
    <row r="103" spans="1:45">
      <c r="A103" t="s">
        <v>81</v>
      </c>
      <c r="B103">
        <v>0</v>
      </c>
      <c r="C103">
        <v>23</v>
      </c>
      <c r="D103">
        <v>326</v>
      </c>
      <c r="E103">
        <v>44</v>
      </c>
      <c r="F103">
        <v>1</v>
      </c>
      <c r="G103">
        <v>31</v>
      </c>
      <c r="H103">
        <v>2</v>
      </c>
      <c r="I103">
        <v>177</v>
      </c>
      <c r="J103">
        <v>34</v>
      </c>
      <c r="K103">
        <v>1</v>
      </c>
      <c r="L103">
        <v>0</v>
      </c>
      <c r="M103" t="s">
        <v>88</v>
      </c>
      <c r="N103">
        <v>0</v>
      </c>
      <c r="O103">
        <v>10</v>
      </c>
      <c r="P103">
        <v>170</v>
      </c>
      <c r="Q103">
        <v>42</v>
      </c>
      <c r="R103">
        <v>1</v>
      </c>
      <c r="S103">
        <v>16</v>
      </c>
      <c r="T103">
        <v>1</v>
      </c>
      <c r="U103">
        <v>104</v>
      </c>
      <c r="V103">
        <v>17</v>
      </c>
      <c r="W103">
        <v>0</v>
      </c>
      <c r="X103">
        <v>0</v>
      </c>
      <c r="Y103" t="s">
        <v>14</v>
      </c>
      <c r="Z103">
        <v>0</v>
      </c>
      <c r="AA103">
        <f>IF(AND(Table1[[#This Row],[Throw Out Pass Eff]]="N", Table1[[#This Row],[Against FCS Team]]="N"), ROUND(((5.45 * D103) + (150 * F103) + (100 * G103) - (300 * H103)) / E103, 2), " ")</f>
        <v>100.61</v>
      </c>
      <c r="AB103">
        <f>IF(AND(Table1[[#This Row],[Throw Out Pass Def Eff]]="N", Table1[[#This Row],[Against FCS Team]]="N"),200 - ROUND(((5.45 * P103) + (150 * R103) + (100 * S103) - (300 * T103)) / Q103, 2), " ")</f>
        <v>143.42000000000002</v>
      </c>
      <c r="AC103">
        <f>IF(AND(Table1[[#This Row],[Throw Out Rush Eff]]="N", Table1[[#This Row],[Against FCS Team]]="N"), ROUND(((23.2 * I103) + (150 * K103) - (300 * L103)) / J103, 2), " ")</f>
        <v>125.19</v>
      </c>
      <c r="AD103" s="3">
        <f>IF(AND(Table1[[#This Row],[Throw Out Rush Def Eff]]="N", Table1[[#This Row],[Against FCS Team]]="N"), 200 - ROUND(((23.2 * U103) + (150 * W103) - (300 * X103)) / V103, 2), " ")</f>
        <v>58.069999999999993</v>
      </c>
      <c r="AE103" s="3">
        <f>ROUND(Table1[[#This Row],[Opp Passing Attempts]]/(Table1[[#This Row],[Opp Passing Attempts]]+Table1[[#This Row],[Opp Rushing Attempts]]), 2)</f>
        <v>0.71</v>
      </c>
      <c r="AF103" s="3">
        <f>1-Table1[[#This Row],[Passing Weight]]</f>
        <v>0.29000000000000004</v>
      </c>
      <c r="AG103" s="3" t="str">
        <f>IF(COUNTIF(A:A,Table1[[#This Row],[Opp Team Name]]) &gt; 0, "N", "Y")</f>
        <v>N</v>
      </c>
      <c r="AH103" s="3" t="str">
        <f>IF(Table1[[#This Row],[Passing Attempts]] &lt;15, "Y", "N")</f>
        <v>N</v>
      </c>
      <c r="AI103" s="3" t="str">
        <f>IF(Table1[[#This Row],[Rushing Attempts]] &lt; 15, "Y", "N")</f>
        <v>N</v>
      </c>
      <c r="AJ103" s="3" t="str">
        <f>IF(Table1[[#This Row],[Opp Passing Attempts]]&lt;15, "Y", "N")</f>
        <v>N</v>
      </c>
      <c r="AK103" s="3" t="str">
        <f>IF(Table1[[#This Row],[Opp Rushing Attempts]]&lt;15, "Y", "N")</f>
        <v>N</v>
      </c>
      <c r="AL10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108.53</v>
      </c>
      <c r="AM10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101.15</v>
      </c>
      <c r="AN10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126.94</v>
      </c>
      <c r="AO10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52.86</v>
      </c>
      <c r="AP103" s="3">
        <f>ABS(Table1[[#This Row],[Team Score]]-Table1[[#This Row],[Opp Team Score]])</f>
        <v>13</v>
      </c>
      <c r="AQ103" s="3">
        <f>SUM(Table1[[#This Row],[Team Score]], Table1[[#This Row],[Opp Team Score]])</f>
        <v>33</v>
      </c>
      <c r="AR10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27.29000000000002</v>
      </c>
      <c r="AS103" s="3">
        <f>IF(Table1[[#This Row],[Efficiency Difference]] = " ", " ", ROUND((Table1[[#This Row],[Winning Margin]]*100)/Table1[[#This Row],[Efficiency Difference]], 2))</f>
        <v>47.64</v>
      </c>
    </row>
    <row r="104" spans="1:45">
      <c r="A104" t="s">
        <v>90</v>
      </c>
      <c r="B104">
        <v>0</v>
      </c>
      <c r="C104">
        <v>13</v>
      </c>
      <c r="D104">
        <v>332</v>
      </c>
      <c r="E104">
        <v>61</v>
      </c>
      <c r="F104">
        <v>1</v>
      </c>
      <c r="G104">
        <v>40</v>
      </c>
      <c r="H104">
        <v>1</v>
      </c>
      <c r="I104">
        <v>84</v>
      </c>
      <c r="J104">
        <v>22</v>
      </c>
      <c r="K104">
        <v>0</v>
      </c>
      <c r="L104">
        <v>0</v>
      </c>
      <c r="M104" t="s">
        <v>89</v>
      </c>
      <c r="N104">
        <v>0</v>
      </c>
      <c r="O104">
        <v>31</v>
      </c>
      <c r="P104">
        <v>220</v>
      </c>
      <c r="Q104">
        <v>21</v>
      </c>
      <c r="R104">
        <v>3</v>
      </c>
      <c r="S104">
        <v>10</v>
      </c>
      <c r="T104">
        <v>1</v>
      </c>
      <c r="U104">
        <v>112</v>
      </c>
      <c r="V104">
        <v>29</v>
      </c>
      <c r="W104">
        <v>0</v>
      </c>
      <c r="X104">
        <v>0</v>
      </c>
      <c r="Y104" t="s">
        <v>15</v>
      </c>
      <c r="Z104">
        <v>0</v>
      </c>
      <c r="AA104">
        <f>IF(AND(Table1[[#This Row],[Throw Out Pass Eff]]="N", Table1[[#This Row],[Against FCS Team]]="N"), ROUND(((5.45 * D104) + (150 * F104) + (100 * G104) - (300 * H104)) / E104, 2), " ")</f>
        <v>92.78</v>
      </c>
      <c r="AB104">
        <f>IF(AND(Table1[[#This Row],[Throw Out Pass Def Eff]]="N", Table1[[#This Row],[Against FCS Team]]="N"),200 - ROUND(((5.45 * P104) + (150 * R104) + (100 * S104) - (300 * T104)) / Q104, 2), " ")</f>
        <v>88.14</v>
      </c>
      <c r="AC104">
        <f>IF(AND(Table1[[#This Row],[Throw Out Rush Eff]]="N", Table1[[#This Row],[Against FCS Team]]="N"), ROUND(((23.2 * I104) + (150 * K104) - (300 * L104)) / J104, 2), " ")</f>
        <v>88.58</v>
      </c>
      <c r="AD104" s="3">
        <f>IF(AND(Table1[[#This Row],[Throw Out Rush Def Eff]]="N", Table1[[#This Row],[Against FCS Team]]="N"), 200 - ROUND(((23.2 * U104) + (150 * W104) - (300 * X104)) / V104, 2), " ")</f>
        <v>110.4</v>
      </c>
      <c r="AE104" s="3">
        <f>ROUND(Table1[[#This Row],[Opp Passing Attempts]]/(Table1[[#This Row],[Opp Passing Attempts]]+Table1[[#This Row],[Opp Rushing Attempts]]), 2)</f>
        <v>0.42</v>
      </c>
      <c r="AF104" s="3">
        <f>1-Table1[[#This Row],[Passing Weight]]</f>
        <v>0.58000000000000007</v>
      </c>
      <c r="AG104" s="3" t="str">
        <f>IF(COUNTIF(A:A,Table1[[#This Row],[Opp Team Name]]) &gt; 0, "N", "Y")</f>
        <v>N</v>
      </c>
      <c r="AH104" s="3" t="str">
        <f>IF(Table1[[#This Row],[Passing Attempts]] &lt;15, "Y", "N")</f>
        <v>N</v>
      </c>
      <c r="AI104" s="3" t="str">
        <f>IF(Table1[[#This Row],[Rushing Attempts]] &lt; 15, "Y", "N")</f>
        <v>N</v>
      </c>
      <c r="AJ104" s="3" t="str">
        <f>IF(Table1[[#This Row],[Opp Passing Attempts]]&lt;15, "Y", "N")</f>
        <v>N</v>
      </c>
      <c r="AK104" s="3" t="str">
        <f>IF(Table1[[#This Row],[Opp Rushing Attempts]]&lt;15, "Y", "N")</f>
        <v>N</v>
      </c>
      <c r="AL10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88.49</v>
      </c>
      <c r="AM10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86.56</v>
      </c>
      <c r="AN10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100.6</v>
      </c>
      <c r="AO10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75.42</v>
      </c>
      <c r="AP104" s="3">
        <f>ABS(Table1[[#This Row],[Team Score]]-Table1[[#This Row],[Opp Team Score]])</f>
        <v>18</v>
      </c>
      <c r="AQ104" s="3">
        <f>SUM(Table1[[#This Row],[Team Score]], Table1[[#This Row],[Opp Team Score]])</f>
        <v>44</v>
      </c>
      <c r="AR10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20.099999999999966</v>
      </c>
      <c r="AS104" s="3">
        <f>IF(Table1[[#This Row],[Efficiency Difference]] = " ", " ", ROUND((Table1[[#This Row],[Winning Margin]]*100)/Table1[[#This Row],[Efficiency Difference]], 2))</f>
        <v>89.55</v>
      </c>
    </row>
    <row r="105" spans="1:45">
      <c r="A105" t="s">
        <v>89</v>
      </c>
      <c r="B105">
        <v>0</v>
      </c>
      <c r="C105">
        <v>31</v>
      </c>
      <c r="D105">
        <v>220</v>
      </c>
      <c r="E105">
        <v>21</v>
      </c>
      <c r="F105">
        <v>3</v>
      </c>
      <c r="G105">
        <v>10</v>
      </c>
      <c r="H105">
        <v>1</v>
      </c>
      <c r="I105">
        <v>112</v>
      </c>
      <c r="J105">
        <v>29</v>
      </c>
      <c r="K105">
        <v>0</v>
      </c>
      <c r="L105">
        <v>0</v>
      </c>
      <c r="M105" t="s">
        <v>90</v>
      </c>
      <c r="N105">
        <v>0</v>
      </c>
      <c r="O105">
        <v>13</v>
      </c>
      <c r="P105">
        <v>332</v>
      </c>
      <c r="Q105">
        <v>61</v>
      </c>
      <c r="R105">
        <v>1</v>
      </c>
      <c r="S105">
        <v>40</v>
      </c>
      <c r="T105">
        <v>1</v>
      </c>
      <c r="U105">
        <v>84</v>
      </c>
      <c r="V105">
        <v>22</v>
      </c>
      <c r="W105">
        <v>0</v>
      </c>
      <c r="X105">
        <v>0</v>
      </c>
      <c r="Y105" t="s">
        <v>14</v>
      </c>
      <c r="Z105">
        <v>0</v>
      </c>
      <c r="AA105">
        <f>IF(AND(Table1[[#This Row],[Throw Out Pass Eff]]="N", Table1[[#This Row],[Against FCS Team]]="N"), ROUND(((5.45 * D105) + (150 * F105) + (100 * G105) - (300 * H105)) / E105, 2), " ")</f>
        <v>111.86</v>
      </c>
      <c r="AB105">
        <f>IF(AND(Table1[[#This Row],[Throw Out Pass Def Eff]]="N", Table1[[#This Row],[Against FCS Team]]="N"),200 - ROUND(((5.45 * P105) + (150 * R105) + (100 * S105) - (300 * T105)) / Q105, 2), " ")</f>
        <v>107.22</v>
      </c>
      <c r="AC105">
        <f>IF(AND(Table1[[#This Row],[Throw Out Rush Eff]]="N", Table1[[#This Row],[Against FCS Team]]="N"), ROUND(((23.2 * I105) + (150 * K105) - (300 * L105)) / J105, 2), " ")</f>
        <v>89.6</v>
      </c>
      <c r="AD105" s="3">
        <f>IF(AND(Table1[[#This Row],[Throw Out Rush Def Eff]]="N", Table1[[#This Row],[Against FCS Team]]="N"), 200 - ROUND(((23.2 * U105) + (150 * W105) - (300 * X105)) / V105, 2), " ")</f>
        <v>111.42</v>
      </c>
      <c r="AE105" s="3">
        <f>ROUND(Table1[[#This Row],[Opp Passing Attempts]]/(Table1[[#This Row],[Opp Passing Attempts]]+Table1[[#This Row],[Opp Rushing Attempts]]), 2)</f>
        <v>0.73</v>
      </c>
      <c r="AF105" s="3">
        <f>1-Table1[[#This Row],[Passing Weight]]</f>
        <v>0.27</v>
      </c>
      <c r="AG105" s="3" t="str">
        <f>IF(COUNTIF(A:A,Table1[[#This Row],[Opp Team Name]]) &gt; 0, "N", "Y")</f>
        <v>N</v>
      </c>
      <c r="AH105" s="3" t="str">
        <f>IF(Table1[[#This Row],[Passing Attempts]] &lt;15, "Y", "N")</f>
        <v>N</v>
      </c>
      <c r="AI105" s="3" t="str">
        <f>IF(Table1[[#This Row],[Rushing Attempts]] &lt; 15, "Y", "N")</f>
        <v>N</v>
      </c>
      <c r="AJ105" s="3" t="str">
        <f>IF(Table1[[#This Row],[Opp Passing Attempts]]&lt;15, "Y", "N")</f>
        <v>N</v>
      </c>
      <c r="AK105" s="3" t="str">
        <f>IF(Table1[[#This Row],[Opp Rushing Attempts]]&lt;15, "Y", "N")</f>
        <v>N</v>
      </c>
      <c r="AL10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123.58</v>
      </c>
      <c r="AM10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90.03</v>
      </c>
      <c r="AN10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101.9</v>
      </c>
      <c r="AO10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83.69</v>
      </c>
      <c r="AP105" s="3">
        <f>ABS(Table1[[#This Row],[Team Score]]-Table1[[#This Row],[Opp Team Score]])</f>
        <v>18</v>
      </c>
      <c r="AQ105" s="3">
        <f>SUM(Table1[[#This Row],[Team Score]], Table1[[#This Row],[Opp Team Score]])</f>
        <v>44</v>
      </c>
      <c r="AR10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20.099999999999966</v>
      </c>
      <c r="AS105" s="3">
        <f>IF(Table1[[#This Row],[Efficiency Difference]] = " ", " ", ROUND((Table1[[#This Row],[Winning Margin]]*100)/Table1[[#This Row],[Efficiency Difference]], 2))</f>
        <v>89.55</v>
      </c>
    </row>
    <row r="106" spans="1:45">
      <c r="A106" t="s">
        <v>91</v>
      </c>
      <c r="B106">
        <v>0</v>
      </c>
      <c r="C106">
        <v>23</v>
      </c>
      <c r="D106">
        <v>287</v>
      </c>
      <c r="E106">
        <v>36</v>
      </c>
      <c r="F106">
        <v>1</v>
      </c>
      <c r="G106">
        <v>18</v>
      </c>
      <c r="H106">
        <v>2</v>
      </c>
      <c r="I106">
        <v>171</v>
      </c>
      <c r="J106">
        <v>32</v>
      </c>
      <c r="K106">
        <v>1</v>
      </c>
      <c r="L106">
        <v>0</v>
      </c>
      <c r="M106" t="s">
        <v>87</v>
      </c>
      <c r="N106">
        <v>0</v>
      </c>
      <c r="O106">
        <v>20</v>
      </c>
      <c r="P106">
        <v>190</v>
      </c>
      <c r="Q106">
        <v>34</v>
      </c>
      <c r="R106">
        <v>0</v>
      </c>
      <c r="S106">
        <v>20</v>
      </c>
      <c r="T106">
        <v>0</v>
      </c>
      <c r="U106">
        <v>83</v>
      </c>
      <c r="V106">
        <v>21</v>
      </c>
      <c r="W106">
        <v>1</v>
      </c>
      <c r="X106">
        <v>0</v>
      </c>
      <c r="Y106" t="s">
        <v>14</v>
      </c>
      <c r="Z106">
        <v>0</v>
      </c>
      <c r="AA106">
        <f>IF(AND(Table1[[#This Row],[Throw Out Pass Eff]]="N", Table1[[#This Row],[Against FCS Team]]="N"), ROUND(((5.45 * D106) + (150 * F106) + (100 * G106) - (300 * H106)) / E106, 2), " ")</f>
        <v>80.95</v>
      </c>
      <c r="AB106">
        <f>IF(AND(Table1[[#This Row],[Throw Out Pass Def Eff]]="N", Table1[[#This Row],[Against FCS Team]]="N"),200 - ROUND(((5.45 * P106) + (150 * R106) + (100 * S106) - (300 * T106)) / Q106, 2), " ")</f>
        <v>110.72</v>
      </c>
      <c r="AC106">
        <f>IF(AND(Table1[[#This Row],[Throw Out Rush Eff]]="N", Table1[[#This Row],[Against FCS Team]]="N"), ROUND(((23.2 * I106) + (150 * K106) - (300 * L106)) / J106, 2), " ")</f>
        <v>128.66</v>
      </c>
      <c r="AD106" s="3">
        <f>IF(AND(Table1[[#This Row],[Throw Out Rush Def Eff]]="N", Table1[[#This Row],[Against FCS Team]]="N"), 200 - ROUND(((23.2 * U106) + (150 * W106) - (300 * X106)) / V106, 2), " ")</f>
        <v>101.16</v>
      </c>
      <c r="AE106" s="3">
        <f>ROUND(Table1[[#This Row],[Opp Passing Attempts]]/(Table1[[#This Row],[Opp Passing Attempts]]+Table1[[#This Row],[Opp Rushing Attempts]]), 2)</f>
        <v>0.62</v>
      </c>
      <c r="AF106" s="3">
        <f>1-Table1[[#This Row],[Passing Weight]]</f>
        <v>0.38</v>
      </c>
      <c r="AG106" s="3" t="str">
        <f>IF(COUNTIF(A:A,Table1[[#This Row],[Opp Team Name]]) &gt; 0, "N", "Y")</f>
        <v>N</v>
      </c>
      <c r="AH106" s="3" t="str">
        <f>IF(Table1[[#This Row],[Passing Attempts]] &lt;15, "Y", "N")</f>
        <v>N</v>
      </c>
      <c r="AI106" s="3" t="str">
        <f>IF(Table1[[#This Row],[Rushing Attempts]] &lt; 15, "Y", "N")</f>
        <v>N</v>
      </c>
      <c r="AJ106" s="3" t="str">
        <f>IF(Table1[[#This Row],[Opp Passing Attempts]]&lt;15, "Y", "N")</f>
        <v>N</v>
      </c>
      <c r="AK106" s="3" t="str">
        <f>IF(Table1[[#This Row],[Opp Rushing Attempts]]&lt;15, "Y", "N")</f>
        <v>N</v>
      </c>
      <c r="AL10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83.94</v>
      </c>
      <c r="AM10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115.02</v>
      </c>
      <c r="AN10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100.58</v>
      </c>
      <c r="AO10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133.71</v>
      </c>
      <c r="AP106" s="3">
        <f>ABS(Table1[[#This Row],[Team Score]]-Table1[[#This Row],[Opp Team Score]])</f>
        <v>3</v>
      </c>
      <c r="AQ106" s="3">
        <f>SUM(Table1[[#This Row],[Team Score]], Table1[[#This Row],[Opp Team Score]])</f>
        <v>43</v>
      </c>
      <c r="AR10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21.490000000000009</v>
      </c>
      <c r="AS106" s="3">
        <f>IF(Table1[[#This Row],[Efficiency Difference]] = " ", " ", ROUND((Table1[[#This Row],[Winning Margin]]*100)/Table1[[#This Row],[Efficiency Difference]], 2))</f>
        <v>13.96</v>
      </c>
    </row>
    <row r="107" spans="1:45">
      <c r="A107" t="s">
        <v>87</v>
      </c>
      <c r="B107">
        <v>0</v>
      </c>
      <c r="C107">
        <v>20</v>
      </c>
      <c r="D107">
        <v>190</v>
      </c>
      <c r="E107">
        <v>34</v>
      </c>
      <c r="F107">
        <v>0</v>
      </c>
      <c r="G107">
        <v>20</v>
      </c>
      <c r="H107">
        <v>0</v>
      </c>
      <c r="I107">
        <v>83</v>
      </c>
      <c r="J107">
        <v>21</v>
      </c>
      <c r="K107">
        <v>1</v>
      </c>
      <c r="L107">
        <v>0</v>
      </c>
      <c r="M107" t="s">
        <v>91</v>
      </c>
      <c r="N107">
        <v>0</v>
      </c>
      <c r="O107">
        <v>23</v>
      </c>
      <c r="P107">
        <v>287</v>
      </c>
      <c r="Q107">
        <v>36</v>
      </c>
      <c r="R107">
        <v>1</v>
      </c>
      <c r="S107">
        <v>18</v>
      </c>
      <c r="T107">
        <v>2</v>
      </c>
      <c r="U107">
        <v>171</v>
      </c>
      <c r="V107">
        <v>32</v>
      </c>
      <c r="W107">
        <v>1</v>
      </c>
      <c r="X107">
        <v>0</v>
      </c>
      <c r="Y107" t="s">
        <v>15</v>
      </c>
      <c r="Z107">
        <v>0</v>
      </c>
      <c r="AA107">
        <f>IF(AND(Table1[[#This Row],[Throw Out Pass Eff]]="N", Table1[[#This Row],[Against FCS Team]]="N"), ROUND(((5.45 * D107) + (150 * F107) + (100 * G107) - (300 * H107)) / E107, 2), " ")</f>
        <v>89.28</v>
      </c>
      <c r="AB107">
        <f>IF(AND(Table1[[#This Row],[Throw Out Pass Def Eff]]="N", Table1[[#This Row],[Against FCS Team]]="N"),200 - ROUND(((5.45 * P107) + (150 * R107) + (100 * S107) - (300 * T107)) / Q107, 2), " ")</f>
        <v>119.05</v>
      </c>
      <c r="AC107">
        <f>IF(AND(Table1[[#This Row],[Throw Out Rush Eff]]="N", Table1[[#This Row],[Against FCS Team]]="N"), ROUND(((23.2 * I107) + (150 * K107) - (300 * L107)) / J107, 2), " ")</f>
        <v>98.84</v>
      </c>
      <c r="AD107" s="3">
        <f>IF(AND(Table1[[#This Row],[Throw Out Rush Def Eff]]="N", Table1[[#This Row],[Against FCS Team]]="N"), 200 - ROUND(((23.2 * U107) + (150 * W107) - (300 * X107)) / V107, 2), " ")</f>
        <v>71.34</v>
      </c>
      <c r="AE107" s="3">
        <f>ROUND(Table1[[#This Row],[Opp Passing Attempts]]/(Table1[[#This Row],[Opp Passing Attempts]]+Table1[[#This Row],[Opp Rushing Attempts]]), 2)</f>
        <v>0.53</v>
      </c>
      <c r="AF107" s="3">
        <f>1-Table1[[#This Row],[Passing Weight]]</f>
        <v>0.47</v>
      </c>
      <c r="AG107" s="3" t="str">
        <f>IF(COUNTIF(A:A,Table1[[#This Row],[Opp Team Name]]) &gt; 0, "N", "Y")</f>
        <v>N</v>
      </c>
      <c r="AH107" s="3" t="str">
        <f>IF(Table1[[#This Row],[Passing Attempts]] &lt;15, "Y", "N")</f>
        <v>N</v>
      </c>
      <c r="AI107" s="3" t="str">
        <f>IF(Table1[[#This Row],[Rushing Attempts]] &lt; 15, "Y", "N")</f>
        <v>N</v>
      </c>
      <c r="AJ107" s="3" t="str">
        <f>IF(Table1[[#This Row],[Opp Passing Attempts]]&lt;15, "Y", "N")</f>
        <v>N</v>
      </c>
      <c r="AK107" s="3" t="str">
        <f>IF(Table1[[#This Row],[Opp Rushing Attempts]]&lt;15, "Y", "N")</f>
        <v>N</v>
      </c>
      <c r="AL10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94.41</v>
      </c>
      <c r="AM10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113.34</v>
      </c>
      <c r="AN10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128.37</v>
      </c>
      <c r="AO10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62.87</v>
      </c>
      <c r="AP107" s="3">
        <f>ABS(Table1[[#This Row],[Team Score]]-Table1[[#This Row],[Opp Team Score]])</f>
        <v>3</v>
      </c>
      <c r="AQ107" s="3">
        <f>SUM(Table1[[#This Row],[Team Score]], Table1[[#This Row],[Opp Team Score]])</f>
        <v>43</v>
      </c>
      <c r="AR10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21.490000000000009</v>
      </c>
      <c r="AS107" s="3">
        <f>IF(Table1[[#This Row],[Efficiency Difference]] = " ", " ", ROUND((Table1[[#This Row],[Winning Margin]]*100)/Table1[[#This Row],[Efficiency Difference]], 2))</f>
        <v>13.96</v>
      </c>
    </row>
    <row r="108" spans="1:45">
      <c r="A108" t="s">
        <v>86</v>
      </c>
      <c r="B108">
        <v>0</v>
      </c>
      <c r="C108">
        <v>22</v>
      </c>
      <c r="D108">
        <v>247</v>
      </c>
      <c r="E108">
        <v>29</v>
      </c>
      <c r="F108">
        <v>1</v>
      </c>
      <c r="G108">
        <v>18</v>
      </c>
      <c r="H108">
        <v>0</v>
      </c>
      <c r="I108">
        <v>103</v>
      </c>
      <c r="J108">
        <v>28</v>
      </c>
      <c r="K108">
        <v>0</v>
      </c>
      <c r="L108">
        <v>0</v>
      </c>
      <c r="M108" t="s">
        <v>99</v>
      </c>
      <c r="N108">
        <v>0</v>
      </c>
      <c r="O108">
        <v>17</v>
      </c>
      <c r="P108">
        <v>190</v>
      </c>
      <c r="Q108">
        <v>30</v>
      </c>
      <c r="R108">
        <v>2</v>
      </c>
      <c r="S108">
        <v>18</v>
      </c>
      <c r="T108">
        <v>1</v>
      </c>
      <c r="U108">
        <v>151</v>
      </c>
      <c r="V108">
        <v>30</v>
      </c>
      <c r="W108">
        <v>0</v>
      </c>
      <c r="X108">
        <v>0</v>
      </c>
      <c r="Y108" t="s">
        <v>14</v>
      </c>
      <c r="Z108">
        <v>0</v>
      </c>
      <c r="AA108">
        <f>IF(AND(Table1[[#This Row],[Throw Out Pass Eff]]="N", Table1[[#This Row],[Against FCS Team]]="N"), ROUND(((5.45 * D108) + (150 * F108) + (100 * G108) - (300 * H108)) / E108, 2), " ")</f>
        <v>113.66</v>
      </c>
      <c r="AB108">
        <f>IF(AND(Table1[[#This Row],[Throw Out Pass Def Eff]]="N", Table1[[#This Row],[Against FCS Team]]="N"),200 - ROUND(((5.45 * P108) + (150 * R108) + (100 * S108) - (300 * T108)) / Q108, 2), " ")</f>
        <v>105.48</v>
      </c>
      <c r="AC108">
        <f>IF(AND(Table1[[#This Row],[Throw Out Rush Eff]]="N", Table1[[#This Row],[Against FCS Team]]="N"), ROUND(((23.2 * I108) + (150 * K108) - (300 * L108)) / J108, 2), " ")</f>
        <v>85.34</v>
      </c>
      <c r="AD108" s="3">
        <f>IF(AND(Table1[[#This Row],[Throw Out Rush Def Eff]]="N", Table1[[#This Row],[Against FCS Team]]="N"), 200 - ROUND(((23.2 * U108) + (150 * W108) - (300 * X108)) / V108, 2), " ")</f>
        <v>83.23</v>
      </c>
      <c r="AE108" s="3">
        <f>ROUND(Table1[[#This Row],[Opp Passing Attempts]]/(Table1[[#This Row],[Opp Passing Attempts]]+Table1[[#This Row],[Opp Rushing Attempts]]), 2)</f>
        <v>0.5</v>
      </c>
      <c r="AF108" s="3">
        <f>1-Table1[[#This Row],[Passing Weight]]</f>
        <v>0.5</v>
      </c>
      <c r="AG108" s="3" t="str">
        <f>IF(COUNTIF(A:A,Table1[[#This Row],[Opp Team Name]]) &gt; 0, "N", "Y")</f>
        <v>N</v>
      </c>
      <c r="AH108" s="3" t="str">
        <f>IF(Table1[[#This Row],[Passing Attempts]] &lt;15, "Y", "N")</f>
        <v>N</v>
      </c>
      <c r="AI108" s="3" t="str">
        <f>IF(Table1[[#This Row],[Rushing Attempts]] &lt; 15, "Y", "N")</f>
        <v>N</v>
      </c>
      <c r="AJ108" s="3" t="str">
        <f>IF(Table1[[#This Row],[Opp Passing Attempts]]&lt;15, "Y", "N")</f>
        <v>N</v>
      </c>
      <c r="AK108" s="3" t="str">
        <f>IF(Table1[[#This Row],[Opp Rushing Attempts]]&lt;15, "Y", "N")</f>
        <v>N</v>
      </c>
      <c r="AL10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103.38</v>
      </c>
      <c r="AM10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88.6</v>
      </c>
      <c r="AN10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100.33</v>
      </c>
      <c r="AO10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106.32</v>
      </c>
      <c r="AP108" s="3">
        <f>ABS(Table1[[#This Row],[Team Score]]-Table1[[#This Row],[Opp Team Score]])</f>
        <v>5</v>
      </c>
      <c r="AQ108" s="3">
        <f>SUM(Table1[[#This Row],[Team Score]], Table1[[#This Row],[Opp Team Score]])</f>
        <v>39</v>
      </c>
      <c r="AR10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12.289999999999992</v>
      </c>
      <c r="AS108" s="3">
        <f>IF(Table1[[#This Row],[Efficiency Difference]] = " ", " ", ROUND((Table1[[#This Row],[Winning Margin]]*100)/Table1[[#This Row],[Efficiency Difference]], 2))</f>
        <v>40.68</v>
      </c>
    </row>
    <row r="109" spans="1:45">
      <c r="A109" t="s">
        <v>99</v>
      </c>
      <c r="B109">
        <v>0</v>
      </c>
      <c r="C109">
        <v>17</v>
      </c>
      <c r="D109">
        <v>190</v>
      </c>
      <c r="E109">
        <v>30</v>
      </c>
      <c r="F109">
        <v>2</v>
      </c>
      <c r="G109">
        <v>18</v>
      </c>
      <c r="H109">
        <v>1</v>
      </c>
      <c r="I109">
        <v>151</v>
      </c>
      <c r="J109">
        <v>30</v>
      </c>
      <c r="K109">
        <v>0</v>
      </c>
      <c r="L109">
        <v>0</v>
      </c>
      <c r="M109" t="s">
        <v>86</v>
      </c>
      <c r="N109">
        <v>0</v>
      </c>
      <c r="O109">
        <v>22</v>
      </c>
      <c r="P109">
        <v>247</v>
      </c>
      <c r="Q109">
        <v>29</v>
      </c>
      <c r="R109">
        <v>1</v>
      </c>
      <c r="S109">
        <v>18</v>
      </c>
      <c r="T109">
        <v>0</v>
      </c>
      <c r="U109">
        <v>103</v>
      </c>
      <c r="V109">
        <v>28</v>
      </c>
      <c r="W109">
        <v>0</v>
      </c>
      <c r="X109">
        <v>0</v>
      </c>
      <c r="Y109" t="s">
        <v>15</v>
      </c>
      <c r="Z109">
        <v>0</v>
      </c>
      <c r="AA109">
        <f>IF(AND(Table1[[#This Row],[Throw Out Pass Eff]]="N", Table1[[#This Row],[Against FCS Team]]="N"), ROUND(((5.45 * D109) + (150 * F109) + (100 * G109) - (300 * H109)) / E109, 2), " ")</f>
        <v>94.52</v>
      </c>
      <c r="AB109">
        <f>IF(AND(Table1[[#This Row],[Throw Out Pass Def Eff]]="N", Table1[[#This Row],[Against FCS Team]]="N"),200 - ROUND(((5.45 * P109) + (150 * R109) + (100 * S109) - (300 * T109)) / Q109, 2), " ")</f>
        <v>86.34</v>
      </c>
      <c r="AC109">
        <f>IF(AND(Table1[[#This Row],[Throw Out Rush Eff]]="N", Table1[[#This Row],[Against FCS Team]]="N"), ROUND(((23.2 * I109) + (150 * K109) - (300 * L109)) / J109, 2), " ")</f>
        <v>116.77</v>
      </c>
      <c r="AD109" s="3">
        <f>IF(AND(Table1[[#This Row],[Throw Out Rush Def Eff]]="N", Table1[[#This Row],[Against FCS Team]]="N"), 200 - ROUND(((23.2 * U109) + (150 * W109) - (300 * X109)) / V109, 2), " ")</f>
        <v>114.66</v>
      </c>
      <c r="AE109" s="3">
        <f>ROUND(Table1[[#This Row],[Opp Passing Attempts]]/(Table1[[#This Row],[Opp Passing Attempts]]+Table1[[#This Row],[Opp Rushing Attempts]]), 2)</f>
        <v>0.51</v>
      </c>
      <c r="AF109" s="3">
        <f>1-Table1[[#This Row],[Passing Weight]]</f>
        <v>0.49</v>
      </c>
      <c r="AG109" s="3" t="str">
        <f>IF(COUNTIF(A:A,Table1[[#This Row],[Opp Team Name]]) &gt; 0, "N", "Y")</f>
        <v>N</v>
      </c>
      <c r="AH109" s="3" t="str">
        <f>IF(Table1[[#This Row],[Passing Attempts]] &lt;15, "Y", "N")</f>
        <v>N</v>
      </c>
      <c r="AI109" s="3" t="str">
        <f>IF(Table1[[#This Row],[Rushing Attempts]] &lt; 15, "Y", "N")</f>
        <v>N</v>
      </c>
      <c r="AJ109" s="3" t="str">
        <f>IF(Table1[[#This Row],[Opp Passing Attempts]]&lt;15, "Y", "N")</f>
        <v>N</v>
      </c>
      <c r="AK109" s="3" t="str">
        <f>IF(Table1[[#This Row],[Opp Rushing Attempts]]&lt;15, "Y", "N")</f>
        <v>N</v>
      </c>
      <c r="AL10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102.5</v>
      </c>
      <c r="AM10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78.790000000000006</v>
      </c>
      <c r="AN10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116.25</v>
      </c>
      <c r="AO10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106.9</v>
      </c>
      <c r="AP109" s="3">
        <f>ABS(Table1[[#This Row],[Team Score]]-Table1[[#This Row],[Opp Team Score]])</f>
        <v>5</v>
      </c>
      <c r="AQ109" s="3">
        <f>SUM(Table1[[#This Row],[Team Score]], Table1[[#This Row],[Opp Team Score]])</f>
        <v>39</v>
      </c>
      <c r="AR10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12.289999999999992</v>
      </c>
      <c r="AS109" s="3">
        <f>IF(Table1[[#This Row],[Efficiency Difference]] = " ", " ", ROUND((Table1[[#This Row],[Winning Margin]]*100)/Table1[[#This Row],[Efficiency Difference]], 2))</f>
        <v>40.68</v>
      </c>
    </row>
    <row r="110" spans="1:45">
      <c r="A110" t="s">
        <v>93</v>
      </c>
      <c r="B110">
        <v>0</v>
      </c>
      <c r="C110">
        <v>23</v>
      </c>
      <c r="D110">
        <v>405</v>
      </c>
      <c r="E110">
        <v>46</v>
      </c>
      <c r="F110">
        <v>2</v>
      </c>
      <c r="G110">
        <v>30</v>
      </c>
      <c r="H110">
        <v>1</v>
      </c>
      <c r="I110">
        <v>108</v>
      </c>
      <c r="J110">
        <v>20</v>
      </c>
      <c r="K110">
        <v>0</v>
      </c>
      <c r="L110">
        <v>2</v>
      </c>
      <c r="M110" t="s">
        <v>104</v>
      </c>
      <c r="N110">
        <v>0</v>
      </c>
      <c r="O110">
        <v>24</v>
      </c>
      <c r="P110">
        <v>278</v>
      </c>
      <c r="Q110">
        <v>33</v>
      </c>
      <c r="R110">
        <v>2</v>
      </c>
      <c r="S110">
        <v>21</v>
      </c>
      <c r="T110">
        <v>0</v>
      </c>
      <c r="U110">
        <v>164</v>
      </c>
      <c r="V110">
        <v>25</v>
      </c>
      <c r="W110">
        <v>1</v>
      </c>
      <c r="X110">
        <v>1</v>
      </c>
      <c r="Y110" t="s">
        <v>15</v>
      </c>
      <c r="Z110">
        <v>0</v>
      </c>
      <c r="AA110" s="3">
        <f>IF(AND(Table1[[#This Row],[Throw Out Pass Eff]]="N", Table1[[#This Row],[Against FCS Team]]="N"), ROUND(((5.45 * D110) + (150 * F110) + (100 * G110) - (300 * H110)) / E110, 2), " ")</f>
        <v>113.2</v>
      </c>
      <c r="AB110" s="3">
        <f>IF(AND(Table1[[#This Row],[Throw Out Pass Def Eff]]="N", Table1[[#This Row],[Against FCS Team]]="N"),200 - ROUND(((5.45 * P110) + (150 * R110) + (100 * S110) - (300 * T110)) / Q110, 2), " ")</f>
        <v>81.36</v>
      </c>
      <c r="AC110" s="3">
        <f>IF(AND(Table1[[#This Row],[Throw Out Rush Eff]]="N", Table1[[#This Row],[Against FCS Team]]="N"), ROUND(((23.2 * I110) + (150 * K110) - (300 * L110)) / J110, 2), " ")</f>
        <v>95.28</v>
      </c>
      <c r="AD110" s="3">
        <f>IF(AND(Table1[[#This Row],[Throw Out Rush Def Eff]]="N", Table1[[#This Row],[Against FCS Team]]="N"), 200 - ROUND(((23.2 * U110) + (150 * W110) - (300 * X110)) / V110, 2), " ")</f>
        <v>53.81</v>
      </c>
      <c r="AE110" s="3">
        <f>ROUND(Table1[[#This Row],[Opp Passing Attempts]]/(Table1[[#This Row],[Opp Passing Attempts]]+Table1[[#This Row],[Opp Rushing Attempts]]), 2)</f>
        <v>0.56999999999999995</v>
      </c>
      <c r="AF110" s="3">
        <f>1-Table1[[#This Row],[Passing Weight]]</f>
        <v>0.43000000000000005</v>
      </c>
      <c r="AG110" s="3" t="str">
        <f>IF(COUNTIF(A:A,Table1[[#This Row],[Opp Team Name]]) &gt; 0, "N", "Y")</f>
        <v>N</v>
      </c>
      <c r="AH110" s="3" t="str">
        <f>IF(Table1[[#This Row],[Passing Attempts]] &lt;15, "Y", "N")</f>
        <v>N</v>
      </c>
      <c r="AI110" s="3" t="str">
        <f>IF(Table1[[#This Row],[Rushing Attempts]] &lt; 15, "Y", "N")</f>
        <v>N</v>
      </c>
      <c r="AJ110" s="3" t="str">
        <f>IF(Table1[[#This Row],[Opp Passing Attempts]]&lt;15, "Y", "N")</f>
        <v>N</v>
      </c>
      <c r="AK110" s="3" t="str">
        <f>IF(Table1[[#This Row],[Opp Rushing Attempts]]&lt;15, "Y", "N")</f>
        <v>N</v>
      </c>
      <c r="AL11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129.13999999999999</v>
      </c>
      <c r="AM11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84.74</v>
      </c>
      <c r="AN11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124.12</v>
      </c>
      <c r="AO11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55.57</v>
      </c>
      <c r="AP110" s="3">
        <f>ABS(Table1[[#This Row],[Team Score]]-Table1[[#This Row],[Opp Team Score]])</f>
        <v>1</v>
      </c>
      <c r="AQ110" s="3">
        <f>SUM(Table1[[#This Row],[Team Score]], Table1[[#This Row],[Opp Team Score]])</f>
        <v>47</v>
      </c>
      <c r="AR11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56.349999999999966</v>
      </c>
      <c r="AS110" s="3">
        <f>IF(Table1[[#This Row],[Efficiency Difference]] = " ", " ", ROUND((Table1[[#This Row],[Winning Margin]]*100)/Table1[[#This Row],[Efficiency Difference]], 2))</f>
        <v>1.77</v>
      </c>
    </row>
    <row r="111" spans="1:45">
      <c r="A111" t="s">
        <v>104</v>
      </c>
      <c r="B111">
        <v>0</v>
      </c>
      <c r="C111">
        <v>24</v>
      </c>
      <c r="D111">
        <v>278</v>
      </c>
      <c r="E111">
        <v>33</v>
      </c>
      <c r="F111">
        <v>2</v>
      </c>
      <c r="G111">
        <v>21</v>
      </c>
      <c r="H111">
        <v>0</v>
      </c>
      <c r="I111">
        <v>164</v>
      </c>
      <c r="J111">
        <v>25</v>
      </c>
      <c r="K111">
        <v>1</v>
      </c>
      <c r="L111">
        <v>1</v>
      </c>
      <c r="M111" t="s">
        <v>93</v>
      </c>
      <c r="N111">
        <v>0</v>
      </c>
      <c r="O111">
        <v>23</v>
      </c>
      <c r="P111">
        <v>405</v>
      </c>
      <c r="Q111">
        <v>46</v>
      </c>
      <c r="R111">
        <v>2</v>
      </c>
      <c r="S111">
        <v>30</v>
      </c>
      <c r="T111">
        <v>1</v>
      </c>
      <c r="U111">
        <v>108</v>
      </c>
      <c r="V111">
        <v>20</v>
      </c>
      <c r="W111">
        <v>0</v>
      </c>
      <c r="X111">
        <v>2</v>
      </c>
      <c r="Y111" t="s">
        <v>14</v>
      </c>
      <c r="Z111">
        <v>0</v>
      </c>
      <c r="AA111">
        <f>IF(AND(Table1[[#This Row],[Throw Out Pass Eff]]="N", Table1[[#This Row],[Against FCS Team]]="N"), ROUND(((5.45 * D111) + (150 * F111) + (100 * G111) - (300 * H111)) / E111, 2), " ")</f>
        <v>118.64</v>
      </c>
      <c r="AB111">
        <f>IF(AND(Table1[[#This Row],[Throw Out Pass Def Eff]]="N", Table1[[#This Row],[Against FCS Team]]="N"),200 - ROUND(((5.45 * P111) + (150 * R111) + (100 * S111) - (300 * T111)) / Q111, 2), " ")</f>
        <v>86.8</v>
      </c>
      <c r="AC111">
        <f>IF(AND(Table1[[#This Row],[Throw Out Rush Eff]]="N", Table1[[#This Row],[Against FCS Team]]="N"), ROUND(((23.2 * I111) + (150 * K111) - (300 * L111)) / J111, 2), " ")</f>
        <v>146.19</v>
      </c>
      <c r="AD111" s="3">
        <f>IF(AND(Table1[[#This Row],[Throw Out Rush Def Eff]]="N", Table1[[#This Row],[Against FCS Team]]="N"), 200 - ROUND(((23.2 * U111) + (150 * W111) - (300 * X111)) / V111, 2), " ")</f>
        <v>104.72</v>
      </c>
      <c r="AE111" s="3">
        <f>ROUND(Table1[[#This Row],[Opp Passing Attempts]]/(Table1[[#This Row],[Opp Passing Attempts]]+Table1[[#This Row],[Opp Rushing Attempts]]), 2)</f>
        <v>0.7</v>
      </c>
      <c r="AF111" s="3">
        <f>1-Table1[[#This Row],[Passing Weight]]</f>
        <v>0.30000000000000004</v>
      </c>
      <c r="AG111" s="3" t="str">
        <f>IF(COUNTIF(A:A,Table1[[#This Row],[Opp Team Name]]) &gt; 0, "N", "Y")</f>
        <v>N</v>
      </c>
      <c r="AH111" s="3" t="str">
        <f>IF(Table1[[#This Row],[Passing Attempts]] &lt;15, "Y", "N")</f>
        <v>N</v>
      </c>
      <c r="AI111" s="3" t="str">
        <f>IF(Table1[[#This Row],[Rushing Attempts]] &lt; 15, "Y", "N")</f>
        <v>N</v>
      </c>
      <c r="AJ111" s="3" t="str">
        <f>IF(Table1[[#This Row],[Opp Passing Attempts]]&lt;15, "Y", "N")</f>
        <v>N</v>
      </c>
      <c r="AK111" s="3" t="str">
        <f>IF(Table1[[#This Row],[Opp Rushing Attempts]]&lt;15, "Y", "N")</f>
        <v>N</v>
      </c>
      <c r="AL11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117.77</v>
      </c>
      <c r="AM11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79.7</v>
      </c>
      <c r="AN11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119.46</v>
      </c>
      <c r="AO11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136.59</v>
      </c>
      <c r="AP111" s="3">
        <f>ABS(Table1[[#This Row],[Team Score]]-Table1[[#This Row],[Opp Team Score]])</f>
        <v>1</v>
      </c>
      <c r="AQ111" s="3">
        <f>SUM(Table1[[#This Row],[Team Score]], Table1[[#This Row],[Opp Team Score]])</f>
        <v>47</v>
      </c>
      <c r="AR11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56.349999999999966</v>
      </c>
      <c r="AS111" s="3">
        <f>IF(Table1[[#This Row],[Efficiency Difference]] = " ", " ", ROUND((Table1[[#This Row],[Winning Margin]]*100)/Table1[[#This Row],[Efficiency Difference]], 2))</f>
        <v>1.77</v>
      </c>
    </row>
    <row r="112" spans="1:45">
      <c r="A112" t="s">
        <v>92</v>
      </c>
      <c r="B112">
        <v>0</v>
      </c>
      <c r="C112">
        <v>10</v>
      </c>
      <c r="D112">
        <v>127</v>
      </c>
      <c r="E112">
        <v>43</v>
      </c>
      <c r="F112">
        <v>1</v>
      </c>
      <c r="G112">
        <v>20</v>
      </c>
      <c r="H112">
        <v>0</v>
      </c>
      <c r="I112">
        <v>45</v>
      </c>
      <c r="J112">
        <v>17</v>
      </c>
      <c r="K112">
        <v>0</v>
      </c>
      <c r="L112">
        <v>1</v>
      </c>
      <c r="M112" t="s">
        <v>100</v>
      </c>
      <c r="N112">
        <v>0</v>
      </c>
      <c r="O112">
        <v>17</v>
      </c>
      <c r="P112">
        <v>143</v>
      </c>
      <c r="Q112">
        <v>29</v>
      </c>
      <c r="R112">
        <v>1</v>
      </c>
      <c r="S112">
        <v>15</v>
      </c>
      <c r="T112">
        <v>2</v>
      </c>
      <c r="U112">
        <v>196</v>
      </c>
      <c r="V112">
        <v>40</v>
      </c>
      <c r="W112">
        <v>1</v>
      </c>
      <c r="X112">
        <v>0</v>
      </c>
      <c r="Y112" t="s">
        <v>15</v>
      </c>
      <c r="Z112">
        <v>0</v>
      </c>
      <c r="AA112">
        <f>IF(AND(Table1[[#This Row],[Throw Out Pass Eff]]="N", Table1[[#This Row],[Against FCS Team]]="N"), ROUND(((5.45 * D112) + (150 * F112) + (100 * G112) - (300 * H112)) / E112, 2), " ")</f>
        <v>66.099999999999994</v>
      </c>
      <c r="AB112">
        <f>IF(AND(Table1[[#This Row],[Throw Out Pass Def Eff]]="N", Table1[[#This Row],[Against FCS Team]]="N"),200 - ROUND(((5.45 * P112) + (150 * R112) + (100 * S112) - (300 * T112)) / Q112, 2), " ")</f>
        <v>136.92000000000002</v>
      </c>
      <c r="AC112">
        <f>IF(AND(Table1[[#This Row],[Throw Out Rush Eff]]="N", Table1[[#This Row],[Against FCS Team]]="N"), ROUND(((23.2 * I112) + (150 * K112) - (300 * L112)) / J112, 2), " ")</f>
        <v>43.76</v>
      </c>
      <c r="AD112" s="3">
        <f>IF(AND(Table1[[#This Row],[Throw Out Rush Def Eff]]="N", Table1[[#This Row],[Against FCS Team]]="N"), 200 - ROUND(((23.2 * U112) + (150 * W112) - (300 * X112)) / V112, 2), " ")</f>
        <v>82.57</v>
      </c>
      <c r="AE112" s="3">
        <f>ROUND(Table1[[#This Row],[Opp Passing Attempts]]/(Table1[[#This Row],[Opp Passing Attempts]]+Table1[[#This Row],[Opp Rushing Attempts]]), 2)</f>
        <v>0.42</v>
      </c>
      <c r="AF112" s="3">
        <f>1-Table1[[#This Row],[Passing Weight]]</f>
        <v>0.58000000000000007</v>
      </c>
      <c r="AG112" s="3" t="str">
        <f>IF(COUNTIF(A:A,Table1[[#This Row],[Opp Team Name]]) &gt; 0, "N", "Y")</f>
        <v>N</v>
      </c>
      <c r="AH112" s="3" t="str">
        <f>IF(Table1[[#This Row],[Passing Attempts]] &lt;15, "Y", "N")</f>
        <v>N</v>
      </c>
      <c r="AI112" s="3" t="str">
        <f>IF(Table1[[#This Row],[Rushing Attempts]] &lt; 15, "Y", "N")</f>
        <v>N</v>
      </c>
      <c r="AJ112" s="3" t="str">
        <f>IF(Table1[[#This Row],[Opp Passing Attempts]]&lt;15, "Y", "N")</f>
        <v>N</v>
      </c>
      <c r="AK112" s="3" t="str">
        <f>IF(Table1[[#This Row],[Opp Rushing Attempts]]&lt;15, "Y", "N")</f>
        <v>N</v>
      </c>
      <c r="AL11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70.040000000000006</v>
      </c>
      <c r="AM11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113.01</v>
      </c>
      <c r="AN11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42.4</v>
      </c>
      <c r="AO11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69.33</v>
      </c>
      <c r="AP112" s="3">
        <f>ABS(Table1[[#This Row],[Team Score]]-Table1[[#This Row],[Opp Team Score]])</f>
        <v>7</v>
      </c>
      <c r="AQ112" s="3">
        <f>SUM(Table1[[#This Row],[Team Score]], Table1[[#This Row],[Opp Team Score]])</f>
        <v>27</v>
      </c>
      <c r="AR11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70.650000000000006</v>
      </c>
      <c r="AS112" s="3">
        <f>IF(Table1[[#This Row],[Efficiency Difference]] = " ", " ", ROUND((Table1[[#This Row],[Winning Margin]]*100)/Table1[[#This Row],[Efficiency Difference]], 2))</f>
        <v>9.91</v>
      </c>
    </row>
    <row r="113" spans="1:45">
      <c r="A113" t="s">
        <v>100</v>
      </c>
      <c r="B113">
        <v>0</v>
      </c>
      <c r="C113">
        <v>17</v>
      </c>
      <c r="D113">
        <v>143</v>
      </c>
      <c r="E113">
        <v>29</v>
      </c>
      <c r="F113">
        <v>1</v>
      </c>
      <c r="G113">
        <v>15</v>
      </c>
      <c r="H113">
        <v>2</v>
      </c>
      <c r="I113">
        <v>196</v>
      </c>
      <c r="J113">
        <v>40</v>
      </c>
      <c r="K113">
        <v>1</v>
      </c>
      <c r="L113">
        <v>0</v>
      </c>
      <c r="M113" t="s">
        <v>92</v>
      </c>
      <c r="N113">
        <v>0</v>
      </c>
      <c r="O113">
        <v>10</v>
      </c>
      <c r="P113">
        <v>127</v>
      </c>
      <c r="Q113">
        <v>43</v>
      </c>
      <c r="R113">
        <v>1</v>
      </c>
      <c r="S113">
        <v>20</v>
      </c>
      <c r="T113">
        <v>0</v>
      </c>
      <c r="U113">
        <v>45</v>
      </c>
      <c r="V113">
        <v>17</v>
      </c>
      <c r="W113">
        <v>0</v>
      </c>
      <c r="X113">
        <v>1</v>
      </c>
      <c r="Y113" t="s">
        <v>14</v>
      </c>
      <c r="Z113">
        <v>0</v>
      </c>
      <c r="AA113">
        <f>IF(AND(Table1[[#This Row],[Throw Out Pass Eff]]="N", Table1[[#This Row],[Against FCS Team]]="N"), ROUND(((5.45 * D113) + (150 * F113) + (100 * G113) - (300 * H113)) / E113, 2), " ")</f>
        <v>63.08</v>
      </c>
      <c r="AB113">
        <f>IF(AND(Table1[[#This Row],[Throw Out Pass Def Eff]]="N", Table1[[#This Row],[Against FCS Team]]="N"),200 - ROUND(((5.45 * P113) + (150 * R113) + (100 * S113) - (300 * T113)) / Q113, 2), " ")</f>
        <v>133.9</v>
      </c>
      <c r="AC113">
        <f>IF(AND(Table1[[#This Row],[Throw Out Rush Eff]]="N", Table1[[#This Row],[Against FCS Team]]="N"), ROUND(((23.2 * I113) + (150 * K113) - (300 * L113)) / J113, 2), " ")</f>
        <v>117.43</v>
      </c>
      <c r="AD113" s="3">
        <f>IF(AND(Table1[[#This Row],[Throw Out Rush Def Eff]]="N", Table1[[#This Row],[Against FCS Team]]="N"), 200 - ROUND(((23.2 * U113) + (150 * W113) - (300 * X113)) / V113, 2), " ")</f>
        <v>156.24</v>
      </c>
      <c r="AE113" s="3">
        <f>ROUND(Table1[[#This Row],[Opp Passing Attempts]]/(Table1[[#This Row],[Opp Passing Attempts]]+Table1[[#This Row],[Opp Rushing Attempts]]), 2)</f>
        <v>0.72</v>
      </c>
      <c r="AF113" s="3">
        <f>1-Table1[[#This Row],[Passing Weight]]</f>
        <v>0.28000000000000003</v>
      </c>
      <c r="AG113" s="3" t="str">
        <f>IF(COUNTIF(A:A,Table1[[#This Row],[Opp Team Name]]) &gt; 0, "N", "Y")</f>
        <v>N</v>
      </c>
      <c r="AH113" s="3" t="str">
        <f>IF(Table1[[#This Row],[Passing Attempts]] &lt;15, "Y", "N")</f>
        <v>N</v>
      </c>
      <c r="AI113" s="3" t="str">
        <f>IF(Table1[[#This Row],[Rushing Attempts]] &lt; 15, "Y", "N")</f>
        <v>N</v>
      </c>
      <c r="AJ113" s="3" t="str">
        <f>IF(Table1[[#This Row],[Opp Passing Attempts]]&lt;15, "Y", "N")</f>
        <v>N</v>
      </c>
      <c r="AK113" s="3" t="str">
        <f>IF(Table1[[#This Row],[Opp Rushing Attempts]]&lt;15, "Y", "N")</f>
        <v>N</v>
      </c>
      <c r="AL11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64.680000000000007</v>
      </c>
      <c r="AM11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107.04</v>
      </c>
      <c r="AN11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83.59</v>
      </c>
      <c r="AO11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127.21</v>
      </c>
      <c r="AP113" s="3">
        <f>ABS(Table1[[#This Row],[Team Score]]-Table1[[#This Row],[Opp Team Score]])</f>
        <v>7</v>
      </c>
      <c r="AQ113" s="3">
        <f>SUM(Table1[[#This Row],[Team Score]], Table1[[#This Row],[Opp Team Score]])</f>
        <v>27</v>
      </c>
      <c r="AR11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70.649999999999977</v>
      </c>
      <c r="AS113" s="3">
        <f>IF(Table1[[#This Row],[Efficiency Difference]] = " ", " ", ROUND((Table1[[#This Row],[Winning Margin]]*100)/Table1[[#This Row],[Efficiency Difference]], 2))</f>
        <v>9.91</v>
      </c>
    </row>
    <row r="114" spans="1:45">
      <c r="A114" t="s">
        <v>84</v>
      </c>
      <c r="B114">
        <v>0</v>
      </c>
      <c r="C114">
        <v>17</v>
      </c>
      <c r="D114">
        <v>138</v>
      </c>
      <c r="E114">
        <v>21</v>
      </c>
      <c r="F114">
        <v>1</v>
      </c>
      <c r="G114">
        <v>14</v>
      </c>
      <c r="H114">
        <v>0</v>
      </c>
      <c r="I114">
        <v>180</v>
      </c>
      <c r="J114">
        <v>35</v>
      </c>
      <c r="K114">
        <v>1</v>
      </c>
      <c r="L114">
        <v>0</v>
      </c>
      <c r="M114" t="s">
        <v>95</v>
      </c>
      <c r="N114">
        <v>0</v>
      </c>
      <c r="O114">
        <v>10</v>
      </c>
      <c r="P114">
        <v>178</v>
      </c>
      <c r="Q114">
        <v>30</v>
      </c>
      <c r="R114">
        <v>0</v>
      </c>
      <c r="S114">
        <v>16</v>
      </c>
      <c r="T114">
        <v>1</v>
      </c>
      <c r="U114">
        <v>118</v>
      </c>
      <c r="V114">
        <v>22</v>
      </c>
      <c r="W114">
        <v>1</v>
      </c>
      <c r="X114">
        <v>0</v>
      </c>
      <c r="Y114" t="s">
        <v>14</v>
      </c>
      <c r="Z114">
        <v>0</v>
      </c>
      <c r="AA114">
        <f>IF(AND(Table1[[#This Row],[Throw Out Pass Eff]]="N", Table1[[#This Row],[Against FCS Team]]="N"), ROUND(((5.45 * D114) + (150 * F114) + (100 * G114) - (300 * H114)) / E114, 2), " ")</f>
        <v>109.62</v>
      </c>
      <c r="AB114">
        <f>IF(AND(Table1[[#This Row],[Throw Out Pass Def Eff]]="N", Table1[[#This Row],[Against FCS Team]]="N"),200 - ROUND(((5.45 * P114) + (150 * R114) + (100 * S114) - (300 * T114)) / Q114, 2), " ")</f>
        <v>124.33</v>
      </c>
      <c r="AC114">
        <f>IF(AND(Table1[[#This Row],[Throw Out Rush Eff]]="N", Table1[[#This Row],[Against FCS Team]]="N"), ROUND(((23.2 * I114) + (150 * K114) - (300 * L114)) / J114, 2), " ")</f>
        <v>123.6</v>
      </c>
      <c r="AD114" s="3">
        <f>IF(AND(Table1[[#This Row],[Throw Out Rush Def Eff]]="N", Table1[[#This Row],[Against FCS Team]]="N"), 200 - ROUND(((23.2 * U114) + (150 * W114) - (300 * X114)) / V114, 2), " ")</f>
        <v>68.75</v>
      </c>
      <c r="AE114" s="3">
        <f>ROUND(Table1[[#This Row],[Opp Passing Attempts]]/(Table1[[#This Row],[Opp Passing Attempts]]+Table1[[#This Row],[Opp Rushing Attempts]]), 2)</f>
        <v>0.57999999999999996</v>
      </c>
      <c r="AF114" s="3">
        <f>1-Table1[[#This Row],[Passing Weight]]</f>
        <v>0.42000000000000004</v>
      </c>
      <c r="AG114" s="3" t="str">
        <f>IF(COUNTIF(A:A,Table1[[#This Row],[Opp Team Name]]) &gt; 0, "N", "Y")</f>
        <v>N</v>
      </c>
      <c r="AH114" s="3" t="str">
        <f>IF(Table1[[#This Row],[Passing Attempts]] &lt;15, "Y", "N")</f>
        <v>N</v>
      </c>
      <c r="AI114" s="3" t="str">
        <f>IF(Table1[[#This Row],[Rushing Attempts]] &lt; 15, "Y", "N")</f>
        <v>N</v>
      </c>
      <c r="AJ114" s="3" t="str">
        <f>IF(Table1[[#This Row],[Opp Passing Attempts]]&lt;15, "Y", "N")</f>
        <v>N</v>
      </c>
      <c r="AK114" s="3" t="str">
        <f>IF(Table1[[#This Row],[Opp Rushing Attempts]]&lt;15, "Y", "N")</f>
        <v>N</v>
      </c>
      <c r="AL11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120.97</v>
      </c>
      <c r="AM11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132.01</v>
      </c>
      <c r="AN11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113.51</v>
      </c>
      <c r="AO11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61.33</v>
      </c>
      <c r="AP114" s="3">
        <f>ABS(Table1[[#This Row],[Team Score]]-Table1[[#This Row],[Opp Team Score]])</f>
        <v>7</v>
      </c>
      <c r="AQ114" s="3">
        <f>SUM(Table1[[#This Row],[Team Score]], Table1[[#This Row],[Opp Team Score]])</f>
        <v>27</v>
      </c>
      <c r="AR11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26.299999999999983</v>
      </c>
      <c r="AS114" s="3">
        <f>IF(Table1[[#This Row],[Efficiency Difference]] = " ", " ", ROUND((Table1[[#This Row],[Winning Margin]]*100)/Table1[[#This Row],[Efficiency Difference]], 2))</f>
        <v>26.62</v>
      </c>
    </row>
    <row r="115" spans="1:45">
      <c r="A115" t="s">
        <v>95</v>
      </c>
      <c r="B115">
        <v>0</v>
      </c>
      <c r="C115">
        <v>10</v>
      </c>
      <c r="D115">
        <v>178</v>
      </c>
      <c r="E115">
        <v>30</v>
      </c>
      <c r="F115">
        <v>0</v>
      </c>
      <c r="G115">
        <v>16</v>
      </c>
      <c r="H115">
        <v>1</v>
      </c>
      <c r="I115">
        <v>118</v>
      </c>
      <c r="J115">
        <v>22</v>
      </c>
      <c r="K115">
        <v>1</v>
      </c>
      <c r="L115">
        <v>0</v>
      </c>
      <c r="M115" t="s">
        <v>84</v>
      </c>
      <c r="N115">
        <v>0</v>
      </c>
      <c r="O115">
        <v>17</v>
      </c>
      <c r="P115">
        <v>138</v>
      </c>
      <c r="Q115">
        <v>21</v>
      </c>
      <c r="R115">
        <v>1</v>
      </c>
      <c r="S115">
        <v>14</v>
      </c>
      <c r="T115">
        <v>0</v>
      </c>
      <c r="U115">
        <v>180</v>
      </c>
      <c r="V115">
        <v>35</v>
      </c>
      <c r="W115">
        <v>1</v>
      </c>
      <c r="X115">
        <v>0</v>
      </c>
      <c r="Y115" t="s">
        <v>15</v>
      </c>
      <c r="Z115">
        <v>0</v>
      </c>
      <c r="AA115">
        <f>IF(AND(Table1[[#This Row],[Throw Out Pass Eff]]="N", Table1[[#This Row],[Against FCS Team]]="N"), ROUND(((5.45 * D115) + (150 * F115) + (100 * G115) - (300 * H115)) / E115, 2), " ")</f>
        <v>75.67</v>
      </c>
      <c r="AB115">
        <f>IF(AND(Table1[[#This Row],[Throw Out Pass Def Eff]]="N", Table1[[#This Row],[Against FCS Team]]="N"),200 - ROUND(((5.45 * P115) + (150 * R115) + (100 * S115) - (300 * T115)) / Q115, 2), " ")</f>
        <v>90.38</v>
      </c>
      <c r="AC115">
        <f>IF(AND(Table1[[#This Row],[Throw Out Rush Eff]]="N", Table1[[#This Row],[Against FCS Team]]="N"), ROUND(((23.2 * I115) + (150 * K115) - (300 * L115)) / J115, 2), " ")</f>
        <v>131.25</v>
      </c>
      <c r="AD115" s="3">
        <f>IF(AND(Table1[[#This Row],[Throw Out Rush Def Eff]]="N", Table1[[#This Row],[Against FCS Team]]="N"), 200 - ROUND(((23.2 * U115) + (150 * W115) - (300 * X115)) / V115, 2), " ")</f>
        <v>76.400000000000006</v>
      </c>
      <c r="AE115" s="3">
        <f>ROUND(Table1[[#This Row],[Opp Passing Attempts]]/(Table1[[#This Row],[Opp Passing Attempts]]+Table1[[#This Row],[Opp Rushing Attempts]]), 2)</f>
        <v>0.38</v>
      </c>
      <c r="AF115" s="3">
        <f>1-Table1[[#This Row],[Passing Weight]]</f>
        <v>0.62</v>
      </c>
      <c r="AG115" s="3" t="str">
        <f>IF(COUNTIF(A:A,Table1[[#This Row],[Opp Team Name]]) &gt; 0, "N", "Y")</f>
        <v>N</v>
      </c>
      <c r="AH115" s="3" t="str">
        <f>IF(Table1[[#This Row],[Passing Attempts]] &lt;15, "Y", "N")</f>
        <v>N</v>
      </c>
      <c r="AI115" s="3" t="str">
        <f>IF(Table1[[#This Row],[Rushing Attempts]] &lt; 15, "Y", "N")</f>
        <v>N</v>
      </c>
      <c r="AJ115" s="3" t="str">
        <f>IF(Table1[[#This Row],[Opp Passing Attempts]]&lt;15, "Y", "N")</f>
        <v>N</v>
      </c>
      <c r="AK115" s="3" t="str">
        <f>IF(Table1[[#This Row],[Opp Rushing Attempts]]&lt;15, "Y", "N")</f>
        <v>N</v>
      </c>
      <c r="AL11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91.09</v>
      </c>
      <c r="AM11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100.67</v>
      </c>
      <c r="AN11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133.09</v>
      </c>
      <c r="AO11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73.72</v>
      </c>
      <c r="AP115" s="3">
        <f>ABS(Table1[[#This Row],[Team Score]]-Table1[[#This Row],[Opp Team Score]])</f>
        <v>7</v>
      </c>
      <c r="AQ115" s="3">
        <f>SUM(Table1[[#This Row],[Team Score]], Table1[[#This Row],[Opp Team Score]])</f>
        <v>27</v>
      </c>
      <c r="AR11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26.299999999999983</v>
      </c>
      <c r="AS115" s="3">
        <f>IF(Table1[[#This Row],[Efficiency Difference]] = " ", " ", ROUND((Table1[[#This Row],[Winning Margin]]*100)/Table1[[#This Row],[Efficiency Difference]], 2))</f>
        <v>26.62</v>
      </c>
    </row>
    <row r="116" spans="1:45">
      <c r="A116" t="s">
        <v>105</v>
      </c>
      <c r="B116">
        <v>0</v>
      </c>
      <c r="C116">
        <v>28</v>
      </c>
      <c r="D116">
        <v>319</v>
      </c>
      <c r="E116">
        <v>38</v>
      </c>
      <c r="F116">
        <v>3</v>
      </c>
      <c r="G116">
        <v>25</v>
      </c>
      <c r="H116">
        <v>2</v>
      </c>
      <c r="I116">
        <v>53</v>
      </c>
      <c r="J116">
        <v>15</v>
      </c>
      <c r="K116">
        <v>1</v>
      </c>
      <c r="L116">
        <v>0</v>
      </c>
      <c r="M116" t="s">
        <v>83</v>
      </c>
      <c r="N116">
        <v>0</v>
      </c>
      <c r="O116">
        <v>30</v>
      </c>
      <c r="P116">
        <v>291</v>
      </c>
      <c r="Q116">
        <v>42</v>
      </c>
      <c r="R116">
        <v>1</v>
      </c>
      <c r="S116">
        <v>28</v>
      </c>
      <c r="T116">
        <v>0</v>
      </c>
      <c r="U116">
        <v>121</v>
      </c>
      <c r="V116">
        <v>36</v>
      </c>
      <c r="W116">
        <v>2</v>
      </c>
      <c r="X116">
        <v>0</v>
      </c>
      <c r="Y116" t="s">
        <v>15</v>
      </c>
      <c r="Z116">
        <v>0</v>
      </c>
      <c r="AA116">
        <f>IF(AND(Table1[[#This Row],[Throw Out Pass Eff]]="N", Table1[[#This Row],[Against FCS Team]]="N"), ROUND(((5.45 * D116) + (150 * F116) + (100 * G116) - (300 * H116)) / E116, 2), " ")</f>
        <v>107.59</v>
      </c>
      <c r="AB116">
        <f>IF(AND(Table1[[#This Row],[Throw Out Pass Def Eff]]="N", Table1[[#This Row],[Against FCS Team]]="N"),200 - ROUND(((5.45 * P116) + (150 * R116) + (100 * S116) - (300 * T116)) / Q116, 2), " ")</f>
        <v>92</v>
      </c>
      <c r="AC116">
        <f>IF(AND(Table1[[#This Row],[Throw Out Rush Eff]]="N", Table1[[#This Row],[Against FCS Team]]="N"), ROUND(((23.2 * I116) + (150 * K116) - (300 * L116)) / J116, 2), " ")</f>
        <v>91.97</v>
      </c>
      <c r="AD116" s="3">
        <f>IF(AND(Table1[[#This Row],[Throw Out Rush Def Eff]]="N", Table1[[#This Row],[Against FCS Team]]="N"), 200 - ROUND(((23.2 * U116) + (150 * W116) - (300 * X116)) / V116, 2), " ")</f>
        <v>113.69</v>
      </c>
      <c r="AE116" s="3">
        <f>ROUND(Table1[[#This Row],[Opp Passing Attempts]]/(Table1[[#This Row],[Opp Passing Attempts]]+Table1[[#This Row],[Opp Rushing Attempts]]), 2)</f>
        <v>0.54</v>
      </c>
      <c r="AF116" s="3">
        <f>1-Table1[[#This Row],[Passing Weight]]</f>
        <v>0.45999999999999996</v>
      </c>
      <c r="AG116" s="3" t="str">
        <f>IF(COUNTIF(A:A,Table1[[#This Row],[Opp Team Name]]) &gt; 0, "N", "Y")</f>
        <v>N</v>
      </c>
      <c r="AH116" s="3" t="str">
        <f>IF(Table1[[#This Row],[Passing Attempts]] &lt;15, "Y", "N")</f>
        <v>N</v>
      </c>
      <c r="AI116" s="3" t="str">
        <f>IF(Table1[[#This Row],[Rushing Attempts]] &lt; 15, "Y", "N")</f>
        <v>N</v>
      </c>
      <c r="AJ116" s="3" t="str">
        <f>IF(Table1[[#This Row],[Opp Passing Attempts]]&lt;15, "Y", "N")</f>
        <v>N</v>
      </c>
      <c r="AK116" s="3" t="str">
        <f>IF(Table1[[#This Row],[Opp Rushing Attempts]]&lt;15, "Y", "N")</f>
        <v>N</v>
      </c>
      <c r="AL11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108.08</v>
      </c>
      <c r="AM11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83.53</v>
      </c>
      <c r="AN11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101.03</v>
      </c>
      <c r="AO11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102.24</v>
      </c>
      <c r="AP116" s="3">
        <f>ABS(Table1[[#This Row],[Team Score]]-Table1[[#This Row],[Opp Team Score]])</f>
        <v>2</v>
      </c>
      <c r="AQ116" s="3">
        <f>SUM(Table1[[#This Row],[Team Score]], Table1[[#This Row],[Opp Team Score]])</f>
        <v>58</v>
      </c>
      <c r="AR11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5.25</v>
      </c>
      <c r="AS116" s="3">
        <f>IF(Table1[[#This Row],[Efficiency Difference]] = " ", " ", ROUND((Table1[[#This Row],[Winning Margin]]*100)/Table1[[#This Row],[Efficiency Difference]], 2))</f>
        <v>38.1</v>
      </c>
    </row>
    <row r="117" spans="1:45">
      <c r="A117" t="s">
        <v>83</v>
      </c>
      <c r="B117">
        <v>0</v>
      </c>
      <c r="C117">
        <v>30</v>
      </c>
      <c r="D117">
        <v>291</v>
      </c>
      <c r="E117">
        <v>42</v>
      </c>
      <c r="F117">
        <v>1</v>
      </c>
      <c r="G117">
        <v>28</v>
      </c>
      <c r="H117">
        <v>0</v>
      </c>
      <c r="I117">
        <v>121</v>
      </c>
      <c r="J117">
        <v>36</v>
      </c>
      <c r="K117">
        <v>2</v>
      </c>
      <c r="L117">
        <v>0</v>
      </c>
      <c r="M117" t="s">
        <v>105</v>
      </c>
      <c r="N117">
        <v>0</v>
      </c>
      <c r="O117">
        <v>28</v>
      </c>
      <c r="P117">
        <v>319</v>
      </c>
      <c r="Q117">
        <v>38</v>
      </c>
      <c r="R117">
        <v>3</v>
      </c>
      <c r="S117">
        <v>25</v>
      </c>
      <c r="T117">
        <v>2</v>
      </c>
      <c r="U117">
        <v>53</v>
      </c>
      <c r="V117">
        <v>15</v>
      </c>
      <c r="W117">
        <v>1</v>
      </c>
      <c r="X117">
        <v>0</v>
      </c>
      <c r="Y117" t="s">
        <v>14</v>
      </c>
      <c r="Z117">
        <v>0</v>
      </c>
      <c r="AA117">
        <f>IF(AND(Table1[[#This Row],[Throw Out Pass Eff]]="N", Table1[[#This Row],[Against FCS Team]]="N"), ROUND(((5.45 * D117) + (150 * F117) + (100 * G117) - (300 * H117)) / E117, 2), " ")</f>
        <v>108</v>
      </c>
      <c r="AB117">
        <f>IF(AND(Table1[[#This Row],[Throw Out Pass Def Eff]]="N", Table1[[#This Row],[Against FCS Team]]="N"),200 - ROUND(((5.45 * P117) + (150 * R117) + (100 * S117) - (300 * T117)) / Q117, 2), " ")</f>
        <v>92.41</v>
      </c>
      <c r="AC117">
        <f>IF(AND(Table1[[#This Row],[Throw Out Rush Eff]]="N", Table1[[#This Row],[Against FCS Team]]="N"), ROUND(((23.2 * I117) + (150 * K117) - (300 * L117)) / J117, 2), " ")</f>
        <v>86.31</v>
      </c>
      <c r="AD117" s="3">
        <f>IF(AND(Table1[[#This Row],[Throw Out Rush Def Eff]]="N", Table1[[#This Row],[Against FCS Team]]="N"), 200 - ROUND(((23.2 * U117) + (150 * W117) - (300 * X117)) / V117, 2), " ")</f>
        <v>108.03</v>
      </c>
      <c r="AE117" s="3">
        <f>ROUND(Table1[[#This Row],[Opp Passing Attempts]]/(Table1[[#This Row],[Opp Passing Attempts]]+Table1[[#This Row],[Opp Rushing Attempts]]), 2)</f>
        <v>0.72</v>
      </c>
      <c r="AF117" s="3">
        <f>1-Table1[[#This Row],[Passing Weight]]</f>
        <v>0.28000000000000003</v>
      </c>
      <c r="AG117" s="3" t="str">
        <f>IF(COUNTIF(A:A,Table1[[#This Row],[Opp Team Name]]) &gt; 0, "N", "Y")</f>
        <v>N</v>
      </c>
      <c r="AH117" s="3" t="str">
        <f>IF(Table1[[#This Row],[Passing Attempts]] &lt;15, "Y", "N")</f>
        <v>N</v>
      </c>
      <c r="AI117" s="3" t="str">
        <f>IF(Table1[[#This Row],[Rushing Attempts]] &lt; 15, "Y", "N")</f>
        <v>N</v>
      </c>
      <c r="AJ117" s="3" t="str">
        <f>IF(Table1[[#This Row],[Opp Passing Attempts]]&lt;15, "Y", "N")</f>
        <v>N</v>
      </c>
      <c r="AK117" s="3" t="str">
        <f>IF(Table1[[#This Row],[Opp Rushing Attempts]]&lt;15, "Y", "N")</f>
        <v>N</v>
      </c>
      <c r="AL11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105.93</v>
      </c>
      <c r="AM11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76.63</v>
      </c>
      <c r="AN11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110.67</v>
      </c>
      <c r="AO11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88.99</v>
      </c>
      <c r="AP117" s="3">
        <f>ABS(Table1[[#This Row],[Team Score]]-Table1[[#This Row],[Opp Team Score]])</f>
        <v>2</v>
      </c>
      <c r="AQ117" s="3">
        <f>SUM(Table1[[#This Row],[Team Score]], Table1[[#This Row],[Opp Team Score]])</f>
        <v>58</v>
      </c>
      <c r="AR11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5.25</v>
      </c>
      <c r="AS117" s="3">
        <f>IF(Table1[[#This Row],[Efficiency Difference]] = " ", " ", ROUND((Table1[[#This Row],[Winning Margin]]*100)/Table1[[#This Row],[Efficiency Difference]], 2))</f>
        <v>38.1</v>
      </c>
    </row>
    <row r="118" spans="1:45">
      <c r="A118" t="s">
        <v>102</v>
      </c>
      <c r="B118">
        <v>0</v>
      </c>
      <c r="C118">
        <v>27</v>
      </c>
      <c r="D118">
        <v>212</v>
      </c>
      <c r="E118">
        <v>34</v>
      </c>
      <c r="F118">
        <v>0</v>
      </c>
      <c r="G118">
        <v>20</v>
      </c>
      <c r="H118">
        <v>1</v>
      </c>
      <c r="I118">
        <v>156</v>
      </c>
      <c r="J118">
        <v>32</v>
      </c>
      <c r="K118">
        <v>3</v>
      </c>
      <c r="L118">
        <v>1</v>
      </c>
      <c r="M118" t="s">
        <v>101</v>
      </c>
      <c r="N118">
        <v>0</v>
      </c>
      <c r="O118">
        <v>31</v>
      </c>
      <c r="P118">
        <v>306</v>
      </c>
      <c r="Q118">
        <v>40</v>
      </c>
      <c r="R118">
        <v>2</v>
      </c>
      <c r="S118">
        <v>27</v>
      </c>
      <c r="T118">
        <v>0</v>
      </c>
      <c r="U118">
        <v>54</v>
      </c>
      <c r="V118">
        <v>24</v>
      </c>
      <c r="W118">
        <v>2</v>
      </c>
      <c r="X118">
        <v>2</v>
      </c>
      <c r="Y118" t="s">
        <v>15</v>
      </c>
      <c r="Z118">
        <v>0</v>
      </c>
      <c r="AA118" s="3">
        <f>IF(AND(Table1[[#This Row],[Throw Out Pass Eff]]="N", Table1[[#This Row],[Against FCS Team]]="N"), ROUND(((5.45 * D118) + (150 * F118) + (100 * G118) - (300 * H118)) / E118, 2), " ")</f>
        <v>83.98</v>
      </c>
      <c r="AB118" s="3">
        <f>IF(AND(Table1[[#This Row],[Throw Out Pass Def Eff]]="N", Table1[[#This Row],[Against FCS Team]]="N"),200 - ROUND(((5.45 * P118) + (150 * R118) + (100 * S118) - (300 * T118)) / Q118, 2), " ")</f>
        <v>83.31</v>
      </c>
      <c r="AC118" s="3">
        <f>IF(AND(Table1[[#This Row],[Throw Out Rush Eff]]="N", Table1[[#This Row],[Against FCS Team]]="N"), ROUND(((23.2 * I118) + (150 * K118) - (300 * L118)) / J118, 2), " ")</f>
        <v>117.79</v>
      </c>
      <c r="AD118" s="3">
        <f>IF(AND(Table1[[#This Row],[Throw Out Rush Def Eff]]="N", Table1[[#This Row],[Against FCS Team]]="N"), 200 - ROUND(((23.2 * U118) + (150 * W118) - (300 * X118)) / V118, 2), " ")</f>
        <v>160.30000000000001</v>
      </c>
      <c r="AE118" s="3">
        <f>ROUND(Table1[[#This Row],[Opp Passing Attempts]]/(Table1[[#This Row],[Opp Passing Attempts]]+Table1[[#This Row],[Opp Rushing Attempts]]), 2)</f>
        <v>0.63</v>
      </c>
      <c r="AF118" s="3">
        <f>1-Table1[[#This Row],[Passing Weight]]</f>
        <v>0.37</v>
      </c>
      <c r="AG118" s="3" t="str">
        <f>IF(COUNTIF(A:A,Table1[[#This Row],[Opp Team Name]]) &gt; 0, "N", "Y")</f>
        <v>N</v>
      </c>
      <c r="AH118" s="3" t="str">
        <f>IF(Table1[[#This Row],[Passing Attempts]] &lt;15, "Y", "N")</f>
        <v>N</v>
      </c>
      <c r="AI118" s="3" t="str">
        <f>IF(Table1[[#This Row],[Rushing Attempts]] &lt; 15, "Y", "N")</f>
        <v>N</v>
      </c>
      <c r="AJ118" s="3" t="str">
        <f>IF(Table1[[#This Row],[Opp Passing Attempts]]&lt;15, "Y", "N")</f>
        <v>N</v>
      </c>
      <c r="AK118" s="3" t="str">
        <f>IF(Table1[[#This Row],[Opp Rushing Attempts]]&lt;15, "Y", "N")</f>
        <v>N</v>
      </c>
      <c r="AL11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90.05</v>
      </c>
      <c r="AM11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93.87</v>
      </c>
      <c r="AN11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120.09</v>
      </c>
      <c r="AO11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120.87</v>
      </c>
      <c r="AP118" s="3">
        <f>ABS(Table1[[#This Row],[Team Score]]-Table1[[#This Row],[Opp Team Score]])</f>
        <v>4</v>
      </c>
      <c r="AQ118" s="3">
        <f>SUM(Table1[[#This Row],[Team Score]], Table1[[#This Row],[Opp Team Score]])</f>
        <v>58</v>
      </c>
      <c r="AR11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45.380000000000024</v>
      </c>
      <c r="AS118" s="3">
        <f>IF(Table1[[#This Row],[Efficiency Difference]] = " ", " ", ROUND((Table1[[#This Row],[Winning Margin]]*100)/Table1[[#This Row],[Efficiency Difference]], 2))</f>
        <v>8.81</v>
      </c>
    </row>
    <row r="119" spans="1:45">
      <c r="A119" t="s">
        <v>101</v>
      </c>
      <c r="B119">
        <v>0</v>
      </c>
      <c r="C119">
        <v>31</v>
      </c>
      <c r="D119">
        <v>306</v>
      </c>
      <c r="E119">
        <v>40</v>
      </c>
      <c r="F119">
        <v>2</v>
      </c>
      <c r="G119">
        <v>27</v>
      </c>
      <c r="H119">
        <v>0</v>
      </c>
      <c r="I119">
        <v>54</v>
      </c>
      <c r="J119">
        <v>24</v>
      </c>
      <c r="K119">
        <v>2</v>
      </c>
      <c r="L119">
        <v>2</v>
      </c>
      <c r="M119" t="s">
        <v>102</v>
      </c>
      <c r="N119">
        <v>0</v>
      </c>
      <c r="O119">
        <v>27</v>
      </c>
      <c r="P119">
        <v>212</v>
      </c>
      <c r="Q119">
        <v>34</v>
      </c>
      <c r="R119">
        <v>0</v>
      </c>
      <c r="S119">
        <v>20</v>
      </c>
      <c r="T119">
        <v>1</v>
      </c>
      <c r="U119">
        <v>156</v>
      </c>
      <c r="V119">
        <v>32</v>
      </c>
      <c r="W119">
        <v>3</v>
      </c>
      <c r="X119">
        <v>1</v>
      </c>
      <c r="Y119" t="s">
        <v>14</v>
      </c>
      <c r="Z119">
        <v>0</v>
      </c>
      <c r="AA119">
        <f>IF(AND(Table1[[#This Row],[Throw Out Pass Eff]]="N", Table1[[#This Row],[Against FCS Team]]="N"), ROUND(((5.45 * D119) + (150 * F119) + (100 * G119) - (300 * H119)) / E119, 2), " ")</f>
        <v>116.69</v>
      </c>
      <c r="AB119">
        <f>IF(AND(Table1[[#This Row],[Throw Out Pass Def Eff]]="N", Table1[[#This Row],[Against FCS Team]]="N"),200 - ROUND(((5.45 * P119) + (150 * R119) + (100 * S119) - (300 * T119)) / Q119, 2), " ")</f>
        <v>116.02</v>
      </c>
      <c r="AC119">
        <f>IF(AND(Table1[[#This Row],[Throw Out Rush Eff]]="N", Table1[[#This Row],[Against FCS Team]]="N"), ROUND(((23.2 * I119) + (150 * K119) - (300 * L119)) / J119, 2), " ")</f>
        <v>39.700000000000003</v>
      </c>
      <c r="AD119" s="3">
        <f>IF(AND(Table1[[#This Row],[Throw Out Rush Def Eff]]="N", Table1[[#This Row],[Against FCS Team]]="N"), 200 - ROUND(((23.2 * U119) + (150 * W119) - (300 * X119)) / V119, 2), " ")</f>
        <v>82.21</v>
      </c>
      <c r="AE119" s="3">
        <f>ROUND(Table1[[#This Row],[Opp Passing Attempts]]/(Table1[[#This Row],[Opp Passing Attempts]]+Table1[[#This Row],[Opp Rushing Attempts]]), 2)</f>
        <v>0.52</v>
      </c>
      <c r="AF119" s="3">
        <f>1-Table1[[#This Row],[Passing Weight]]</f>
        <v>0.48</v>
      </c>
      <c r="AG119" s="3" t="str">
        <f>IF(COUNTIF(A:A,Table1[[#This Row],[Opp Team Name]]) &gt; 0, "N", "Y")</f>
        <v>N</v>
      </c>
      <c r="AH119" s="3" t="str">
        <f>IF(Table1[[#This Row],[Passing Attempts]] &lt;15, "Y", "N")</f>
        <v>N</v>
      </c>
      <c r="AI119" s="3" t="str">
        <f>IF(Table1[[#This Row],[Rushing Attempts]] &lt; 15, "Y", "N")</f>
        <v>N</v>
      </c>
      <c r="AJ119" s="3" t="str">
        <f>IF(Table1[[#This Row],[Opp Passing Attempts]]&lt;15, "Y", "N")</f>
        <v>N</v>
      </c>
      <c r="AK119" s="3" t="str">
        <f>IF(Table1[[#This Row],[Opp Rushing Attempts]]&lt;15, "Y", "N")</f>
        <v>N</v>
      </c>
      <c r="AL11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113.27</v>
      </c>
      <c r="AM11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106.89</v>
      </c>
      <c r="AN11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45.42</v>
      </c>
      <c r="AO11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79.099999999999994</v>
      </c>
      <c r="AP119" s="3">
        <f>ABS(Table1[[#This Row],[Team Score]]-Table1[[#This Row],[Opp Team Score]])</f>
        <v>4</v>
      </c>
      <c r="AQ119" s="3">
        <f>SUM(Table1[[#This Row],[Team Score]], Table1[[#This Row],[Opp Team Score]])</f>
        <v>58</v>
      </c>
      <c r="AR11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45.380000000000024</v>
      </c>
      <c r="AS119" s="3">
        <f>IF(Table1[[#This Row],[Efficiency Difference]] = " ", " ", ROUND((Table1[[#This Row],[Winning Margin]]*100)/Table1[[#This Row],[Efficiency Difference]], 2))</f>
        <v>8.81</v>
      </c>
    </row>
    <row r="120" spans="1:45">
      <c r="A120" t="s">
        <v>80</v>
      </c>
      <c r="B120">
        <v>0</v>
      </c>
      <c r="C120">
        <v>49</v>
      </c>
      <c r="D120">
        <v>396</v>
      </c>
      <c r="E120">
        <v>39</v>
      </c>
      <c r="F120">
        <v>4</v>
      </c>
      <c r="G120">
        <v>29</v>
      </c>
      <c r="H120">
        <v>2</v>
      </c>
      <c r="I120">
        <v>111</v>
      </c>
      <c r="J120">
        <v>28</v>
      </c>
      <c r="K120">
        <v>2</v>
      </c>
      <c r="L120">
        <v>0</v>
      </c>
      <c r="M120" t="s">
        <v>110</v>
      </c>
      <c r="N120">
        <v>0</v>
      </c>
      <c r="O120">
        <v>23</v>
      </c>
      <c r="P120">
        <v>265</v>
      </c>
      <c r="Q120">
        <v>33</v>
      </c>
      <c r="R120">
        <v>3</v>
      </c>
      <c r="S120">
        <v>22</v>
      </c>
      <c r="T120">
        <v>3</v>
      </c>
      <c r="U120">
        <v>119</v>
      </c>
      <c r="V120">
        <v>23</v>
      </c>
      <c r="W120">
        <v>0</v>
      </c>
      <c r="X120">
        <v>1</v>
      </c>
      <c r="Y120" t="s">
        <v>14</v>
      </c>
      <c r="Z120">
        <v>0</v>
      </c>
      <c r="AA120">
        <f>IF(AND(Table1[[#This Row],[Throw Out Pass Eff]]="N", Table1[[#This Row],[Against FCS Team]]="N"), ROUND(((5.45 * D120) + (150 * F120) + (100 * G120) - (300 * H120)) / E120, 2), " ")</f>
        <v>129.69999999999999</v>
      </c>
      <c r="AB120">
        <f>IF(AND(Table1[[#This Row],[Throw Out Pass Def Eff]]="N", Table1[[#This Row],[Against FCS Team]]="N"),200 - ROUND(((5.45 * P120) + (150 * R120) + (100 * S120) - (300 * T120)) / Q120, 2), " ")</f>
        <v>103.2</v>
      </c>
      <c r="AC120">
        <f>IF(AND(Table1[[#This Row],[Throw Out Rush Eff]]="N", Table1[[#This Row],[Against FCS Team]]="N"), ROUND(((23.2 * I120) + (150 * K120) - (300 * L120)) / J120, 2), " ")</f>
        <v>102.69</v>
      </c>
      <c r="AD120" s="3">
        <f>IF(AND(Table1[[#This Row],[Throw Out Rush Def Eff]]="N", Table1[[#This Row],[Against FCS Team]]="N"), 200 - ROUND(((23.2 * U120) + (150 * W120) - (300 * X120)) / V120, 2), " ")</f>
        <v>93.01</v>
      </c>
      <c r="AE120" s="3">
        <f>ROUND(Table1[[#This Row],[Opp Passing Attempts]]/(Table1[[#This Row],[Opp Passing Attempts]]+Table1[[#This Row],[Opp Rushing Attempts]]), 2)</f>
        <v>0.59</v>
      </c>
      <c r="AF120" s="3">
        <f>1-Table1[[#This Row],[Passing Weight]]</f>
        <v>0.41000000000000003</v>
      </c>
      <c r="AG120" s="3" t="str">
        <f>IF(COUNTIF(A:A,Table1[[#This Row],[Opp Team Name]]) &gt; 0, "N", "Y")</f>
        <v>N</v>
      </c>
      <c r="AH120" s="3" t="str">
        <f>IF(Table1[[#This Row],[Passing Attempts]] &lt;15, "Y", "N")</f>
        <v>N</v>
      </c>
      <c r="AI120" s="3" t="str">
        <f>IF(Table1[[#This Row],[Rushing Attempts]] &lt; 15, "Y", "N")</f>
        <v>N</v>
      </c>
      <c r="AJ120" s="3" t="str">
        <f>IF(Table1[[#This Row],[Opp Passing Attempts]]&lt;15, "Y", "N")</f>
        <v>N</v>
      </c>
      <c r="AK120" s="3" t="str">
        <f>IF(Table1[[#This Row],[Opp Rushing Attempts]]&lt;15, "Y", "N")</f>
        <v>N</v>
      </c>
      <c r="AL12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116.94</v>
      </c>
      <c r="AM12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88.89</v>
      </c>
      <c r="AN12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123.92</v>
      </c>
      <c r="AO12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93.66</v>
      </c>
      <c r="AP120" s="3">
        <f>ABS(Table1[[#This Row],[Team Score]]-Table1[[#This Row],[Opp Team Score]])</f>
        <v>26</v>
      </c>
      <c r="AQ120" s="3">
        <f>SUM(Table1[[#This Row],[Team Score]], Table1[[#This Row],[Opp Team Score]])</f>
        <v>72</v>
      </c>
      <c r="AR12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28.599999999999994</v>
      </c>
      <c r="AS120" s="3">
        <f>IF(Table1[[#This Row],[Efficiency Difference]] = " ", " ", ROUND((Table1[[#This Row],[Winning Margin]]*100)/Table1[[#This Row],[Efficiency Difference]], 2))</f>
        <v>90.91</v>
      </c>
    </row>
    <row r="121" spans="1:45">
      <c r="A121" t="s">
        <v>110</v>
      </c>
      <c r="B121">
        <v>0</v>
      </c>
      <c r="C121">
        <v>23</v>
      </c>
      <c r="D121">
        <v>265</v>
      </c>
      <c r="E121">
        <v>33</v>
      </c>
      <c r="F121">
        <v>3</v>
      </c>
      <c r="G121">
        <v>22</v>
      </c>
      <c r="H121">
        <v>3</v>
      </c>
      <c r="I121">
        <v>119</v>
      </c>
      <c r="J121">
        <v>23</v>
      </c>
      <c r="K121">
        <v>0</v>
      </c>
      <c r="L121">
        <v>1</v>
      </c>
      <c r="M121" t="s">
        <v>80</v>
      </c>
      <c r="N121">
        <v>0</v>
      </c>
      <c r="O121">
        <v>49</v>
      </c>
      <c r="P121">
        <v>396</v>
      </c>
      <c r="Q121">
        <v>39</v>
      </c>
      <c r="R121">
        <v>4</v>
      </c>
      <c r="S121">
        <v>29</v>
      </c>
      <c r="T121">
        <v>2</v>
      </c>
      <c r="U121">
        <v>111</v>
      </c>
      <c r="V121">
        <v>28</v>
      </c>
      <c r="W121">
        <v>2</v>
      </c>
      <c r="X121">
        <v>0</v>
      </c>
      <c r="Y121" t="s">
        <v>15</v>
      </c>
      <c r="Z121">
        <v>0</v>
      </c>
      <c r="AA121">
        <f>IF(AND(Table1[[#This Row],[Throw Out Pass Eff]]="N", Table1[[#This Row],[Against FCS Team]]="N"), ROUND(((5.45 * D121) + (150 * F121) + (100 * G121) - (300 * H121)) / E121, 2), " ")</f>
        <v>96.8</v>
      </c>
      <c r="AB121">
        <f>IF(AND(Table1[[#This Row],[Throw Out Pass Def Eff]]="N", Table1[[#This Row],[Against FCS Team]]="N"),200 - ROUND(((5.45 * P121) + (150 * R121) + (100 * S121) - (300 * T121)) / Q121, 2), " ")</f>
        <v>70.300000000000011</v>
      </c>
      <c r="AC121">
        <f>IF(AND(Table1[[#This Row],[Throw Out Rush Eff]]="N", Table1[[#This Row],[Against FCS Team]]="N"), ROUND(((23.2 * I121) + (150 * K121) - (300 * L121)) / J121, 2), " ")</f>
        <v>106.99</v>
      </c>
      <c r="AD121" s="3">
        <f>IF(AND(Table1[[#This Row],[Throw Out Rush Def Eff]]="N", Table1[[#This Row],[Against FCS Team]]="N"), 200 - ROUND(((23.2 * U121) + (150 * W121) - (300 * X121)) / V121, 2), " ")</f>
        <v>97.31</v>
      </c>
      <c r="AE121" s="3">
        <f>ROUND(Table1[[#This Row],[Opp Passing Attempts]]/(Table1[[#This Row],[Opp Passing Attempts]]+Table1[[#This Row],[Opp Rushing Attempts]]), 2)</f>
        <v>0.57999999999999996</v>
      </c>
      <c r="AF121" s="3">
        <f>1-Table1[[#This Row],[Passing Weight]]</f>
        <v>0.42000000000000004</v>
      </c>
      <c r="AG121" s="3" t="str">
        <f>IF(COUNTIF(A:A,Table1[[#This Row],[Opp Team Name]]) &gt; 0, "N", "Y")</f>
        <v>N</v>
      </c>
      <c r="AH121" s="3" t="str">
        <f>IF(Table1[[#This Row],[Passing Attempts]] &lt;15, "Y", "N")</f>
        <v>N</v>
      </c>
      <c r="AI121" s="3" t="str">
        <f>IF(Table1[[#This Row],[Rushing Attempts]] &lt; 15, "Y", "N")</f>
        <v>N</v>
      </c>
      <c r="AJ121" s="3" t="str">
        <f>IF(Table1[[#This Row],[Opp Passing Attempts]]&lt;15, "Y", "N")</f>
        <v>N</v>
      </c>
      <c r="AK121" s="3" t="str">
        <f>IF(Table1[[#This Row],[Opp Rushing Attempts]]&lt;15, "Y", "N")</f>
        <v>N</v>
      </c>
      <c r="AL12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106.59</v>
      </c>
      <c r="AM12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91.81</v>
      </c>
      <c r="AN12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99.4</v>
      </c>
      <c r="AO12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84.86</v>
      </c>
      <c r="AP121" s="3">
        <f>ABS(Table1[[#This Row],[Team Score]]-Table1[[#This Row],[Opp Team Score]])</f>
        <v>26</v>
      </c>
      <c r="AQ121" s="3">
        <f>SUM(Table1[[#This Row],[Team Score]], Table1[[#This Row],[Opp Team Score]])</f>
        <v>72</v>
      </c>
      <c r="AR12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28.599999999999994</v>
      </c>
      <c r="AS121" s="3">
        <f>IF(Table1[[#This Row],[Efficiency Difference]] = " ", " ", ROUND((Table1[[#This Row],[Winning Margin]]*100)/Table1[[#This Row],[Efficiency Difference]], 2))</f>
        <v>90.91</v>
      </c>
    </row>
    <row r="122" spans="1:45">
      <c r="A122" t="s">
        <v>111</v>
      </c>
      <c r="B122">
        <v>0</v>
      </c>
      <c r="C122">
        <v>19</v>
      </c>
      <c r="D122">
        <v>344</v>
      </c>
      <c r="E122">
        <v>39</v>
      </c>
      <c r="F122">
        <v>1</v>
      </c>
      <c r="G122">
        <v>25</v>
      </c>
      <c r="H122">
        <v>2</v>
      </c>
      <c r="I122">
        <v>160</v>
      </c>
      <c r="J122">
        <v>27</v>
      </c>
      <c r="K122">
        <v>1</v>
      </c>
      <c r="L122">
        <v>0</v>
      </c>
      <c r="M122" t="s">
        <v>109</v>
      </c>
      <c r="N122">
        <v>0</v>
      </c>
      <c r="O122">
        <v>31</v>
      </c>
      <c r="P122">
        <v>226</v>
      </c>
      <c r="Q122">
        <v>30</v>
      </c>
      <c r="R122">
        <v>2</v>
      </c>
      <c r="S122">
        <v>16</v>
      </c>
      <c r="T122">
        <v>0</v>
      </c>
      <c r="U122">
        <v>183</v>
      </c>
      <c r="V122">
        <v>30</v>
      </c>
      <c r="W122">
        <v>2</v>
      </c>
      <c r="X122">
        <v>0</v>
      </c>
      <c r="Y122" t="s">
        <v>15</v>
      </c>
      <c r="Z122">
        <v>0</v>
      </c>
      <c r="AA122">
        <f>IF(AND(Table1[[#This Row],[Throw Out Pass Eff]]="N", Table1[[#This Row],[Against FCS Team]]="N"), ROUND(((5.45 * D122) + (150 * F122) + (100 * G122) - (300 * H122)) / E122, 2), " ")</f>
        <v>100.64</v>
      </c>
      <c r="AB122">
        <f>IF(AND(Table1[[#This Row],[Throw Out Pass Def Eff]]="N", Table1[[#This Row],[Against FCS Team]]="N"),200 - ROUND(((5.45 * P122) + (150 * R122) + (100 * S122) - (300 * T122)) / Q122, 2), " ")</f>
        <v>95.61</v>
      </c>
      <c r="AC122">
        <f>IF(AND(Table1[[#This Row],[Throw Out Rush Eff]]="N", Table1[[#This Row],[Against FCS Team]]="N"), ROUND(((23.2 * I122) + (150 * K122) - (300 * L122)) / J122, 2), " ")</f>
        <v>143.04</v>
      </c>
      <c r="AD122" s="3">
        <f>IF(AND(Table1[[#This Row],[Throw Out Rush Def Eff]]="N", Table1[[#This Row],[Against FCS Team]]="N"), 200 - ROUND(((23.2 * U122) + (150 * W122) - (300 * X122)) / V122, 2), " ")</f>
        <v>48.47999999999999</v>
      </c>
      <c r="AE122" s="3">
        <f>ROUND(Table1[[#This Row],[Opp Passing Attempts]]/(Table1[[#This Row],[Opp Passing Attempts]]+Table1[[#This Row],[Opp Rushing Attempts]]), 2)</f>
        <v>0.5</v>
      </c>
      <c r="AF122" s="3">
        <f>1-Table1[[#This Row],[Passing Weight]]</f>
        <v>0.5</v>
      </c>
      <c r="AG122" s="3" t="str">
        <f>IF(COUNTIF(A:A,Table1[[#This Row],[Opp Team Name]]) &gt; 0, "N", "Y")</f>
        <v>N</v>
      </c>
      <c r="AH122" s="3" t="str">
        <f>IF(Table1[[#This Row],[Passing Attempts]] &lt;15, "Y", "N")</f>
        <v>N</v>
      </c>
      <c r="AI122" s="3" t="str">
        <f>IF(Table1[[#This Row],[Rushing Attempts]] &lt; 15, "Y", "N")</f>
        <v>N</v>
      </c>
      <c r="AJ122" s="3" t="str">
        <f>IF(Table1[[#This Row],[Opp Passing Attempts]]&lt;15, "Y", "N")</f>
        <v>N</v>
      </c>
      <c r="AK122" s="3" t="str">
        <f>IF(Table1[[#This Row],[Opp Rushing Attempts]]&lt;15, "Y", "N")</f>
        <v>N</v>
      </c>
      <c r="AL12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94.02</v>
      </c>
      <c r="AM12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110.25</v>
      </c>
      <c r="AN12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143.69</v>
      </c>
      <c r="AO12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51.61</v>
      </c>
      <c r="AP122" s="3">
        <f>ABS(Table1[[#This Row],[Team Score]]-Table1[[#This Row],[Opp Team Score]])</f>
        <v>12</v>
      </c>
      <c r="AQ122" s="3">
        <f>SUM(Table1[[#This Row],[Team Score]], Table1[[#This Row],[Opp Team Score]])</f>
        <v>50</v>
      </c>
      <c r="AR12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12.230000000000018</v>
      </c>
      <c r="AS122" s="3">
        <f>IF(Table1[[#This Row],[Efficiency Difference]] = " ", " ", ROUND((Table1[[#This Row],[Winning Margin]]*100)/Table1[[#This Row],[Efficiency Difference]], 2))</f>
        <v>98.12</v>
      </c>
    </row>
    <row r="123" spans="1:45">
      <c r="A123" t="s">
        <v>109</v>
      </c>
      <c r="B123">
        <v>0</v>
      </c>
      <c r="C123">
        <v>31</v>
      </c>
      <c r="D123">
        <v>226</v>
      </c>
      <c r="E123">
        <v>30</v>
      </c>
      <c r="F123">
        <v>2</v>
      </c>
      <c r="G123">
        <v>16</v>
      </c>
      <c r="H123">
        <v>0</v>
      </c>
      <c r="I123">
        <v>183</v>
      </c>
      <c r="J123">
        <v>30</v>
      </c>
      <c r="K123">
        <v>2</v>
      </c>
      <c r="L123">
        <v>0</v>
      </c>
      <c r="M123" t="s">
        <v>111</v>
      </c>
      <c r="N123">
        <v>0</v>
      </c>
      <c r="O123">
        <v>19</v>
      </c>
      <c r="P123">
        <v>344</v>
      </c>
      <c r="Q123">
        <v>39</v>
      </c>
      <c r="R123">
        <v>1</v>
      </c>
      <c r="S123">
        <v>25</v>
      </c>
      <c r="T123">
        <v>2</v>
      </c>
      <c r="U123">
        <v>160</v>
      </c>
      <c r="V123">
        <v>27</v>
      </c>
      <c r="W123">
        <v>1</v>
      </c>
      <c r="X123">
        <v>0</v>
      </c>
      <c r="Y123" t="s">
        <v>14</v>
      </c>
      <c r="Z123">
        <v>0</v>
      </c>
      <c r="AA123">
        <f>IF(AND(Table1[[#This Row],[Throw Out Pass Eff]]="N", Table1[[#This Row],[Against FCS Team]]="N"), ROUND(((5.45 * D123) + (150 * F123) + (100 * G123) - (300 * H123)) / E123, 2), " ")</f>
        <v>104.39</v>
      </c>
      <c r="AB123">
        <f>IF(AND(Table1[[#This Row],[Throw Out Pass Def Eff]]="N", Table1[[#This Row],[Against FCS Team]]="N"),200 - ROUND(((5.45 * P123) + (150 * R123) + (100 * S123) - (300 * T123)) / Q123, 2), " ")</f>
        <v>99.36</v>
      </c>
      <c r="AC123">
        <f>IF(AND(Table1[[#This Row],[Throw Out Rush Eff]]="N", Table1[[#This Row],[Against FCS Team]]="N"), ROUND(((23.2 * I123) + (150 * K123) - (300 * L123)) / J123, 2), " ")</f>
        <v>151.52000000000001</v>
      </c>
      <c r="AD123" s="3">
        <f>IF(AND(Table1[[#This Row],[Throw Out Rush Def Eff]]="N", Table1[[#This Row],[Against FCS Team]]="N"), 200 - ROUND(((23.2 * U123) + (150 * W123) - (300 * X123)) / V123, 2), " ")</f>
        <v>56.960000000000008</v>
      </c>
      <c r="AE123" s="3">
        <f>ROUND(Table1[[#This Row],[Opp Passing Attempts]]/(Table1[[#This Row],[Opp Passing Attempts]]+Table1[[#This Row],[Opp Rushing Attempts]]), 2)</f>
        <v>0.59</v>
      </c>
      <c r="AF123" s="3">
        <f>1-Table1[[#This Row],[Passing Weight]]</f>
        <v>0.41000000000000003</v>
      </c>
      <c r="AG123" s="3" t="str">
        <f>IF(COUNTIF(A:A,Table1[[#This Row],[Opp Team Name]]) &gt; 0, "N", "Y")</f>
        <v>N</v>
      </c>
      <c r="AH123" s="3" t="str">
        <f>IF(Table1[[#This Row],[Passing Attempts]] &lt;15, "Y", "N")</f>
        <v>N</v>
      </c>
      <c r="AI123" s="3" t="str">
        <f>IF(Table1[[#This Row],[Rushing Attempts]] &lt; 15, "Y", "N")</f>
        <v>N</v>
      </c>
      <c r="AJ123" s="3" t="str">
        <f>IF(Table1[[#This Row],[Opp Passing Attempts]]&lt;15, "Y", "N")</f>
        <v>N</v>
      </c>
      <c r="AK123" s="3" t="str">
        <f>IF(Table1[[#This Row],[Opp Rushing Attempts]]&lt;15, "Y", "N")</f>
        <v>N</v>
      </c>
      <c r="AL12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118.2</v>
      </c>
      <c r="AM12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86.44</v>
      </c>
      <c r="AN12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131.51</v>
      </c>
      <c r="AO12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70.23</v>
      </c>
      <c r="AP123" s="3">
        <f>ABS(Table1[[#This Row],[Team Score]]-Table1[[#This Row],[Opp Team Score]])</f>
        <v>12</v>
      </c>
      <c r="AQ123" s="3">
        <f>SUM(Table1[[#This Row],[Team Score]], Table1[[#This Row],[Opp Team Score]])</f>
        <v>50</v>
      </c>
      <c r="AR12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12.230000000000018</v>
      </c>
      <c r="AS123" s="3">
        <f>IF(Table1[[#This Row],[Efficiency Difference]] = " ", " ", ROUND((Table1[[#This Row],[Winning Margin]]*100)/Table1[[#This Row],[Efficiency Difference]], 2))</f>
        <v>98.12</v>
      </c>
    </row>
    <row r="124" spans="1:45">
      <c r="A124" t="s">
        <v>98</v>
      </c>
      <c r="B124">
        <v>0</v>
      </c>
      <c r="C124">
        <v>26</v>
      </c>
      <c r="D124">
        <v>295</v>
      </c>
      <c r="E124">
        <v>31</v>
      </c>
      <c r="F124">
        <v>1</v>
      </c>
      <c r="G124">
        <v>21</v>
      </c>
      <c r="H124">
        <v>0</v>
      </c>
      <c r="I124">
        <v>116</v>
      </c>
      <c r="J124">
        <v>28</v>
      </c>
      <c r="K124">
        <v>1</v>
      </c>
      <c r="L124">
        <v>0</v>
      </c>
      <c r="M124" t="s">
        <v>108</v>
      </c>
      <c r="N124">
        <v>0</v>
      </c>
      <c r="O124">
        <v>16</v>
      </c>
      <c r="P124">
        <v>176</v>
      </c>
      <c r="Q124">
        <v>30</v>
      </c>
      <c r="R124">
        <v>0</v>
      </c>
      <c r="S124">
        <v>20</v>
      </c>
      <c r="T124">
        <v>2</v>
      </c>
      <c r="U124">
        <v>72</v>
      </c>
      <c r="V124">
        <v>22</v>
      </c>
      <c r="W124">
        <v>1</v>
      </c>
      <c r="X124">
        <v>0</v>
      </c>
      <c r="Y124" t="s">
        <v>14</v>
      </c>
      <c r="Z124">
        <v>0</v>
      </c>
      <c r="AA124">
        <f>IF(AND(Table1[[#This Row],[Throw Out Pass Eff]]="N", Table1[[#This Row],[Against FCS Team]]="N"), ROUND(((5.45 * D124) + (150 * F124) + (100 * G124) - (300 * H124)) / E124, 2), " ")</f>
        <v>124.44</v>
      </c>
      <c r="AB124">
        <f>IF(AND(Table1[[#This Row],[Throw Out Pass Def Eff]]="N", Table1[[#This Row],[Against FCS Team]]="N"),200 - ROUND(((5.45 * P124) + (150 * R124) + (100 * S124) - (300 * T124)) / Q124, 2), " ")</f>
        <v>121.36</v>
      </c>
      <c r="AC124">
        <f>IF(AND(Table1[[#This Row],[Throw Out Rush Eff]]="N", Table1[[#This Row],[Against FCS Team]]="N"), ROUND(((23.2 * I124) + (150 * K124) - (300 * L124)) / J124, 2), " ")</f>
        <v>101.47</v>
      </c>
      <c r="AD124" s="3">
        <f>IF(AND(Table1[[#This Row],[Throw Out Rush Def Eff]]="N", Table1[[#This Row],[Against FCS Team]]="N"), 200 - ROUND(((23.2 * U124) + (150 * W124) - (300 * X124)) / V124, 2), " ")</f>
        <v>117.25</v>
      </c>
      <c r="AE124" s="3">
        <f>ROUND(Table1[[#This Row],[Opp Passing Attempts]]/(Table1[[#This Row],[Opp Passing Attempts]]+Table1[[#This Row],[Opp Rushing Attempts]]), 2)</f>
        <v>0.57999999999999996</v>
      </c>
      <c r="AF124" s="3">
        <f>1-Table1[[#This Row],[Passing Weight]]</f>
        <v>0.42000000000000004</v>
      </c>
      <c r="AG124" s="3" t="str">
        <f>IF(COUNTIF(A:A,Table1[[#This Row],[Opp Team Name]]) &gt; 0, "N", "Y")</f>
        <v>N</v>
      </c>
      <c r="AH124" s="3" t="str">
        <f>IF(Table1[[#This Row],[Passing Attempts]] &lt;15, "Y", "N")</f>
        <v>N</v>
      </c>
      <c r="AI124" s="3" t="str">
        <f>IF(Table1[[#This Row],[Rushing Attempts]] &lt; 15, "Y", "N")</f>
        <v>N</v>
      </c>
      <c r="AJ124" s="3" t="str">
        <f>IF(Table1[[#This Row],[Opp Passing Attempts]]&lt;15, "Y", "N")</f>
        <v>N</v>
      </c>
      <c r="AK124" s="3" t="str">
        <f>IF(Table1[[#This Row],[Opp Rushing Attempts]]&lt;15, "Y", "N")</f>
        <v>N</v>
      </c>
      <c r="AL12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115.31</v>
      </c>
      <c r="AM12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103.04</v>
      </c>
      <c r="AN12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106.94</v>
      </c>
      <c r="AO12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108.36</v>
      </c>
      <c r="AP124" s="3">
        <f>ABS(Table1[[#This Row],[Team Score]]-Table1[[#This Row],[Opp Team Score]])</f>
        <v>10</v>
      </c>
      <c r="AQ124" s="3">
        <f>SUM(Table1[[#This Row],[Team Score]], Table1[[#This Row],[Opp Team Score]])</f>
        <v>42</v>
      </c>
      <c r="AR12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64.52000000000001</v>
      </c>
      <c r="AS124" s="3">
        <f>IF(Table1[[#This Row],[Efficiency Difference]] = " ", " ", ROUND((Table1[[#This Row],[Winning Margin]]*100)/Table1[[#This Row],[Efficiency Difference]], 2))</f>
        <v>15.5</v>
      </c>
    </row>
    <row r="125" spans="1:45">
      <c r="A125" t="s">
        <v>108</v>
      </c>
      <c r="B125">
        <v>0</v>
      </c>
      <c r="C125">
        <v>16</v>
      </c>
      <c r="D125">
        <v>176</v>
      </c>
      <c r="E125">
        <v>30</v>
      </c>
      <c r="F125">
        <v>0</v>
      </c>
      <c r="G125">
        <v>20</v>
      </c>
      <c r="H125">
        <v>2</v>
      </c>
      <c r="I125">
        <v>72</v>
      </c>
      <c r="J125">
        <v>22</v>
      </c>
      <c r="K125">
        <v>1</v>
      </c>
      <c r="L125">
        <v>0</v>
      </c>
      <c r="M125" t="s">
        <v>98</v>
      </c>
      <c r="N125">
        <v>0</v>
      </c>
      <c r="O125">
        <v>26</v>
      </c>
      <c r="P125">
        <v>295</v>
      </c>
      <c r="Q125">
        <v>31</v>
      </c>
      <c r="R125">
        <v>1</v>
      </c>
      <c r="S125">
        <v>21</v>
      </c>
      <c r="T125">
        <v>0</v>
      </c>
      <c r="U125">
        <v>116</v>
      </c>
      <c r="V125">
        <v>28</v>
      </c>
      <c r="W125">
        <v>1</v>
      </c>
      <c r="X125">
        <v>0</v>
      </c>
      <c r="Y125" t="s">
        <v>15</v>
      </c>
      <c r="Z125">
        <v>0</v>
      </c>
      <c r="AA125" s="3">
        <f>IF(AND(Table1[[#This Row],[Throw Out Pass Eff]]="N", Table1[[#This Row],[Against FCS Team]]="N"), ROUND(((5.45 * D125) + (150 * F125) + (100 * G125) - (300 * H125)) / E125, 2), " ")</f>
        <v>78.64</v>
      </c>
      <c r="AB125" s="3">
        <f>IF(AND(Table1[[#This Row],[Throw Out Pass Def Eff]]="N", Table1[[#This Row],[Against FCS Team]]="N"),200 - ROUND(((5.45 * P125) + (150 * R125) + (100 * S125) - (300 * T125)) / Q125, 2), " ")</f>
        <v>75.56</v>
      </c>
      <c r="AC125" s="3">
        <f>IF(AND(Table1[[#This Row],[Throw Out Rush Eff]]="N", Table1[[#This Row],[Against FCS Team]]="N"), ROUND(((23.2 * I125) + (150 * K125) - (300 * L125)) / J125, 2), " ")</f>
        <v>82.75</v>
      </c>
      <c r="AD125" s="3">
        <f>IF(AND(Table1[[#This Row],[Throw Out Rush Def Eff]]="N", Table1[[#This Row],[Against FCS Team]]="N"), 200 - ROUND(((23.2 * U125) + (150 * W125) - (300 * X125)) / V125, 2), " ")</f>
        <v>98.53</v>
      </c>
      <c r="AE125" s="3">
        <f>ROUND(Table1[[#This Row],[Opp Passing Attempts]]/(Table1[[#This Row],[Opp Passing Attempts]]+Table1[[#This Row],[Opp Rushing Attempts]]), 2)</f>
        <v>0.53</v>
      </c>
      <c r="AF125" s="3">
        <f>1-Table1[[#This Row],[Passing Weight]]</f>
        <v>0.47</v>
      </c>
      <c r="AG125" s="3" t="str">
        <f>IF(COUNTIF(A:A,Table1[[#This Row],[Opp Team Name]]) &gt; 0, "N", "Y")</f>
        <v>N</v>
      </c>
      <c r="AH125" s="3" t="str">
        <f>IF(Table1[[#This Row],[Passing Attempts]] &lt;15, "Y", "N")</f>
        <v>N</v>
      </c>
      <c r="AI125" s="3" t="str">
        <f>IF(Table1[[#This Row],[Rushing Attempts]] &lt; 15, "Y", "N")</f>
        <v>N</v>
      </c>
      <c r="AJ125" s="3" t="str">
        <f>IF(Table1[[#This Row],[Opp Passing Attempts]]&lt;15, "Y", "N")</f>
        <v>N</v>
      </c>
      <c r="AK125" s="3" t="str">
        <f>IF(Table1[[#This Row],[Opp Rushing Attempts]]&lt;15, "Y", "N")</f>
        <v>N</v>
      </c>
      <c r="AL12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88.03</v>
      </c>
      <c r="AM12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73.849999999999994</v>
      </c>
      <c r="AN12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73.239999999999995</v>
      </c>
      <c r="AO12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90.71</v>
      </c>
      <c r="AP125" s="3">
        <f>ABS(Table1[[#This Row],[Team Score]]-Table1[[#This Row],[Opp Team Score]])</f>
        <v>10</v>
      </c>
      <c r="AQ125" s="3">
        <f>SUM(Table1[[#This Row],[Team Score]], Table1[[#This Row],[Opp Team Score]])</f>
        <v>42</v>
      </c>
      <c r="AR12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64.52000000000001</v>
      </c>
      <c r="AS125" s="3">
        <f>IF(Table1[[#This Row],[Efficiency Difference]] = " ", " ", ROUND((Table1[[#This Row],[Winning Margin]]*100)/Table1[[#This Row],[Efficiency Difference]], 2))</f>
        <v>15.5</v>
      </c>
    </row>
    <row r="126" spans="1:45">
      <c r="A126" t="s">
        <v>94</v>
      </c>
      <c r="B126">
        <v>0</v>
      </c>
      <c r="C126">
        <v>34</v>
      </c>
      <c r="D126">
        <v>155</v>
      </c>
      <c r="E126">
        <v>31</v>
      </c>
      <c r="F126">
        <v>0</v>
      </c>
      <c r="G126">
        <v>10</v>
      </c>
      <c r="H126">
        <v>1</v>
      </c>
      <c r="I126">
        <v>112</v>
      </c>
      <c r="J126">
        <v>40</v>
      </c>
      <c r="K126">
        <v>1</v>
      </c>
      <c r="L126">
        <v>2</v>
      </c>
      <c r="M126" t="s">
        <v>106</v>
      </c>
      <c r="N126">
        <v>0</v>
      </c>
      <c r="O126">
        <v>17</v>
      </c>
      <c r="P126">
        <v>112</v>
      </c>
      <c r="Q126">
        <v>35</v>
      </c>
      <c r="R126">
        <v>0</v>
      </c>
      <c r="S126">
        <v>11</v>
      </c>
      <c r="T126">
        <v>1</v>
      </c>
      <c r="U126">
        <v>38</v>
      </c>
      <c r="V126">
        <v>19</v>
      </c>
      <c r="W126">
        <v>0</v>
      </c>
      <c r="X126">
        <v>3</v>
      </c>
      <c r="Y126" t="s">
        <v>14</v>
      </c>
      <c r="Z126">
        <v>0</v>
      </c>
      <c r="AA126">
        <f>IF(AND(Table1[[#This Row],[Throw Out Pass Eff]]="N", Table1[[#This Row],[Against FCS Team]]="N"), ROUND(((5.45 * D126) + (150 * F126) + (100 * G126) - (300 * H126)) / E126, 2), " ")</f>
        <v>49.83</v>
      </c>
      <c r="AB126">
        <f>IF(AND(Table1[[#This Row],[Throw Out Pass Def Eff]]="N", Table1[[#This Row],[Against FCS Team]]="N"),200 - ROUND(((5.45 * P126) + (150 * R126) + (100 * S126) - (300 * T126)) / Q126, 2), " ")</f>
        <v>159.69999999999999</v>
      </c>
      <c r="AC126">
        <f>IF(AND(Table1[[#This Row],[Throw Out Rush Eff]]="N", Table1[[#This Row],[Against FCS Team]]="N"), ROUND(((23.2 * I126) + (150 * K126) - (300 * L126)) / J126, 2), " ")</f>
        <v>53.71</v>
      </c>
      <c r="AD126" s="3">
        <f>IF(AND(Table1[[#This Row],[Throw Out Rush Def Eff]]="N", Table1[[#This Row],[Against FCS Team]]="N"), 200 - ROUND(((23.2 * U126) + (150 * W126) - (300 * X126)) / V126, 2), " ")</f>
        <v>200.97</v>
      </c>
      <c r="AE126" s="3">
        <f>ROUND(Table1[[#This Row],[Opp Passing Attempts]]/(Table1[[#This Row],[Opp Passing Attempts]]+Table1[[#This Row],[Opp Rushing Attempts]]), 2)</f>
        <v>0.65</v>
      </c>
      <c r="AF126" s="3">
        <f>1-Table1[[#This Row],[Passing Weight]]</f>
        <v>0.35</v>
      </c>
      <c r="AG126" s="3" t="str">
        <f>IF(COUNTIF(A:A,Table1[[#This Row],[Opp Team Name]]) &gt; 0, "N", "Y")</f>
        <v>N</v>
      </c>
      <c r="AH126" s="3" t="str">
        <f>IF(Table1[[#This Row],[Passing Attempts]] &lt;15, "Y", "N")</f>
        <v>N</v>
      </c>
      <c r="AI126" s="3" t="str">
        <f>IF(Table1[[#This Row],[Rushing Attempts]] &lt; 15, "Y", "N")</f>
        <v>N</v>
      </c>
      <c r="AJ126" s="3" t="str">
        <f>IF(Table1[[#This Row],[Opp Passing Attempts]]&lt;15, "Y", "N")</f>
        <v>N</v>
      </c>
      <c r="AK126" s="3" t="str">
        <f>IF(Table1[[#This Row],[Opp Rushing Attempts]]&lt;15, "Y", "N")</f>
        <v>N</v>
      </c>
      <c r="AL12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62.82</v>
      </c>
      <c r="AM12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145.72</v>
      </c>
      <c r="AN12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55.24</v>
      </c>
      <c r="AO12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142.36000000000001</v>
      </c>
      <c r="AP126" s="3">
        <f>ABS(Table1[[#This Row],[Team Score]]-Table1[[#This Row],[Opp Team Score]])</f>
        <v>17</v>
      </c>
      <c r="AQ126" s="3">
        <f>SUM(Table1[[#This Row],[Team Score]], Table1[[#This Row],[Opp Team Score]])</f>
        <v>51</v>
      </c>
      <c r="AR12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64.209999999999951</v>
      </c>
      <c r="AS126" s="3">
        <f>IF(Table1[[#This Row],[Efficiency Difference]] = " ", " ", ROUND((Table1[[#This Row],[Winning Margin]]*100)/Table1[[#This Row],[Efficiency Difference]], 2))</f>
        <v>26.48</v>
      </c>
    </row>
    <row r="127" spans="1:45">
      <c r="A127" t="s">
        <v>106</v>
      </c>
      <c r="B127">
        <v>0</v>
      </c>
      <c r="C127">
        <v>17</v>
      </c>
      <c r="D127">
        <v>112</v>
      </c>
      <c r="E127">
        <v>35</v>
      </c>
      <c r="F127">
        <v>0</v>
      </c>
      <c r="G127">
        <v>11</v>
      </c>
      <c r="H127">
        <v>1</v>
      </c>
      <c r="I127">
        <v>38</v>
      </c>
      <c r="J127">
        <v>19</v>
      </c>
      <c r="K127">
        <v>0</v>
      </c>
      <c r="L127">
        <v>3</v>
      </c>
      <c r="M127" t="s">
        <v>94</v>
      </c>
      <c r="N127">
        <v>0</v>
      </c>
      <c r="O127">
        <v>34</v>
      </c>
      <c r="P127">
        <v>155</v>
      </c>
      <c r="Q127">
        <v>31</v>
      </c>
      <c r="R127">
        <v>0</v>
      </c>
      <c r="S127">
        <v>10</v>
      </c>
      <c r="T127">
        <v>1</v>
      </c>
      <c r="U127">
        <v>112</v>
      </c>
      <c r="V127">
        <v>40</v>
      </c>
      <c r="W127">
        <v>1</v>
      </c>
      <c r="X127">
        <v>2</v>
      </c>
      <c r="Y127" t="s">
        <v>15</v>
      </c>
      <c r="Z127">
        <v>0</v>
      </c>
      <c r="AA127">
        <f>IF(AND(Table1[[#This Row],[Throw Out Pass Eff]]="N", Table1[[#This Row],[Against FCS Team]]="N"), ROUND(((5.45 * D127) + (150 * F127) + (100 * G127) - (300 * H127)) / E127, 2), " ")</f>
        <v>40.299999999999997</v>
      </c>
      <c r="AB127">
        <f>IF(AND(Table1[[#This Row],[Throw Out Pass Def Eff]]="N", Table1[[#This Row],[Against FCS Team]]="N"),200 - ROUND(((5.45 * P127) + (150 * R127) + (100 * S127) - (300 * T127)) / Q127, 2), " ")</f>
        <v>150.17000000000002</v>
      </c>
      <c r="AC127">
        <f>IF(AND(Table1[[#This Row],[Throw Out Rush Eff]]="N", Table1[[#This Row],[Against FCS Team]]="N"), ROUND(((23.2 * I127) + (150 * K127) - (300 * L127)) / J127, 2), " ")</f>
        <v>-0.97</v>
      </c>
      <c r="AD127" s="3">
        <f>IF(AND(Table1[[#This Row],[Throw Out Rush Def Eff]]="N", Table1[[#This Row],[Against FCS Team]]="N"), 200 - ROUND(((23.2 * U127) + (150 * W127) - (300 * X127)) / V127, 2), " ")</f>
        <v>146.29</v>
      </c>
      <c r="AE127" s="3">
        <f>ROUND(Table1[[#This Row],[Opp Passing Attempts]]/(Table1[[#This Row],[Opp Passing Attempts]]+Table1[[#This Row],[Opp Rushing Attempts]]), 2)</f>
        <v>0.44</v>
      </c>
      <c r="AF127" s="3">
        <f>1-Table1[[#This Row],[Passing Weight]]</f>
        <v>0.56000000000000005</v>
      </c>
      <c r="AG127" s="3" t="str">
        <f>IF(COUNTIF(A:A,Table1[[#This Row],[Opp Team Name]]) &gt; 0, "N", "Y")</f>
        <v>N</v>
      </c>
      <c r="AH127" s="3" t="str">
        <f>IF(Table1[[#This Row],[Passing Attempts]] &lt;15, "Y", "N")</f>
        <v>N</v>
      </c>
      <c r="AI127" s="3" t="str">
        <f>IF(Table1[[#This Row],[Rushing Attempts]] &lt; 15, "Y", "N")</f>
        <v>N</v>
      </c>
      <c r="AJ127" s="3" t="str">
        <f>IF(Table1[[#This Row],[Opp Passing Attempts]]&lt;15, "Y", "N")</f>
        <v>N</v>
      </c>
      <c r="AK127" s="3" t="str">
        <f>IF(Table1[[#This Row],[Opp Rushing Attempts]]&lt;15, "Y", "N")</f>
        <v>N</v>
      </c>
      <c r="AL12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50.67</v>
      </c>
      <c r="AM12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126.26</v>
      </c>
      <c r="AN12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-1.42</v>
      </c>
      <c r="AO12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133.21</v>
      </c>
      <c r="AP127" s="3">
        <f>ABS(Table1[[#This Row],[Team Score]]-Table1[[#This Row],[Opp Team Score]])</f>
        <v>17</v>
      </c>
      <c r="AQ127" s="3">
        <f>SUM(Table1[[#This Row],[Team Score]], Table1[[#This Row],[Opp Team Score]])</f>
        <v>51</v>
      </c>
      <c r="AR12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64.209999999999965</v>
      </c>
      <c r="AS127" s="3">
        <f>IF(Table1[[#This Row],[Efficiency Difference]] = " ", " ", ROUND((Table1[[#This Row],[Winning Margin]]*100)/Table1[[#This Row],[Efficiency Difference]], 2))</f>
        <v>26.48</v>
      </c>
    </row>
    <row r="128" spans="1:45">
      <c r="A128" t="s">
        <v>96</v>
      </c>
      <c r="B128">
        <v>0</v>
      </c>
      <c r="C128">
        <v>24</v>
      </c>
      <c r="D128">
        <v>274</v>
      </c>
      <c r="E128">
        <v>39</v>
      </c>
      <c r="F128">
        <v>1</v>
      </c>
      <c r="G128">
        <v>25</v>
      </c>
      <c r="H128">
        <v>0</v>
      </c>
      <c r="I128">
        <v>192</v>
      </c>
      <c r="J128">
        <v>36</v>
      </c>
      <c r="K128">
        <v>2</v>
      </c>
      <c r="L128">
        <v>0</v>
      </c>
      <c r="M128" t="s">
        <v>85</v>
      </c>
      <c r="N128">
        <v>0</v>
      </c>
      <c r="O128">
        <v>17</v>
      </c>
      <c r="P128">
        <v>256</v>
      </c>
      <c r="Q128">
        <v>30</v>
      </c>
      <c r="R128">
        <v>2</v>
      </c>
      <c r="S128">
        <v>13</v>
      </c>
      <c r="T128">
        <v>0</v>
      </c>
      <c r="U128">
        <v>62</v>
      </c>
      <c r="V128">
        <v>18</v>
      </c>
      <c r="W128">
        <v>0</v>
      </c>
      <c r="X128">
        <v>1</v>
      </c>
      <c r="Y128" t="s">
        <v>14</v>
      </c>
      <c r="Z128">
        <v>0</v>
      </c>
      <c r="AA128">
        <f>IF(AND(Table1[[#This Row],[Throw Out Pass Eff]]="N", Table1[[#This Row],[Against FCS Team]]="N"), ROUND(((5.45 * D128) + (150 * F128) + (100 * G128) - (300 * H128)) / E128, 2), " ")</f>
        <v>106.24</v>
      </c>
      <c r="AB128">
        <f>IF(AND(Table1[[#This Row],[Throw Out Pass Def Eff]]="N", Table1[[#This Row],[Against FCS Team]]="N"),200 - ROUND(((5.45 * P128) + (150 * R128) + (100 * S128) - (300 * T128)) / Q128, 2), " ")</f>
        <v>100.16</v>
      </c>
      <c r="AC128">
        <f>IF(AND(Table1[[#This Row],[Throw Out Rush Eff]]="N", Table1[[#This Row],[Against FCS Team]]="N"), ROUND(((23.2 * I128) + (150 * K128) - (300 * L128)) / J128, 2), " ")</f>
        <v>132.07</v>
      </c>
      <c r="AD128" s="3">
        <f>IF(AND(Table1[[#This Row],[Throw Out Rush Def Eff]]="N", Table1[[#This Row],[Against FCS Team]]="N"), 200 - ROUND(((23.2 * U128) + (150 * W128) - (300 * X128)) / V128, 2), " ")</f>
        <v>136.76</v>
      </c>
      <c r="AE128" s="3">
        <f>ROUND(Table1[[#This Row],[Opp Passing Attempts]]/(Table1[[#This Row],[Opp Passing Attempts]]+Table1[[#This Row],[Opp Rushing Attempts]]), 2)</f>
        <v>0.63</v>
      </c>
      <c r="AF128" s="3">
        <f>1-Table1[[#This Row],[Passing Weight]]</f>
        <v>0.37</v>
      </c>
      <c r="AG128" s="3" t="str">
        <f>IF(COUNTIF(A:A,Table1[[#This Row],[Opp Team Name]]) &gt; 0, "N", "Y")</f>
        <v>N</v>
      </c>
      <c r="AH128" s="3" t="str">
        <f>IF(Table1[[#This Row],[Passing Attempts]] &lt;15, "Y", "N")</f>
        <v>N</v>
      </c>
      <c r="AI128" s="3" t="str">
        <f>IF(Table1[[#This Row],[Rushing Attempts]] &lt; 15, "Y", "N")</f>
        <v>N</v>
      </c>
      <c r="AJ128" s="3" t="str">
        <f>IF(Table1[[#This Row],[Opp Passing Attempts]]&lt;15, "Y", "N")</f>
        <v>N</v>
      </c>
      <c r="AK128" s="3" t="str">
        <f>IF(Table1[[#This Row],[Opp Rushing Attempts]]&lt;15, "Y", "N")</f>
        <v>N</v>
      </c>
      <c r="AL12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82.77</v>
      </c>
      <c r="AM12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86.12</v>
      </c>
      <c r="AN12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136.11000000000001</v>
      </c>
      <c r="AO12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115.05</v>
      </c>
      <c r="AP128" s="3">
        <f>ABS(Table1[[#This Row],[Team Score]]-Table1[[#This Row],[Opp Team Score]])</f>
        <v>7</v>
      </c>
      <c r="AQ128" s="3">
        <f>SUM(Table1[[#This Row],[Team Score]], Table1[[#This Row],[Opp Team Score]])</f>
        <v>41</v>
      </c>
      <c r="AR12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75.22999999999999</v>
      </c>
      <c r="AS128" s="3">
        <f>IF(Table1[[#This Row],[Efficiency Difference]] = " ", " ", ROUND((Table1[[#This Row],[Winning Margin]]*100)/Table1[[#This Row],[Efficiency Difference]], 2))</f>
        <v>9.3000000000000007</v>
      </c>
    </row>
    <row r="129" spans="1:45">
      <c r="A129" t="s">
        <v>85</v>
      </c>
      <c r="B129">
        <v>0</v>
      </c>
      <c r="C129">
        <v>17</v>
      </c>
      <c r="D129">
        <v>256</v>
      </c>
      <c r="E129">
        <v>30</v>
      </c>
      <c r="F129">
        <v>2</v>
      </c>
      <c r="G129">
        <v>13</v>
      </c>
      <c r="H129">
        <v>0</v>
      </c>
      <c r="I129">
        <v>62</v>
      </c>
      <c r="J129">
        <v>18</v>
      </c>
      <c r="K129">
        <v>0</v>
      </c>
      <c r="L129">
        <v>1</v>
      </c>
      <c r="M129" t="s">
        <v>96</v>
      </c>
      <c r="N129">
        <v>0</v>
      </c>
      <c r="O129">
        <v>24</v>
      </c>
      <c r="P129">
        <v>274</v>
      </c>
      <c r="Q129">
        <v>39</v>
      </c>
      <c r="R129">
        <v>1</v>
      </c>
      <c r="S129">
        <v>25</v>
      </c>
      <c r="T129">
        <v>0</v>
      </c>
      <c r="U129">
        <v>192</v>
      </c>
      <c r="V129">
        <v>36</v>
      </c>
      <c r="W129">
        <v>2</v>
      </c>
      <c r="X129">
        <v>0</v>
      </c>
      <c r="Y129" t="s">
        <v>15</v>
      </c>
      <c r="Z129">
        <v>0</v>
      </c>
      <c r="AA129">
        <f>IF(AND(Table1[[#This Row],[Throw Out Pass Eff]]="N", Table1[[#This Row],[Against FCS Team]]="N"), ROUND(((5.45 * D129) + (150 * F129) + (100 * G129) - (300 * H129)) / E129, 2), " ")</f>
        <v>99.84</v>
      </c>
      <c r="AB129">
        <f>IF(AND(Table1[[#This Row],[Throw Out Pass Def Eff]]="N", Table1[[#This Row],[Against FCS Team]]="N"),200 - ROUND(((5.45 * P129) + (150 * R129) + (100 * S129) - (300 * T129)) / Q129, 2), " ")</f>
        <v>93.76</v>
      </c>
      <c r="AC129">
        <f>IF(AND(Table1[[#This Row],[Throw Out Rush Eff]]="N", Table1[[#This Row],[Against FCS Team]]="N"), ROUND(((23.2 * I129) + (150 * K129) - (300 * L129)) / J129, 2), " ")</f>
        <v>63.24</v>
      </c>
      <c r="AD129" s="3">
        <f>IF(AND(Table1[[#This Row],[Throw Out Rush Def Eff]]="N", Table1[[#This Row],[Against FCS Team]]="N"), 200 - ROUND(((23.2 * U129) + (150 * W129) - (300 * X129)) / V129, 2), " ")</f>
        <v>67.930000000000007</v>
      </c>
      <c r="AE129" s="3">
        <f>ROUND(Table1[[#This Row],[Opp Passing Attempts]]/(Table1[[#This Row],[Opp Passing Attempts]]+Table1[[#This Row],[Opp Rushing Attempts]]), 2)</f>
        <v>0.52</v>
      </c>
      <c r="AF129" s="3">
        <f>1-Table1[[#This Row],[Passing Weight]]</f>
        <v>0.48</v>
      </c>
      <c r="AG129" s="3" t="str">
        <f>IF(COUNTIF(A:A,Table1[[#This Row],[Opp Team Name]]) &gt; 0, "N", "Y")</f>
        <v>N</v>
      </c>
      <c r="AH129" s="3" t="str">
        <f>IF(Table1[[#This Row],[Passing Attempts]] &lt;15, "Y", "N")</f>
        <v>N</v>
      </c>
      <c r="AI129" s="3" t="str">
        <f>IF(Table1[[#This Row],[Rushing Attempts]] &lt; 15, "Y", "N")</f>
        <v>N</v>
      </c>
      <c r="AJ129" s="3" t="str">
        <f>IF(Table1[[#This Row],[Opp Passing Attempts]]&lt;15, "Y", "N")</f>
        <v>N</v>
      </c>
      <c r="AK129" s="3" t="str">
        <f>IF(Table1[[#This Row],[Opp Rushing Attempts]]&lt;15, "Y", "N")</f>
        <v>N</v>
      </c>
      <c r="AL12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97.34</v>
      </c>
      <c r="AM12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82.45</v>
      </c>
      <c r="AN12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69.709999999999994</v>
      </c>
      <c r="AO12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67.83</v>
      </c>
      <c r="AP129" s="3">
        <f>ABS(Table1[[#This Row],[Team Score]]-Table1[[#This Row],[Opp Team Score]])</f>
        <v>7</v>
      </c>
      <c r="AQ129" s="3">
        <f>SUM(Table1[[#This Row],[Team Score]], Table1[[#This Row],[Opp Team Score]])</f>
        <v>41</v>
      </c>
      <c r="AR12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75.22999999999999</v>
      </c>
      <c r="AS129" s="3">
        <f>IF(Table1[[#This Row],[Efficiency Difference]] = " ", " ", ROUND((Table1[[#This Row],[Winning Margin]]*100)/Table1[[#This Row],[Efficiency Difference]], 2))</f>
        <v>9.3000000000000007</v>
      </c>
    </row>
    <row r="130" spans="1:45">
      <c r="A130" t="s">
        <v>103</v>
      </c>
      <c r="B130">
        <v>0</v>
      </c>
      <c r="C130">
        <v>27</v>
      </c>
      <c r="D130">
        <v>219</v>
      </c>
      <c r="E130">
        <v>31</v>
      </c>
      <c r="F130">
        <v>2</v>
      </c>
      <c r="G130">
        <v>16</v>
      </c>
      <c r="H130">
        <v>1</v>
      </c>
      <c r="I130">
        <v>162</v>
      </c>
      <c r="J130">
        <v>22</v>
      </c>
      <c r="K130">
        <v>2</v>
      </c>
      <c r="L130">
        <v>0</v>
      </c>
      <c r="M130" t="s">
        <v>81</v>
      </c>
      <c r="N130">
        <v>0</v>
      </c>
      <c r="O130">
        <v>30</v>
      </c>
      <c r="P130">
        <v>343</v>
      </c>
      <c r="Q130">
        <v>45</v>
      </c>
      <c r="R130">
        <v>2</v>
      </c>
      <c r="S130">
        <v>32</v>
      </c>
      <c r="T130">
        <v>1</v>
      </c>
      <c r="U130">
        <v>101</v>
      </c>
      <c r="V130">
        <v>28</v>
      </c>
      <c r="W130">
        <v>1</v>
      </c>
      <c r="X130">
        <v>0</v>
      </c>
      <c r="Y130" t="s">
        <v>15</v>
      </c>
      <c r="Z130">
        <v>0</v>
      </c>
      <c r="AA130">
        <f>IF(AND(Table1[[#This Row],[Throw Out Pass Eff]]="N", Table1[[#This Row],[Against FCS Team]]="N"), ROUND(((5.45 * D130) + (150 * F130) + (100 * G130) - (300 * H130)) / E130, 2), " ")</f>
        <v>90.11</v>
      </c>
      <c r="AB130">
        <f>IF(AND(Table1[[#This Row],[Throw Out Pass Def Eff]]="N", Table1[[#This Row],[Against FCS Team]]="N"),200 - ROUND(((5.45 * P130) + (150 * R130) + (100 * S130) - (300 * T130)) / Q130, 2), " ")</f>
        <v>87.35</v>
      </c>
      <c r="AC130">
        <f>IF(AND(Table1[[#This Row],[Throw Out Rush Eff]]="N", Table1[[#This Row],[Against FCS Team]]="N"), ROUND(((23.2 * I130) + (150 * K130) - (300 * L130)) / J130, 2), " ")</f>
        <v>184.47</v>
      </c>
      <c r="AD130" s="3">
        <f>IF(AND(Table1[[#This Row],[Throw Out Rush Def Eff]]="N", Table1[[#This Row],[Against FCS Team]]="N"), 200 - ROUND(((23.2 * U130) + (150 * W130) - (300 * X130)) / V130, 2), " ")</f>
        <v>110.96</v>
      </c>
      <c r="AE130" s="3">
        <f>ROUND(Table1[[#This Row],[Opp Passing Attempts]]/(Table1[[#This Row],[Opp Passing Attempts]]+Table1[[#This Row],[Opp Rushing Attempts]]), 2)</f>
        <v>0.62</v>
      </c>
      <c r="AF130" s="3">
        <f>1-Table1[[#This Row],[Passing Weight]]</f>
        <v>0.38</v>
      </c>
      <c r="AG130" s="3" t="str">
        <f>IF(COUNTIF(A:A,Table1[[#This Row],[Opp Team Name]]) &gt; 0, "N", "Y")</f>
        <v>N</v>
      </c>
      <c r="AH130" s="3" t="str">
        <f>IF(Table1[[#This Row],[Passing Attempts]] &lt;15, "Y", "N")</f>
        <v>N</v>
      </c>
      <c r="AI130" s="3" t="str">
        <f>IF(Table1[[#This Row],[Rushing Attempts]] &lt; 15, "Y", "N")</f>
        <v>N</v>
      </c>
      <c r="AJ130" s="3" t="str">
        <f>IF(Table1[[#This Row],[Opp Passing Attempts]]&lt;15, "Y", "N")</f>
        <v>N</v>
      </c>
      <c r="AK130" s="3" t="str">
        <f>IF(Table1[[#This Row],[Opp Rushing Attempts]]&lt;15, "Y", "N")</f>
        <v>N</v>
      </c>
      <c r="AL13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99.04</v>
      </c>
      <c r="AM13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102.09</v>
      </c>
      <c r="AN13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131.43</v>
      </c>
      <c r="AO13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113.85</v>
      </c>
      <c r="AP130" s="3">
        <f>ABS(Table1[[#This Row],[Team Score]]-Table1[[#This Row],[Opp Team Score]])</f>
        <v>3</v>
      </c>
      <c r="AQ130" s="3">
        <f>SUM(Table1[[#This Row],[Team Score]], Table1[[#This Row],[Opp Team Score]])</f>
        <v>57</v>
      </c>
      <c r="AR13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72.889999999999986</v>
      </c>
      <c r="AS130" s="3">
        <f>IF(Table1[[#This Row],[Efficiency Difference]] = " ", " ", ROUND((Table1[[#This Row],[Winning Margin]]*100)/Table1[[#This Row],[Efficiency Difference]], 2))</f>
        <v>4.12</v>
      </c>
    </row>
    <row r="131" spans="1:45">
      <c r="A131" t="s">
        <v>81</v>
      </c>
      <c r="B131">
        <v>0</v>
      </c>
      <c r="C131">
        <v>30</v>
      </c>
      <c r="D131">
        <v>343</v>
      </c>
      <c r="E131">
        <v>45</v>
      </c>
      <c r="F131">
        <v>2</v>
      </c>
      <c r="G131">
        <v>32</v>
      </c>
      <c r="H131">
        <v>1</v>
      </c>
      <c r="I131">
        <v>101</v>
      </c>
      <c r="J131">
        <v>28</v>
      </c>
      <c r="K131">
        <v>1</v>
      </c>
      <c r="L131">
        <v>0</v>
      </c>
      <c r="M131" t="s">
        <v>103</v>
      </c>
      <c r="N131">
        <v>0</v>
      </c>
      <c r="O131">
        <v>27</v>
      </c>
      <c r="P131">
        <v>219</v>
      </c>
      <c r="Q131">
        <v>31</v>
      </c>
      <c r="R131">
        <v>2</v>
      </c>
      <c r="S131">
        <v>16</v>
      </c>
      <c r="T131">
        <v>1</v>
      </c>
      <c r="U131">
        <v>162</v>
      </c>
      <c r="V131">
        <v>22</v>
      </c>
      <c r="W131">
        <v>2</v>
      </c>
      <c r="X131">
        <v>0</v>
      </c>
      <c r="Y131" t="s">
        <v>14</v>
      </c>
      <c r="Z131">
        <v>0</v>
      </c>
      <c r="AA131">
        <f>IF(AND(Table1[[#This Row],[Throw Out Pass Eff]]="N", Table1[[#This Row],[Against FCS Team]]="N"), ROUND(((5.45 * D131) + (150 * F131) + (100 * G131) - (300 * H131)) / E131, 2), " ")</f>
        <v>112.65</v>
      </c>
      <c r="AB131">
        <f>IF(AND(Table1[[#This Row],[Throw Out Pass Def Eff]]="N", Table1[[#This Row],[Against FCS Team]]="N"),200 - ROUND(((5.45 * P131) + (150 * R131) + (100 * S131) - (300 * T131)) / Q131, 2), " ")</f>
        <v>109.89</v>
      </c>
      <c r="AC131">
        <f>IF(AND(Table1[[#This Row],[Throw Out Rush Eff]]="N", Table1[[#This Row],[Against FCS Team]]="N"), ROUND(((23.2 * I131) + (150 * K131) - (300 * L131)) / J131, 2), " ")</f>
        <v>89.04</v>
      </c>
      <c r="AD131" s="3">
        <f>IF(AND(Table1[[#This Row],[Throw Out Rush Def Eff]]="N", Table1[[#This Row],[Against FCS Team]]="N"), 200 - ROUND(((23.2 * U131) + (150 * W131) - (300 * X131)) / V131, 2), " ")</f>
        <v>15.530000000000001</v>
      </c>
      <c r="AE131" s="3">
        <f>ROUND(Table1[[#This Row],[Opp Passing Attempts]]/(Table1[[#This Row],[Opp Passing Attempts]]+Table1[[#This Row],[Opp Rushing Attempts]]), 2)</f>
        <v>0.57999999999999996</v>
      </c>
      <c r="AF131" s="3">
        <f>1-Table1[[#This Row],[Passing Weight]]</f>
        <v>0.42000000000000004</v>
      </c>
      <c r="AG131" s="3" t="str">
        <f>IF(COUNTIF(A:A,Table1[[#This Row],[Opp Team Name]]) &gt; 0, "N", "Y")</f>
        <v>N</v>
      </c>
      <c r="AH131" s="3" t="str">
        <f>IF(Table1[[#This Row],[Passing Attempts]] &lt;15, "Y", "N")</f>
        <v>N</v>
      </c>
      <c r="AI131" s="3" t="str">
        <f>IF(Table1[[#This Row],[Rushing Attempts]] &lt; 15, "Y", "N")</f>
        <v>N</v>
      </c>
      <c r="AJ131" s="3" t="str">
        <f>IF(Table1[[#This Row],[Opp Passing Attempts]]&lt;15, "Y", "N")</f>
        <v>N</v>
      </c>
      <c r="AK131" s="3" t="str">
        <f>IF(Table1[[#This Row],[Opp Rushing Attempts]]&lt;15, "Y", "N")</f>
        <v>N</v>
      </c>
      <c r="AL13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107.95</v>
      </c>
      <c r="AM13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109.65</v>
      </c>
      <c r="AN13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80.7</v>
      </c>
      <c r="AO13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18.399999999999999</v>
      </c>
      <c r="AP131" s="3">
        <f>ABS(Table1[[#This Row],[Team Score]]-Table1[[#This Row],[Opp Team Score]])</f>
        <v>3</v>
      </c>
      <c r="AQ131" s="3">
        <f>SUM(Table1[[#This Row],[Team Score]], Table1[[#This Row],[Opp Team Score]])</f>
        <v>57</v>
      </c>
      <c r="AR13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72.889999999999986</v>
      </c>
      <c r="AS131" s="3">
        <f>IF(Table1[[#This Row],[Efficiency Difference]] = " ", " ", ROUND((Table1[[#This Row],[Winning Margin]]*100)/Table1[[#This Row],[Efficiency Difference]], 2))</f>
        <v>4.12</v>
      </c>
    </row>
    <row r="132" spans="1:45">
      <c r="A132" t="s">
        <v>87</v>
      </c>
      <c r="B132">
        <v>0</v>
      </c>
      <c r="C132">
        <v>31</v>
      </c>
      <c r="D132">
        <v>188</v>
      </c>
      <c r="E132">
        <v>27</v>
      </c>
      <c r="F132">
        <v>1</v>
      </c>
      <c r="G132">
        <v>21</v>
      </c>
      <c r="H132">
        <v>1</v>
      </c>
      <c r="I132">
        <v>143</v>
      </c>
      <c r="J132">
        <v>35</v>
      </c>
      <c r="K132">
        <v>2</v>
      </c>
      <c r="L132">
        <v>0</v>
      </c>
      <c r="M132" t="s">
        <v>93</v>
      </c>
      <c r="N132">
        <v>0</v>
      </c>
      <c r="O132">
        <v>24</v>
      </c>
      <c r="P132">
        <v>315</v>
      </c>
      <c r="Q132">
        <v>40</v>
      </c>
      <c r="R132">
        <v>2</v>
      </c>
      <c r="S132">
        <v>26</v>
      </c>
      <c r="T132">
        <v>4</v>
      </c>
      <c r="U132">
        <v>174</v>
      </c>
      <c r="V132">
        <v>20</v>
      </c>
      <c r="W132">
        <v>1</v>
      </c>
      <c r="X132">
        <v>1</v>
      </c>
      <c r="Y132" t="s">
        <v>14</v>
      </c>
      <c r="Z132">
        <v>0</v>
      </c>
      <c r="AA132">
        <f>IF(AND(Table1[[#This Row],[Throw Out Pass Eff]]="N", Table1[[#This Row],[Against FCS Team]]="N"), ROUND(((5.45 * D132) + (150 * F132) + (100 * G132) - (300 * H132)) / E132, 2), " ")</f>
        <v>110.17</v>
      </c>
      <c r="AB132">
        <f>IF(AND(Table1[[#This Row],[Throw Out Pass Def Eff]]="N", Table1[[#This Row],[Against FCS Team]]="N"),200 - ROUND(((5.45 * P132) + (150 * R132) + (100 * S132) - (300 * T132)) / Q132, 2), " ")</f>
        <v>114.58</v>
      </c>
      <c r="AC132">
        <f>IF(AND(Table1[[#This Row],[Throw Out Rush Eff]]="N", Table1[[#This Row],[Against FCS Team]]="N"), ROUND(((23.2 * I132) + (150 * K132) - (300 * L132)) / J132, 2), " ")</f>
        <v>103.36</v>
      </c>
      <c r="AD132" s="3">
        <f>IF(AND(Table1[[#This Row],[Throw Out Rush Def Eff]]="N", Table1[[#This Row],[Against FCS Team]]="N"), 200 - ROUND(((23.2 * U132) + (150 * W132) - (300 * X132)) / V132, 2), " ")</f>
        <v>5.6599999999999966</v>
      </c>
      <c r="AE132" s="3">
        <f>ROUND(Table1[[#This Row],[Opp Passing Attempts]]/(Table1[[#This Row],[Opp Passing Attempts]]+Table1[[#This Row],[Opp Rushing Attempts]]), 2)</f>
        <v>0.67</v>
      </c>
      <c r="AF132" s="3">
        <f>1-Table1[[#This Row],[Passing Weight]]</f>
        <v>0.32999999999999996</v>
      </c>
      <c r="AG132" s="3" t="str">
        <f>IF(COUNTIF(A:A,Table1[[#This Row],[Opp Team Name]]) &gt; 0, "N", "Y")</f>
        <v>N</v>
      </c>
      <c r="AH132" s="3" t="str">
        <f>IF(Table1[[#This Row],[Passing Attempts]] &lt;15, "Y", "N")</f>
        <v>N</v>
      </c>
      <c r="AI132" s="3" t="str">
        <f>IF(Table1[[#This Row],[Rushing Attempts]] &lt; 15, "Y", "N")</f>
        <v>N</v>
      </c>
      <c r="AJ132" s="3" t="str">
        <f>IF(Table1[[#This Row],[Opp Passing Attempts]]&lt;15, "Y", "N")</f>
        <v>N</v>
      </c>
      <c r="AK132" s="3" t="str">
        <f>IF(Table1[[#This Row],[Opp Rushing Attempts]]&lt;15, "Y", "N")</f>
        <v>N</v>
      </c>
      <c r="AL13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109.36</v>
      </c>
      <c r="AM13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105.2</v>
      </c>
      <c r="AN13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84.46</v>
      </c>
      <c r="AO13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7.38</v>
      </c>
      <c r="AP132" s="3">
        <f>ABS(Table1[[#This Row],[Team Score]]-Table1[[#This Row],[Opp Team Score]])</f>
        <v>7</v>
      </c>
      <c r="AQ132" s="3">
        <f>SUM(Table1[[#This Row],[Team Score]], Table1[[#This Row],[Opp Team Score]])</f>
        <v>55</v>
      </c>
      <c r="AR13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66.22999999999999</v>
      </c>
      <c r="AS132" s="3">
        <f>IF(Table1[[#This Row],[Efficiency Difference]] = " ", " ", ROUND((Table1[[#This Row],[Winning Margin]]*100)/Table1[[#This Row],[Efficiency Difference]], 2))</f>
        <v>10.57</v>
      </c>
    </row>
    <row r="133" spans="1:45">
      <c r="A133" t="s">
        <v>93</v>
      </c>
      <c r="B133">
        <v>0</v>
      </c>
      <c r="C133">
        <v>24</v>
      </c>
      <c r="D133">
        <v>315</v>
      </c>
      <c r="E133">
        <v>40</v>
      </c>
      <c r="F133">
        <v>2</v>
      </c>
      <c r="G133">
        <v>26</v>
      </c>
      <c r="H133">
        <v>4</v>
      </c>
      <c r="I133">
        <v>174</v>
      </c>
      <c r="J133">
        <v>20</v>
      </c>
      <c r="K133">
        <v>1</v>
      </c>
      <c r="L133">
        <v>1</v>
      </c>
      <c r="M133" t="s">
        <v>87</v>
      </c>
      <c r="N133">
        <v>0</v>
      </c>
      <c r="O133">
        <v>31</v>
      </c>
      <c r="P133">
        <v>188</v>
      </c>
      <c r="Q133">
        <v>27</v>
      </c>
      <c r="R133">
        <v>1</v>
      </c>
      <c r="S133">
        <v>21</v>
      </c>
      <c r="T133">
        <v>1</v>
      </c>
      <c r="U133">
        <v>143</v>
      </c>
      <c r="V133">
        <v>35</v>
      </c>
      <c r="W133">
        <v>2</v>
      </c>
      <c r="X133">
        <v>0</v>
      </c>
      <c r="Y133" t="s">
        <v>15</v>
      </c>
      <c r="Z133">
        <v>0</v>
      </c>
      <c r="AA133" s="3">
        <f>IF(AND(Table1[[#This Row],[Throw Out Pass Eff]]="N", Table1[[#This Row],[Against FCS Team]]="N"), ROUND(((5.45 * D133) + (150 * F133) + (100 * G133) - (300 * H133)) / E133, 2), " ")</f>
        <v>85.42</v>
      </c>
      <c r="AB133" s="3">
        <f>IF(AND(Table1[[#This Row],[Throw Out Pass Def Eff]]="N", Table1[[#This Row],[Against FCS Team]]="N"),200 - ROUND(((5.45 * P133) + (150 * R133) + (100 * S133) - (300 * T133)) / Q133, 2), " ")</f>
        <v>89.83</v>
      </c>
      <c r="AC133" s="3">
        <f>IF(AND(Table1[[#This Row],[Throw Out Rush Eff]]="N", Table1[[#This Row],[Against FCS Team]]="N"), ROUND(((23.2 * I133) + (150 * K133) - (300 * L133)) / J133, 2), " ")</f>
        <v>194.34</v>
      </c>
      <c r="AD133" s="3">
        <f>IF(AND(Table1[[#This Row],[Throw Out Rush Def Eff]]="N", Table1[[#This Row],[Against FCS Team]]="N"), 200 - ROUND(((23.2 * U133) + (150 * W133) - (300 * X133)) / V133, 2), " ")</f>
        <v>96.64</v>
      </c>
      <c r="AE133" s="3">
        <f>ROUND(Table1[[#This Row],[Opp Passing Attempts]]/(Table1[[#This Row],[Opp Passing Attempts]]+Table1[[#This Row],[Opp Rushing Attempts]]), 2)</f>
        <v>0.44</v>
      </c>
      <c r="AF133" s="3">
        <f>1-Table1[[#This Row],[Passing Weight]]</f>
        <v>0.56000000000000005</v>
      </c>
      <c r="AG133" s="3" t="str">
        <f>IF(COUNTIF(A:A,Table1[[#This Row],[Opp Team Name]]) &gt; 0, "N", "Y")</f>
        <v>N</v>
      </c>
      <c r="AH133" s="3" t="str">
        <f>IF(Table1[[#This Row],[Passing Attempts]] &lt;15, "Y", "N")</f>
        <v>N</v>
      </c>
      <c r="AI133" s="3" t="str">
        <f>IF(Table1[[#This Row],[Rushing Attempts]] &lt; 15, "Y", "N")</f>
        <v>N</v>
      </c>
      <c r="AJ133" s="3" t="str">
        <f>IF(Table1[[#This Row],[Opp Passing Attempts]]&lt;15, "Y", "N")</f>
        <v>N</v>
      </c>
      <c r="AK133" s="3" t="str">
        <f>IF(Table1[[#This Row],[Opp Rushing Attempts]]&lt;15, "Y", "N")</f>
        <v>N</v>
      </c>
      <c r="AL13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88.58</v>
      </c>
      <c r="AM13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93.32</v>
      </c>
      <c r="AN13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151.91999999999999</v>
      </c>
      <c r="AO13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127.74</v>
      </c>
      <c r="AP133" s="3">
        <f>ABS(Table1[[#This Row],[Team Score]]-Table1[[#This Row],[Opp Team Score]])</f>
        <v>7</v>
      </c>
      <c r="AQ133" s="3">
        <f>SUM(Table1[[#This Row],[Team Score]], Table1[[#This Row],[Opp Team Score]])</f>
        <v>55</v>
      </c>
      <c r="AR13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66.22999999999999</v>
      </c>
      <c r="AS133" s="3">
        <f>IF(Table1[[#This Row],[Efficiency Difference]] = " ", " ", ROUND((Table1[[#This Row],[Winning Margin]]*100)/Table1[[#This Row],[Efficiency Difference]], 2))</f>
        <v>10.57</v>
      </c>
    </row>
    <row r="134" spans="1:45">
      <c r="A134" t="s">
        <v>101</v>
      </c>
      <c r="B134">
        <v>0</v>
      </c>
      <c r="C134">
        <v>25</v>
      </c>
      <c r="D134">
        <v>395</v>
      </c>
      <c r="E134">
        <v>39</v>
      </c>
      <c r="F134">
        <v>3</v>
      </c>
      <c r="G134">
        <v>24</v>
      </c>
      <c r="H134">
        <v>3</v>
      </c>
      <c r="I134">
        <v>69</v>
      </c>
      <c r="J134">
        <v>25</v>
      </c>
      <c r="K134">
        <v>0</v>
      </c>
      <c r="L134">
        <v>2</v>
      </c>
      <c r="M134" t="s">
        <v>105</v>
      </c>
      <c r="N134">
        <v>0</v>
      </c>
      <c r="O134">
        <v>36</v>
      </c>
      <c r="P134">
        <v>279</v>
      </c>
      <c r="Q134">
        <v>41</v>
      </c>
      <c r="R134">
        <v>2</v>
      </c>
      <c r="S134">
        <v>26</v>
      </c>
      <c r="T134">
        <v>1</v>
      </c>
      <c r="U134">
        <v>145</v>
      </c>
      <c r="V134">
        <v>29</v>
      </c>
      <c r="W134">
        <v>1</v>
      </c>
      <c r="X134">
        <v>2</v>
      </c>
      <c r="Y134" t="s">
        <v>15</v>
      </c>
      <c r="Z134">
        <v>0</v>
      </c>
      <c r="AA134">
        <f>IF(AND(Table1[[#This Row],[Throw Out Pass Eff]]="N", Table1[[#This Row],[Against FCS Team]]="N"), ROUND(((5.45 * D134) + (150 * F134) + (100 * G134) - (300 * H134)) / E134, 2), " ")</f>
        <v>105.2</v>
      </c>
      <c r="AB134">
        <f>IF(AND(Table1[[#This Row],[Throw Out Pass Def Eff]]="N", Table1[[#This Row],[Against FCS Team]]="N"),200 - ROUND(((5.45 * P134) + (150 * R134) + (100 * S134) - (300 * T134)) / Q134, 2), " ")</f>
        <v>99.5</v>
      </c>
      <c r="AC134">
        <f>IF(AND(Table1[[#This Row],[Throw Out Rush Eff]]="N", Table1[[#This Row],[Against FCS Team]]="N"), ROUND(((23.2 * I134) + (150 * K134) - (300 * L134)) / J134, 2), " ")</f>
        <v>40.03</v>
      </c>
      <c r="AD134" s="3">
        <f>IF(AND(Table1[[#This Row],[Throw Out Rush Def Eff]]="N", Table1[[#This Row],[Against FCS Team]]="N"), 200 - ROUND(((23.2 * U134) + (150 * W134) - (300 * X134)) / V134, 2), " ")</f>
        <v>99.52</v>
      </c>
      <c r="AE134" s="3">
        <f>ROUND(Table1[[#This Row],[Opp Passing Attempts]]/(Table1[[#This Row],[Opp Passing Attempts]]+Table1[[#This Row],[Opp Rushing Attempts]]), 2)</f>
        <v>0.59</v>
      </c>
      <c r="AF134" s="3">
        <f>1-Table1[[#This Row],[Passing Weight]]</f>
        <v>0.41000000000000003</v>
      </c>
      <c r="AG134" s="3" t="str">
        <f>IF(COUNTIF(A:A,Table1[[#This Row],[Opp Team Name]]) &gt; 0, "N", "Y")</f>
        <v>N</v>
      </c>
      <c r="AH134" s="3" t="str">
        <f>IF(Table1[[#This Row],[Passing Attempts]] &lt;15, "Y", "N")</f>
        <v>N</v>
      </c>
      <c r="AI134" s="3" t="str">
        <f>IF(Table1[[#This Row],[Rushing Attempts]] &lt; 15, "Y", "N")</f>
        <v>N</v>
      </c>
      <c r="AJ134" s="3" t="str">
        <f>IF(Table1[[#This Row],[Opp Passing Attempts]]&lt;15, "Y", "N")</f>
        <v>N</v>
      </c>
      <c r="AK134" s="3" t="str">
        <f>IF(Table1[[#This Row],[Opp Rushing Attempts]]&lt;15, "Y", "N")</f>
        <v>N</v>
      </c>
      <c r="AL13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103.18</v>
      </c>
      <c r="AM13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82.51</v>
      </c>
      <c r="AN13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51.33</v>
      </c>
      <c r="AO13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81.98</v>
      </c>
      <c r="AP134" s="3">
        <f>ABS(Table1[[#This Row],[Team Score]]-Table1[[#This Row],[Opp Team Score]])</f>
        <v>11</v>
      </c>
      <c r="AQ134" s="3">
        <f>SUM(Table1[[#This Row],[Team Score]], Table1[[#This Row],[Opp Team Score]])</f>
        <v>61</v>
      </c>
      <c r="AR13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55.75</v>
      </c>
      <c r="AS134" s="3">
        <f>IF(Table1[[#This Row],[Efficiency Difference]] = " ", " ", ROUND((Table1[[#This Row],[Winning Margin]]*100)/Table1[[#This Row],[Efficiency Difference]], 2))</f>
        <v>19.73</v>
      </c>
    </row>
    <row r="135" spans="1:45">
      <c r="A135" t="s">
        <v>105</v>
      </c>
      <c r="B135">
        <v>0</v>
      </c>
      <c r="C135">
        <v>36</v>
      </c>
      <c r="D135">
        <v>279</v>
      </c>
      <c r="E135">
        <v>41</v>
      </c>
      <c r="F135">
        <v>2</v>
      </c>
      <c r="G135">
        <v>26</v>
      </c>
      <c r="H135">
        <v>1</v>
      </c>
      <c r="I135">
        <v>145</v>
      </c>
      <c r="J135">
        <v>29</v>
      </c>
      <c r="K135">
        <v>1</v>
      </c>
      <c r="L135">
        <v>2</v>
      </c>
      <c r="M135" t="s">
        <v>101</v>
      </c>
      <c r="N135">
        <v>0</v>
      </c>
      <c r="O135">
        <v>25</v>
      </c>
      <c r="P135">
        <v>395</v>
      </c>
      <c r="Q135">
        <v>39</v>
      </c>
      <c r="R135">
        <v>3</v>
      </c>
      <c r="S135">
        <v>24</v>
      </c>
      <c r="T135">
        <v>3</v>
      </c>
      <c r="U135">
        <v>69</v>
      </c>
      <c r="V135">
        <v>25</v>
      </c>
      <c r="W135">
        <v>0</v>
      </c>
      <c r="X135">
        <v>2</v>
      </c>
      <c r="Y135" t="s">
        <v>14</v>
      </c>
      <c r="Z135">
        <v>0</v>
      </c>
      <c r="AA135">
        <f>IF(AND(Table1[[#This Row],[Throw Out Pass Eff]]="N", Table1[[#This Row],[Against FCS Team]]="N"), ROUND(((5.45 * D135) + (150 * F135) + (100 * G135) - (300 * H135)) / E135, 2), " ")</f>
        <v>100.5</v>
      </c>
      <c r="AB135">
        <f>IF(AND(Table1[[#This Row],[Throw Out Pass Def Eff]]="N", Table1[[#This Row],[Against FCS Team]]="N"),200 - ROUND(((5.45 * P135) + (150 * R135) + (100 * S135) - (300 * T135)) / Q135, 2), " ")</f>
        <v>94.8</v>
      </c>
      <c r="AC135">
        <f>IF(AND(Table1[[#This Row],[Throw Out Rush Eff]]="N", Table1[[#This Row],[Against FCS Team]]="N"), ROUND(((23.2 * I135) + (150 * K135) - (300 * L135)) / J135, 2), " ")</f>
        <v>100.48</v>
      </c>
      <c r="AD135" s="3">
        <f>IF(AND(Table1[[#This Row],[Throw Out Rush Def Eff]]="N", Table1[[#This Row],[Against FCS Team]]="N"), 200 - ROUND(((23.2 * U135) + (150 * W135) - (300 * X135)) / V135, 2), " ")</f>
        <v>159.97</v>
      </c>
      <c r="AE135" s="3">
        <f>ROUND(Table1[[#This Row],[Opp Passing Attempts]]/(Table1[[#This Row],[Opp Passing Attempts]]+Table1[[#This Row],[Opp Rushing Attempts]]), 2)</f>
        <v>0.61</v>
      </c>
      <c r="AF135" s="3">
        <f>1-Table1[[#This Row],[Passing Weight]]</f>
        <v>0.39</v>
      </c>
      <c r="AG135" s="3" t="str">
        <f>IF(COUNTIF(A:A,Table1[[#This Row],[Opp Team Name]]) &gt; 0, "N", "Y")</f>
        <v>N</v>
      </c>
      <c r="AH135" s="3" t="str">
        <f>IF(Table1[[#This Row],[Passing Attempts]] &lt;15, "Y", "N")</f>
        <v>N</v>
      </c>
      <c r="AI135" s="3" t="str">
        <f>IF(Table1[[#This Row],[Rushing Attempts]] &lt; 15, "Y", "N")</f>
        <v>N</v>
      </c>
      <c r="AJ135" s="3" t="str">
        <f>IF(Table1[[#This Row],[Opp Passing Attempts]]&lt;15, "Y", "N")</f>
        <v>N</v>
      </c>
      <c r="AK135" s="3" t="str">
        <f>IF(Table1[[#This Row],[Opp Rushing Attempts]]&lt;15, "Y", "N")</f>
        <v>N</v>
      </c>
      <c r="AL13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107.77</v>
      </c>
      <c r="AM13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106.81</v>
      </c>
      <c r="AN13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102.44</v>
      </c>
      <c r="AO13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120.62</v>
      </c>
      <c r="AP135" s="3">
        <f>ABS(Table1[[#This Row],[Team Score]]-Table1[[#This Row],[Opp Team Score]])</f>
        <v>11</v>
      </c>
      <c r="AQ135" s="3">
        <f>SUM(Table1[[#This Row],[Team Score]], Table1[[#This Row],[Opp Team Score]])</f>
        <v>61</v>
      </c>
      <c r="AR13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55.75</v>
      </c>
      <c r="AS135" s="3">
        <f>IF(Table1[[#This Row],[Efficiency Difference]] = " ", " ", ROUND((Table1[[#This Row],[Winning Margin]]*100)/Table1[[#This Row],[Efficiency Difference]], 2))</f>
        <v>19.73</v>
      </c>
    </row>
    <row r="136" spans="1:45">
      <c r="A136" t="s">
        <v>88</v>
      </c>
      <c r="B136">
        <v>0</v>
      </c>
      <c r="C136">
        <v>20</v>
      </c>
      <c r="D136">
        <v>200</v>
      </c>
      <c r="E136">
        <v>28</v>
      </c>
      <c r="F136">
        <v>1</v>
      </c>
      <c r="G136">
        <v>15</v>
      </c>
      <c r="H136">
        <v>0</v>
      </c>
      <c r="I136">
        <v>96</v>
      </c>
      <c r="J136">
        <v>27</v>
      </c>
      <c r="K136">
        <v>1</v>
      </c>
      <c r="L136">
        <v>2</v>
      </c>
      <c r="M136" t="s">
        <v>91</v>
      </c>
      <c r="N136">
        <v>0</v>
      </c>
      <c r="O136">
        <v>30</v>
      </c>
      <c r="P136">
        <v>162</v>
      </c>
      <c r="Q136">
        <v>33</v>
      </c>
      <c r="R136">
        <v>2</v>
      </c>
      <c r="S136">
        <v>21</v>
      </c>
      <c r="T136">
        <v>1</v>
      </c>
      <c r="U136">
        <v>77</v>
      </c>
      <c r="V136">
        <v>31</v>
      </c>
      <c r="W136">
        <v>1</v>
      </c>
      <c r="X136">
        <v>0</v>
      </c>
      <c r="Y136" t="s">
        <v>15</v>
      </c>
      <c r="Z136">
        <v>0</v>
      </c>
      <c r="AA136">
        <f>IF(AND(Table1[[#This Row],[Throw Out Pass Eff]]="N", Table1[[#This Row],[Against FCS Team]]="N"), ROUND(((5.45 * D136) + (150 * F136) + (100 * G136) - (300 * H136)) / E136, 2), " ")</f>
        <v>97.86</v>
      </c>
      <c r="AB136">
        <f>IF(AND(Table1[[#This Row],[Throw Out Pass Def Eff]]="N", Table1[[#This Row],[Against FCS Team]]="N"),200 - ROUND(((5.45 * P136) + (150 * R136) + (100 * S136) - (300 * T136)) / Q136, 2), " ")</f>
        <v>109.61</v>
      </c>
      <c r="AC136">
        <f>IF(AND(Table1[[#This Row],[Throw Out Rush Eff]]="N", Table1[[#This Row],[Against FCS Team]]="N"), ROUND(((23.2 * I136) + (150 * K136) - (300 * L136)) / J136, 2), " ")</f>
        <v>65.819999999999993</v>
      </c>
      <c r="AD136" s="3">
        <f>IF(AND(Table1[[#This Row],[Throw Out Rush Def Eff]]="N", Table1[[#This Row],[Against FCS Team]]="N"), 200 - ROUND(((23.2 * U136) + (150 * W136) - (300 * X136)) / V136, 2), " ")</f>
        <v>137.54</v>
      </c>
      <c r="AE136" s="3">
        <f>ROUND(Table1[[#This Row],[Opp Passing Attempts]]/(Table1[[#This Row],[Opp Passing Attempts]]+Table1[[#This Row],[Opp Rushing Attempts]]), 2)</f>
        <v>0.52</v>
      </c>
      <c r="AF136" s="3">
        <f>1-Table1[[#This Row],[Passing Weight]]</f>
        <v>0.48</v>
      </c>
      <c r="AG136" s="3" t="str">
        <f>IF(COUNTIF(A:A,Table1[[#This Row],[Opp Team Name]]) &gt; 0, "N", "Y")</f>
        <v>N</v>
      </c>
      <c r="AH136" s="3" t="str">
        <f>IF(Table1[[#This Row],[Passing Attempts]] &lt;15, "Y", "N")</f>
        <v>N</v>
      </c>
      <c r="AI136" s="3" t="str">
        <f>IF(Table1[[#This Row],[Rushing Attempts]] &lt; 15, "Y", "N")</f>
        <v>N</v>
      </c>
      <c r="AJ136" s="3" t="str">
        <f>IF(Table1[[#This Row],[Opp Passing Attempts]]&lt;15, "Y", "N")</f>
        <v>N</v>
      </c>
      <c r="AK136" s="3" t="str">
        <f>IF(Table1[[#This Row],[Opp Rushing Attempts]]&lt;15, "Y", "N")</f>
        <v>N</v>
      </c>
      <c r="AL13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103.49</v>
      </c>
      <c r="AM13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104.35</v>
      </c>
      <c r="AN13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85.49</v>
      </c>
      <c r="AO13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121.2</v>
      </c>
      <c r="AP136" s="3">
        <f>ABS(Table1[[#This Row],[Team Score]]-Table1[[#This Row],[Opp Team Score]])</f>
        <v>10</v>
      </c>
      <c r="AQ136" s="3">
        <f>SUM(Table1[[#This Row],[Team Score]], Table1[[#This Row],[Opp Team Score]])</f>
        <v>50</v>
      </c>
      <c r="AR13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10.829999999999984</v>
      </c>
      <c r="AS136" s="3">
        <f>IF(Table1[[#This Row],[Efficiency Difference]] = " ", " ", ROUND((Table1[[#This Row],[Winning Margin]]*100)/Table1[[#This Row],[Efficiency Difference]], 2))</f>
        <v>92.34</v>
      </c>
    </row>
    <row r="137" spans="1:45">
      <c r="A137" t="s">
        <v>91</v>
      </c>
      <c r="B137">
        <v>0</v>
      </c>
      <c r="C137">
        <v>30</v>
      </c>
      <c r="D137">
        <v>162</v>
      </c>
      <c r="E137">
        <v>33</v>
      </c>
      <c r="F137">
        <v>2</v>
      </c>
      <c r="G137">
        <v>21</v>
      </c>
      <c r="H137">
        <v>1</v>
      </c>
      <c r="I137">
        <v>77</v>
      </c>
      <c r="J137">
        <v>31</v>
      </c>
      <c r="K137">
        <v>1</v>
      </c>
      <c r="L137">
        <v>0</v>
      </c>
      <c r="M137" t="s">
        <v>88</v>
      </c>
      <c r="N137">
        <v>0</v>
      </c>
      <c r="O137">
        <v>20</v>
      </c>
      <c r="P137">
        <v>200</v>
      </c>
      <c r="Q137">
        <v>28</v>
      </c>
      <c r="R137">
        <v>1</v>
      </c>
      <c r="S137">
        <v>15</v>
      </c>
      <c r="T137">
        <v>0</v>
      </c>
      <c r="U137">
        <v>96</v>
      </c>
      <c r="V137">
        <v>27</v>
      </c>
      <c r="W137">
        <v>1</v>
      </c>
      <c r="X137">
        <v>2</v>
      </c>
      <c r="Y137" t="s">
        <v>14</v>
      </c>
      <c r="Z137">
        <v>0</v>
      </c>
      <c r="AA137">
        <f>IF(AND(Table1[[#This Row],[Throw Out Pass Eff]]="N", Table1[[#This Row],[Against FCS Team]]="N"), ROUND(((5.45 * D137) + (150 * F137) + (100 * G137) - (300 * H137)) / E137, 2), " ")</f>
        <v>90.39</v>
      </c>
      <c r="AB137">
        <f>IF(AND(Table1[[#This Row],[Throw Out Pass Def Eff]]="N", Table1[[#This Row],[Against FCS Team]]="N"),200 - ROUND(((5.45 * P137) + (150 * R137) + (100 * S137) - (300 * T137)) / Q137, 2), " ")</f>
        <v>102.14</v>
      </c>
      <c r="AC137">
        <f>IF(AND(Table1[[#This Row],[Throw Out Rush Eff]]="N", Table1[[#This Row],[Against FCS Team]]="N"), ROUND(((23.2 * I137) + (150 * K137) - (300 * L137)) / J137, 2), " ")</f>
        <v>62.46</v>
      </c>
      <c r="AD137" s="3">
        <f>IF(AND(Table1[[#This Row],[Throw Out Rush Def Eff]]="N", Table1[[#This Row],[Against FCS Team]]="N"), 200 - ROUND(((23.2 * U137) + (150 * W137) - (300 * X137)) / V137, 2), " ")</f>
        <v>134.18</v>
      </c>
      <c r="AE137" s="3">
        <f>ROUND(Table1[[#This Row],[Opp Passing Attempts]]/(Table1[[#This Row],[Opp Passing Attempts]]+Table1[[#This Row],[Opp Rushing Attempts]]), 2)</f>
        <v>0.51</v>
      </c>
      <c r="AF137" s="3">
        <f>1-Table1[[#This Row],[Passing Weight]]</f>
        <v>0.49</v>
      </c>
      <c r="AG137" s="3" t="str">
        <f>IF(COUNTIF(A:A,Table1[[#This Row],[Opp Team Name]]) &gt; 0, "N", "Y")</f>
        <v>N</v>
      </c>
      <c r="AH137" s="3" t="str">
        <f>IF(Table1[[#This Row],[Passing Attempts]] &lt;15, "Y", "N")</f>
        <v>N</v>
      </c>
      <c r="AI137" s="3" t="str">
        <f>IF(Table1[[#This Row],[Rushing Attempts]] &lt; 15, "Y", "N")</f>
        <v>N</v>
      </c>
      <c r="AJ137" s="3" t="str">
        <f>IF(Table1[[#This Row],[Opp Passing Attempts]]&lt;15, "Y", "N")</f>
        <v>N</v>
      </c>
      <c r="AK137" s="3" t="str">
        <f>IF(Table1[[#This Row],[Opp Rushing Attempts]]&lt;15, "Y", "N")</f>
        <v>N</v>
      </c>
      <c r="AL13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97.5</v>
      </c>
      <c r="AM13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72.03</v>
      </c>
      <c r="AN13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63.33</v>
      </c>
      <c r="AO13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122.15</v>
      </c>
      <c r="AP137" s="3">
        <f>ABS(Table1[[#This Row],[Team Score]]-Table1[[#This Row],[Opp Team Score]])</f>
        <v>10</v>
      </c>
      <c r="AQ137" s="3">
        <f>SUM(Table1[[#This Row],[Team Score]], Table1[[#This Row],[Opp Team Score]])</f>
        <v>50</v>
      </c>
      <c r="AR13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10.830000000000013</v>
      </c>
      <c r="AS137" s="3">
        <f>IF(Table1[[#This Row],[Efficiency Difference]] = " ", " ", ROUND((Table1[[#This Row],[Winning Margin]]*100)/Table1[[#This Row],[Efficiency Difference]], 2))</f>
        <v>92.34</v>
      </c>
    </row>
    <row r="138" spans="1:45">
      <c r="A138" t="s">
        <v>85</v>
      </c>
      <c r="B138">
        <v>0</v>
      </c>
      <c r="C138">
        <v>24</v>
      </c>
      <c r="D138">
        <v>277</v>
      </c>
      <c r="E138">
        <v>27</v>
      </c>
      <c r="F138">
        <v>2</v>
      </c>
      <c r="G138">
        <v>15</v>
      </c>
      <c r="H138">
        <v>0</v>
      </c>
      <c r="I138">
        <v>78</v>
      </c>
      <c r="J138">
        <v>27</v>
      </c>
      <c r="K138">
        <v>1</v>
      </c>
      <c r="L138">
        <v>0</v>
      </c>
      <c r="M138" t="s">
        <v>86</v>
      </c>
      <c r="N138">
        <v>0</v>
      </c>
      <c r="O138">
        <v>28</v>
      </c>
      <c r="P138">
        <v>242</v>
      </c>
      <c r="Q138">
        <v>29</v>
      </c>
      <c r="R138">
        <v>4</v>
      </c>
      <c r="S138">
        <v>21</v>
      </c>
      <c r="T138">
        <v>0</v>
      </c>
      <c r="U138">
        <v>194</v>
      </c>
      <c r="V138">
        <v>38</v>
      </c>
      <c r="W138">
        <v>0</v>
      </c>
      <c r="X138">
        <v>0</v>
      </c>
      <c r="Y138" t="s">
        <v>15</v>
      </c>
      <c r="Z138">
        <v>0</v>
      </c>
      <c r="AA138">
        <f>IF(AND(Table1[[#This Row],[Throw Out Pass Eff]]="N", Table1[[#This Row],[Against FCS Team]]="N"), ROUND(((5.45 * D138) + (150 * F138) + (100 * G138) - (300 * H138)) / E138, 2), " ")</f>
        <v>122.58</v>
      </c>
      <c r="AB138">
        <f>IF(AND(Table1[[#This Row],[Throw Out Pass Def Eff]]="N", Table1[[#This Row],[Against FCS Team]]="N"),200 - ROUND(((5.45 * P138) + (150 * R138) + (100 * S138) - (300 * T138)) / Q138, 2), " ")</f>
        <v>61.419999999999987</v>
      </c>
      <c r="AC138">
        <f>IF(AND(Table1[[#This Row],[Throw Out Rush Eff]]="N", Table1[[#This Row],[Against FCS Team]]="N"), ROUND(((23.2 * I138) + (150 * K138) - (300 * L138)) / J138, 2), " ")</f>
        <v>72.58</v>
      </c>
      <c r="AD138" s="3">
        <f>IF(AND(Table1[[#This Row],[Throw Out Rush Def Eff]]="N", Table1[[#This Row],[Against FCS Team]]="N"), 200 - ROUND(((23.2 * U138) + (150 * W138) - (300 * X138)) / V138, 2), " ")</f>
        <v>81.56</v>
      </c>
      <c r="AE138" s="3">
        <f>ROUND(Table1[[#This Row],[Opp Passing Attempts]]/(Table1[[#This Row],[Opp Passing Attempts]]+Table1[[#This Row],[Opp Rushing Attempts]]), 2)</f>
        <v>0.43</v>
      </c>
      <c r="AF138" s="3">
        <f>1-Table1[[#This Row],[Passing Weight]]</f>
        <v>0.57000000000000006</v>
      </c>
      <c r="AG138" s="3" t="str">
        <f>IF(COUNTIF(A:A,Table1[[#This Row],[Opp Team Name]]) &gt; 0, "N", "Y")</f>
        <v>N</v>
      </c>
      <c r="AH138" s="3" t="str">
        <f>IF(Table1[[#This Row],[Passing Attempts]] &lt;15, "Y", "N")</f>
        <v>N</v>
      </c>
      <c r="AI138" s="3" t="str">
        <f>IF(Table1[[#This Row],[Rushing Attempts]] &lt; 15, "Y", "N")</f>
        <v>N</v>
      </c>
      <c r="AJ138" s="3" t="str">
        <f>IF(Table1[[#This Row],[Opp Passing Attempts]]&lt;15, "Y", "N")</f>
        <v>N</v>
      </c>
      <c r="AK138" s="3" t="str">
        <f>IF(Table1[[#This Row],[Opp Rushing Attempts]]&lt;15, "Y", "N")</f>
        <v>N</v>
      </c>
      <c r="AL13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132.93</v>
      </c>
      <c r="AM13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56.05</v>
      </c>
      <c r="AN13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72.260000000000005</v>
      </c>
      <c r="AO13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76.040000000000006</v>
      </c>
      <c r="AP138" s="3">
        <f>ABS(Table1[[#This Row],[Team Score]]-Table1[[#This Row],[Opp Team Score]])</f>
        <v>4</v>
      </c>
      <c r="AQ138" s="3">
        <f>SUM(Table1[[#This Row],[Team Score]], Table1[[#This Row],[Opp Team Score]])</f>
        <v>52</v>
      </c>
      <c r="AR13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61.859999999999985</v>
      </c>
      <c r="AS138" s="3">
        <f>IF(Table1[[#This Row],[Efficiency Difference]] = " ", " ", ROUND((Table1[[#This Row],[Winning Margin]]*100)/Table1[[#This Row],[Efficiency Difference]], 2))</f>
        <v>6.47</v>
      </c>
    </row>
    <row r="139" spans="1:45">
      <c r="A139" t="s">
        <v>86</v>
      </c>
      <c r="B139">
        <v>0</v>
      </c>
      <c r="C139">
        <v>28</v>
      </c>
      <c r="D139">
        <v>242</v>
      </c>
      <c r="E139">
        <v>29</v>
      </c>
      <c r="F139">
        <v>4</v>
      </c>
      <c r="G139">
        <v>21</v>
      </c>
      <c r="H139">
        <v>0</v>
      </c>
      <c r="I139">
        <v>194</v>
      </c>
      <c r="J139">
        <v>38</v>
      </c>
      <c r="K139">
        <v>0</v>
      </c>
      <c r="L139">
        <v>0</v>
      </c>
      <c r="M139" t="s">
        <v>85</v>
      </c>
      <c r="N139">
        <v>0</v>
      </c>
      <c r="O139">
        <v>24</v>
      </c>
      <c r="P139">
        <v>277</v>
      </c>
      <c r="Q139">
        <v>27</v>
      </c>
      <c r="R139">
        <v>2</v>
      </c>
      <c r="S139">
        <v>15</v>
      </c>
      <c r="T139">
        <v>0</v>
      </c>
      <c r="U139">
        <v>78</v>
      </c>
      <c r="V139">
        <v>27</v>
      </c>
      <c r="W139">
        <v>1</v>
      </c>
      <c r="X139">
        <v>0</v>
      </c>
      <c r="Y139" t="s">
        <v>14</v>
      </c>
      <c r="Z139">
        <v>0</v>
      </c>
      <c r="AA139">
        <f>IF(AND(Table1[[#This Row],[Throw Out Pass Eff]]="N", Table1[[#This Row],[Against FCS Team]]="N"), ROUND(((5.45 * D139) + (150 * F139) + (100 * G139) - (300 * H139)) / E139, 2), " ")</f>
        <v>138.58000000000001</v>
      </c>
      <c r="AB139">
        <f>IF(AND(Table1[[#This Row],[Throw Out Pass Def Eff]]="N", Table1[[#This Row],[Against FCS Team]]="N"),200 - ROUND(((5.45 * P139) + (150 * R139) + (100 * S139) - (300 * T139)) / Q139, 2), " ")</f>
        <v>77.42</v>
      </c>
      <c r="AC139">
        <f>IF(AND(Table1[[#This Row],[Throw Out Rush Eff]]="N", Table1[[#This Row],[Against FCS Team]]="N"), ROUND(((23.2 * I139) + (150 * K139) - (300 * L139)) / J139, 2), " ")</f>
        <v>118.44</v>
      </c>
      <c r="AD139" s="3">
        <f>IF(AND(Table1[[#This Row],[Throw Out Rush Def Eff]]="N", Table1[[#This Row],[Against FCS Team]]="N"), 200 - ROUND(((23.2 * U139) + (150 * W139) - (300 * X139)) / V139, 2), " ")</f>
        <v>127.42</v>
      </c>
      <c r="AE139" s="3">
        <f>ROUND(Table1[[#This Row],[Opp Passing Attempts]]/(Table1[[#This Row],[Opp Passing Attempts]]+Table1[[#This Row],[Opp Rushing Attempts]]), 2)</f>
        <v>0.5</v>
      </c>
      <c r="AF139" s="3">
        <f>1-Table1[[#This Row],[Passing Weight]]</f>
        <v>0.5</v>
      </c>
      <c r="AG139" s="3" t="str">
        <f>IF(COUNTIF(A:A,Table1[[#This Row],[Opp Team Name]]) &gt; 0, "N", "Y")</f>
        <v>N</v>
      </c>
      <c r="AH139" s="3" t="str">
        <f>IF(Table1[[#This Row],[Passing Attempts]] &lt;15, "Y", "N")</f>
        <v>N</v>
      </c>
      <c r="AI139" s="3" t="str">
        <f>IF(Table1[[#This Row],[Rushing Attempts]] &lt; 15, "Y", "N")</f>
        <v>N</v>
      </c>
      <c r="AJ139" s="3" t="str">
        <f>IF(Table1[[#This Row],[Opp Passing Attempts]]&lt;15, "Y", "N")</f>
        <v>N</v>
      </c>
      <c r="AK139" s="3" t="str">
        <f>IF(Table1[[#This Row],[Opp Rushing Attempts]]&lt;15, "Y", "N")</f>
        <v>N</v>
      </c>
      <c r="AL13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107.96</v>
      </c>
      <c r="AM13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66.569999999999993</v>
      </c>
      <c r="AN13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122.06</v>
      </c>
      <c r="AO13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107.19</v>
      </c>
      <c r="AP139" s="3">
        <f>ABS(Table1[[#This Row],[Team Score]]-Table1[[#This Row],[Opp Team Score]])</f>
        <v>4</v>
      </c>
      <c r="AQ139" s="3">
        <f>SUM(Table1[[#This Row],[Team Score]], Table1[[#This Row],[Opp Team Score]])</f>
        <v>52</v>
      </c>
      <c r="AR13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61.859999999999985</v>
      </c>
      <c r="AS139" s="3">
        <f>IF(Table1[[#This Row],[Efficiency Difference]] = " ", " ", ROUND((Table1[[#This Row],[Winning Margin]]*100)/Table1[[#This Row],[Efficiency Difference]], 2))</f>
        <v>6.47</v>
      </c>
    </row>
    <row r="140" spans="1:45">
      <c r="A140" t="s">
        <v>95</v>
      </c>
      <c r="B140">
        <v>0</v>
      </c>
      <c r="C140">
        <v>38</v>
      </c>
      <c r="D140">
        <v>257</v>
      </c>
      <c r="E140">
        <v>35</v>
      </c>
      <c r="F140">
        <v>5</v>
      </c>
      <c r="G140">
        <v>25</v>
      </c>
      <c r="H140">
        <v>1</v>
      </c>
      <c r="I140">
        <v>174</v>
      </c>
      <c r="J140">
        <v>28</v>
      </c>
      <c r="K140">
        <v>0</v>
      </c>
      <c r="L140">
        <v>1</v>
      </c>
      <c r="M140" t="s">
        <v>89</v>
      </c>
      <c r="N140">
        <v>0</v>
      </c>
      <c r="O140">
        <v>17</v>
      </c>
      <c r="P140">
        <v>240</v>
      </c>
      <c r="Q140">
        <v>49</v>
      </c>
      <c r="R140">
        <v>1</v>
      </c>
      <c r="S140">
        <v>29</v>
      </c>
      <c r="T140">
        <v>1</v>
      </c>
      <c r="U140">
        <v>66</v>
      </c>
      <c r="V140">
        <v>18</v>
      </c>
      <c r="W140">
        <v>1</v>
      </c>
      <c r="X140">
        <v>0</v>
      </c>
      <c r="Y140" t="s">
        <v>14</v>
      </c>
      <c r="Z140">
        <v>0</v>
      </c>
      <c r="AA140" s="3">
        <f>IF(AND(Table1[[#This Row],[Throw Out Pass Eff]]="N", Table1[[#This Row],[Against FCS Team]]="N"), ROUND(((5.45 * D140) + (150 * F140) + (100 * G140) - (300 * H140)) / E140, 2), " ")</f>
        <v>124.3</v>
      </c>
      <c r="AB140" s="3">
        <f>IF(AND(Table1[[#This Row],[Throw Out Pass Def Eff]]="N", Table1[[#This Row],[Against FCS Team]]="N"),200 - ROUND(((5.45 * P140) + (150 * R140) + (100 * S140) - (300 * T140)) / Q140, 2), " ")</f>
        <v>117.18</v>
      </c>
      <c r="AC140" s="3">
        <f>IF(AND(Table1[[#This Row],[Throw Out Rush Eff]]="N", Table1[[#This Row],[Against FCS Team]]="N"), ROUND(((23.2 * I140) + (150 * K140) - (300 * L140)) / J140, 2), " ")</f>
        <v>133.46</v>
      </c>
      <c r="AD140" s="3">
        <f>IF(AND(Table1[[#This Row],[Throw Out Rush Def Eff]]="N", Table1[[#This Row],[Against FCS Team]]="N"), 200 - ROUND(((23.2 * U140) + (150 * W140) - (300 * X140)) / V140, 2), " ")</f>
        <v>106.6</v>
      </c>
      <c r="AE140" s="3">
        <f>ROUND(Table1[[#This Row],[Opp Passing Attempts]]/(Table1[[#This Row],[Opp Passing Attempts]]+Table1[[#This Row],[Opp Rushing Attempts]]), 2)</f>
        <v>0.73</v>
      </c>
      <c r="AF140" s="3">
        <f>1-Table1[[#This Row],[Passing Weight]]</f>
        <v>0.27</v>
      </c>
      <c r="AG140" s="3" t="str">
        <f>IF(COUNTIF(A:A,Table1[[#This Row],[Opp Team Name]]) &gt; 0, "N", "Y")</f>
        <v>N</v>
      </c>
      <c r="AH140" s="3" t="str">
        <f>IF(Table1[[#This Row],[Passing Attempts]] &lt;15, "Y", "N")</f>
        <v>N</v>
      </c>
      <c r="AI140" s="3" t="str">
        <f>IF(Table1[[#This Row],[Rushing Attempts]] &lt; 15, "Y", "N")</f>
        <v>N</v>
      </c>
      <c r="AJ140" s="3" t="str">
        <f>IF(Table1[[#This Row],[Opp Passing Attempts]]&lt;15, "Y", "N")</f>
        <v>N</v>
      </c>
      <c r="AK140" s="3" t="str">
        <f>IF(Table1[[#This Row],[Opp Rushing Attempts]]&lt;15, "Y", "N")</f>
        <v>N</v>
      </c>
      <c r="AL14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118.56</v>
      </c>
      <c r="AM14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115.08</v>
      </c>
      <c r="AN14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151.58000000000001</v>
      </c>
      <c r="AO14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72.819999999999993</v>
      </c>
      <c r="AP140" s="3">
        <f>ABS(Table1[[#This Row],[Team Score]]-Table1[[#This Row],[Opp Team Score]])</f>
        <v>21</v>
      </c>
      <c r="AQ140" s="3">
        <f>SUM(Table1[[#This Row],[Team Score]], Table1[[#This Row],[Opp Team Score]])</f>
        <v>55</v>
      </c>
      <c r="AR14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81.539999999999992</v>
      </c>
      <c r="AS140" s="3">
        <f>IF(Table1[[#This Row],[Efficiency Difference]] = " ", " ", ROUND((Table1[[#This Row],[Winning Margin]]*100)/Table1[[#This Row],[Efficiency Difference]], 2))</f>
        <v>25.75</v>
      </c>
    </row>
    <row r="141" spans="1:45">
      <c r="A141" t="s">
        <v>89</v>
      </c>
      <c r="B141">
        <v>0</v>
      </c>
      <c r="C141">
        <v>17</v>
      </c>
      <c r="D141">
        <v>240</v>
      </c>
      <c r="E141">
        <v>49</v>
      </c>
      <c r="F141">
        <v>1</v>
      </c>
      <c r="G141">
        <v>29</v>
      </c>
      <c r="H141">
        <v>1</v>
      </c>
      <c r="I141">
        <v>66</v>
      </c>
      <c r="J141">
        <v>18</v>
      </c>
      <c r="K141">
        <v>1</v>
      </c>
      <c r="L141">
        <v>0</v>
      </c>
      <c r="M141" t="s">
        <v>95</v>
      </c>
      <c r="N141">
        <v>0</v>
      </c>
      <c r="O141">
        <v>38</v>
      </c>
      <c r="P141">
        <v>257</v>
      </c>
      <c r="Q141">
        <v>35</v>
      </c>
      <c r="R141">
        <v>5</v>
      </c>
      <c r="S141">
        <v>25</v>
      </c>
      <c r="T141">
        <v>1</v>
      </c>
      <c r="U141">
        <v>174</v>
      </c>
      <c r="V141">
        <v>28</v>
      </c>
      <c r="W141">
        <v>0</v>
      </c>
      <c r="X141">
        <v>1</v>
      </c>
      <c r="Y141" t="s">
        <v>15</v>
      </c>
      <c r="Z141">
        <v>0</v>
      </c>
      <c r="AA141">
        <f>IF(AND(Table1[[#This Row],[Throw Out Pass Eff]]="N", Table1[[#This Row],[Against FCS Team]]="N"), ROUND(((5.45 * D141) + (150 * F141) + (100 * G141) - (300 * H141)) / E141, 2), " ")</f>
        <v>82.82</v>
      </c>
      <c r="AB141">
        <f>IF(AND(Table1[[#This Row],[Throw Out Pass Def Eff]]="N", Table1[[#This Row],[Against FCS Team]]="N"),200 - ROUND(((5.45 * P141) + (150 * R141) + (100 * S141) - (300 * T141)) / Q141, 2), " ")</f>
        <v>75.7</v>
      </c>
      <c r="AC141">
        <f>IF(AND(Table1[[#This Row],[Throw Out Rush Eff]]="N", Table1[[#This Row],[Against FCS Team]]="N"), ROUND(((23.2 * I141) + (150 * K141) - (300 * L141)) / J141, 2), " ")</f>
        <v>93.4</v>
      </c>
      <c r="AD141" s="3">
        <f>IF(AND(Table1[[#This Row],[Throw Out Rush Def Eff]]="N", Table1[[#This Row],[Against FCS Team]]="N"), 200 - ROUND(((23.2 * U141) + (150 * W141) - (300 * X141)) / V141, 2), " ")</f>
        <v>66.539999999999992</v>
      </c>
      <c r="AE141" s="3">
        <f>ROUND(Table1[[#This Row],[Opp Passing Attempts]]/(Table1[[#This Row],[Opp Passing Attempts]]+Table1[[#This Row],[Opp Rushing Attempts]]), 2)</f>
        <v>0.56000000000000005</v>
      </c>
      <c r="AF141" s="3">
        <f>1-Table1[[#This Row],[Passing Weight]]</f>
        <v>0.43999999999999995</v>
      </c>
      <c r="AG141" s="3" t="str">
        <f>IF(COUNTIF(A:A,Table1[[#This Row],[Opp Team Name]]) &gt; 0, "N", "Y")</f>
        <v>N</v>
      </c>
      <c r="AH141" s="3" t="str">
        <f>IF(Table1[[#This Row],[Passing Attempts]] &lt;15, "Y", "N")</f>
        <v>N</v>
      </c>
      <c r="AI141" s="3" t="str">
        <f>IF(Table1[[#This Row],[Rushing Attempts]] &lt; 15, "Y", "N")</f>
        <v>N</v>
      </c>
      <c r="AJ141" s="3" t="str">
        <f>IF(Table1[[#This Row],[Opp Passing Attempts]]&lt;15, "Y", "N")</f>
        <v>N</v>
      </c>
      <c r="AK141" s="3" t="str">
        <f>IF(Table1[[#This Row],[Opp Rushing Attempts]]&lt;15, "Y", "N")</f>
        <v>N</v>
      </c>
      <c r="AL14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91.39</v>
      </c>
      <c r="AM14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80.38</v>
      </c>
      <c r="AN14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85.78</v>
      </c>
      <c r="AO14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59.36</v>
      </c>
      <c r="AP141" s="3">
        <f>ABS(Table1[[#This Row],[Team Score]]-Table1[[#This Row],[Opp Team Score]])</f>
        <v>21</v>
      </c>
      <c r="AQ141" s="3">
        <f>SUM(Table1[[#This Row],[Team Score]], Table1[[#This Row],[Opp Team Score]])</f>
        <v>55</v>
      </c>
      <c r="AR14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81.539999999999992</v>
      </c>
      <c r="AS141" s="3">
        <f>IF(Table1[[#This Row],[Efficiency Difference]] = " ", " ", ROUND((Table1[[#This Row],[Winning Margin]]*100)/Table1[[#This Row],[Efficiency Difference]], 2))</f>
        <v>25.75</v>
      </c>
    </row>
    <row r="142" spans="1:45">
      <c r="A142" t="s">
        <v>99</v>
      </c>
      <c r="B142">
        <v>0</v>
      </c>
      <c r="C142">
        <v>34</v>
      </c>
      <c r="D142">
        <v>160</v>
      </c>
      <c r="E142">
        <v>21</v>
      </c>
      <c r="F142">
        <v>0</v>
      </c>
      <c r="G142">
        <v>10</v>
      </c>
      <c r="H142">
        <v>0</v>
      </c>
      <c r="I142">
        <v>172</v>
      </c>
      <c r="J142">
        <v>37</v>
      </c>
      <c r="K142">
        <v>4</v>
      </c>
      <c r="L142">
        <v>1</v>
      </c>
      <c r="M142" t="s">
        <v>102</v>
      </c>
      <c r="N142">
        <v>0</v>
      </c>
      <c r="O142">
        <v>10</v>
      </c>
      <c r="P142">
        <v>214</v>
      </c>
      <c r="Q142">
        <v>48</v>
      </c>
      <c r="R142">
        <v>0</v>
      </c>
      <c r="S142">
        <v>23</v>
      </c>
      <c r="T142">
        <v>3</v>
      </c>
      <c r="U142">
        <v>77</v>
      </c>
      <c r="V142">
        <v>24</v>
      </c>
      <c r="W142">
        <v>1</v>
      </c>
      <c r="X142">
        <v>1</v>
      </c>
      <c r="Y142" t="s">
        <v>14</v>
      </c>
      <c r="Z142">
        <v>0</v>
      </c>
      <c r="AA142">
        <f>IF(AND(Table1[[#This Row],[Throw Out Pass Eff]]="N", Table1[[#This Row],[Against FCS Team]]="N"), ROUND(((5.45 * D142) + (150 * F142) + (100 * G142) - (300 * H142)) / E142, 2), " ")</f>
        <v>89.14</v>
      </c>
      <c r="AB142">
        <f>IF(AND(Table1[[#This Row],[Throw Out Pass Def Eff]]="N", Table1[[#This Row],[Against FCS Team]]="N"),200 - ROUND(((5.45 * P142) + (150 * R142) + (100 * S142) - (300 * T142)) / Q142, 2), " ")</f>
        <v>146.54</v>
      </c>
      <c r="AC142">
        <f>IF(AND(Table1[[#This Row],[Throw Out Rush Eff]]="N", Table1[[#This Row],[Against FCS Team]]="N"), ROUND(((23.2 * I142) + (150 * K142) - (300 * L142)) / J142, 2), " ")</f>
        <v>115.96</v>
      </c>
      <c r="AD142" s="3">
        <f>IF(AND(Table1[[#This Row],[Throw Out Rush Def Eff]]="N", Table1[[#This Row],[Against FCS Team]]="N"), 200 - ROUND(((23.2 * U142) + (150 * W142) - (300 * X142)) / V142, 2), " ")</f>
        <v>131.82</v>
      </c>
      <c r="AE142" s="3">
        <f>ROUND(Table1[[#This Row],[Opp Passing Attempts]]/(Table1[[#This Row],[Opp Passing Attempts]]+Table1[[#This Row],[Opp Rushing Attempts]]), 2)</f>
        <v>0.67</v>
      </c>
      <c r="AF142" s="3">
        <f>1-Table1[[#This Row],[Passing Weight]]</f>
        <v>0.32999999999999996</v>
      </c>
      <c r="AG142" s="3" t="str">
        <f>IF(COUNTIF(A:A,Table1[[#This Row],[Opp Team Name]]) &gt; 0, "N", "Y")</f>
        <v>N</v>
      </c>
      <c r="AH142" s="3" t="str">
        <f>IF(Table1[[#This Row],[Passing Attempts]] &lt;15, "Y", "N")</f>
        <v>N</v>
      </c>
      <c r="AI142" s="3" t="str">
        <f>IF(Table1[[#This Row],[Rushing Attempts]] &lt; 15, "Y", "N")</f>
        <v>N</v>
      </c>
      <c r="AJ142" s="3" t="str">
        <f>IF(Table1[[#This Row],[Opp Passing Attempts]]&lt;15, "Y", "N")</f>
        <v>N</v>
      </c>
      <c r="AK142" s="3" t="str">
        <f>IF(Table1[[#This Row],[Opp Rushing Attempts]]&lt;15, "Y", "N")</f>
        <v>N</v>
      </c>
      <c r="AL14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86.53</v>
      </c>
      <c r="AM14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135.01</v>
      </c>
      <c r="AN14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132.66999999999999</v>
      </c>
      <c r="AO14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126.83</v>
      </c>
      <c r="AP142" s="3">
        <f>ABS(Table1[[#This Row],[Team Score]]-Table1[[#This Row],[Opp Team Score]])</f>
        <v>24</v>
      </c>
      <c r="AQ142" s="3">
        <f>SUM(Table1[[#This Row],[Team Score]], Table1[[#This Row],[Opp Team Score]])</f>
        <v>44</v>
      </c>
      <c r="AR14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83.460000000000008</v>
      </c>
      <c r="AS142" s="3">
        <f>IF(Table1[[#This Row],[Efficiency Difference]] = " ", " ", ROUND((Table1[[#This Row],[Winning Margin]]*100)/Table1[[#This Row],[Efficiency Difference]], 2))</f>
        <v>28.76</v>
      </c>
    </row>
    <row r="143" spans="1:45">
      <c r="A143" t="s">
        <v>102</v>
      </c>
      <c r="B143">
        <v>0</v>
      </c>
      <c r="C143">
        <v>10</v>
      </c>
      <c r="D143">
        <v>214</v>
      </c>
      <c r="E143">
        <v>48</v>
      </c>
      <c r="F143">
        <v>0</v>
      </c>
      <c r="G143">
        <v>23</v>
      </c>
      <c r="H143">
        <v>3</v>
      </c>
      <c r="I143">
        <v>77</v>
      </c>
      <c r="J143">
        <v>24</v>
      </c>
      <c r="K143">
        <v>1</v>
      </c>
      <c r="L143">
        <v>1</v>
      </c>
      <c r="M143" t="s">
        <v>99</v>
      </c>
      <c r="N143">
        <v>0</v>
      </c>
      <c r="O143">
        <v>34</v>
      </c>
      <c r="P143">
        <v>160</v>
      </c>
      <c r="Q143">
        <v>21</v>
      </c>
      <c r="R143">
        <v>0</v>
      </c>
      <c r="S143">
        <v>10</v>
      </c>
      <c r="T143">
        <v>0</v>
      </c>
      <c r="U143">
        <v>172</v>
      </c>
      <c r="V143">
        <v>37</v>
      </c>
      <c r="W143">
        <v>4</v>
      </c>
      <c r="X143">
        <v>1</v>
      </c>
      <c r="Y143" t="s">
        <v>15</v>
      </c>
      <c r="Z143">
        <v>0</v>
      </c>
      <c r="AA143">
        <f>IF(AND(Table1[[#This Row],[Throw Out Pass Eff]]="N", Table1[[#This Row],[Against FCS Team]]="N"), ROUND(((5.45 * D143) + (150 * F143) + (100 * G143) - (300 * H143)) / E143, 2), " ")</f>
        <v>53.46</v>
      </c>
      <c r="AB143">
        <f>IF(AND(Table1[[#This Row],[Throw Out Pass Def Eff]]="N", Table1[[#This Row],[Against FCS Team]]="N"),200 - ROUND(((5.45 * P143) + (150 * R143) + (100 * S143) - (300 * T143)) / Q143, 2), " ")</f>
        <v>110.86</v>
      </c>
      <c r="AC143">
        <f>IF(AND(Table1[[#This Row],[Throw Out Rush Eff]]="N", Table1[[#This Row],[Against FCS Team]]="N"), ROUND(((23.2 * I143) + (150 * K143) - (300 * L143)) / J143, 2), " ")</f>
        <v>68.180000000000007</v>
      </c>
      <c r="AD143" s="3">
        <f>IF(AND(Table1[[#This Row],[Throw Out Rush Def Eff]]="N", Table1[[#This Row],[Against FCS Team]]="N"), 200 - ROUND(((23.2 * U143) + (150 * W143) - (300 * X143)) / V143, 2), " ")</f>
        <v>84.04</v>
      </c>
      <c r="AE143" s="3">
        <f>ROUND(Table1[[#This Row],[Opp Passing Attempts]]/(Table1[[#This Row],[Opp Passing Attempts]]+Table1[[#This Row],[Opp Rushing Attempts]]), 2)</f>
        <v>0.36</v>
      </c>
      <c r="AF143" s="3">
        <f>1-Table1[[#This Row],[Passing Weight]]</f>
        <v>0.64</v>
      </c>
      <c r="AG143" s="3" t="str">
        <f>IF(COUNTIF(A:A,Table1[[#This Row],[Opp Team Name]]) &gt; 0, "N", "Y")</f>
        <v>N</v>
      </c>
      <c r="AH143" s="3" t="str">
        <f>IF(Table1[[#This Row],[Passing Attempts]] &lt;15, "Y", "N")</f>
        <v>N</v>
      </c>
      <c r="AI143" s="3" t="str">
        <f>IF(Table1[[#This Row],[Rushing Attempts]] &lt; 15, "Y", "N")</f>
        <v>N</v>
      </c>
      <c r="AJ143" s="3" t="str">
        <f>IF(Table1[[#This Row],[Opp Passing Attempts]]&lt;15, "Y", "N")</f>
        <v>N</v>
      </c>
      <c r="AK143" s="3" t="str">
        <f>IF(Table1[[#This Row],[Opp Rushing Attempts]]&lt;15, "Y", "N")</f>
        <v>N</v>
      </c>
      <c r="AL14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48.62</v>
      </c>
      <c r="AM14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93.12</v>
      </c>
      <c r="AN14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80.150000000000006</v>
      </c>
      <c r="AO14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107.35</v>
      </c>
      <c r="AP143" s="3">
        <f>ABS(Table1[[#This Row],[Team Score]]-Table1[[#This Row],[Opp Team Score]])</f>
        <v>24</v>
      </c>
      <c r="AQ143" s="3">
        <f>SUM(Table1[[#This Row],[Team Score]], Table1[[#This Row],[Opp Team Score]])</f>
        <v>44</v>
      </c>
      <c r="AR14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83.45999999999998</v>
      </c>
      <c r="AS143" s="3">
        <f>IF(Table1[[#This Row],[Efficiency Difference]] = " ", " ", ROUND((Table1[[#This Row],[Winning Margin]]*100)/Table1[[#This Row],[Efficiency Difference]], 2))</f>
        <v>28.76</v>
      </c>
    </row>
    <row r="144" spans="1:45">
      <c r="A144" t="s">
        <v>84</v>
      </c>
      <c r="B144">
        <v>0</v>
      </c>
      <c r="C144">
        <v>20</v>
      </c>
      <c r="D144">
        <v>403</v>
      </c>
      <c r="E144">
        <v>51</v>
      </c>
      <c r="F144">
        <v>2</v>
      </c>
      <c r="G144">
        <v>24</v>
      </c>
      <c r="H144">
        <v>2</v>
      </c>
      <c r="I144">
        <v>70</v>
      </c>
      <c r="J144">
        <v>25</v>
      </c>
      <c r="K144">
        <v>0</v>
      </c>
      <c r="L144">
        <v>0</v>
      </c>
      <c r="M144" t="s">
        <v>111</v>
      </c>
      <c r="N144">
        <v>0</v>
      </c>
      <c r="O144">
        <v>25</v>
      </c>
      <c r="P144">
        <v>184</v>
      </c>
      <c r="Q144">
        <v>35</v>
      </c>
      <c r="R144">
        <v>2</v>
      </c>
      <c r="S144">
        <v>15</v>
      </c>
      <c r="T144">
        <v>1</v>
      </c>
      <c r="U144">
        <v>94</v>
      </c>
      <c r="V144">
        <v>22</v>
      </c>
      <c r="W144">
        <v>0</v>
      </c>
      <c r="X144">
        <v>0</v>
      </c>
      <c r="Y144" t="s">
        <v>15</v>
      </c>
      <c r="Z144">
        <v>0</v>
      </c>
      <c r="AA144">
        <f>IF(AND(Table1[[#This Row],[Throw Out Pass Eff]]="N", Table1[[#This Row],[Against FCS Team]]="N"), ROUND(((5.45 * D144) + (150 * F144) + (100 * G144) - (300 * H144)) / E144, 2), " ")</f>
        <v>84.24</v>
      </c>
      <c r="AB144">
        <f>IF(AND(Table1[[#This Row],[Throw Out Pass Def Eff]]="N", Table1[[#This Row],[Against FCS Team]]="N"),200 - ROUND(((5.45 * P144) + (150 * R144) + (100 * S144) - (300 * T144)) / Q144, 2), " ")</f>
        <v>128.49</v>
      </c>
      <c r="AC144">
        <f>IF(AND(Table1[[#This Row],[Throw Out Rush Eff]]="N", Table1[[#This Row],[Against FCS Team]]="N"), ROUND(((23.2 * I144) + (150 * K144) - (300 * L144)) / J144, 2), " ")</f>
        <v>64.959999999999994</v>
      </c>
      <c r="AD144" s="3">
        <f>IF(AND(Table1[[#This Row],[Throw Out Rush Def Eff]]="N", Table1[[#This Row],[Against FCS Team]]="N"), 200 - ROUND(((23.2 * U144) + (150 * W144) - (300 * X144)) / V144, 2), " ")</f>
        <v>100.87</v>
      </c>
      <c r="AE144" s="3">
        <f>ROUND(Table1[[#This Row],[Opp Passing Attempts]]/(Table1[[#This Row],[Opp Passing Attempts]]+Table1[[#This Row],[Opp Rushing Attempts]]), 2)</f>
        <v>0.61</v>
      </c>
      <c r="AF144" s="3">
        <f>1-Table1[[#This Row],[Passing Weight]]</f>
        <v>0.39</v>
      </c>
      <c r="AG144" s="3" t="str">
        <f>IF(COUNTIF(A:A,Table1[[#This Row],[Opp Team Name]]) &gt; 0, "N", "Y")</f>
        <v>N</v>
      </c>
      <c r="AH144" s="3" t="str">
        <f>IF(Table1[[#This Row],[Passing Attempts]] &lt;15, "Y", "N")</f>
        <v>N</v>
      </c>
      <c r="AI144" s="3" t="str">
        <f>IF(Table1[[#This Row],[Rushing Attempts]] &lt; 15, "Y", "N")</f>
        <v>N</v>
      </c>
      <c r="AJ144" s="3" t="str">
        <f>IF(Table1[[#This Row],[Opp Passing Attempts]]&lt;15, "Y", "N")</f>
        <v>N</v>
      </c>
      <c r="AK144" s="3" t="str">
        <f>IF(Table1[[#This Row],[Opp Rushing Attempts]]&lt;15, "Y", "N")</f>
        <v>N</v>
      </c>
      <c r="AL14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95.38</v>
      </c>
      <c r="AM14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111.78</v>
      </c>
      <c r="AN14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56.38</v>
      </c>
      <c r="AO14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124.37</v>
      </c>
      <c r="AP144" s="3">
        <f>ABS(Table1[[#This Row],[Team Score]]-Table1[[#This Row],[Opp Team Score]])</f>
        <v>5</v>
      </c>
      <c r="AQ144" s="3">
        <f>SUM(Table1[[#This Row],[Team Score]], Table1[[#This Row],[Opp Team Score]])</f>
        <v>45</v>
      </c>
      <c r="AR14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21.439999999999998</v>
      </c>
      <c r="AS144" s="3">
        <f>IF(Table1[[#This Row],[Efficiency Difference]] = " ", " ", ROUND((Table1[[#This Row],[Winning Margin]]*100)/Table1[[#This Row],[Efficiency Difference]], 2))</f>
        <v>23.32</v>
      </c>
    </row>
    <row r="145" spans="1:45">
      <c r="A145" t="s">
        <v>111</v>
      </c>
      <c r="B145">
        <v>0</v>
      </c>
      <c r="C145">
        <v>25</v>
      </c>
      <c r="D145">
        <v>184</v>
      </c>
      <c r="E145">
        <v>35</v>
      </c>
      <c r="F145">
        <v>2</v>
      </c>
      <c r="G145">
        <v>15</v>
      </c>
      <c r="H145">
        <v>1</v>
      </c>
      <c r="I145">
        <v>94</v>
      </c>
      <c r="J145">
        <v>22</v>
      </c>
      <c r="K145">
        <v>0</v>
      </c>
      <c r="L145">
        <v>0</v>
      </c>
      <c r="M145" t="s">
        <v>84</v>
      </c>
      <c r="N145">
        <v>0</v>
      </c>
      <c r="O145">
        <v>20</v>
      </c>
      <c r="P145">
        <v>403</v>
      </c>
      <c r="Q145">
        <v>51</v>
      </c>
      <c r="R145">
        <v>2</v>
      </c>
      <c r="S145">
        <v>24</v>
      </c>
      <c r="T145">
        <v>2</v>
      </c>
      <c r="U145">
        <v>70</v>
      </c>
      <c r="V145">
        <v>25</v>
      </c>
      <c r="W145">
        <v>0</v>
      </c>
      <c r="X145">
        <v>0</v>
      </c>
      <c r="Y145" t="s">
        <v>14</v>
      </c>
      <c r="Z145">
        <v>0</v>
      </c>
      <c r="AA145">
        <f>IF(AND(Table1[[#This Row],[Throw Out Pass Eff]]="N", Table1[[#This Row],[Against FCS Team]]="N"), ROUND(((5.45 * D145) + (150 * F145) + (100 * G145) - (300 * H145)) / E145, 2), " ")</f>
        <v>71.510000000000005</v>
      </c>
      <c r="AB145">
        <f>IF(AND(Table1[[#This Row],[Throw Out Pass Def Eff]]="N", Table1[[#This Row],[Against FCS Team]]="N"),200 - ROUND(((5.45 * P145) + (150 * R145) + (100 * S145) - (300 * T145)) / Q145, 2), " ")</f>
        <v>115.76</v>
      </c>
      <c r="AC145">
        <f>IF(AND(Table1[[#This Row],[Throw Out Rush Eff]]="N", Table1[[#This Row],[Against FCS Team]]="N"), ROUND(((23.2 * I145) + (150 * K145) - (300 * L145)) / J145, 2), " ")</f>
        <v>99.13</v>
      </c>
      <c r="AD145" s="3">
        <f>IF(AND(Table1[[#This Row],[Throw Out Rush Def Eff]]="N", Table1[[#This Row],[Against FCS Team]]="N"), 200 - ROUND(((23.2 * U145) + (150 * W145) - (300 * X145)) / V145, 2), " ")</f>
        <v>135.04000000000002</v>
      </c>
      <c r="AE145" s="3">
        <f>ROUND(Table1[[#This Row],[Opp Passing Attempts]]/(Table1[[#This Row],[Opp Passing Attempts]]+Table1[[#This Row],[Opp Rushing Attempts]]), 2)</f>
        <v>0.67</v>
      </c>
      <c r="AF145" s="3">
        <f>1-Table1[[#This Row],[Passing Weight]]</f>
        <v>0.32999999999999996</v>
      </c>
      <c r="AG145" s="3" t="str">
        <f>IF(COUNTIF(A:A,Table1[[#This Row],[Opp Team Name]]) &gt; 0, "N", "Y")</f>
        <v>N</v>
      </c>
      <c r="AH145" s="3" t="str">
        <f>IF(Table1[[#This Row],[Passing Attempts]] &lt;15, "Y", "N")</f>
        <v>N</v>
      </c>
      <c r="AI145" s="3" t="str">
        <f>IF(Table1[[#This Row],[Rushing Attempts]] &lt; 15, "Y", "N")</f>
        <v>N</v>
      </c>
      <c r="AJ145" s="3" t="str">
        <f>IF(Table1[[#This Row],[Opp Passing Attempts]]&lt;15, "Y", "N")</f>
        <v>N</v>
      </c>
      <c r="AK145" s="3" t="str">
        <f>IF(Table1[[#This Row],[Opp Rushing Attempts]]&lt;15, "Y", "N")</f>
        <v>N</v>
      </c>
      <c r="AL14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86.08</v>
      </c>
      <c r="AM14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128.94</v>
      </c>
      <c r="AN14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100.52</v>
      </c>
      <c r="AO14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130.30000000000001</v>
      </c>
      <c r="AP145" s="3">
        <f>ABS(Table1[[#This Row],[Team Score]]-Table1[[#This Row],[Opp Team Score]])</f>
        <v>5</v>
      </c>
      <c r="AQ145" s="3">
        <f>SUM(Table1[[#This Row],[Team Score]], Table1[[#This Row],[Opp Team Score]])</f>
        <v>45</v>
      </c>
      <c r="AR14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21.439999999999998</v>
      </c>
      <c r="AS145" s="3">
        <f>IF(Table1[[#This Row],[Efficiency Difference]] = " ", " ", ROUND((Table1[[#This Row],[Winning Margin]]*100)/Table1[[#This Row],[Efficiency Difference]], 2))</f>
        <v>23.32</v>
      </c>
    </row>
    <row r="146" spans="1:45">
      <c r="A146" t="s">
        <v>104</v>
      </c>
      <c r="B146">
        <v>0</v>
      </c>
      <c r="C146">
        <v>48</v>
      </c>
      <c r="D146">
        <v>205</v>
      </c>
      <c r="E146">
        <v>22</v>
      </c>
      <c r="F146">
        <v>3</v>
      </c>
      <c r="G146">
        <v>14</v>
      </c>
      <c r="H146">
        <v>0</v>
      </c>
      <c r="I146">
        <v>213</v>
      </c>
      <c r="J146">
        <v>36</v>
      </c>
      <c r="K146">
        <v>2</v>
      </c>
      <c r="L146">
        <v>1</v>
      </c>
      <c r="M146" t="s">
        <v>96</v>
      </c>
      <c r="N146">
        <v>0</v>
      </c>
      <c r="O146">
        <v>3</v>
      </c>
      <c r="P146">
        <v>186</v>
      </c>
      <c r="Q146">
        <v>35</v>
      </c>
      <c r="R146">
        <v>0</v>
      </c>
      <c r="S146">
        <v>18</v>
      </c>
      <c r="T146">
        <v>2</v>
      </c>
      <c r="U146">
        <v>86</v>
      </c>
      <c r="V146">
        <v>23</v>
      </c>
      <c r="W146">
        <v>0</v>
      </c>
      <c r="X146">
        <v>1</v>
      </c>
      <c r="Y146" t="s">
        <v>14</v>
      </c>
      <c r="Z146">
        <v>0</v>
      </c>
      <c r="AA146">
        <f>IF(AND(Table1[[#This Row],[Throw Out Pass Eff]]="N", Table1[[#This Row],[Against FCS Team]]="N"), ROUND(((5.45 * D146) + (150 * F146) + (100 * G146) - (300 * H146)) / E146, 2), " ")</f>
        <v>134.88</v>
      </c>
      <c r="AB146">
        <f>IF(AND(Table1[[#This Row],[Throw Out Pass Def Eff]]="N", Table1[[#This Row],[Against FCS Team]]="N"),200 - ROUND(((5.45 * P146) + (150 * R146) + (100 * S146) - (300 * T146)) / Q146, 2), " ")</f>
        <v>136.75</v>
      </c>
      <c r="AC146">
        <f>IF(AND(Table1[[#This Row],[Throw Out Rush Eff]]="N", Table1[[#This Row],[Against FCS Team]]="N"), ROUND(((23.2 * I146) + (150 * K146) - (300 * L146)) / J146, 2), " ")</f>
        <v>137.27000000000001</v>
      </c>
      <c r="AD146" s="3">
        <f>IF(AND(Table1[[#This Row],[Throw Out Rush Def Eff]]="N", Table1[[#This Row],[Against FCS Team]]="N"), 200 - ROUND(((23.2 * U146) + (150 * W146) - (300 * X146)) / V146, 2), " ")</f>
        <v>126.3</v>
      </c>
      <c r="AE146" s="3">
        <f>ROUND(Table1[[#This Row],[Opp Passing Attempts]]/(Table1[[#This Row],[Opp Passing Attempts]]+Table1[[#This Row],[Opp Rushing Attempts]]), 2)</f>
        <v>0.6</v>
      </c>
      <c r="AF146" s="3">
        <f>1-Table1[[#This Row],[Passing Weight]]</f>
        <v>0.4</v>
      </c>
      <c r="AG146" s="3" t="str">
        <f>IF(COUNTIF(A:A,Table1[[#This Row],[Opp Team Name]]) &gt; 0, "N", "Y")</f>
        <v>N</v>
      </c>
      <c r="AH146" s="3" t="str">
        <f>IF(Table1[[#This Row],[Passing Attempts]] &lt;15, "Y", "N")</f>
        <v>N</v>
      </c>
      <c r="AI146" s="3" t="str">
        <f>IF(Table1[[#This Row],[Rushing Attempts]] &lt; 15, "Y", "N")</f>
        <v>N</v>
      </c>
      <c r="AJ146" s="3" t="str">
        <f>IF(Table1[[#This Row],[Opp Passing Attempts]]&lt;15, "Y", "N")</f>
        <v>N</v>
      </c>
      <c r="AK146" s="3" t="str">
        <f>IF(Table1[[#This Row],[Opp Rushing Attempts]]&lt;15, "Y", "N")</f>
        <v>N</v>
      </c>
      <c r="AL14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131.5</v>
      </c>
      <c r="AM14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120.25</v>
      </c>
      <c r="AN14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151.31</v>
      </c>
      <c r="AO14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126.11</v>
      </c>
      <c r="AP146" s="3">
        <f>ABS(Table1[[#This Row],[Team Score]]-Table1[[#This Row],[Opp Team Score]])</f>
        <v>45</v>
      </c>
      <c r="AQ146" s="3">
        <f>SUM(Table1[[#This Row],[Team Score]], Table1[[#This Row],[Opp Team Score]])</f>
        <v>51</v>
      </c>
      <c r="AR14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135.19999999999999</v>
      </c>
      <c r="AS146" s="3">
        <f>IF(Table1[[#This Row],[Efficiency Difference]] = " ", " ", ROUND((Table1[[#This Row],[Winning Margin]]*100)/Table1[[#This Row],[Efficiency Difference]], 2))</f>
        <v>33.28</v>
      </c>
    </row>
    <row r="147" spans="1:45">
      <c r="A147" t="s">
        <v>96</v>
      </c>
      <c r="B147">
        <v>0</v>
      </c>
      <c r="C147">
        <v>3</v>
      </c>
      <c r="D147">
        <v>186</v>
      </c>
      <c r="E147">
        <v>35</v>
      </c>
      <c r="F147">
        <v>0</v>
      </c>
      <c r="G147">
        <v>18</v>
      </c>
      <c r="H147">
        <v>2</v>
      </c>
      <c r="I147">
        <v>86</v>
      </c>
      <c r="J147">
        <v>23</v>
      </c>
      <c r="K147">
        <v>0</v>
      </c>
      <c r="L147">
        <v>1</v>
      </c>
      <c r="M147" t="s">
        <v>104</v>
      </c>
      <c r="N147">
        <v>0</v>
      </c>
      <c r="O147">
        <v>48</v>
      </c>
      <c r="P147">
        <v>205</v>
      </c>
      <c r="Q147">
        <v>22</v>
      </c>
      <c r="R147">
        <v>3</v>
      </c>
      <c r="S147">
        <v>14</v>
      </c>
      <c r="T147">
        <v>0</v>
      </c>
      <c r="U147">
        <v>213</v>
      </c>
      <c r="V147">
        <v>36</v>
      </c>
      <c r="W147">
        <v>2</v>
      </c>
      <c r="X147">
        <v>1</v>
      </c>
      <c r="Y147" t="s">
        <v>15</v>
      </c>
      <c r="Z147">
        <v>0</v>
      </c>
      <c r="AA147">
        <f>IF(AND(Table1[[#This Row],[Throw Out Pass Eff]]="N", Table1[[#This Row],[Against FCS Team]]="N"), ROUND(((5.45 * D147) + (150 * F147) + (100 * G147) - (300 * H147)) / E147, 2), " ")</f>
        <v>63.25</v>
      </c>
      <c r="AB147">
        <f>IF(AND(Table1[[#This Row],[Throw Out Pass Def Eff]]="N", Table1[[#This Row],[Against FCS Team]]="N"),200 - ROUND(((5.45 * P147) + (150 * R147) + (100 * S147) - (300 * T147)) / Q147, 2), " ")</f>
        <v>65.12</v>
      </c>
      <c r="AC147">
        <f>IF(AND(Table1[[#This Row],[Throw Out Rush Eff]]="N", Table1[[#This Row],[Against FCS Team]]="N"), ROUND(((23.2 * I147) + (150 * K147) - (300 * L147)) / J147, 2), " ")</f>
        <v>73.7</v>
      </c>
      <c r="AD147" s="3">
        <f>IF(AND(Table1[[#This Row],[Throw Out Rush Def Eff]]="N", Table1[[#This Row],[Against FCS Team]]="N"), 200 - ROUND(((23.2 * U147) + (150 * W147) - (300 * X147)) / V147, 2), " ")</f>
        <v>62.72999999999999</v>
      </c>
      <c r="AE147" s="3">
        <f>ROUND(Table1[[#This Row],[Opp Passing Attempts]]/(Table1[[#This Row],[Opp Passing Attempts]]+Table1[[#This Row],[Opp Rushing Attempts]]), 2)</f>
        <v>0.38</v>
      </c>
      <c r="AF147" s="3">
        <f>1-Table1[[#This Row],[Passing Weight]]</f>
        <v>0.62</v>
      </c>
      <c r="AG147" s="3" t="str">
        <f>IF(COUNTIF(A:A,Table1[[#This Row],[Opp Team Name]]) &gt; 0, "N", "Y")</f>
        <v>N</v>
      </c>
      <c r="AH147" s="3" t="str">
        <f>IF(Table1[[#This Row],[Passing Attempts]] &lt;15, "Y", "N")</f>
        <v>N</v>
      </c>
      <c r="AI147" s="3" t="str">
        <f>IF(Table1[[#This Row],[Rushing Attempts]] &lt; 15, "Y", "N")</f>
        <v>N</v>
      </c>
      <c r="AJ147" s="3" t="str">
        <f>IF(Table1[[#This Row],[Opp Passing Attempts]]&lt;15, "Y", "N")</f>
        <v>N</v>
      </c>
      <c r="AK147" s="3" t="str">
        <f>IF(Table1[[#This Row],[Opp Rushing Attempts]]&lt;15, "Y", "N")</f>
        <v>N</v>
      </c>
      <c r="AL14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72.16</v>
      </c>
      <c r="AM14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67.83</v>
      </c>
      <c r="AN14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96.01</v>
      </c>
      <c r="AO14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64.78</v>
      </c>
      <c r="AP147" s="3">
        <f>ABS(Table1[[#This Row],[Team Score]]-Table1[[#This Row],[Opp Team Score]])</f>
        <v>45</v>
      </c>
      <c r="AQ147" s="3">
        <f>SUM(Table1[[#This Row],[Team Score]], Table1[[#This Row],[Opp Team Score]])</f>
        <v>51</v>
      </c>
      <c r="AR14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135.19999999999999</v>
      </c>
      <c r="AS147" s="3">
        <f>IF(Table1[[#This Row],[Efficiency Difference]] = " ", " ", ROUND((Table1[[#This Row],[Winning Margin]]*100)/Table1[[#This Row],[Efficiency Difference]], 2))</f>
        <v>33.28</v>
      </c>
    </row>
    <row r="148" spans="1:45">
      <c r="A148" t="s">
        <v>109</v>
      </c>
      <c r="B148">
        <v>0</v>
      </c>
      <c r="C148">
        <v>30</v>
      </c>
      <c r="D148">
        <v>294</v>
      </c>
      <c r="E148">
        <v>33</v>
      </c>
      <c r="F148">
        <v>1</v>
      </c>
      <c r="G148">
        <v>24</v>
      </c>
      <c r="H148">
        <v>1</v>
      </c>
      <c r="I148">
        <v>152</v>
      </c>
      <c r="J148">
        <v>35</v>
      </c>
      <c r="K148">
        <v>2</v>
      </c>
      <c r="L148">
        <v>0</v>
      </c>
      <c r="M148" t="s">
        <v>106</v>
      </c>
      <c r="N148">
        <v>0</v>
      </c>
      <c r="O148">
        <v>21</v>
      </c>
      <c r="P148">
        <v>158</v>
      </c>
      <c r="Q148">
        <v>26</v>
      </c>
      <c r="R148">
        <v>2</v>
      </c>
      <c r="S148">
        <v>16</v>
      </c>
      <c r="T148">
        <v>0</v>
      </c>
      <c r="U148">
        <v>97</v>
      </c>
      <c r="V148">
        <v>25</v>
      </c>
      <c r="W148">
        <v>1</v>
      </c>
      <c r="X148">
        <v>0</v>
      </c>
      <c r="Y148" t="s">
        <v>14</v>
      </c>
      <c r="Z148">
        <v>0</v>
      </c>
      <c r="AA148" s="3">
        <f>IF(AND(Table1[[#This Row],[Throw Out Pass Eff]]="N", Table1[[#This Row],[Against FCS Team]]="N"), ROUND(((5.45 * D148) + (150 * F148) + (100 * G148) - (300 * H148)) / E148, 2), " ")</f>
        <v>116.74</v>
      </c>
      <c r="AB148" s="3">
        <f>IF(AND(Table1[[#This Row],[Throw Out Pass Def Eff]]="N", Table1[[#This Row],[Against FCS Team]]="N"),200 - ROUND(((5.45 * P148) + (150 * R148) + (100 * S148) - (300 * T148)) / Q148, 2), " ")</f>
        <v>93.8</v>
      </c>
      <c r="AC148" s="3">
        <f>IF(AND(Table1[[#This Row],[Throw Out Rush Eff]]="N", Table1[[#This Row],[Against FCS Team]]="N"), ROUND(((23.2 * I148) + (150 * K148) - (300 * L148)) / J148, 2), " ")</f>
        <v>109.33</v>
      </c>
      <c r="AD148" s="3">
        <f>IF(AND(Table1[[#This Row],[Throw Out Rush Def Eff]]="N", Table1[[#This Row],[Against FCS Team]]="N"), 200 - ROUND(((23.2 * U148) + (150 * W148) - (300 * X148)) / V148, 2), " ")</f>
        <v>103.98</v>
      </c>
      <c r="AE148" s="3">
        <f>ROUND(Table1[[#This Row],[Opp Passing Attempts]]/(Table1[[#This Row],[Opp Passing Attempts]]+Table1[[#This Row],[Opp Rushing Attempts]]), 2)</f>
        <v>0.51</v>
      </c>
      <c r="AF148" s="3">
        <f>1-Table1[[#This Row],[Passing Weight]]</f>
        <v>0.49</v>
      </c>
      <c r="AG148" s="3" t="str">
        <f>IF(COUNTIF(A:A,Table1[[#This Row],[Opp Team Name]]) &gt; 0, "N", "Y")</f>
        <v>N</v>
      </c>
      <c r="AH148" s="3" t="str">
        <f>IF(Table1[[#This Row],[Passing Attempts]] &lt;15, "Y", "N")</f>
        <v>N</v>
      </c>
      <c r="AI148" s="3" t="str">
        <f>IF(Table1[[#This Row],[Rushing Attempts]] &lt; 15, "Y", "N")</f>
        <v>N</v>
      </c>
      <c r="AJ148" s="3" t="str">
        <f>IF(Table1[[#This Row],[Opp Passing Attempts]]&lt;15, "Y", "N")</f>
        <v>N</v>
      </c>
      <c r="AK148" s="3" t="str">
        <f>IF(Table1[[#This Row],[Opp Rushing Attempts]]&lt;15, "Y", "N")</f>
        <v>N</v>
      </c>
      <c r="AL14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147.18</v>
      </c>
      <c r="AM14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85.59</v>
      </c>
      <c r="AN14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112.44</v>
      </c>
      <c r="AO14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73.650000000000006</v>
      </c>
      <c r="AP148" s="3">
        <f>ABS(Table1[[#This Row],[Team Score]]-Table1[[#This Row],[Opp Team Score]])</f>
        <v>9</v>
      </c>
      <c r="AQ148" s="3">
        <f>SUM(Table1[[#This Row],[Team Score]], Table1[[#This Row],[Opp Team Score]])</f>
        <v>51</v>
      </c>
      <c r="AR14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23.849999999999994</v>
      </c>
      <c r="AS148" s="3">
        <f>IF(Table1[[#This Row],[Efficiency Difference]] = " ", " ", ROUND((Table1[[#This Row],[Winning Margin]]*100)/Table1[[#This Row],[Efficiency Difference]], 2))</f>
        <v>37.74</v>
      </c>
    </row>
    <row r="149" spans="1:45">
      <c r="A149" t="s">
        <v>106</v>
      </c>
      <c r="B149">
        <v>0</v>
      </c>
      <c r="C149">
        <v>21</v>
      </c>
      <c r="D149">
        <v>158</v>
      </c>
      <c r="E149">
        <v>26</v>
      </c>
      <c r="F149">
        <v>2</v>
      </c>
      <c r="G149">
        <v>16</v>
      </c>
      <c r="H149">
        <v>0</v>
      </c>
      <c r="I149">
        <v>97</v>
      </c>
      <c r="J149">
        <v>25</v>
      </c>
      <c r="K149">
        <v>1</v>
      </c>
      <c r="L149">
        <v>0</v>
      </c>
      <c r="M149" t="s">
        <v>109</v>
      </c>
      <c r="N149">
        <v>0</v>
      </c>
      <c r="O149">
        <v>30</v>
      </c>
      <c r="P149">
        <v>294</v>
      </c>
      <c r="Q149">
        <v>33</v>
      </c>
      <c r="R149">
        <v>1</v>
      </c>
      <c r="S149">
        <v>24</v>
      </c>
      <c r="T149">
        <v>1</v>
      </c>
      <c r="U149">
        <v>152</v>
      </c>
      <c r="V149">
        <v>35</v>
      </c>
      <c r="W149">
        <v>2</v>
      </c>
      <c r="X149">
        <v>0</v>
      </c>
      <c r="Y149" t="s">
        <v>15</v>
      </c>
      <c r="Z149">
        <v>0</v>
      </c>
      <c r="AA149">
        <f>IF(AND(Table1[[#This Row],[Throw Out Pass Eff]]="N", Table1[[#This Row],[Against FCS Team]]="N"), ROUND(((5.45 * D149) + (150 * F149) + (100 * G149) - (300 * H149)) / E149, 2), " ")</f>
        <v>106.2</v>
      </c>
      <c r="AB149">
        <f>IF(AND(Table1[[#This Row],[Throw Out Pass Def Eff]]="N", Table1[[#This Row],[Against FCS Team]]="N"),200 - ROUND(((5.45 * P149) + (150 * R149) + (100 * S149) - (300 * T149)) / Q149, 2), " ")</f>
        <v>83.26</v>
      </c>
      <c r="AC149">
        <f>IF(AND(Table1[[#This Row],[Throw Out Rush Eff]]="N", Table1[[#This Row],[Against FCS Team]]="N"), ROUND(((23.2 * I149) + (150 * K149) - (300 * L149)) / J149, 2), " ")</f>
        <v>96.02</v>
      </c>
      <c r="AD149" s="3">
        <f>IF(AND(Table1[[#This Row],[Throw Out Rush Def Eff]]="N", Table1[[#This Row],[Against FCS Team]]="N"), 200 - ROUND(((23.2 * U149) + (150 * W149) - (300 * X149)) / V149, 2), " ")</f>
        <v>90.67</v>
      </c>
      <c r="AE149" s="3">
        <f>ROUND(Table1[[#This Row],[Opp Passing Attempts]]/(Table1[[#This Row],[Opp Passing Attempts]]+Table1[[#This Row],[Opp Rushing Attempts]]), 2)</f>
        <v>0.49</v>
      </c>
      <c r="AF149" s="3">
        <f>1-Table1[[#This Row],[Passing Weight]]</f>
        <v>0.51</v>
      </c>
      <c r="AG149" s="3" t="str">
        <f>IF(COUNTIF(A:A,Table1[[#This Row],[Opp Team Name]]) &gt; 0, "N", "Y")</f>
        <v>N</v>
      </c>
      <c r="AH149" s="3" t="str">
        <f>IF(Table1[[#This Row],[Passing Attempts]] &lt;15, "Y", "N")</f>
        <v>N</v>
      </c>
      <c r="AI149" s="3" t="str">
        <f>IF(Table1[[#This Row],[Rushing Attempts]] &lt; 15, "Y", "N")</f>
        <v>N</v>
      </c>
      <c r="AJ149" s="3" t="str">
        <f>IF(Table1[[#This Row],[Opp Passing Attempts]]&lt;15, "Y", "N")</f>
        <v>N</v>
      </c>
      <c r="AK149" s="3" t="str">
        <f>IF(Table1[[#This Row],[Opp Rushing Attempts]]&lt;15, "Y", "N")</f>
        <v>N</v>
      </c>
      <c r="AL14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99.21</v>
      </c>
      <c r="AM14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96.01</v>
      </c>
      <c r="AN14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96.45</v>
      </c>
      <c r="AO14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96.53</v>
      </c>
      <c r="AP149" s="3">
        <f>ABS(Table1[[#This Row],[Team Score]]-Table1[[#This Row],[Opp Team Score]])</f>
        <v>9</v>
      </c>
      <c r="AQ149" s="3">
        <f>SUM(Table1[[#This Row],[Team Score]], Table1[[#This Row],[Opp Team Score]])</f>
        <v>51</v>
      </c>
      <c r="AR14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23.849999999999994</v>
      </c>
      <c r="AS149" s="3">
        <f>IF(Table1[[#This Row],[Efficiency Difference]] = " ", " ", ROUND((Table1[[#This Row],[Winning Margin]]*100)/Table1[[#This Row],[Efficiency Difference]], 2))</f>
        <v>37.74</v>
      </c>
    </row>
    <row r="150" spans="1:45">
      <c r="A150" t="s">
        <v>110</v>
      </c>
      <c r="B150">
        <v>0</v>
      </c>
      <c r="C150">
        <v>24</v>
      </c>
      <c r="D150">
        <v>113</v>
      </c>
      <c r="E150">
        <v>23</v>
      </c>
      <c r="F150">
        <v>1</v>
      </c>
      <c r="G150">
        <v>10</v>
      </c>
      <c r="H150">
        <v>1</v>
      </c>
      <c r="I150">
        <v>162</v>
      </c>
      <c r="J150">
        <v>23</v>
      </c>
      <c r="K150">
        <v>1</v>
      </c>
      <c r="L150">
        <v>0</v>
      </c>
      <c r="M150" t="s">
        <v>98</v>
      </c>
      <c r="N150">
        <v>0</v>
      </c>
      <c r="O150">
        <v>29</v>
      </c>
      <c r="P150">
        <v>212</v>
      </c>
      <c r="Q150">
        <v>29</v>
      </c>
      <c r="R150">
        <v>1</v>
      </c>
      <c r="S150">
        <v>18</v>
      </c>
      <c r="T150">
        <v>1</v>
      </c>
      <c r="U150">
        <v>206</v>
      </c>
      <c r="V150">
        <v>43</v>
      </c>
      <c r="W150">
        <v>1</v>
      </c>
      <c r="X150">
        <v>1</v>
      </c>
      <c r="Y150" t="s">
        <v>15</v>
      </c>
      <c r="Z150">
        <v>0</v>
      </c>
      <c r="AA150">
        <f>IF(AND(Table1[[#This Row],[Throw Out Pass Eff]]="N", Table1[[#This Row],[Against FCS Team]]="N"), ROUND(((5.45 * D150) + (150 * F150) + (100 * G150) - (300 * H150)) / E150, 2), " ")</f>
        <v>63.73</v>
      </c>
      <c r="AB150">
        <f>IF(AND(Table1[[#This Row],[Throw Out Pass Def Eff]]="N", Table1[[#This Row],[Against FCS Team]]="N"),200 - ROUND(((5.45 * P150) + (150 * R150) + (100 * S150) - (300 * T150)) / Q150, 2), " ")</f>
        <v>103.26</v>
      </c>
      <c r="AC150">
        <f>IF(AND(Table1[[#This Row],[Throw Out Rush Eff]]="N", Table1[[#This Row],[Against FCS Team]]="N"), ROUND(((23.2 * I150) + (150 * K150) - (300 * L150)) / J150, 2), " ")</f>
        <v>169.93</v>
      </c>
      <c r="AD150" s="3">
        <f>IF(AND(Table1[[#This Row],[Throw Out Rush Def Eff]]="N", Table1[[#This Row],[Against FCS Team]]="N"), 200 - ROUND(((23.2 * U150) + (150 * W150) - (300 * X150)) / V150, 2), " ")</f>
        <v>92.34</v>
      </c>
      <c r="AE150" s="3">
        <f>ROUND(Table1[[#This Row],[Opp Passing Attempts]]/(Table1[[#This Row],[Opp Passing Attempts]]+Table1[[#This Row],[Opp Rushing Attempts]]), 2)</f>
        <v>0.4</v>
      </c>
      <c r="AF150" s="3">
        <f>1-Table1[[#This Row],[Passing Weight]]</f>
        <v>0.6</v>
      </c>
      <c r="AG150" s="3" t="str">
        <f>IF(COUNTIF(A:A,Table1[[#This Row],[Opp Team Name]]) &gt; 0, "N", "Y")</f>
        <v>N</v>
      </c>
      <c r="AH150" s="3" t="str">
        <f>IF(Table1[[#This Row],[Passing Attempts]] &lt;15, "Y", "N")</f>
        <v>N</v>
      </c>
      <c r="AI150" s="3" t="str">
        <f>IF(Table1[[#This Row],[Rushing Attempts]] &lt; 15, "Y", "N")</f>
        <v>N</v>
      </c>
      <c r="AJ150" s="3" t="str">
        <f>IF(Table1[[#This Row],[Opp Passing Attempts]]&lt;15, "Y", "N")</f>
        <v>N</v>
      </c>
      <c r="AK150" s="3" t="str">
        <f>IF(Table1[[#This Row],[Opp Rushing Attempts]]&lt;15, "Y", "N")</f>
        <v>N</v>
      </c>
      <c r="AL15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71.34</v>
      </c>
      <c r="AM15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100.93</v>
      </c>
      <c r="AN15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150.4</v>
      </c>
      <c r="AO15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85.01</v>
      </c>
      <c r="AP150" s="3">
        <f>ABS(Table1[[#This Row],[Team Score]]-Table1[[#This Row],[Opp Team Score]])</f>
        <v>5</v>
      </c>
      <c r="AQ150" s="3">
        <f>SUM(Table1[[#This Row],[Team Score]], Table1[[#This Row],[Opp Team Score]])</f>
        <v>53</v>
      </c>
      <c r="AR15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29.260000000000019</v>
      </c>
      <c r="AS150" s="3">
        <f>IF(Table1[[#This Row],[Efficiency Difference]] = " ", " ", ROUND((Table1[[#This Row],[Winning Margin]]*100)/Table1[[#This Row],[Efficiency Difference]], 2))</f>
        <v>17.09</v>
      </c>
    </row>
    <row r="151" spans="1:45">
      <c r="A151" t="s">
        <v>98</v>
      </c>
      <c r="B151">
        <v>0</v>
      </c>
      <c r="C151">
        <v>29</v>
      </c>
      <c r="D151">
        <v>212</v>
      </c>
      <c r="E151">
        <v>29</v>
      </c>
      <c r="F151">
        <v>1</v>
      </c>
      <c r="G151">
        <v>18</v>
      </c>
      <c r="H151">
        <v>1</v>
      </c>
      <c r="I151">
        <v>206</v>
      </c>
      <c r="J151">
        <v>43</v>
      </c>
      <c r="K151">
        <v>1</v>
      </c>
      <c r="L151">
        <v>1</v>
      </c>
      <c r="M151" t="s">
        <v>110</v>
      </c>
      <c r="N151">
        <v>0</v>
      </c>
      <c r="O151">
        <v>24</v>
      </c>
      <c r="P151">
        <v>113</v>
      </c>
      <c r="Q151">
        <v>23</v>
      </c>
      <c r="R151">
        <v>1</v>
      </c>
      <c r="S151">
        <v>10</v>
      </c>
      <c r="T151">
        <v>1</v>
      </c>
      <c r="U151">
        <v>162</v>
      </c>
      <c r="V151">
        <v>23</v>
      </c>
      <c r="W151">
        <v>1</v>
      </c>
      <c r="X151">
        <v>0</v>
      </c>
      <c r="Y151" t="s">
        <v>14</v>
      </c>
      <c r="Z151">
        <v>0</v>
      </c>
      <c r="AA151">
        <f>IF(AND(Table1[[#This Row],[Throw Out Pass Eff]]="N", Table1[[#This Row],[Against FCS Team]]="N"), ROUND(((5.45 * D151) + (150 * F151) + (100 * G151) - (300 * H151)) / E151, 2), " ")</f>
        <v>96.74</v>
      </c>
      <c r="AB151">
        <f>IF(AND(Table1[[#This Row],[Throw Out Pass Def Eff]]="N", Table1[[#This Row],[Against FCS Team]]="N"),200 - ROUND(((5.45 * P151) + (150 * R151) + (100 * S151) - (300 * T151)) / Q151, 2), " ")</f>
        <v>136.27000000000001</v>
      </c>
      <c r="AC151">
        <f>IF(AND(Table1[[#This Row],[Throw Out Rush Eff]]="N", Table1[[#This Row],[Against FCS Team]]="N"), ROUND(((23.2 * I151) + (150 * K151) - (300 * L151)) / J151, 2), " ")</f>
        <v>107.66</v>
      </c>
      <c r="AD151" s="3">
        <f>IF(AND(Table1[[#This Row],[Throw Out Rush Def Eff]]="N", Table1[[#This Row],[Against FCS Team]]="N"), 200 - ROUND(((23.2 * U151) + (150 * W151) - (300 * X151)) / V151, 2), " ")</f>
        <v>30.069999999999993</v>
      </c>
      <c r="AE151" s="3">
        <f>ROUND(Table1[[#This Row],[Opp Passing Attempts]]/(Table1[[#This Row],[Opp Passing Attempts]]+Table1[[#This Row],[Opp Rushing Attempts]]), 2)</f>
        <v>0.5</v>
      </c>
      <c r="AF151" s="3">
        <f>1-Table1[[#This Row],[Passing Weight]]</f>
        <v>0.5</v>
      </c>
      <c r="AG151" s="3" t="str">
        <f>IF(COUNTIF(A:A,Table1[[#This Row],[Opp Team Name]]) &gt; 0, "N", "Y")</f>
        <v>N</v>
      </c>
      <c r="AH151" s="3" t="str">
        <f>IF(Table1[[#This Row],[Passing Attempts]] &lt;15, "Y", "N")</f>
        <v>N</v>
      </c>
      <c r="AI151" s="3" t="str">
        <f>IF(Table1[[#This Row],[Rushing Attempts]] &lt; 15, "Y", "N")</f>
        <v>N</v>
      </c>
      <c r="AJ151" s="3" t="str">
        <f>IF(Table1[[#This Row],[Opp Passing Attempts]]&lt;15, "Y", "N")</f>
        <v>N</v>
      </c>
      <c r="AK151" s="3" t="str">
        <f>IF(Table1[[#This Row],[Opp Rushing Attempts]]&lt;15, "Y", "N")</f>
        <v>N</v>
      </c>
      <c r="AL15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87.22</v>
      </c>
      <c r="AM15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117.38</v>
      </c>
      <c r="AN15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129.91999999999999</v>
      </c>
      <c r="AO15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30.28</v>
      </c>
      <c r="AP151" s="3">
        <f>ABS(Table1[[#This Row],[Team Score]]-Table1[[#This Row],[Opp Team Score]])</f>
        <v>5</v>
      </c>
      <c r="AQ151" s="3">
        <f>SUM(Table1[[#This Row],[Team Score]], Table1[[#This Row],[Opp Team Score]])</f>
        <v>53</v>
      </c>
      <c r="AR15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29.260000000000019</v>
      </c>
      <c r="AS151" s="3">
        <f>IF(Table1[[#This Row],[Efficiency Difference]] = " ", " ", ROUND((Table1[[#This Row],[Winning Margin]]*100)/Table1[[#This Row],[Efficiency Difference]], 2))</f>
        <v>17.09</v>
      </c>
    </row>
    <row r="152" spans="1:45">
      <c r="A152" t="s">
        <v>83</v>
      </c>
      <c r="B152">
        <v>0</v>
      </c>
      <c r="C152">
        <v>14</v>
      </c>
      <c r="D152">
        <v>156</v>
      </c>
      <c r="E152">
        <v>32</v>
      </c>
      <c r="F152">
        <v>1</v>
      </c>
      <c r="G152">
        <v>18</v>
      </c>
      <c r="H152">
        <v>2</v>
      </c>
      <c r="I152">
        <v>95</v>
      </c>
      <c r="J152">
        <v>22</v>
      </c>
      <c r="K152">
        <v>1</v>
      </c>
      <c r="L152">
        <v>0</v>
      </c>
      <c r="M152" t="s">
        <v>80</v>
      </c>
      <c r="N152">
        <v>0</v>
      </c>
      <c r="O152">
        <v>25</v>
      </c>
      <c r="P152">
        <v>369</v>
      </c>
      <c r="Q152">
        <v>39</v>
      </c>
      <c r="R152">
        <v>2</v>
      </c>
      <c r="S152">
        <v>26</v>
      </c>
      <c r="T152">
        <v>0</v>
      </c>
      <c r="U152">
        <v>57</v>
      </c>
      <c r="V152">
        <v>20</v>
      </c>
      <c r="W152">
        <v>0</v>
      </c>
      <c r="X152">
        <v>1</v>
      </c>
      <c r="Y152" t="s">
        <v>15</v>
      </c>
      <c r="Z152">
        <v>0</v>
      </c>
      <c r="AA152">
        <f>IF(AND(Table1[[#This Row],[Throw Out Pass Eff]]="N", Table1[[#This Row],[Against FCS Team]]="N"), ROUND(((5.45 * D152) + (150 * F152) + (100 * G152) - (300 * H152)) / E152, 2), " ")</f>
        <v>68.760000000000005</v>
      </c>
      <c r="AB152">
        <f>IF(AND(Table1[[#This Row],[Throw Out Pass Def Eff]]="N", Table1[[#This Row],[Against FCS Team]]="N"),200 - ROUND(((5.45 * P152) + (150 * R152) + (100 * S152) - (300 * T152)) / Q152, 2), " ")</f>
        <v>74.08</v>
      </c>
      <c r="AC152">
        <f>IF(AND(Table1[[#This Row],[Throw Out Rush Eff]]="N", Table1[[#This Row],[Against FCS Team]]="N"), ROUND(((23.2 * I152) + (150 * K152) - (300 * L152)) / J152, 2), " ")</f>
        <v>107</v>
      </c>
      <c r="AD152" s="3">
        <f>IF(AND(Table1[[#This Row],[Throw Out Rush Def Eff]]="N", Table1[[#This Row],[Against FCS Team]]="N"), 200 - ROUND(((23.2 * U152) + (150 * W152) - (300 * X152)) / V152, 2), " ")</f>
        <v>148.88</v>
      </c>
      <c r="AE152" s="3">
        <f>ROUND(Table1[[#This Row],[Opp Passing Attempts]]/(Table1[[#This Row],[Opp Passing Attempts]]+Table1[[#This Row],[Opp Rushing Attempts]]), 2)</f>
        <v>0.66</v>
      </c>
      <c r="AF152" s="3">
        <f>1-Table1[[#This Row],[Passing Weight]]</f>
        <v>0.33999999999999997</v>
      </c>
      <c r="AG152" s="3" t="str">
        <f>IF(COUNTIF(A:A,Table1[[#This Row],[Opp Team Name]]) &gt; 0, "N", "Y")</f>
        <v>N</v>
      </c>
      <c r="AH152" s="3" t="str">
        <f>IF(Table1[[#This Row],[Passing Attempts]] &lt;15, "Y", "N")</f>
        <v>N</v>
      </c>
      <c r="AI152" s="3" t="str">
        <f>IF(Table1[[#This Row],[Rushing Attempts]] &lt; 15, "Y", "N")</f>
        <v>N</v>
      </c>
      <c r="AJ152" s="3" t="str">
        <f>IF(Table1[[#This Row],[Opp Passing Attempts]]&lt;15, "Y", "N")</f>
        <v>N</v>
      </c>
      <c r="AK152" s="3" t="str">
        <f>IF(Table1[[#This Row],[Opp Rushing Attempts]]&lt;15, "Y", "N")</f>
        <v>N</v>
      </c>
      <c r="AL15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75.72</v>
      </c>
      <c r="AM15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96.75</v>
      </c>
      <c r="AN15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99.41</v>
      </c>
      <c r="AO15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129.84</v>
      </c>
      <c r="AP152" s="3">
        <f>ABS(Table1[[#This Row],[Team Score]]-Table1[[#This Row],[Opp Team Score]])</f>
        <v>11</v>
      </c>
      <c r="AQ152" s="3">
        <f>SUM(Table1[[#This Row],[Team Score]], Table1[[#This Row],[Opp Team Score]])</f>
        <v>39</v>
      </c>
      <c r="AR15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1.2800000000000296</v>
      </c>
      <c r="AS152" s="3">
        <f>IF(Table1[[#This Row],[Efficiency Difference]] = " ", " ", ROUND((Table1[[#This Row],[Winning Margin]]*100)/Table1[[#This Row],[Efficiency Difference]], 2))</f>
        <v>859.37</v>
      </c>
    </row>
    <row r="153" spans="1:45">
      <c r="A153" t="s">
        <v>80</v>
      </c>
      <c r="B153">
        <v>0</v>
      </c>
      <c r="C153">
        <v>25</v>
      </c>
      <c r="D153">
        <v>369</v>
      </c>
      <c r="E153">
        <v>39</v>
      </c>
      <c r="F153">
        <v>2</v>
      </c>
      <c r="G153">
        <v>26</v>
      </c>
      <c r="H153">
        <v>0</v>
      </c>
      <c r="I153">
        <v>57</v>
      </c>
      <c r="J153">
        <v>20</v>
      </c>
      <c r="K153">
        <v>0</v>
      </c>
      <c r="L153">
        <v>1</v>
      </c>
      <c r="M153" t="s">
        <v>83</v>
      </c>
      <c r="N153">
        <v>0</v>
      </c>
      <c r="O153">
        <v>14</v>
      </c>
      <c r="P153">
        <v>156</v>
      </c>
      <c r="Q153">
        <v>32</v>
      </c>
      <c r="R153">
        <v>1</v>
      </c>
      <c r="S153">
        <v>18</v>
      </c>
      <c r="T153">
        <v>2</v>
      </c>
      <c r="U153">
        <v>95</v>
      </c>
      <c r="V153">
        <v>22</v>
      </c>
      <c r="W153">
        <v>1</v>
      </c>
      <c r="X153">
        <v>0</v>
      </c>
      <c r="Y153" t="s">
        <v>14</v>
      </c>
      <c r="Z153">
        <v>0</v>
      </c>
      <c r="AA153">
        <f>IF(AND(Table1[[#This Row],[Throw Out Pass Eff]]="N", Table1[[#This Row],[Against FCS Team]]="N"), ROUND(((5.45 * D153) + (150 * F153) + (100 * G153) - (300 * H153)) / E153, 2), " ")</f>
        <v>125.92</v>
      </c>
      <c r="AB153">
        <f>IF(AND(Table1[[#This Row],[Throw Out Pass Def Eff]]="N", Table1[[#This Row],[Against FCS Team]]="N"),200 - ROUND(((5.45 * P153) + (150 * R153) + (100 * S153) - (300 * T153)) / Q153, 2), " ")</f>
        <v>131.24</v>
      </c>
      <c r="AC153">
        <f>IF(AND(Table1[[#This Row],[Throw Out Rush Eff]]="N", Table1[[#This Row],[Against FCS Team]]="N"), ROUND(((23.2 * I153) + (150 * K153) - (300 * L153)) / J153, 2), " ")</f>
        <v>51.12</v>
      </c>
      <c r="AD153" s="3">
        <f>IF(AND(Table1[[#This Row],[Throw Out Rush Def Eff]]="N", Table1[[#This Row],[Against FCS Team]]="N"), 200 - ROUND(((23.2 * U153) + (150 * W153) - (300 * X153)) / V153, 2), " ")</f>
        <v>93</v>
      </c>
      <c r="AE153" s="3">
        <f>ROUND(Table1[[#This Row],[Opp Passing Attempts]]/(Table1[[#This Row],[Opp Passing Attempts]]+Table1[[#This Row],[Opp Rushing Attempts]]), 2)</f>
        <v>0.59</v>
      </c>
      <c r="AF153" s="3">
        <f>1-Table1[[#This Row],[Passing Weight]]</f>
        <v>0.41000000000000003</v>
      </c>
      <c r="AG153" s="3" t="str">
        <f>IF(COUNTIF(A:A,Table1[[#This Row],[Opp Team Name]]) &gt; 0, "N", "Y")</f>
        <v>N</v>
      </c>
      <c r="AH153" s="3" t="str">
        <f>IF(Table1[[#This Row],[Passing Attempts]] &lt;15, "Y", "N")</f>
        <v>N</v>
      </c>
      <c r="AI153" s="3" t="str">
        <f>IF(Table1[[#This Row],[Rushing Attempts]] &lt; 15, "Y", "N")</f>
        <v>N</v>
      </c>
      <c r="AJ153" s="3" t="str">
        <f>IF(Table1[[#This Row],[Opp Passing Attempts]]&lt;15, "Y", "N")</f>
        <v>N</v>
      </c>
      <c r="AK153" s="3" t="str">
        <f>IF(Table1[[#This Row],[Opp Rushing Attempts]]&lt;15, "Y", "N")</f>
        <v>N</v>
      </c>
      <c r="AL15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126.5</v>
      </c>
      <c r="AM15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119.15</v>
      </c>
      <c r="AN15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56.16</v>
      </c>
      <c r="AO15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83.63</v>
      </c>
      <c r="AP153" s="3">
        <f>ABS(Table1[[#This Row],[Team Score]]-Table1[[#This Row],[Opp Team Score]])</f>
        <v>11</v>
      </c>
      <c r="AQ153" s="3">
        <f>SUM(Table1[[#This Row],[Team Score]], Table1[[#This Row],[Opp Team Score]])</f>
        <v>39</v>
      </c>
      <c r="AR15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1.2800000000000011</v>
      </c>
      <c r="AS153" s="3">
        <f>IF(Table1[[#This Row],[Efficiency Difference]] = " ", " ", ROUND((Table1[[#This Row],[Winning Margin]]*100)/Table1[[#This Row],[Efficiency Difference]], 2))</f>
        <v>859.37</v>
      </c>
    </row>
    <row r="154" spans="1:45">
      <c r="A154" t="s">
        <v>97</v>
      </c>
      <c r="B154">
        <v>0</v>
      </c>
      <c r="C154">
        <v>24</v>
      </c>
      <c r="D154">
        <v>214</v>
      </c>
      <c r="E154">
        <v>26</v>
      </c>
      <c r="F154">
        <v>2</v>
      </c>
      <c r="G154">
        <v>19</v>
      </c>
      <c r="H154">
        <v>1</v>
      </c>
      <c r="I154">
        <v>181</v>
      </c>
      <c r="J154">
        <v>20</v>
      </c>
      <c r="K154">
        <v>1</v>
      </c>
      <c r="L154">
        <v>0</v>
      </c>
      <c r="M154" t="s">
        <v>82</v>
      </c>
      <c r="N154">
        <v>0</v>
      </c>
      <c r="O154">
        <v>13</v>
      </c>
      <c r="P154">
        <v>237</v>
      </c>
      <c r="Q154">
        <v>38</v>
      </c>
      <c r="R154">
        <v>1</v>
      </c>
      <c r="S154">
        <v>28</v>
      </c>
      <c r="T154">
        <v>0</v>
      </c>
      <c r="U154">
        <v>122</v>
      </c>
      <c r="V154">
        <v>25</v>
      </c>
      <c r="W154">
        <v>0</v>
      </c>
      <c r="X154">
        <v>0</v>
      </c>
      <c r="Y154" t="s">
        <v>14</v>
      </c>
      <c r="Z154">
        <v>0</v>
      </c>
      <c r="AA154">
        <f>IF(AND(Table1[[#This Row],[Throw Out Pass Eff]]="N", Table1[[#This Row],[Against FCS Team]]="N"), ROUND(((5.45 * D154) + (150 * F154) + (100 * G154) - (300 * H154)) / E154, 2), " ")</f>
        <v>117.93</v>
      </c>
      <c r="AB154">
        <f>IF(AND(Table1[[#This Row],[Throw Out Pass Def Eff]]="N", Table1[[#This Row],[Against FCS Team]]="N"),200 - ROUND(((5.45 * P154) + (150 * R154) + (100 * S154) - (300 * T154)) / Q154, 2), " ")</f>
        <v>88.38</v>
      </c>
      <c r="AC154">
        <f>IF(AND(Table1[[#This Row],[Throw Out Rush Eff]]="N", Table1[[#This Row],[Against FCS Team]]="N"), ROUND(((23.2 * I154) + (150 * K154) - (300 * L154)) / J154, 2), " ")</f>
        <v>217.46</v>
      </c>
      <c r="AD154" s="3">
        <f>IF(AND(Table1[[#This Row],[Throw Out Rush Def Eff]]="N", Table1[[#This Row],[Against FCS Team]]="N"), 200 - ROUND(((23.2 * U154) + (150 * W154) - (300 * X154)) / V154, 2), " ")</f>
        <v>86.78</v>
      </c>
      <c r="AE154" s="3">
        <f>ROUND(Table1[[#This Row],[Opp Passing Attempts]]/(Table1[[#This Row],[Opp Passing Attempts]]+Table1[[#This Row],[Opp Rushing Attempts]]), 2)</f>
        <v>0.6</v>
      </c>
      <c r="AF154" s="3">
        <f>1-Table1[[#This Row],[Passing Weight]]</f>
        <v>0.4</v>
      </c>
      <c r="AG154" s="3" t="str">
        <f>IF(COUNTIF(A:A,Table1[[#This Row],[Opp Team Name]]) &gt; 0, "N", "Y")</f>
        <v>N</v>
      </c>
      <c r="AH154" s="3" t="str">
        <f>IF(Table1[[#This Row],[Passing Attempts]] &lt;15, "Y", "N")</f>
        <v>N</v>
      </c>
      <c r="AI154" s="3" t="str">
        <f>IF(Table1[[#This Row],[Rushing Attempts]] &lt; 15, "Y", "N")</f>
        <v>N</v>
      </c>
      <c r="AJ154" s="3" t="str">
        <f>IF(Table1[[#This Row],[Opp Passing Attempts]]&lt;15, "Y", "N")</f>
        <v>N</v>
      </c>
      <c r="AK154" s="3" t="str">
        <f>IF(Table1[[#This Row],[Opp Rushing Attempts]]&lt;15, "Y", "N")</f>
        <v>N</v>
      </c>
      <c r="AL15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115.97</v>
      </c>
      <c r="AM15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82.24</v>
      </c>
      <c r="AN15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167.59</v>
      </c>
      <c r="AO15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102.91</v>
      </c>
      <c r="AP154" s="3">
        <f>ABS(Table1[[#This Row],[Team Score]]-Table1[[#This Row],[Opp Team Score]])</f>
        <v>11</v>
      </c>
      <c r="AQ154" s="3">
        <f>SUM(Table1[[#This Row],[Team Score]], Table1[[#This Row],[Opp Team Score]])</f>
        <v>37</v>
      </c>
      <c r="AR15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110.54999999999998</v>
      </c>
      <c r="AS154" s="3">
        <f>IF(Table1[[#This Row],[Efficiency Difference]] = " ", " ", ROUND((Table1[[#This Row],[Winning Margin]]*100)/Table1[[#This Row],[Efficiency Difference]], 2))</f>
        <v>9.9499999999999993</v>
      </c>
    </row>
    <row r="155" spans="1:45">
      <c r="A155" t="s">
        <v>82</v>
      </c>
      <c r="B155">
        <v>0</v>
      </c>
      <c r="C155">
        <v>13</v>
      </c>
      <c r="D155">
        <v>237</v>
      </c>
      <c r="E155">
        <v>38</v>
      </c>
      <c r="F155">
        <v>1</v>
      </c>
      <c r="G155">
        <v>28</v>
      </c>
      <c r="H155">
        <v>0</v>
      </c>
      <c r="I155">
        <v>122</v>
      </c>
      <c r="J155">
        <v>25</v>
      </c>
      <c r="K155">
        <v>0</v>
      </c>
      <c r="L155">
        <v>0</v>
      </c>
      <c r="M155" t="s">
        <v>97</v>
      </c>
      <c r="N155">
        <v>0</v>
      </c>
      <c r="O155">
        <v>24</v>
      </c>
      <c r="P155">
        <v>214</v>
      </c>
      <c r="Q155">
        <v>26</v>
      </c>
      <c r="R155">
        <v>2</v>
      </c>
      <c r="S155">
        <v>19</v>
      </c>
      <c r="T155">
        <v>1</v>
      </c>
      <c r="U155">
        <v>181</v>
      </c>
      <c r="V155">
        <v>20</v>
      </c>
      <c r="W155">
        <v>1</v>
      </c>
      <c r="X155">
        <v>0</v>
      </c>
      <c r="Y155" t="s">
        <v>15</v>
      </c>
      <c r="Z155">
        <v>0</v>
      </c>
      <c r="AA155">
        <f>IF(AND(Table1[[#This Row],[Throw Out Pass Eff]]="N", Table1[[#This Row],[Against FCS Team]]="N"), ROUND(((5.45 * D155) + (150 * F155) + (100 * G155) - (300 * H155)) / E155, 2), " ")</f>
        <v>111.62</v>
      </c>
      <c r="AB155">
        <f>IF(AND(Table1[[#This Row],[Throw Out Pass Def Eff]]="N", Table1[[#This Row],[Against FCS Team]]="N"),200 - ROUND(((5.45 * P155) + (150 * R155) + (100 * S155) - (300 * T155)) / Q155, 2), " ")</f>
        <v>82.07</v>
      </c>
      <c r="AC155">
        <f>IF(AND(Table1[[#This Row],[Throw Out Rush Eff]]="N", Table1[[#This Row],[Against FCS Team]]="N"), ROUND(((23.2 * I155) + (150 * K155) - (300 * L155)) / J155, 2), " ")</f>
        <v>113.22</v>
      </c>
      <c r="AD155" s="3">
        <f>IF(AND(Table1[[#This Row],[Throw Out Rush Def Eff]]="N", Table1[[#This Row],[Against FCS Team]]="N"), 200 - ROUND(((23.2 * U155) + (150 * W155) - (300 * X155)) / V155, 2), " ")</f>
        <v>-17.460000000000008</v>
      </c>
      <c r="AE155" s="3">
        <f>ROUND(Table1[[#This Row],[Opp Passing Attempts]]/(Table1[[#This Row],[Opp Passing Attempts]]+Table1[[#This Row],[Opp Rushing Attempts]]), 2)</f>
        <v>0.56999999999999995</v>
      </c>
      <c r="AF155" s="3">
        <f>1-Table1[[#This Row],[Passing Weight]]</f>
        <v>0.43000000000000005</v>
      </c>
      <c r="AG155" s="3" t="str">
        <f>IF(COUNTIF(A:A,Table1[[#This Row],[Opp Team Name]]) &gt; 0, "N", "Y")</f>
        <v>N</v>
      </c>
      <c r="AH155" s="3" t="str">
        <f>IF(Table1[[#This Row],[Passing Attempts]] &lt;15, "Y", "N")</f>
        <v>N</v>
      </c>
      <c r="AI155" s="3" t="str">
        <f>IF(Table1[[#This Row],[Rushing Attempts]] &lt; 15, "Y", "N")</f>
        <v>N</v>
      </c>
      <c r="AJ155" s="3" t="str">
        <f>IF(Table1[[#This Row],[Opp Passing Attempts]]&lt;15, "Y", "N")</f>
        <v>N</v>
      </c>
      <c r="AK155" s="3" t="str">
        <f>IF(Table1[[#This Row],[Opp Rushing Attempts]]&lt;15, "Y", "N")</f>
        <v>N</v>
      </c>
      <c r="AL15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128.82</v>
      </c>
      <c r="AM15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84.36</v>
      </c>
      <c r="AN15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103.38</v>
      </c>
      <c r="AO15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-16.98</v>
      </c>
      <c r="AP155" s="3">
        <f>ABS(Table1[[#This Row],[Team Score]]-Table1[[#This Row],[Opp Team Score]])</f>
        <v>11</v>
      </c>
      <c r="AQ155" s="3">
        <f>SUM(Table1[[#This Row],[Team Score]], Table1[[#This Row],[Opp Team Score]])</f>
        <v>37</v>
      </c>
      <c r="AR15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110.54999999999998</v>
      </c>
      <c r="AS155" s="3">
        <f>IF(Table1[[#This Row],[Efficiency Difference]] = " ", " ", ROUND((Table1[[#This Row],[Winning Margin]]*100)/Table1[[#This Row],[Efficiency Difference]], 2))</f>
        <v>9.9499999999999993</v>
      </c>
    </row>
    <row r="156" spans="1:45">
      <c r="A156" t="s">
        <v>83</v>
      </c>
      <c r="B156">
        <v>0</v>
      </c>
      <c r="C156">
        <v>31</v>
      </c>
      <c r="D156">
        <v>159</v>
      </c>
      <c r="E156">
        <v>22</v>
      </c>
      <c r="F156">
        <v>1</v>
      </c>
      <c r="G156">
        <v>14</v>
      </c>
      <c r="H156">
        <v>0</v>
      </c>
      <c r="I156">
        <v>166</v>
      </c>
      <c r="J156">
        <v>35</v>
      </c>
      <c r="K156">
        <v>3</v>
      </c>
      <c r="L156">
        <v>0</v>
      </c>
      <c r="M156" t="s">
        <v>103</v>
      </c>
      <c r="N156">
        <v>0</v>
      </c>
      <c r="O156">
        <v>17</v>
      </c>
      <c r="P156">
        <v>226</v>
      </c>
      <c r="Q156">
        <v>35</v>
      </c>
      <c r="R156">
        <v>0</v>
      </c>
      <c r="S156">
        <v>21</v>
      </c>
      <c r="T156">
        <v>3</v>
      </c>
      <c r="U156">
        <v>139</v>
      </c>
      <c r="V156">
        <v>26</v>
      </c>
      <c r="W156">
        <v>2</v>
      </c>
      <c r="X156">
        <v>0</v>
      </c>
      <c r="Y156" t="s">
        <v>14</v>
      </c>
      <c r="Z156">
        <v>0</v>
      </c>
      <c r="AA156" s="3">
        <f>IF(AND(Table1[[#This Row],[Throw Out Pass Eff]]="N", Table1[[#This Row],[Against FCS Team]]="N"), ROUND(((5.45 * D156) + (150 * F156) + (100 * G156) - (300 * H156)) / E156, 2), " ")</f>
        <v>109.84</v>
      </c>
      <c r="AB156" s="3">
        <f>IF(AND(Table1[[#This Row],[Throw Out Pass Def Eff]]="N", Table1[[#This Row],[Against FCS Team]]="N"),200 - ROUND(((5.45 * P156) + (150 * R156) + (100 * S156) - (300 * T156)) / Q156, 2), " ")</f>
        <v>130.51999999999998</v>
      </c>
      <c r="AC156" s="3">
        <f>IF(AND(Table1[[#This Row],[Throw Out Rush Eff]]="N", Table1[[#This Row],[Against FCS Team]]="N"), ROUND(((23.2 * I156) + (150 * K156) - (300 * L156)) / J156, 2), " ")</f>
        <v>122.89</v>
      </c>
      <c r="AD156" s="3">
        <f>IF(AND(Table1[[#This Row],[Throw Out Rush Def Eff]]="N", Table1[[#This Row],[Against FCS Team]]="N"), 200 - ROUND(((23.2 * U156) + (150 * W156) - (300 * X156)) / V156, 2), " ")</f>
        <v>64.430000000000007</v>
      </c>
      <c r="AE156" s="3">
        <f>ROUND(Table1[[#This Row],[Opp Passing Attempts]]/(Table1[[#This Row],[Opp Passing Attempts]]+Table1[[#This Row],[Opp Rushing Attempts]]), 2)</f>
        <v>0.56999999999999995</v>
      </c>
      <c r="AF156" s="3">
        <f>1-Table1[[#This Row],[Passing Weight]]</f>
        <v>0.43000000000000005</v>
      </c>
      <c r="AG156" s="3" t="str">
        <f>IF(COUNTIF(A:A,Table1[[#This Row],[Opp Team Name]]) &gt; 0, "N", "Y")</f>
        <v>N</v>
      </c>
      <c r="AH156" s="3" t="str">
        <f>IF(Table1[[#This Row],[Passing Attempts]] &lt;15, "Y", "N")</f>
        <v>N</v>
      </c>
      <c r="AI156" s="3" t="str">
        <f>IF(Table1[[#This Row],[Rushing Attempts]] &lt; 15, "Y", "N")</f>
        <v>N</v>
      </c>
      <c r="AJ156" s="3" t="str">
        <f>IF(Table1[[#This Row],[Opp Passing Attempts]]&lt;15, "Y", "N")</f>
        <v>N</v>
      </c>
      <c r="AK156" s="3" t="str">
        <f>IF(Table1[[#This Row],[Opp Rushing Attempts]]&lt;15, "Y", "N")</f>
        <v>N</v>
      </c>
      <c r="AL15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105.26</v>
      </c>
      <c r="AM15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130.22999999999999</v>
      </c>
      <c r="AN15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111.38</v>
      </c>
      <c r="AO15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76.33</v>
      </c>
      <c r="AP156" s="3">
        <f>ABS(Table1[[#This Row],[Team Score]]-Table1[[#This Row],[Opp Team Score]])</f>
        <v>14</v>
      </c>
      <c r="AQ156" s="3">
        <f>SUM(Table1[[#This Row],[Team Score]], Table1[[#This Row],[Opp Team Score]])</f>
        <v>48</v>
      </c>
      <c r="AR15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27.680000000000007</v>
      </c>
      <c r="AS156" s="3">
        <f>IF(Table1[[#This Row],[Efficiency Difference]] = " ", " ", ROUND((Table1[[#This Row],[Winning Margin]]*100)/Table1[[#This Row],[Efficiency Difference]], 2))</f>
        <v>50.58</v>
      </c>
    </row>
    <row r="157" spans="1:45">
      <c r="A157" t="s">
        <v>103</v>
      </c>
      <c r="B157">
        <v>0</v>
      </c>
      <c r="C157">
        <v>17</v>
      </c>
      <c r="D157">
        <v>226</v>
      </c>
      <c r="E157">
        <v>35</v>
      </c>
      <c r="F157">
        <v>0</v>
      </c>
      <c r="G157">
        <v>21</v>
      </c>
      <c r="H157">
        <v>3</v>
      </c>
      <c r="I157">
        <v>139</v>
      </c>
      <c r="J157">
        <v>26</v>
      </c>
      <c r="K157">
        <v>2</v>
      </c>
      <c r="L157">
        <v>0</v>
      </c>
      <c r="M157" t="s">
        <v>83</v>
      </c>
      <c r="N157">
        <v>0</v>
      </c>
      <c r="O157">
        <v>31</v>
      </c>
      <c r="P157">
        <v>159</v>
      </c>
      <c r="Q157">
        <v>22</v>
      </c>
      <c r="R157">
        <v>1</v>
      </c>
      <c r="S157">
        <v>14</v>
      </c>
      <c r="T157">
        <v>0</v>
      </c>
      <c r="U157">
        <v>166</v>
      </c>
      <c r="V157">
        <v>35</v>
      </c>
      <c r="W157">
        <v>3</v>
      </c>
      <c r="X157">
        <v>0</v>
      </c>
      <c r="Y157" t="s">
        <v>15</v>
      </c>
      <c r="Z157">
        <v>0</v>
      </c>
      <c r="AA157">
        <f>IF(AND(Table1[[#This Row],[Throw Out Pass Eff]]="N", Table1[[#This Row],[Against FCS Team]]="N"), ROUND(((5.45 * D157) + (150 * F157) + (100 * G157) - (300 * H157)) / E157, 2), " ")</f>
        <v>69.48</v>
      </c>
      <c r="AB157">
        <f>IF(AND(Table1[[#This Row],[Throw Out Pass Def Eff]]="N", Table1[[#This Row],[Against FCS Team]]="N"),200 - ROUND(((5.45 * P157) + (150 * R157) + (100 * S157) - (300 * T157)) / Q157, 2), " ")</f>
        <v>90.16</v>
      </c>
      <c r="AC157">
        <f>IF(AND(Table1[[#This Row],[Throw Out Rush Eff]]="N", Table1[[#This Row],[Against FCS Team]]="N"), ROUND(((23.2 * I157) + (150 * K157) - (300 * L157)) / J157, 2), " ")</f>
        <v>135.57</v>
      </c>
      <c r="AD157" s="3">
        <f>IF(AND(Table1[[#This Row],[Throw Out Rush Def Eff]]="N", Table1[[#This Row],[Against FCS Team]]="N"), 200 - ROUND(((23.2 * U157) + (150 * W157) - (300 * X157)) / V157, 2), " ")</f>
        <v>77.11</v>
      </c>
      <c r="AE157" s="3">
        <f>ROUND(Table1[[#This Row],[Opp Passing Attempts]]/(Table1[[#This Row],[Opp Passing Attempts]]+Table1[[#This Row],[Opp Rushing Attempts]]), 2)</f>
        <v>0.39</v>
      </c>
      <c r="AF157" s="3">
        <f>1-Table1[[#This Row],[Passing Weight]]</f>
        <v>0.61</v>
      </c>
      <c r="AG157" s="3" t="str">
        <f>IF(COUNTIF(A:A,Table1[[#This Row],[Opp Team Name]]) &gt; 0, "N", "Y")</f>
        <v>N</v>
      </c>
      <c r="AH157" s="3" t="str">
        <f>IF(Table1[[#This Row],[Passing Attempts]] &lt;15, "Y", "N")</f>
        <v>N</v>
      </c>
      <c r="AI157" s="3" t="str">
        <f>IF(Table1[[#This Row],[Rushing Attempts]] &lt; 15, "Y", "N")</f>
        <v>N</v>
      </c>
      <c r="AJ157" s="3" t="str">
        <f>IF(Table1[[#This Row],[Opp Passing Attempts]]&lt;15, "Y", "N")</f>
        <v>N</v>
      </c>
      <c r="AK157" s="3" t="str">
        <f>IF(Table1[[#This Row],[Opp Rushing Attempts]]&lt;15, "Y", "N")</f>
        <v>N</v>
      </c>
      <c r="AL15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69.8</v>
      </c>
      <c r="AM15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81.86</v>
      </c>
      <c r="AN15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148.93</v>
      </c>
      <c r="AO15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69.34</v>
      </c>
      <c r="AP157" s="3">
        <f>ABS(Table1[[#This Row],[Team Score]]-Table1[[#This Row],[Opp Team Score]])</f>
        <v>14</v>
      </c>
      <c r="AQ157" s="3">
        <f>SUM(Table1[[#This Row],[Team Score]], Table1[[#This Row],[Opp Team Score]])</f>
        <v>48</v>
      </c>
      <c r="AR15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27.680000000000007</v>
      </c>
      <c r="AS157" s="3">
        <f>IF(Table1[[#This Row],[Efficiency Difference]] = " ", " ", ROUND((Table1[[#This Row],[Winning Margin]]*100)/Table1[[#This Row],[Efficiency Difference]], 2))</f>
        <v>50.58</v>
      </c>
    </row>
    <row r="158" spans="1:45">
      <c r="A158" t="s">
        <v>97</v>
      </c>
      <c r="B158">
        <v>0</v>
      </c>
      <c r="C158">
        <v>19</v>
      </c>
      <c r="D158">
        <v>244</v>
      </c>
      <c r="E158">
        <v>50</v>
      </c>
      <c r="F158">
        <v>2</v>
      </c>
      <c r="G158">
        <v>28</v>
      </c>
      <c r="H158">
        <v>0</v>
      </c>
      <c r="I158">
        <v>66</v>
      </c>
      <c r="J158">
        <v>18</v>
      </c>
      <c r="K158">
        <v>0</v>
      </c>
      <c r="L158">
        <v>0</v>
      </c>
      <c r="M158" t="s">
        <v>104</v>
      </c>
      <c r="N158">
        <v>0</v>
      </c>
      <c r="O158">
        <v>25</v>
      </c>
      <c r="P158">
        <v>111</v>
      </c>
      <c r="Q158">
        <v>32</v>
      </c>
      <c r="R158">
        <v>1</v>
      </c>
      <c r="S158">
        <v>17</v>
      </c>
      <c r="T158">
        <v>1</v>
      </c>
      <c r="U158">
        <v>203</v>
      </c>
      <c r="V158">
        <v>29</v>
      </c>
      <c r="W158">
        <v>1</v>
      </c>
      <c r="X158">
        <v>1</v>
      </c>
      <c r="Y158" t="s">
        <v>15</v>
      </c>
      <c r="Z158">
        <v>0</v>
      </c>
      <c r="AA158">
        <f>IF(AND(Table1[[#This Row],[Throw Out Pass Eff]]="N", Table1[[#This Row],[Against FCS Team]]="N"), ROUND(((5.45 * D158) + (150 * F158) + (100 * G158) - (300 * H158)) / E158, 2), " ")</f>
        <v>88.6</v>
      </c>
      <c r="AB158">
        <f>IF(AND(Table1[[#This Row],[Throw Out Pass Def Eff]]="N", Table1[[#This Row],[Against FCS Team]]="N"),200 - ROUND(((5.45 * P158) + (150 * R158) + (100 * S158) - (300 * T158)) / Q158, 2), " ")</f>
        <v>132.66</v>
      </c>
      <c r="AC158">
        <f>IF(AND(Table1[[#This Row],[Throw Out Rush Eff]]="N", Table1[[#This Row],[Against FCS Team]]="N"), ROUND(((23.2 * I158) + (150 * K158) - (300 * L158)) / J158, 2), " ")</f>
        <v>85.07</v>
      </c>
      <c r="AD158" s="3">
        <f>IF(AND(Table1[[#This Row],[Throw Out Rush Def Eff]]="N", Table1[[#This Row],[Against FCS Team]]="N"), 200 - ROUND(((23.2 * U158) + (150 * W158) - (300 * X158)) / V158, 2), " ")</f>
        <v>42.77000000000001</v>
      </c>
      <c r="AE158" s="3">
        <f>ROUND(Table1[[#This Row],[Opp Passing Attempts]]/(Table1[[#This Row],[Opp Passing Attempts]]+Table1[[#This Row],[Opp Rushing Attempts]]), 2)</f>
        <v>0.52</v>
      </c>
      <c r="AF158" s="3">
        <f>1-Table1[[#This Row],[Passing Weight]]</f>
        <v>0.48</v>
      </c>
      <c r="AG158" s="3" t="str">
        <f>IF(COUNTIF(A:A,Table1[[#This Row],[Opp Team Name]]) &gt; 0, "N", "Y")</f>
        <v>N</v>
      </c>
      <c r="AH158" s="3" t="str">
        <f>IF(Table1[[#This Row],[Passing Attempts]] &lt;15, "Y", "N")</f>
        <v>N</v>
      </c>
      <c r="AI158" s="3" t="str">
        <f>IF(Table1[[#This Row],[Rushing Attempts]] &lt; 15, "Y", "N")</f>
        <v>N</v>
      </c>
      <c r="AJ158" s="3" t="str">
        <f>IF(Table1[[#This Row],[Opp Passing Attempts]]&lt;15, "Y", "N")</f>
        <v>N</v>
      </c>
      <c r="AK158" s="3" t="str">
        <f>IF(Table1[[#This Row],[Opp Rushing Attempts]]&lt;15, "Y", "N")</f>
        <v>N</v>
      </c>
      <c r="AL15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101.08</v>
      </c>
      <c r="AM15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138.16999999999999</v>
      </c>
      <c r="AN15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110.82</v>
      </c>
      <c r="AO15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44.17</v>
      </c>
      <c r="AP158" s="3">
        <f>ABS(Table1[[#This Row],[Team Score]]-Table1[[#This Row],[Opp Team Score]])</f>
        <v>6</v>
      </c>
      <c r="AQ158" s="3">
        <f>SUM(Table1[[#This Row],[Team Score]], Table1[[#This Row],[Opp Team Score]])</f>
        <v>44</v>
      </c>
      <c r="AR15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50.900000000000006</v>
      </c>
      <c r="AS158" s="3">
        <f>IF(Table1[[#This Row],[Efficiency Difference]] = " ", " ", ROUND((Table1[[#This Row],[Winning Margin]]*100)/Table1[[#This Row],[Efficiency Difference]], 2))</f>
        <v>11.79</v>
      </c>
    </row>
    <row r="159" spans="1:45">
      <c r="A159" t="s">
        <v>104</v>
      </c>
      <c r="B159">
        <v>0</v>
      </c>
      <c r="C159">
        <v>25</v>
      </c>
      <c r="D159">
        <v>111</v>
      </c>
      <c r="E159">
        <v>32</v>
      </c>
      <c r="F159">
        <v>1</v>
      </c>
      <c r="G159">
        <v>17</v>
      </c>
      <c r="H159">
        <v>1</v>
      </c>
      <c r="I159">
        <v>203</v>
      </c>
      <c r="J159">
        <v>29</v>
      </c>
      <c r="K159">
        <v>1</v>
      </c>
      <c r="L159">
        <v>1</v>
      </c>
      <c r="M159" t="s">
        <v>97</v>
      </c>
      <c r="N159">
        <v>0</v>
      </c>
      <c r="O159">
        <v>19</v>
      </c>
      <c r="P159">
        <v>244</v>
      </c>
      <c r="Q159">
        <v>50</v>
      </c>
      <c r="R159">
        <v>2</v>
      </c>
      <c r="S159">
        <v>28</v>
      </c>
      <c r="T159">
        <v>0</v>
      </c>
      <c r="U159">
        <v>66</v>
      </c>
      <c r="V159">
        <v>18</v>
      </c>
      <c r="W159">
        <v>0</v>
      </c>
      <c r="X159">
        <v>0</v>
      </c>
      <c r="Y159" t="s">
        <v>14</v>
      </c>
      <c r="Z159">
        <v>0</v>
      </c>
      <c r="AA159">
        <f>IF(AND(Table1[[#This Row],[Throw Out Pass Eff]]="N", Table1[[#This Row],[Against FCS Team]]="N"), ROUND(((5.45 * D159) + (150 * F159) + (100 * G159) - (300 * H159)) / E159, 2), " ")</f>
        <v>67.34</v>
      </c>
      <c r="AB159">
        <f>IF(AND(Table1[[#This Row],[Throw Out Pass Def Eff]]="N", Table1[[#This Row],[Against FCS Team]]="N"),200 - ROUND(((5.45 * P159) + (150 * R159) + (100 * S159) - (300 * T159)) / Q159, 2), " ")</f>
        <v>111.4</v>
      </c>
      <c r="AC159">
        <f>IF(AND(Table1[[#This Row],[Throw Out Rush Eff]]="N", Table1[[#This Row],[Against FCS Team]]="N"), ROUND(((23.2 * I159) + (150 * K159) - (300 * L159)) / J159, 2), " ")</f>
        <v>157.22999999999999</v>
      </c>
      <c r="AD159" s="3">
        <f>IF(AND(Table1[[#This Row],[Throw Out Rush Def Eff]]="N", Table1[[#This Row],[Against FCS Team]]="N"), 200 - ROUND(((23.2 * U159) + (150 * W159) - (300 * X159)) / V159, 2), " ")</f>
        <v>114.93</v>
      </c>
      <c r="AE159" s="3">
        <f>ROUND(Table1[[#This Row],[Opp Passing Attempts]]/(Table1[[#This Row],[Opp Passing Attempts]]+Table1[[#This Row],[Opp Rushing Attempts]]), 2)</f>
        <v>0.74</v>
      </c>
      <c r="AF159" s="3">
        <f>1-Table1[[#This Row],[Passing Weight]]</f>
        <v>0.26</v>
      </c>
      <c r="AG159" s="3" t="str">
        <f>IF(COUNTIF(A:A,Table1[[#This Row],[Opp Team Name]]) &gt; 0, "N", "Y")</f>
        <v>N</v>
      </c>
      <c r="AH159" s="3" t="str">
        <f>IF(Table1[[#This Row],[Passing Attempts]] &lt;15, "Y", "N")</f>
        <v>N</v>
      </c>
      <c r="AI159" s="3" t="str">
        <f>IF(Table1[[#This Row],[Rushing Attempts]] &lt; 15, "Y", "N")</f>
        <v>N</v>
      </c>
      <c r="AJ159" s="3" t="str">
        <f>IF(Table1[[#This Row],[Opp Passing Attempts]]&lt;15, "Y", "N")</f>
        <v>N</v>
      </c>
      <c r="AK159" s="3" t="str">
        <f>IF(Table1[[#This Row],[Opp Rushing Attempts]]&lt;15, "Y", "N")</f>
        <v>N</v>
      </c>
      <c r="AL15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77.72</v>
      </c>
      <c r="AM15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114.51</v>
      </c>
      <c r="AN15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143.57</v>
      </c>
      <c r="AO15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111.8</v>
      </c>
      <c r="AP159" s="3">
        <f>ABS(Table1[[#This Row],[Team Score]]-Table1[[#This Row],[Opp Team Score]])</f>
        <v>6</v>
      </c>
      <c r="AQ159" s="3">
        <f>SUM(Table1[[#This Row],[Team Score]], Table1[[#This Row],[Opp Team Score]])</f>
        <v>44</v>
      </c>
      <c r="AR15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50.900000000000006</v>
      </c>
      <c r="AS159" s="3">
        <f>IF(Table1[[#This Row],[Efficiency Difference]] = " ", " ", ROUND((Table1[[#This Row],[Winning Margin]]*100)/Table1[[#This Row],[Efficiency Difference]], 2))</f>
        <v>11.79</v>
      </c>
    </row>
    <row r="160" spans="1:45">
      <c r="A160" t="s">
        <v>91</v>
      </c>
      <c r="B160">
        <v>0</v>
      </c>
      <c r="C160">
        <v>27</v>
      </c>
      <c r="D160">
        <v>264</v>
      </c>
      <c r="E160">
        <v>32</v>
      </c>
      <c r="F160">
        <v>1</v>
      </c>
      <c r="G160">
        <v>25</v>
      </c>
      <c r="H160">
        <v>0</v>
      </c>
      <c r="I160">
        <v>94</v>
      </c>
      <c r="J160">
        <v>31</v>
      </c>
      <c r="K160">
        <v>1</v>
      </c>
      <c r="L160">
        <v>0</v>
      </c>
      <c r="M160" t="s">
        <v>85</v>
      </c>
      <c r="N160">
        <v>0</v>
      </c>
      <c r="O160">
        <v>17</v>
      </c>
      <c r="P160">
        <v>179</v>
      </c>
      <c r="Q160">
        <v>34</v>
      </c>
      <c r="R160">
        <v>1</v>
      </c>
      <c r="S160">
        <v>23</v>
      </c>
      <c r="T160">
        <v>1</v>
      </c>
      <c r="U160">
        <v>94</v>
      </c>
      <c r="V160">
        <v>23</v>
      </c>
      <c r="W160">
        <v>1</v>
      </c>
      <c r="X160">
        <v>2</v>
      </c>
      <c r="Y160" t="s">
        <v>14</v>
      </c>
      <c r="Z160">
        <v>0</v>
      </c>
      <c r="AA160">
        <f>IF(AND(Table1[[#This Row],[Throw Out Pass Eff]]="N", Table1[[#This Row],[Against FCS Team]]="N"), ROUND(((5.45 * D160) + (150 * F160) + (100 * G160) - (300 * H160)) / E160, 2), " ")</f>
        <v>127.78</v>
      </c>
      <c r="AB160">
        <f>IF(AND(Table1[[#This Row],[Throw Out Pass Def Eff]]="N", Table1[[#This Row],[Against FCS Team]]="N"),200 - ROUND(((5.45 * P160) + (150 * R160) + (100 * S160) - (300 * T160)) / Q160, 2), " ")</f>
        <v>108.07</v>
      </c>
      <c r="AC160">
        <f>IF(AND(Table1[[#This Row],[Throw Out Rush Eff]]="N", Table1[[#This Row],[Against FCS Team]]="N"), ROUND(((23.2 * I160) + (150 * K160) - (300 * L160)) / J160, 2), " ")</f>
        <v>75.19</v>
      </c>
      <c r="AD160" s="3">
        <f>IF(AND(Table1[[#This Row],[Throw Out Rush Def Eff]]="N", Table1[[#This Row],[Against FCS Team]]="N"), 200 - ROUND(((23.2 * U160) + (150 * W160) - (300 * X160)) / V160, 2), " ")</f>
        <v>124.75</v>
      </c>
      <c r="AE160" s="3">
        <f>ROUND(Table1[[#This Row],[Opp Passing Attempts]]/(Table1[[#This Row],[Opp Passing Attempts]]+Table1[[#This Row],[Opp Rushing Attempts]]), 2)</f>
        <v>0.6</v>
      </c>
      <c r="AF160" s="3">
        <f>1-Table1[[#This Row],[Passing Weight]]</f>
        <v>0.4</v>
      </c>
      <c r="AG160" s="3" t="str">
        <f>IF(COUNTIF(A:A,Table1[[#This Row],[Opp Team Name]]) &gt; 0, "N", "Y")</f>
        <v>N</v>
      </c>
      <c r="AH160" s="3" t="str">
        <f>IF(Table1[[#This Row],[Passing Attempts]] &lt;15, "Y", "N")</f>
        <v>N</v>
      </c>
      <c r="AI160" s="3" t="str">
        <f>IF(Table1[[#This Row],[Rushing Attempts]] &lt; 15, "Y", "N")</f>
        <v>N</v>
      </c>
      <c r="AJ160" s="3" t="str">
        <f>IF(Table1[[#This Row],[Opp Passing Attempts]]&lt;15, "Y", "N")</f>
        <v>N</v>
      </c>
      <c r="AK160" s="3" t="str">
        <f>IF(Table1[[#This Row],[Opp Rushing Attempts]]&lt;15, "Y", "N")</f>
        <v>N</v>
      </c>
      <c r="AL16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99.55</v>
      </c>
      <c r="AM16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92.92</v>
      </c>
      <c r="AN16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77.489999999999995</v>
      </c>
      <c r="AO16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104.95</v>
      </c>
      <c r="AP160" s="3">
        <f>ABS(Table1[[#This Row],[Team Score]]-Table1[[#This Row],[Opp Team Score]])</f>
        <v>10</v>
      </c>
      <c r="AQ160" s="3">
        <f>SUM(Table1[[#This Row],[Team Score]], Table1[[#This Row],[Opp Team Score]])</f>
        <v>44</v>
      </c>
      <c r="AR16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35.789999999999992</v>
      </c>
      <c r="AS160" s="3">
        <f>IF(Table1[[#This Row],[Efficiency Difference]] = " ", " ", ROUND((Table1[[#This Row],[Winning Margin]]*100)/Table1[[#This Row],[Efficiency Difference]], 2))</f>
        <v>27.94</v>
      </c>
    </row>
    <row r="161" spans="1:45">
      <c r="A161" t="s">
        <v>85</v>
      </c>
      <c r="B161">
        <v>0</v>
      </c>
      <c r="C161">
        <v>17</v>
      </c>
      <c r="D161">
        <v>179</v>
      </c>
      <c r="E161">
        <v>34</v>
      </c>
      <c r="F161">
        <v>1</v>
      </c>
      <c r="G161">
        <v>23</v>
      </c>
      <c r="H161">
        <v>1</v>
      </c>
      <c r="I161">
        <v>94</v>
      </c>
      <c r="J161">
        <v>23</v>
      </c>
      <c r="K161">
        <v>1</v>
      </c>
      <c r="L161">
        <v>2</v>
      </c>
      <c r="M161" t="s">
        <v>91</v>
      </c>
      <c r="N161">
        <v>0</v>
      </c>
      <c r="O161">
        <v>27</v>
      </c>
      <c r="P161">
        <v>264</v>
      </c>
      <c r="Q161">
        <v>32</v>
      </c>
      <c r="R161">
        <v>1</v>
      </c>
      <c r="S161">
        <v>25</v>
      </c>
      <c r="T161">
        <v>0</v>
      </c>
      <c r="U161">
        <v>94</v>
      </c>
      <c r="V161">
        <v>31</v>
      </c>
      <c r="W161">
        <v>1</v>
      </c>
      <c r="X161">
        <v>0</v>
      </c>
      <c r="Y161" t="s">
        <v>15</v>
      </c>
      <c r="Z161">
        <v>0</v>
      </c>
      <c r="AA161">
        <f>IF(AND(Table1[[#This Row],[Throw Out Pass Eff]]="N", Table1[[#This Row],[Against FCS Team]]="N"), ROUND(((5.45 * D161) + (150 * F161) + (100 * G161) - (300 * H161)) / E161, 2), " ")</f>
        <v>91.93</v>
      </c>
      <c r="AB161">
        <f>IF(AND(Table1[[#This Row],[Throw Out Pass Def Eff]]="N", Table1[[#This Row],[Against FCS Team]]="N"),200 - ROUND(((5.45 * P161) + (150 * R161) + (100 * S161) - (300 * T161)) / Q161, 2), " ")</f>
        <v>72.22</v>
      </c>
      <c r="AC161">
        <f>IF(AND(Table1[[#This Row],[Throw Out Rush Eff]]="N", Table1[[#This Row],[Against FCS Team]]="N"), ROUND(((23.2 * I161) + (150 * K161) - (300 * L161)) / J161, 2), " ")</f>
        <v>75.25</v>
      </c>
      <c r="AD161" s="3">
        <f>IF(AND(Table1[[#This Row],[Throw Out Rush Def Eff]]="N", Table1[[#This Row],[Against FCS Team]]="N"), 200 - ROUND(((23.2 * U161) + (150 * W161) - (300 * X161)) / V161, 2), " ")</f>
        <v>124.81</v>
      </c>
      <c r="AE161" s="3">
        <f>ROUND(Table1[[#This Row],[Opp Passing Attempts]]/(Table1[[#This Row],[Opp Passing Attempts]]+Table1[[#This Row],[Opp Rushing Attempts]]), 2)</f>
        <v>0.51</v>
      </c>
      <c r="AF161" s="3">
        <f>1-Table1[[#This Row],[Passing Weight]]</f>
        <v>0.49</v>
      </c>
      <c r="AG161" s="3" t="str">
        <f>IF(COUNTIF(A:A,Table1[[#This Row],[Opp Team Name]]) &gt; 0, "N", "Y")</f>
        <v>N</v>
      </c>
      <c r="AH161" s="3" t="str">
        <f>IF(Table1[[#This Row],[Passing Attempts]] &lt;15, "Y", "N")</f>
        <v>N</v>
      </c>
      <c r="AI161" s="3" t="str">
        <f>IF(Table1[[#This Row],[Rushing Attempts]] &lt; 15, "Y", "N")</f>
        <v>N</v>
      </c>
      <c r="AJ161" s="3" t="str">
        <f>IF(Table1[[#This Row],[Opp Passing Attempts]]&lt;15, "Y", "N")</f>
        <v>N</v>
      </c>
      <c r="AK161" s="3" t="str">
        <f>IF(Table1[[#This Row],[Opp Rushing Attempts]]&lt;15, "Y", "N")</f>
        <v>N</v>
      </c>
      <c r="AL16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97.22</v>
      </c>
      <c r="AM16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68.75</v>
      </c>
      <c r="AN16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97.73</v>
      </c>
      <c r="AO16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109.99</v>
      </c>
      <c r="AP161" s="3">
        <f>ABS(Table1[[#This Row],[Team Score]]-Table1[[#This Row],[Opp Team Score]])</f>
        <v>10</v>
      </c>
      <c r="AQ161" s="3">
        <f>SUM(Table1[[#This Row],[Team Score]], Table1[[#This Row],[Opp Team Score]])</f>
        <v>44</v>
      </c>
      <c r="AR16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35.789999999999992</v>
      </c>
      <c r="AS161" s="3">
        <f>IF(Table1[[#This Row],[Efficiency Difference]] = " ", " ", ROUND((Table1[[#This Row],[Winning Margin]]*100)/Table1[[#This Row],[Efficiency Difference]], 2))</f>
        <v>27.94</v>
      </c>
    </row>
    <row r="162" spans="1:45">
      <c r="A162" t="s">
        <v>100</v>
      </c>
      <c r="B162">
        <v>0</v>
      </c>
      <c r="C162">
        <v>13</v>
      </c>
      <c r="D162">
        <v>245</v>
      </c>
      <c r="E162">
        <v>37</v>
      </c>
      <c r="F162">
        <v>0</v>
      </c>
      <c r="G162">
        <v>17</v>
      </c>
      <c r="H162">
        <v>4</v>
      </c>
      <c r="I162">
        <v>42</v>
      </c>
      <c r="J162">
        <v>14</v>
      </c>
      <c r="K162">
        <v>1</v>
      </c>
      <c r="L162">
        <v>0</v>
      </c>
      <c r="M162" t="s">
        <v>93</v>
      </c>
      <c r="N162">
        <v>0</v>
      </c>
      <c r="O162">
        <v>20</v>
      </c>
      <c r="P162">
        <v>230</v>
      </c>
      <c r="Q162">
        <v>32</v>
      </c>
      <c r="R162">
        <v>1</v>
      </c>
      <c r="S162">
        <v>18</v>
      </c>
      <c r="T162">
        <v>2</v>
      </c>
      <c r="U162">
        <v>192</v>
      </c>
      <c r="V162">
        <v>38</v>
      </c>
      <c r="W162">
        <v>1</v>
      </c>
      <c r="X162">
        <v>0</v>
      </c>
      <c r="Y162" t="s">
        <v>15</v>
      </c>
      <c r="Z162">
        <v>0</v>
      </c>
      <c r="AA162">
        <f>IF(AND(Table1[[#This Row],[Throw Out Pass Eff]]="N", Table1[[#This Row],[Against FCS Team]]="N"), ROUND(((5.45 * D162) + (150 * F162) + (100 * G162) - (300 * H162)) / E162, 2), " ")</f>
        <v>49.6</v>
      </c>
      <c r="AB162">
        <f>IF(AND(Table1[[#This Row],[Throw Out Pass Def Eff]]="N", Table1[[#This Row],[Against FCS Team]]="N"),200 - ROUND(((5.45 * P162) + (150 * R162) + (100 * S162) - (300 * T162)) / Q162, 2), " ")</f>
        <v>118.64</v>
      </c>
      <c r="AC162" t="str">
        <f>IF(AND(Table1[[#This Row],[Throw Out Rush Eff]]="N", Table1[[#This Row],[Against FCS Team]]="N"), ROUND(((23.2 * I162) + (150 * K162) - (300 * L162)) / J162, 2), " ")</f>
        <v xml:space="preserve"> </v>
      </c>
      <c r="AD162" s="3">
        <f>IF(AND(Table1[[#This Row],[Throw Out Rush Def Eff]]="N", Table1[[#This Row],[Against FCS Team]]="N"), 200 - ROUND(((23.2 * U162) + (150 * W162) - (300 * X162)) / V162, 2), " ")</f>
        <v>78.83</v>
      </c>
      <c r="AE162" s="3">
        <f>ROUND(Table1[[#This Row],[Opp Passing Attempts]]/(Table1[[#This Row],[Opp Passing Attempts]]+Table1[[#This Row],[Opp Rushing Attempts]]), 2)</f>
        <v>0.46</v>
      </c>
      <c r="AF162" s="3">
        <f>1-Table1[[#This Row],[Passing Weight]]</f>
        <v>0.54</v>
      </c>
      <c r="AG162" s="3" t="str">
        <f>IF(COUNTIF(A:A,Table1[[#This Row],[Opp Team Name]]) &gt; 0, "N", "Y")</f>
        <v>N</v>
      </c>
      <c r="AH162" s="3" t="str">
        <f>IF(Table1[[#This Row],[Passing Attempts]] &lt;15, "Y", "N")</f>
        <v>N</v>
      </c>
      <c r="AI162" s="3" t="str">
        <f>IF(Table1[[#This Row],[Rushing Attempts]] &lt; 15, "Y", "N")</f>
        <v>Y</v>
      </c>
      <c r="AJ162" s="3" t="str">
        <f>IF(Table1[[#This Row],[Opp Passing Attempts]]&lt;15, "Y", "N")</f>
        <v>N</v>
      </c>
      <c r="AK162" s="3" t="str">
        <f>IF(Table1[[#This Row],[Opp Rushing Attempts]]&lt;15, "Y", "N")</f>
        <v>N</v>
      </c>
      <c r="AL16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49.24</v>
      </c>
      <c r="AM16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108.93</v>
      </c>
      <c r="AN162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16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102.82</v>
      </c>
      <c r="AP162" s="3">
        <f>ABS(Table1[[#This Row],[Team Score]]-Table1[[#This Row],[Opp Team Score]])</f>
        <v>7</v>
      </c>
      <c r="AQ162" s="3">
        <f>SUM(Table1[[#This Row],[Team Score]], Table1[[#This Row],[Opp Team Score]])</f>
        <v>33</v>
      </c>
      <c r="AR16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62" s="3" t="str">
        <f>IF(Table1[[#This Row],[Efficiency Difference]] = " ", " ", ROUND((Table1[[#This Row],[Winning Margin]]*100)/Table1[[#This Row],[Efficiency Difference]], 2))</f>
        <v xml:space="preserve"> </v>
      </c>
    </row>
    <row r="163" spans="1:45">
      <c r="A163" t="s">
        <v>93</v>
      </c>
      <c r="B163">
        <v>0</v>
      </c>
      <c r="C163">
        <v>20</v>
      </c>
      <c r="D163">
        <v>230</v>
      </c>
      <c r="E163">
        <v>32</v>
      </c>
      <c r="F163">
        <v>1</v>
      </c>
      <c r="G163">
        <v>18</v>
      </c>
      <c r="H163">
        <v>2</v>
      </c>
      <c r="I163">
        <v>192</v>
      </c>
      <c r="J163">
        <v>38</v>
      </c>
      <c r="K163">
        <v>1</v>
      </c>
      <c r="L163">
        <v>0</v>
      </c>
      <c r="M163" t="s">
        <v>100</v>
      </c>
      <c r="N163">
        <v>0</v>
      </c>
      <c r="O163">
        <v>13</v>
      </c>
      <c r="P163">
        <v>245</v>
      </c>
      <c r="Q163">
        <v>37</v>
      </c>
      <c r="R163">
        <v>0</v>
      </c>
      <c r="S163">
        <v>17</v>
      </c>
      <c r="T163">
        <v>4</v>
      </c>
      <c r="U163">
        <v>42</v>
      </c>
      <c r="V163">
        <v>14</v>
      </c>
      <c r="W163">
        <v>1</v>
      </c>
      <c r="X163">
        <v>0</v>
      </c>
      <c r="Y163" t="s">
        <v>14</v>
      </c>
      <c r="Z163">
        <v>0</v>
      </c>
      <c r="AA163" s="3">
        <f>IF(AND(Table1[[#This Row],[Throw Out Pass Eff]]="N", Table1[[#This Row],[Against FCS Team]]="N"), ROUND(((5.45 * D163) + (150 * F163) + (100 * G163) - (300 * H163)) / E163, 2), " ")</f>
        <v>81.36</v>
      </c>
      <c r="AB163" s="3">
        <f>IF(AND(Table1[[#This Row],[Throw Out Pass Def Eff]]="N", Table1[[#This Row],[Against FCS Team]]="N"),200 - ROUND(((5.45 * P163) + (150 * R163) + (100 * S163) - (300 * T163)) / Q163, 2), " ")</f>
        <v>150.4</v>
      </c>
      <c r="AC163" s="3">
        <f>IF(AND(Table1[[#This Row],[Throw Out Rush Eff]]="N", Table1[[#This Row],[Against FCS Team]]="N"), ROUND(((23.2 * I163) + (150 * K163) - (300 * L163)) / J163, 2), " ")</f>
        <v>121.17</v>
      </c>
      <c r="AD163" s="3" t="str">
        <f>IF(AND(Table1[[#This Row],[Throw Out Rush Def Eff]]="N", Table1[[#This Row],[Against FCS Team]]="N"), 200 - ROUND(((23.2 * U163) + (150 * W163) - (300 * X163)) / V163, 2), " ")</f>
        <v xml:space="preserve"> </v>
      </c>
      <c r="AE163" s="3">
        <f>ROUND(Table1[[#This Row],[Opp Passing Attempts]]/(Table1[[#This Row],[Opp Passing Attempts]]+Table1[[#This Row],[Opp Rushing Attempts]]), 2)</f>
        <v>0.73</v>
      </c>
      <c r="AF163" s="3">
        <f>1-Table1[[#This Row],[Passing Weight]]</f>
        <v>0.27</v>
      </c>
      <c r="AG163" s="3" t="str">
        <f>IF(COUNTIF(A:A,Table1[[#This Row],[Opp Team Name]]) &gt; 0, "N", "Y")</f>
        <v>N</v>
      </c>
      <c r="AH163" s="3" t="str">
        <f>IF(Table1[[#This Row],[Passing Attempts]] &lt;15, "Y", "N")</f>
        <v>N</v>
      </c>
      <c r="AI163" s="3" t="str">
        <f>IF(Table1[[#This Row],[Rushing Attempts]] &lt; 15, "Y", "N")</f>
        <v>N</v>
      </c>
      <c r="AJ163" s="3" t="str">
        <f>IF(Table1[[#This Row],[Opp Passing Attempts]]&lt;15, "Y", "N")</f>
        <v>N</v>
      </c>
      <c r="AK163" s="3" t="str">
        <f>IF(Table1[[#This Row],[Opp Rushing Attempts]]&lt;15, "Y", "N")</f>
        <v>Y</v>
      </c>
      <c r="AL16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86.21</v>
      </c>
      <c r="AM16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124.14</v>
      </c>
      <c r="AN16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117.41</v>
      </c>
      <c r="AO163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163" s="3">
        <f>ABS(Table1[[#This Row],[Team Score]]-Table1[[#This Row],[Opp Team Score]])</f>
        <v>7</v>
      </c>
      <c r="AQ163" s="3">
        <f>SUM(Table1[[#This Row],[Team Score]], Table1[[#This Row],[Opp Team Score]])</f>
        <v>33</v>
      </c>
      <c r="AR163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63" s="3" t="str">
        <f>IF(Table1[[#This Row],[Efficiency Difference]] = " ", " ", ROUND((Table1[[#This Row],[Winning Margin]]*100)/Table1[[#This Row],[Efficiency Difference]], 2))</f>
        <v xml:space="preserve"> </v>
      </c>
    </row>
    <row r="164" spans="1:45">
      <c r="A164" t="s">
        <v>80</v>
      </c>
      <c r="B164">
        <v>0</v>
      </c>
      <c r="C164">
        <v>24</v>
      </c>
      <c r="D164">
        <v>309</v>
      </c>
      <c r="E164">
        <v>29</v>
      </c>
      <c r="F164">
        <v>3</v>
      </c>
      <c r="G164">
        <v>18</v>
      </c>
      <c r="H164">
        <v>1</v>
      </c>
      <c r="I164">
        <v>90</v>
      </c>
      <c r="J164">
        <v>31</v>
      </c>
      <c r="K164">
        <v>0</v>
      </c>
      <c r="L164">
        <v>0</v>
      </c>
      <c r="M164" t="s">
        <v>92</v>
      </c>
      <c r="N164">
        <v>0</v>
      </c>
      <c r="O164">
        <v>3</v>
      </c>
      <c r="P164">
        <v>306</v>
      </c>
      <c r="Q164">
        <v>45</v>
      </c>
      <c r="R164">
        <v>0</v>
      </c>
      <c r="S164">
        <v>29</v>
      </c>
      <c r="T164">
        <v>1</v>
      </c>
      <c r="U164">
        <v>118</v>
      </c>
      <c r="V164">
        <v>24</v>
      </c>
      <c r="W164">
        <v>0</v>
      </c>
      <c r="X164">
        <v>0</v>
      </c>
      <c r="Y164" t="s">
        <v>14</v>
      </c>
      <c r="Z164">
        <v>0</v>
      </c>
      <c r="AA164">
        <f>IF(AND(Table1[[#This Row],[Throw Out Pass Eff]]="N", Table1[[#This Row],[Against FCS Team]]="N"), ROUND(((5.45 * D164) + (150 * F164) + (100 * G164) - (300 * H164)) / E164, 2), " ")</f>
        <v>125.31</v>
      </c>
      <c r="AB164">
        <f>IF(AND(Table1[[#This Row],[Throw Out Pass Def Eff]]="N", Table1[[#This Row],[Against FCS Team]]="N"),200 - ROUND(((5.45 * P164) + (150 * R164) + (100 * S164) - (300 * T164)) / Q164, 2), " ")</f>
        <v>105.16</v>
      </c>
      <c r="AC164">
        <f>IF(AND(Table1[[#This Row],[Throw Out Rush Eff]]="N", Table1[[#This Row],[Against FCS Team]]="N"), ROUND(((23.2 * I164) + (150 * K164) - (300 * L164)) / J164, 2), " ")</f>
        <v>67.349999999999994</v>
      </c>
      <c r="AD164" s="3">
        <f>IF(AND(Table1[[#This Row],[Throw Out Rush Def Eff]]="N", Table1[[#This Row],[Against FCS Team]]="N"), 200 - ROUND(((23.2 * U164) + (150 * W164) - (300 * X164)) / V164, 2), " ")</f>
        <v>85.93</v>
      </c>
      <c r="AE164" s="3">
        <f>ROUND(Table1[[#This Row],[Opp Passing Attempts]]/(Table1[[#This Row],[Opp Passing Attempts]]+Table1[[#This Row],[Opp Rushing Attempts]]), 2)</f>
        <v>0.65</v>
      </c>
      <c r="AF164" s="3">
        <f>1-Table1[[#This Row],[Passing Weight]]</f>
        <v>0.35</v>
      </c>
      <c r="AG164" s="3" t="str">
        <f>IF(COUNTIF(A:A,Table1[[#This Row],[Opp Team Name]]) &gt; 0, "N", "Y")</f>
        <v>N</v>
      </c>
      <c r="AH164" s="3" t="str">
        <f>IF(Table1[[#This Row],[Passing Attempts]] &lt;15, "Y", "N")</f>
        <v>N</v>
      </c>
      <c r="AI164" s="3" t="str">
        <f>IF(Table1[[#This Row],[Rushing Attempts]] &lt; 15, "Y", "N")</f>
        <v>N</v>
      </c>
      <c r="AJ164" s="3" t="str">
        <f>IF(Table1[[#This Row],[Opp Passing Attempts]]&lt;15, "Y", "N")</f>
        <v>N</v>
      </c>
      <c r="AK164" s="3" t="str">
        <f>IF(Table1[[#This Row],[Opp Rushing Attempts]]&lt;15, "Y", "N")</f>
        <v>N</v>
      </c>
      <c r="AL16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128.47999999999999</v>
      </c>
      <c r="AM16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84.06</v>
      </c>
      <c r="AN16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47.94</v>
      </c>
      <c r="AO16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69.97</v>
      </c>
      <c r="AP164" s="3">
        <f>ABS(Table1[[#This Row],[Team Score]]-Table1[[#This Row],[Opp Team Score]])</f>
        <v>21</v>
      </c>
      <c r="AQ164" s="3">
        <f>SUM(Table1[[#This Row],[Team Score]], Table1[[#This Row],[Opp Team Score]])</f>
        <v>27</v>
      </c>
      <c r="AR16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16.25</v>
      </c>
      <c r="AS164" s="3">
        <f>IF(Table1[[#This Row],[Efficiency Difference]] = " ", " ", ROUND((Table1[[#This Row],[Winning Margin]]*100)/Table1[[#This Row],[Efficiency Difference]], 2))</f>
        <v>129.22999999999999</v>
      </c>
    </row>
    <row r="165" spans="1:45">
      <c r="A165" t="s">
        <v>92</v>
      </c>
      <c r="B165">
        <v>0</v>
      </c>
      <c r="C165">
        <v>3</v>
      </c>
      <c r="D165">
        <v>306</v>
      </c>
      <c r="E165">
        <v>45</v>
      </c>
      <c r="F165">
        <v>0</v>
      </c>
      <c r="G165">
        <v>29</v>
      </c>
      <c r="H165">
        <v>1</v>
      </c>
      <c r="I165">
        <v>118</v>
      </c>
      <c r="J165">
        <v>24</v>
      </c>
      <c r="K165">
        <v>0</v>
      </c>
      <c r="L165">
        <v>0</v>
      </c>
      <c r="M165" t="s">
        <v>80</v>
      </c>
      <c r="N165">
        <v>0</v>
      </c>
      <c r="O165">
        <v>24</v>
      </c>
      <c r="P165">
        <v>309</v>
      </c>
      <c r="Q165">
        <v>29</v>
      </c>
      <c r="R165">
        <v>3</v>
      </c>
      <c r="S165">
        <v>18</v>
      </c>
      <c r="T165">
        <v>1</v>
      </c>
      <c r="U165">
        <v>90</v>
      </c>
      <c r="V165">
        <v>31</v>
      </c>
      <c r="W165">
        <v>0</v>
      </c>
      <c r="X165">
        <v>0</v>
      </c>
      <c r="Y165" t="s">
        <v>15</v>
      </c>
      <c r="Z165">
        <v>0</v>
      </c>
      <c r="AA165">
        <f>IF(AND(Table1[[#This Row],[Throw Out Pass Eff]]="N", Table1[[#This Row],[Against FCS Team]]="N"), ROUND(((5.45 * D165) + (150 * F165) + (100 * G165) - (300 * H165)) / E165, 2), " ")</f>
        <v>94.84</v>
      </c>
      <c r="AB165">
        <f>IF(AND(Table1[[#This Row],[Throw Out Pass Def Eff]]="N", Table1[[#This Row],[Against FCS Team]]="N"),200 - ROUND(((5.45 * P165) + (150 * R165) + (100 * S165) - (300 * T165)) / Q165, 2), " ")</f>
        <v>74.69</v>
      </c>
      <c r="AC165">
        <f>IF(AND(Table1[[#This Row],[Throw Out Rush Eff]]="N", Table1[[#This Row],[Against FCS Team]]="N"), ROUND(((23.2 * I165) + (150 * K165) - (300 * L165)) / J165, 2), " ")</f>
        <v>114.07</v>
      </c>
      <c r="AD165" s="3">
        <f>IF(AND(Table1[[#This Row],[Throw Out Rush Def Eff]]="N", Table1[[#This Row],[Against FCS Team]]="N"), 200 - ROUND(((23.2 * U165) + (150 * W165) - (300 * X165)) / V165, 2), " ")</f>
        <v>132.65</v>
      </c>
      <c r="AE165" s="3">
        <f>ROUND(Table1[[#This Row],[Opp Passing Attempts]]/(Table1[[#This Row],[Opp Passing Attempts]]+Table1[[#This Row],[Opp Rushing Attempts]]), 2)</f>
        <v>0.48</v>
      </c>
      <c r="AF165" s="3">
        <f>1-Table1[[#This Row],[Passing Weight]]</f>
        <v>0.52</v>
      </c>
      <c r="AG165" s="3" t="str">
        <f>IF(COUNTIF(A:A,Table1[[#This Row],[Opp Team Name]]) &gt; 0, "N", "Y")</f>
        <v>N</v>
      </c>
      <c r="AH165" s="3" t="str">
        <f>IF(Table1[[#This Row],[Passing Attempts]] &lt;15, "Y", "N")</f>
        <v>N</v>
      </c>
      <c r="AI165" s="3" t="str">
        <f>IF(Table1[[#This Row],[Rushing Attempts]] &lt; 15, "Y", "N")</f>
        <v>N</v>
      </c>
      <c r="AJ165" s="3" t="str">
        <f>IF(Table1[[#This Row],[Opp Passing Attempts]]&lt;15, "Y", "N")</f>
        <v>N</v>
      </c>
      <c r="AK165" s="3" t="str">
        <f>IF(Table1[[#This Row],[Opp Rushing Attempts]]&lt;15, "Y", "N")</f>
        <v>N</v>
      </c>
      <c r="AL16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104.44</v>
      </c>
      <c r="AM16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97.55</v>
      </c>
      <c r="AN16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105.98</v>
      </c>
      <c r="AO16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115.68</v>
      </c>
      <c r="AP165" s="3">
        <f>ABS(Table1[[#This Row],[Team Score]]-Table1[[#This Row],[Opp Team Score]])</f>
        <v>21</v>
      </c>
      <c r="AQ165" s="3">
        <f>SUM(Table1[[#This Row],[Team Score]], Table1[[#This Row],[Opp Team Score]])</f>
        <v>27</v>
      </c>
      <c r="AR16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16.25</v>
      </c>
      <c r="AS165" s="3">
        <f>IF(Table1[[#This Row],[Efficiency Difference]] = " ", " ", ROUND((Table1[[#This Row],[Winning Margin]]*100)/Table1[[#This Row],[Efficiency Difference]], 2))</f>
        <v>129.22999999999999</v>
      </c>
    </row>
    <row r="166" spans="1:45">
      <c r="A166" t="s">
        <v>95</v>
      </c>
      <c r="B166">
        <v>0</v>
      </c>
      <c r="C166">
        <v>17</v>
      </c>
      <c r="D166">
        <v>185</v>
      </c>
      <c r="E166">
        <v>23</v>
      </c>
      <c r="F166">
        <v>1</v>
      </c>
      <c r="G166">
        <v>12</v>
      </c>
      <c r="H166">
        <v>0</v>
      </c>
      <c r="I166">
        <v>185</v>
      </c>
      <c r="J166">
        <v>32</v>
      </c>
      <c r="K166">
        <v>1</v>
      </c>
      <c r="L166">
        <v>0</v>
      </c>
      <c r="M166" t="s">
        <v>88</v>
      </c>
      <c r="N166">
        <v>0</v>
      </c>
      <c r="O166">
        <v>13</v>
      </c>
      <c r="P166">
        <v>76</v>
      </c>
      <c r="Q166">
        <v>26</v>
      </c>
      <c r="R166">
        <v>1</v>
      </c>
      <c r="S166">
        <v>12</v>
      </c>
      <c r="T166">
        <v>0</v>
      </c>
      <c r="U166">
        <v>133</v>
      </c>
      <c r="V166">
        <v>30</v>
      </c>
      <c r="W166">
        <v>0</v>
      </c>
      <c r="X166">
        <v>0</v>
      </c>
      <c r="Y166" t="s">
        <v>14</v>
      </c>
      <c r="Z166">
        <v>0</v>
      </c>
      <c r="AA166">
        <f>IF(AND(Table1[[#This Row],[Throw Out Pass Eff]]="N", Table1[[#This Row],[Against FCS Team]]="N"), ROUND(((5.45 * D166) + (150 * F166) + (100 * G166) - (300 * H166)) / E166, 2), " ")</f>
        <v>102.53</v>
      </c>
      <c r="AB166">
        <f>IF(AND(Table1[[#This Row],[Throw Out Pass Def Eff]]="N", Table1[[#This Row],[Against FCS Team]]="N"),200 - ROUND(((5.45 * P166) + (150 * R166) + (100 * S166) - (300 * T166)) / Q166, 2), " ")</f>
        <v>132.15</v>
      </c>
      <c r="AC166">
        <f>IF(AND(Table1[[#This Row],[Throw Out Rush Eff]]="N", Table1[[#This Row],[Against FCS Team]]="N"), ROUND(((23.2 * I166) + (150 * K166) - (300 * L166)) / J166, 2), " ")</f>
        <v>138.81</v>
      </c>
      <c r="AD166" s="3">
        <f>IF(AND(Table1[[#This Row],[Throw Out Rush Def Eff]]="N", Table1[[#This Row],[Against FCS Team]]="N"), 200 - ROUND(((23.2 * U166) + (150 * W166) - (300 * X166)) / V166, 2), " ")</f>
        <v>97.15</v>
      </c>
      <c r="AE166" s="3">
        <f>ROUND(Table1[[#This Row],[Opp Passing Attempts]]/(Table1[[#This Row],[Opp Passing Attempts]]+Table1[[#This Row],[Opp Rushing Attempts]]), 2)</f>
        <v>0.46</v>
      </c>
      <c r="AF166" s="3">
        <f>1-Table1[[#This Row],[Passing Weight]]</f>
        <v>0.54</v>
      </c>
      <c r="AG166" s="3" t="str">
        <f>IF(COUNTIF(A:A,Table1[[#This Row],[Opp Team Name]]) &gt; 0, "N", "Y")</f>
        <v>N</v>
      </c>
      <c r="AH166" s="3" t="str">
        <f>IF(Table1[[#This Row],[Passing Attempts]] &lt;15, "Y", "N")</f>
        <v>N</v>
      </c>
      <c r="AI166" s="3" t="str">
        <f>IF(Table1[[#This Row],[Rushing Attempts]] &lt; 15, "Y", "N")</f>
        <v>N</v>
      </c>
      <c r="AJ166" s="3" t="str">
        <f>IF(Table1[[#This Row],[Opp Passing Attempts]]&lt;15, "Y", "N")</f>
        <v>N</v>
      </c>
      <c r="AK166" s="3" t="str">
        <f>IF(Table1[[#This Row],[Opp Rushing Attempts]]&lt;15, "Y", "N")</f>
        <v>N</v>
      </c>
      <c r="AL16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110.6</v>
      </c>
      <c r="AM16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93.2</v>
      </c>
      <c r="AN16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140.75</v>
      </c>
      <c r="AO16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88.44</v>
      </c>
      <c r="AP166" s="3">
        <f>ABS(Table1[[#This Row],[Team Score]]-Table1[[#This Row],[Opp Team Score]])</f>
        <v>4</v>
      </c>
      <c r="AQ166" s="3">
        <f>SUM(Table1[[#This Row],[Team Score]], Table1[[#This Row],[Opp Team Score]])</f>
        <v>30</v>
      </c>
      <c r="AR16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70.640000000000015</v>
      </c>
      <c r="AS166" s="3">
        <f>IF(Table1[[#This Row],[Efficiency Difference]] = " ", " ", ROUND((Table1[[#This Row],[Winning Margin]]*100)/Table1[[#This Row],[Efficiency Difference]], 2))</f>
        <v>5.66</v>
      </c>
    </row>
    <row r="167" spans="1:45">
      <c r="A167" t="s">
        <v>88</v>
      </c>
      <c r="B167">
        <v>0</v>
      </c>
      <c r="C167">
        <v>13</v>
      </c>
      <c r="D167">
        <v>76</v>
      </c>
      <c r="E167">
        <v>26</v>
      </c>
      <c r="F167">
        <v>1</v>
      </c>
      <c r="G167">
        <v>12</v>
      </c>
      <c r="H167">
        <v>0</v>
      </c>
      <c r="I167">
        <v>133</v>
      </c>
      <c r="J167">
        <v>30</v>
      </c>
      <c r="K167">
        <v>0</v>
      </c>
      <c r="L167">
        <v>0</v>
      </c>
      <c r="M167" t="s">
        <v>95</v>
      </c>
      <c r="N167">
        <v>0</v>
      </c>
      <c r="O167">
        <v>17</v>
      </c>
      <c r="P167">
        <v>185</v>
      </c>
      <c r="Q167">
        <v>23</v>
      </c>
      <c r="R167">
        <v>1</v>
      </c>
      <c r="S167">
        <v>12</v>
      </c>
      <c r="T167">
        <v>0</v>
      </c>
      <c r="U167">
        <v>185</v>
      </c>
      <c r="V167">
        <v>32</v>
      </c>
      <c r="W167">
        <v>1</v>
      </c>
      <c r="X167">
        <v>0</v>
      </c>
      <c r="Y167" t="s">
        <v>15</v>
      </c>
      <c r="Z167">
        <v>0</v>
      </c>
      <c r="AA167">
        <f>IF(AND(Table1[[#This Row],[Throw Out Pass Eff]]="N", Table1[[#This Row],[Against FCS Team]]="N"), ROUND(((5.45 * D167) + (150 * F167) + (100 * G167) - (300 * H167)) / E167, 2), " ")</f>
        <v>67.849999999999994</v>
      </c>
      <c r="AB167">
        <f>IF(AND(Table1[[#This Row],[Throw Out Pass Def Eff]]="N", Table1[[#This Row],[Against FCS Team]]="N"),200 - ROUND(((5.45 * P167) + (150 * R167) + (100 * S167) - (300 * T167)) / Q167, 2), " ")</f>
        <v>97.47</v>
      </c>
      <c r="AC167">
        <f>IF(AND(Table1[[#This Row],[Throw Out Rush Eff]]="N", Table1[[#This Row],[Against FCS Team]]="N"), ROUND(((23.2 * I167) + (150 * K167) - (300 * L167)) / J167, 2), " ")</f>
        <v>102.85</v>
      </c>
      <c r="AD167" s="3">
        <f>IF(AND(Table1[[#This Row],[Throw Out Rush Def Eff]]="N", Table1[[#This Row],[Against FCS Team]]="N"), 200 - ROUND(((23.2 * U167) + (150 * W167) - (300 * X167)) / V167, 2), " ")</f>
        <v>61.19</v>
      </c>
      <c r="AE167" s="3">
        <f>ROUND(Table1[[#This Row],[Opp Passing Attempts]]/(Table1[[#This Row],[Opp Passing Attempts]]+Table1[[#This Row],[Opp Rushing Attempts]]), 2)</f>
        <v>0.42</v>
      </c>
      <c r="AF167" s="3">
        <f>1-Table1[[#This Row],[Passing Weight]]</f>
        <v>0.58000000000000007</v>
      </c>
      <c r="AG167" s="3" t="str">
        <f>IF(COUNTIF(A:A,Table1[[#This Row],[Opp Team Name]]) &gt; 0, "N", "Y")</f>
        <v>N</v>
      </c>
      <c r="AH167" s="3" t="str">
        <f>IF(Table1[[#This Row],[Passing Attempts]] &lt;15, "Y", "N")</f>
        <v>N</v>
      </c>
      <c r="AI167" s="3" t="str">
        <f>IF(Table1[[#This Row],[Rushing Attempts]] &lt; 15, "Y", "N")</f>
        <v>N</v>
      </c>
      <c r="AJ167" s="3" t="str">
        <f>IF(Table1[[#This Row],[Opp Passing Attempts]]&lt;15, "Y", "N")</f>
        <v>N</v>
      </c>
      <c r="AK167" s="3" t="str">
        <f>IF(Table1[[#This Row],[Opp Rushing Attempts]]&lt;15, "Y", "N")</f>
        <v>N</v>
      </c>
      <c r="AL16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74.87</v>
      </c>
      <c r="AM16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103.49</v>
      </c>
      <c r="AN16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94.46</v>
      </c>
      <c r="AO16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54.59</v>
      </c>
      <c r="AP167" s="3">
        <f>ABS(Table1[[#This Row],[Team Score]]-Table1[[#This Row],[Opp Team Score]])</f>
        <v>4</v>
      </c>
      <c r="AQ167" s="3">
        <f>SUM(Table1[[#This Row],[Team Score]], Table1[[#This Row],[Opp Team Score]])</f>
        <v>30</v>
      </c>
      <c r="AR16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70.640000000000015</v>
      </c>
      <c r="AS167" s="3">
        <f>IF(Table1[[#This Row],[Efficiency Difference]] = " ", " ", ROUND((Table1[[#This Row],[Winning Margin]]*100)/Table1[[#This Row],[Efficiency Difference]], 2))</f>
        <v>5.66</v>
      </c>
    </row>
    <row r="168" spans="1:45">
      <c r="A168" t="s">
        <v>101</v>
      </c>
      <c r="B168">
        <v>0</v>
      </c>
      <c r="C168">
        <v>27</v>
      </c>
      <c r="D168">
        <v>292</v>
      </c>
      <c r="E168">
        <v>32</v>
      </c>
      <c r="F168">
        <v>0</v>
      </c>
      <c r="G168">
        <v>21</v>
      </c>
      <c r="H168">
        <v>0</v>
      </c>
      <c r="I168">
        <v>122</v>
      </c>
      <c r="J168">
        <v>33</v>
      </c>
      <c r="K168">
        <v>3</v>
      </c>
      <c r="L168">
        <v>0</v>
      </c>
      <c r="M168" t="s">
        <v>87</v>
      </c>
      <c r="N168">
        <v>0</v>
      </c>
      <c r="O168">
        <v>24</v>
      </c>
      <c r="P168">
        <v>219</v>
      </c>
      <c r="Q168">
        <v>30</v>
      </c>
      <c r="R168">
        <v>2</v>
      </c>
      <c r="S168">
        <v>21</v>
      </c>
      <c r="T168">
        <v>2</v>
      </c>
      <c r="U168">
        <v>155</v>
      </c>
      <c r="V168">
        <v>23</v>
      </c>
      <c r="W168">
        <v>1</v>
      </c>
      <c r="X168">
        <v>0</v>
      </c>
      <c r="Y168" t="s">
        <v>14</v>
      </c>
      <c r="Z168">
        <v>0</v>
      </c>
      <c r="AA168">
        <f>IF(AND(Table1[[#This Row],[Throw Out Pass Eff]]="N", Table1[[#This Row],[Against FCS Team]]="N"), ROUND(((5.45 * D168) + (150 * F168) + (100 * G168) - (300 * H168)) / E168, 2), " ")</f>
        <v>115.36</v>
      </c>
      <c r="AB168">
        <f>IF(AND(Table1[[#This Row],[Throw Out Pass Def Eff]]="N", Table1[[#This Row],[Against FCS Team]]="N"),200 - ROUND(((5.45 * P168) + (150 * R168) + (100 * S168) - (300 * T168)) / Q168, 2), " ")</f>
        <v>100.21</v>
      </c>
      <c r="AC168">
        <f>IF(AND(Table1[[#This Row],[Throw Out Rush Eff]]="N", Table1[[#This Row],[Against FCS Team]]="N"), ROUND(((23.2 * I168) + (150 * K168) - (300 * L168)) / J168, 2), " ")</f>
        <v>99.41</v>
      </c>
      <c r="AD168" s="3">
        <f>IF(AND(Table1[[#This Row],[Throw Out Rush Def Eff]]="N", Table1[[#This Row],[Against FCS Team]]="N"), 200 - ROUND(((23.2 * U168) + (150 * W168) - (300 * X168)) / V168, 2), " ")</f>
        <v>37.129999999999995</v>
      </c>
      <c r="AE168" s="3">
        <f>ROUND(Table1[[#This Row],[Opp Passing Attempts]]/(Table1[[#This Row],[Opp Passing Attempts]]+Table1[[#This Row],[Opp Rushing Attempts]]), 2)</f>
        <v>0.56999999999999995</v>
      </c>
      <c r="AF168" s="3">
        <f>1-Table1[[#This Row],[Passing Weight]]</f>
        <v>0.43000000000000005</v>
      </c>
      <c r="AG168" s="3" t="str">
        <f>IF(COUNTIF(A:A,Table1[[#This Row],[Opp Team Name]]) &gt; 0, "N", "Y")</f>
        <v>N</v>
      </c>
      <c r="AH168" s="3" t="str">
        <f>IF(Table1[[#This Row],[Passing Attempts]] &lt;15, "Y", "N")</f>
        <v>N</v>
      </c>
      <c r="AI168" s="3" t="str">
        <f>IF(Table1[[#This Row],[Rushing Attempts]] &lt; 15, "Y", "N")</f>
        <v>N</v>
      </c>
      <c r="AJ168" s="3" t="str">
        <f>IF(Table1[[#This Row],[Opp Passing Attempts]]&lt;15, "Y", "N")</f>
        <v>N</v>
      </c>
      <c r="AK168" s="3" t="str">
        <f>IF(Table1[[#This Row],[Opp Rushing Attempts]]&lt;15, "Y", "N")</f>
        <v>N</v>
      </c>
      <c r="AL16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119.63</v>
      </c>
      <c r="AM16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104.1</v>
      </c>
      <c r="AN16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77.709999999999994</v>
      </c>
      <c r="AO16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49.08</v>
      </c>
      <c r="AP168" s="3">
        <f>ABS(Table1[[#This Row],[Team Score]]-Table1[[#This Row],[Opp Team Score]])</f>
        <v>3</v>
      </c>
      <c r="AQ168" s="3">
        <f>SUM(Table1[[#This Row],[Team Score]], Table1[[#This Row],[Opp Team Score]])</f>
        <v>51</v>
      </c>
      <c r="AR16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47.890000000000043</v>
      </c>
      <c r="AS168" s="3">
        <f>IF(Table1[[#This Row],[Efficiency Difference]] = " ", " ", ROUND((Table1[[#This Row],[Winning Margin]]*100)/Table1[[#This Row],[Efficiency Difference]], 2))</f>
        <v>6.26</v>
      </c>
    </row>
    <row r="169" spans="1:45">
      <c r="A169" t="s">
        <v>87</v>
      </c>
      <c r="B169">
        <v>0</v>
      </c>
      <c r="C169">
        <v>24</v>
      </c>
      <c r="D169">
        <v>219</v>
      </c>
      <c r="E169">
        <v>30</v>
      </c>
      <c r="F169">
        <v>2</v>
      </c>
      <c r="G169">
        <v>21</v>
      </c>
      <c r="H169">
        <v>2</v>
      </c>
      <c r="I169">
        <v>155</v>
      </c>
      <c r="J169">
        <v>23</v>
      </c>
      <c r="K169">
        <v>1</v>
      </c>
      <c r="L169">
        <v>0</v>
      </c>
      <c r="M169" t="s">
        <v>101</v>
      </c>
      <c r="N169">
        <v>0</v>
      </c>
      <c r="O169">
        <v>27</v>
      </c>
      <c r="P169">
        <v>292</v>
      </c>
      <c r="Q169">
        <v>32</v>
      </c>
      <c r="R169">
        <v>0</v>
      </c>
      <c r="S169">
        <v>21</v>
      </c>
      <c r="T169">
        <v>0</v>
      </c>
      <c r="U169">
        <v>122</v>
      </c>
      <c r="V169">
        <v>33</v>
      </c>
      <c r="W169">
        <v>3</v>
      </c>
      <c r="X169">
        <v>0</v>
      </c>
      <c r="Y169" t="s">
        <v>15</v>
      </c>
      <c r="Z169">
        <v>0</v>
      </c>
      <c r="AA169">
        <f>IF(AND(Table1[[#This Row],[Throw Out Pass Eff]]="N", Table1[[#This Row],[Against FCS Team]]="N"), ROUND(((5.45 * D169) + (150 * F169) + (100 * G169) - (300 * H169)) / E169, 2), " ")</f>
        <v>99.79</v>
      </c>
      <c r="AB169">
        <f>IF(AND(Table1[[#This Row],[Throw Out Pass Def Eff]]="N", Table1[[#This Row],[Against FCS Team]]="N"),200 - ROUND(((5.45 * P169) + (150 * R169) + (100 * S169) - (300 * T169)) / Q169, 2), " ")</f>
        <v>84.64</v>
      </c>
      <c r="AC169">
        <f>IF(AND(Table1[[#This Row],[Throw Out Rush Eff]]="N", Table1[[#This Row],[Against FCS Team]]="N"), ROUND(((23.2 * I169) + (150 * K169) - (300 * L169)) / J169, 2), " ")</f>
        <v>162.87</v>
      </c>
      <c r="AD169" s="3">
        <f>IF(AND(Table1[[#This Row],[Throw Out Rush Def Eff]]="N", Table1[[#This Row],[Against FCS Team]]="N"), 200 - ROUND(((23.2 * U169) + (150 * W169) - (300 * X169)) / V169, 2), " ")</f>
        <v>100.59</v>
      </c>
      <c r="AE169" s="3">
        <f>ROUND(Table1[[#This Row],[Opp Passing Attempts]]/(Table1[[#This Row],[Opp Passing Attempts]]+Table1[[#This Row],[Opp Rushing Attempts]]), 2)</f>
        <v>0.49</v>
      </c>
      <c r="AF169" s="3">
        <f>1-Table1[[#This Row],[Passing Weight]]</f>
        <v>0.51</v>
      </c>
      <c r="AG169" s="3" t="str">
        <f>IF(COUNTIF(A:A,Table1[[#This Row],[Opp Team Name]]) &gt; 0, "N", "Y")</f>
        <v>N</v>
      </c>
      <c r="AH169" s="3" t="str">
        <f>IF(Table1[[#This Row],[Passing Attempts]] &lt;15, "Y", "N")</f>
        <v>N</v>
      </c>
      <c r="AI169" s="3" t="str">
        <f>IF(Table1[[#This Row],[Rushing Attempts]] &lt; 15, "Y", "N")</f>
        <v>N</v>
      </c>
      <c r="AJ169" s="3" t="str">
        <f>IF(Table1[[#This Row],[Opp Passing Attempts]]&lt;15, "Y", "N")</f>
        <v>N</v>
      </c>
      <c r="AK169" s="3" t="str">
        <f>IF(Table1[[#This Row],[Opp Rushing Attempts]]&lt;15, "Y", "N")</f>
        <v>N</v>
      </c>
      <c r="AL16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107.01</v>
      </c>
      <c r="AM16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95.36</v>
      </c>
      <c r="AN16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166.05</v>
      </c>
      <c r="AO16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75.84</v>
      </c>
      <c r="AP169" s="3">
        <f>ABS(Table1[[#This Row],[Team Score]]-Table1[[#This Row],[Opp Team Score]])</f>
        <v>3</v>
      </c>
      <c r="AQ169" s="3">
        <f>SUM(Table1[[#This Row],[Team Score]], Table1[[#This Row],[Opp Team Score]])</f>
        <v>51</v>
      </c>
      <c r="AR16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47.890000000000043</v>
      </c>
      <c r="AS169" s="3">
        <f>IF(Table1[[#This Row],[Efficiency Difference]] = " ", " ", ROUND((Table1[[#This Row],[Winning Margin]]*100)/Table1[[#This Row],[Efficiency Difference]], 2))</f>
        <v>6.26</v>
      </c>
    </row>
    <row r="170" spans="1:45">
      <c r="A170" t="s">
        <v>111</v>
      </c>
      <c r="B170">
        <v>0</v>
      </c>
      <c r="C170">
        <v>24</v>
      </c>
      <c r="D170">
        <v>178</v>
      </c>
      <c r="E170">
        <v>24</v>
      </c>
      <c r="F170">
        <v>1</v>
      </c>
      <c r="G170">
        <v>15</v>
      </c>
      <c r="H170">
        <v>0</v>
      </c>
      <c r="I170">
        <v>151</v>
      </c>
      <c r="J170">
        <v>40</v>
      </c>
      <c r="K170">
        <v>1</v>
      </c>
      <c r="L170">
        <v>1</v>
      </c>
      <c r="M170" t="s">
        <v>90</v>
      </c>
      <c r="N170">
        <v>0</v>
      </c>
      <c r="O170">
        <v>17</v>
      </c>
      <c r="P170">
        <v>203</v>
      </c>
      <c r="Q170">
        <v>45</v>
      </c>
      <c r="R170">
        <v>2</v>
      </c>
      <c r="S170">
        <v>21</v>
      </c>
      <c r="T170">
        <v>0</v>
      </c>
      <c r="U170">
        <v>65</v>
      </c>
      <c r="V170">
        <v>21</v>
      </c>
      <c r="W170">
        <v>0</v>
      </c>
      <c r="X170">
        <v>1</v>
      </c>
      <c r="Y170" t="s">
        <v>14</v>
      </c>
      <c r="Z170">
        <v>0</v>
      </c>
      <c r="AA170">
        <f>IF(AND(Table1[[#This Row],[Throw Out Pass Eff]]="N", Table1[[#This Row],[Against FCS Team]]="N"), ROUND(((5.45 * D170) + (150 * F170) + (100 * G170) - (300 * H170)) / E170, 2), " ")</f>
        <v>109.17</v>
      </c>
      <c r="AB170">
        <f>IF(AND(Table1[[#This Row],[Throw Out Pass Def Eff]]="N", Table1[[#This Row],[Against FCS Team]]="N"),200 - ROUND(((5.45 * P170) + (150 * R170) + (100 * S170) - (300 * T170)) / Q170, 2), " ")</f>
        <v>122.08</v>
      </c>
      <c r="AC170">
        <f>IF(AND(Table1[[#This Row],[Throw Out Rush Eff]]="N", Table1[[#This Row],[Against FCS Team]]="N"), ROUND(((23.2 * I170) + (150 * K170) - (300 * L170)) / J170, 2), " ")</f>
        <v>83.83</v>
      </c>
      <c r="AD170" s="3">
        <f>IF(AND(Table1[[#This Row],[Throw Out Rush Def Eff]]="N", Table1[[#This Row],[Against FCS Team]]="N"), 200 - ROUND(((23.2 * U170) + (150 * W170) - (300 * X170)) / V170, 2), " ")</f>
        <v>142.47999999999999</v>
      </c>
      <c r="AE170" s="3">
        <f>ROUND(Table1[[#This Row],[Opp Passing Attempts]]/(Table1[[#This Row],[Opp Passing Attempts]]+Table1[[#This Row],[Opp Rushing Attempts]]), 2)</f>
        <v>0.68</v>
      </c>
      <c r="AF170" s="3">
        <f>1-Table1[[#This Row],[Passing Weight]]</f>
        <v>0.31999999999999995</v>
      </c>
      <c r="AG170" s="3" t="str">
        <f>IF(COUNTIF(A:A,Table1[[#This Row],[Opp Team Name]]) &gt; 0, "N", "Y")</f>
        <v>N</v>
      </c>
      <c r="AH170" s="3" t="str">
        <f>IF(Table1[[#This Row],[Passing Attempts]] &lt;15, "Y", "N")</f>
        <v>N</v>
      </c>
      <c r="AI170" s="3" t="str">
        <f>IF(Table1[[#This Row],[Rushing Attempts]] &lt; 15, "Y", "N")</f>
        <v>N</v>
      </c>
      <c r="AJ170" s="3" t="str">
        <f>IF(Table1[[#This Row],[Opp Passing Attempts]]&lt;15, "Y", "N")</f>
        <v>N</v>
      </c>
      <c r="AK170" s="3" t="str">
        <f>IF(Table1[[#This Row],[Opp Rushing Attempts]]&lt;15, "Y", "N")</f>
        <v>N</v>
      </c>
      <c r="AL17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120.61</v>
      </c>
      <c r="AM17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102.5</v>
      </c>
      <c r="AN17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95.34</v>
      </c>
      <c r="AO17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107.01</v>
      </c>
      <c r="AP170" s="3">
        <f>ABS(Table1[[#This Row],[Team Score]]-Table1[[#This Row],[Opp Team Score]])</f>
        <v>7</v>
      </c>
      <c r="AQ170" s="3">
        <f>SUM(Table1[[#This Row],[Team Score]], Table1[[#This Row],[Opp Team Score]])</f>
        <v>41</v>
      </c>
      <c r="AR17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57.56</v>
      </c>
      <c r="AS170" s="3">
        <f>IF(Table1[[#This Row],[Efficiency Difference]] = " ", " ", ROUND((Table1[[#This Row],[Winning Margin]]*100)/Table1[[#This Row],[Efficiency Difference]], 2))</f>
        <v>12.16</v>
      </c>
    </row>
    <row r="171" spans="1:45">
      <c r="A171" t="s">
        <v>90</v>
      </c>
      <c r="B171">
        <v>0</v>
      </c>
      <c r="C171">
        <v>17</v>
      </c>
      <c r="D171">
        <v>203</v>
      </c>
      <c r="E171">
        <v>45</v>
      </c>
      <c r="F171">
        <v>2</v>
      </c>
      <c r="G171">
        <v>21</v>
      </c>
      <c r="H171">
        <v>0</v>
      </c>
      <c r="I171">
        <v>65</v>
      </c>
      <c r="J171">
        <v>21</v>
      </c>
      <c r="K171">
        <v>0</v>
      </c>
      <c r="L171">
        <v>1</v>
      </c>
      <c r="M171" t="s">
        <v>111</v>
      </c>
      <c r="N171">
        <v>0</v>
      </c>
      <c r="O171">
        <v>24</v>
      </c>
      <c r="P171">
        <v>178</v>
      </c>
      <c r="Q171">
        <v>24</v>
      </c>
      <c r="R171">
        <v>1</v>
      </c>
      <c r="S171">
        <v>15</v>
      </c>
      <c r="T171">
        <v>0</v>
      </c>
      <c r="U171">
        <v>151</v>
      </c>
      <c r="V171">
        <v>40</v>
      </c>
      <c r="W171">
        <v>1</v>
      </c>
      <c r="X171">
        <v>1</v>
      </c>
      <c r="Y171" t="s">
        <v>15</v>
      </c>
      <c r="Z171">
        <v>0</v>
      </c>
      <c r="AA171">
        <f>IF(AND(Table1[[#This Row],[Throw Out Pass Eff]]="N", Table1[[#This Row],[Against FCS Team]]="N"), ROUND(((5.45 * D171) + (150 * F171) + (100 * G171) - (300 * H171)) / E171, 2), " ")</f>
        <v>77.92</v>
      </c>
      <c r="AB171">
        <f>IF(AND(Table1[[#This Row],[Throw Out Pass Def Eff]]="N", Table1[[#This Row],[Against FCS Team]]="N"),200 - ROUND(((5.45 * P171) + (150 * R171) + (100 * S171) - (300 * T171)) / Q171, 2), " ")</f>
        <v>90.83</v>
      </c>
      <c r="AC171">
        <f>IF(AND(Table1[[#This Row],[Throw Out Rush Eff]]="N", Table1[[#This Row],[Against FCS Team]]="N"), ROUND(((23.2 * I171) + (150 * K171) - (300 * L171)) / J171, 2), " ")</f>
        <v>57.52</v>
      </c>
      <c r="AD171" s="3">
        <f>IF(AND(Table1[[#This Row],[Throw Out Rush Def Eff]]="N", Table1[[#This Row],[Against FCS Team]]="N"), 200 - ROUND(((23.2 * U171) + (150 * W171) - (300 * X171)) / V171, 2), " ")</f>
        <v>116.17</v>
      </c>
      <c r="AE171" s="3">
        <f>ROUND(Table1[[#This Row],[Opp Passing Attempts]]/(Table1[[#This Row],[Opp Passing Attempts]]+Table1[[#This Row],[Opp Rushing Attempts]]), 2)</f>
        <v>0.38</v>
      </c>
      <c r="AF171" s="3">
        <f>1-Table1[[#This Row],[Passing Weight]]</f>
        <v>0.62</v>
      </c>
      <c r="AG171" s="3" t="str">
        <f>IF(COUNTIF(A:A,Table1[[#This Row],[Opp Team Name]]) &gt; 0, "N", "Y")</f>
        <v>N</v>
      </c>
      <c r="AH171" s="3" t="str">
        <f>IF(Table1[[#This Row],[Passing Attempts]] &lt;15, "Y", "N")</f>
        <v>N</v>
      </c>
      <c r="AI171" s="3" t="str">
        <f>IF(Table1[[#This Row],[Rushing Attempts]] &lt; 15, "Y", "N")</f>
        <v>N</v>
      </c>
      <c r="AJ171" s="3" t="str">
        <f>IF(Table1[[#This Row],[Opp Passing Attempts]]&lt;15, "Y", "N")</f>
        <v>N</v>
      </c>
      <c r="AK171" s="3" t="str">
        <f>IF(Table1[[#This Row],[Opp Rushing Attempts]]&lt;15, "Y", "N")</f>
        <v>N</v>
      </c>
      <c r="AL17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88.23</v>
      </c>
      <c r="AM17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79.02</v>
      </c>
      <c r="AN17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49.92</v>
      </c>
      <c r="AO17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143.22999999999999</v>
      </c>
      <c r="AP171" s="3">
        <f>ABS(Table1[[#This Row],[Team Score]]-Table1[[#This Row],[Opp Team Score]])</f>
        <v>7</v>
      </c>
      <c r="AQ171" s="3">
        <f>SUM(Table1[[#This Row],[Team Score]], Table1[[#This Row],[Opp Team Score]])</f>
        <v>41</v>
      </c>
      <c r="AR17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57.56</v>
      </c>
      <c r="AS171" s="3">
        <f>IF(Table1[[#This Row],[Efficiency Difference]] = " ", " ", ROUND((Table1[[#This Row],[Winning Margin]]*100)/Table1[[#This Row],[Efficiency Difference]], 2))</f>
        <v>12.16</v>
      </c>
    </row>
    <row r="172" spans="1:45">
      <c r="A172" t="s">
        <v>94</v>
      </c>
      <c r="B172">
        <v>0</v>
      </c>
      <c r="C172">
        <v>29</v>
      </c>
      <c r="D172">
        <v>289</v>
      </c>
      <c r="E172">
        <v>33</v>
      </c>
      <c r="F172">
        <v>0</v>
      </c>
      <c r="G172">
        <v>20</v>
      </c>
      <c r="H172">
        <v>1</v>
      </c>
      <c r="I172">
        <v>113</v>
      </c>
      <c r="J172">
        <v>30</v>
      </c>
      <c r="K172">
        <v>2</v>
      </c>
      <c r="L172">
        <v>1</v>
      </c>
      <c r="M172" t="s">
        <v>84</v>
      </c>
      <c r="N172">
        <v>0</v>
      </c>
      <c r="O172">
        <v>14</v>
      </c>
      <c r="P172">
        <v>200</v>
      </c>
      <c r="Q172">
        <v>37</v>
      </c>
      <c r="R172">
        <v>1</v>
      </c>
      <c r="S172">
        <v>21</v>
      </c>
      <c r="T172">
        <v>0</v>
      </c>
      <c r="U172">
        <v>93</v>
      </c>
      <c r="V172">
        <v>25</v>
      </c>
      <c r="W172">
        <v>0</v>
      </c>
      <c r="X172">
        <v>0</v>
      </c>
      <c r="Y172" t="s">
        <v>14</v>
      </c>
      <c r="Z172">
        <v>0</v>
      </c>
      <c r="AA172">
        <f>IF(AND(Table1[[#This Row],[Throw Out Pass Eff]]="N", Table1[[#This Row],[Against FCS Team]]="N"), ROUND(((5.45 * D172) + (150 * F172) + (100 * G172) - (300 * H172)) / E172, 2), " ")</f>
        <v>99.24</v>
      </c>
      <c r="AB172">
        <f>IF(AND(Table1[[#This Row],[Throw Out Pass Def Eff]]="N", Table1[[#This Row],[Against FCS Team]]="N"),200 - ROUND(((5.45 * P172) + (150 * R172) + (100 * S172) - (300 * T172)) / Q172, 2), " ")</f>
        <v>109.73</v>
      </c>
      <c r="AC172">
        <f>IF(AND(Table1[[#This Row],[Throw Out Rush Eff]]="N", Table1[[#This Row],[Against FCS Team]]="N"), ROUND(((23.2 * I172) + (150 * K172) - (300 * L172)) / J172, 2), " ")</f>
        <v>87.39</v>
      </c>
      <c r="AD172" s="3">
        <f>IF(AND(Table1[[#This Row],[Throw Out Rush Def Eff]]="N", Table1[[#This Row],[Against FCS Team]]="N"), 200 - ROUND(((23.2 * U172) + (150 * W172) - (300 * X172)) / V172, 2), " ")</f>
        <v>113.7</v>
      </c>
      <c r="AE172" s="3">
        <f>ROUND(Table1[[#This Row],[Opp Passing Attempts]]/(Table1[[#This Row],[Opp Passing Attempts]]+Table1[[#This Row],[Opp Rushing Attempts]]), 2)</f>
        <v>0.6</v>
      </c>
      <c r="AF172" s="3">
        <f>1-Table1[[#This Row],[Passing Weight]]</f>
        <v>0.4</v>
      </c>
      <c r="AG172" s="3" t="str">
        <f>IF(COUNTIF(A:A,Table1[[#This Row],[Opp Team Name]]) &gt; 0, "N", "Y")</f>
        <v>N</v>
      </c>
      <c r="AH172" s="3" t="str">
        <f>IF(Table1[[#This Row],[Passing Attempts]] &lt;15, "Y", "N")</f>
        <v>N</v>
      </c>
      <c r="AI172" s="3" t="str">
        <f>IF(Table1[[#This Row],[Rushing Attempts]] &lt; 15, "Y", "N")</f>
        <v>N</v>
      </c>
      <c r="AJ172" s="3" t="str">
        <f>IF(Table1[[#This Row],[Opp Passing Attempts]]&lt;15, "Y", "N")</f>
        <v>N</v>
      </c>
      <c r="AK172" s="3" t="str">
        <f>IF(Table1[[#This Row],[Opp Rushing Attempts]]&lt;15, "Y", "N")</f>
        <v>N</v>
      </c>
      <c r="AL17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119.46</v>
      </c>
      <c r="AM17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122.23</v>
      </c>
      <c r="AN17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88.61</v>
      </c>
      <c r="AO17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109.71</v>
      </c>
      <c r="AP172" s="3">
        <f>ABS(Table1[[#This Row],[Team Score]]-Table1[[#This Row],[Opp Team Score]])</f>
        <v>15</v>
      </c>
      <c r="AQ172" s="3">
        <f>SUM(Table1[[#This Row],[Team Score]], Table1[[#This Row],[Opp Team Score]])</f>
        <v>43</v>
      </c>
      <c r="AR17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10.060000000000002</v>
      </c>
      <c r="AS172" s="3">
        <f>IF(Table1[[#This Row],[Efficiency Difference]] = " ", " ", ROUND((Table1[[#This Row],[Winning Margin]]*100)/Table1[[#This Row],[Efficiency Difference]], 2))</f>
        <v>149.11000000000001</v>
      </c>
    </row>
    <row r="173" spans="1:45">
      <c r="A173" t="s">
        <v>84</v>
      </c>
      <c r="B173">
        <v>0</v>
      </c>
      <c r="C173">
        <v>14</v>
      </c>
      <c r="D173">
        <v>200</v>
      </c>
      <c r="E173">
        <v>37</v>
      </c>
      <c r="F173">
        <v>1</v>
      </c>
      <c r="G173">
        <v>21</v>
      </c>
      <c r="H173">
        <v>0</v>
      </c>
      <c r="I173">
        <v>93</v>
      </c>
      <c r="J173">
        <v>25</v>
      </c>
      <c r="K173">
        <v>0</v>
      </c>
      <c r="L173">
        <v>0</v>
      </c>
      <c r="M173" t="s">
        <v>94</v>
      </c>
      <c r="N173">
        <v>0</v>
      </c>
      <c r="O173">
        <v>29</v>
      </c>
      <c r="P173">
        <v>289</v>
      </c>
      <c r="Q173">
        <v>33</v>
      </c>
      <c r="R173">
        <v>0</v>
      </c>
      <c r="S173">
        <v>20</v>
      </c>
      <c r="T173">
        <v>1</v>
      </c>
      <c r="U173">
        <v>113</v>
      </c>
      <c r="V173">
        <v>30</v>
      </c>
      <c r="W173">
        <v>2</v>
      </c>
      <c r="X173">
        <v>1</v>
      </c>
      <c r="Y173" t="s">
        <v>15</v>
      </c>
      <c r="Z173">
        <v>0</v>
      </c>
      <c r="AA173">
        <f>IF(AND(Table1[[#This Row],[Throw Out Pass Eff]]="N", Table1[[#This Row],[Against FCS Team]]="N"), ROUND(((5.45 * D173) + (150 * F173) + (100 * G173) - (300 * H173)) / E173, 2), " ")</f>
        <v>90.27</v>
      </c>
      <c r="AB173">
        <f>IF(AND(Table1[[#This Row],[Throw Out Pass Def Eff]]="N", Table1[[#This Row],[Against FCS Team]]="N"),200 - ROUND(((5.45 * P173) + (150 * R173) + (100 * S173) - (300 * T173)) / Q173, 2), " ")</f>
        <v>100.76</v>
      </c>
      <c r="AC173">
        <f>IF(AND(Table1[[#This Row],[Throw Out Rush Eff]]="N", Table1[[#This Row],[Against FCS Team]]="N"), ROUND(((23.2 * I173) + (150 * K173) - (300 * L173)) / J173, 2), " ")</f>
        <v>86.3</v>
      </c>
      <c r="AD173" s="3">
        <f>IF(AND(Table1[[#This Row],[Throw Out Rush Def Eff]]="N", Table1[[#This Row],[Against FCS Team]]="N"), 200 - ROUND(((23.2 * U173) + (150 * W173) - (300 * X173)) / V173, 2), " ")</f>
        <v>112.61</v>
      </c>
      <c r="AE173" s="3">
        <f>ROUND(Table1[[#This Row],[Opp Passing Attempts]]/(Table1[[#This Row],[Opp Passing Attempts]]+Table1[[#This Row],[Opp Rushing Attempts]]), 2)</f>
        <v>0.52</v>
      </c>
      <c r="AF173" s="3">
        <f>1-Table1[[#This Row],[Passing Weight]]</f>
        <v>0.48</v>
      </c>
      <c r="AG173" s="3" t="str">
        <f>IF(COUNTIF(A:A,Table1[[#This Row],[Opp Team Name]]) &gt; 0, "N", "Y")</f>
        <v>N</v>
      </c>
      <c r="AH173" s="3" t="str">
        <f>IF(Table1[[#This Row],[Passing Attempts]] &lt;15, "Y", "N")</f>
        <v>N</v>
      </c>
      <c r="AI173" s="3" t="str">
        <f>IF(Table1[[#This Row],[Rushing Attempts]] &lt; 15, "Y", "N")</f>
        <v>N</v>
      </c>
      <c r="AJ173" s="3" t="str">
        <f>IF(Table1[[#This Row],[Opp Passing Attempts]]&lt;15, "Y", "N")</f>
        <v>N</v>
      </c>
      <c r="AK173" s="3" t="str">
        <f>IF(Table1[[#This Row],[Opp Rushing Attempts]]&lt;15, "Y", "N")</f>
        <v>N</v>
      </c>
      <c r="AL17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113.49</v>
      </c>
      <c r="AM17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84.72</v>
      </c>
      <c r="AN17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125.92</v>
      </c>
      <c r="AO17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102.54</v>
      </c>
      <c r="AP173" s="3">
        <f>ABS(Table1[[#This Row],[Team Score]]-Table1[[#This Row],[Opp Team Score]])</f>
        <v>15</v>
      </c>
      <c r="AQ173" s="3">
        <f>SUM(Table1[[#This Row],[Team Score]], Table1[[#This Row],[Opp Team Score]])</f>
        <v>43</v>
      </c>
      <c r="AR17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10.060000000000002</v>
      </c>
      <c r="AS173" s="3">
        <f>IF(Table1[[#This Row],[Efficiency Difference]] = " ", " ", ROUND((Table1[[#This Row],[Winning Margin]]*100)/Table1[[#This Row],[Efficiency Difference]], 2))</f>
        <v>149.11000000000001</v>
      </c>
    </row>
    <row r="174" spans="1:45">
      <c r="A174" t="s">
        <v>96</v>
      </c>
      <c r="B174">
        <v>0</v>
      </c>
      <c r="C174">
        <v>26</v>
      </c>
      <c r="D174">
        <v>303</v>
      </c>
      <c r="E174">
        <v>41</v>
      </c>
      <c r="F174">
        <v>2</v>
      </c>
      <c r="G174">
        <v>23</v>
      </c>
      <c r="H174">
        <v>0</v>
      </c>
      <c r="I174">
        <v>117</v>
      </c>
      <c r="J174">
        <v>25</v>
      </c>
      <c r="K174">
        <v>0</v>
      </c>
      <c r="L174">
        <v>0</v>
      </c>
      <c r="M174" t="s">
        <v>81</v>
      </c>
      <c r="N174">
        <v>0</v>
      </c>
      <c r="O174">
        <v>20</v>
      </c>
      <c r="P174">
        <v>383</v>
      </c>
      <c r="Q174">
        <v>45</v>
      </c>
      <c r="R174">
        <v>1</v>
      </c>
      <c r="S174">
        <v>29</v>
      </c>
      <c r="T174">
        <v>3</v>
      </c>
      <c r="U174">
        <v>70</v>
      </c>
      <c r="V174">
        <v>20</v>
      </c>
      <c r="W174">
        <v>1</v>
      </c>
      <c r="X174">
        <v>1</v>
      </c>
      <c r="Y174" t="s">
        <v>14</v>
      </c>
      <c r="Z174">
        <v>0</v>
      </c>
      <c r="AA174">
        <f>IF(AND(Table1[[#This Row],[Throw Out Pass Eff]]="N", Table1[[#This Row],[Against FCS Team]]="N"), ROUND(((5.45 * D174) + (150 * F174) + (100 * G174) - (300 * H174)) / E174, 2), " ")</f>
        <v>103.69</v>
      </c>
      <c r="AB174">
        <f>IF(AND(Table1[[#This Row],[Throw Out Pass Def Eff]]="N", Table1[[#This Row],[Against FCS Team]]="N"),200 - ROUND(((5.45 * P174) + (150 * R174) + (100 * S174) - (300 * T174)) / Q174, 2), " ")</f>
        <v>105.84</v>
      </c>
      <c r="AC174">
        <f>IF(AND(Table1[[#This Row],[Throw Out Rush Eff]]="N", Table1[[#This Row],[Against FCS Team]]="N"), ROUND(((23.2 * I174) + (150 * K174) - (300 * L174)) / J174, 2), " ")</f>
        <v>108.58</v>
      </c>
      <c r="AD174" s="3">
        <f>IF(AND(Table1[[#This Row],[Throw Out Rush Def Eff]]="N", Table1[[#This Row],[Against FCS Team]]="N"), 200 - ROUND(((23.2 * U174) + (150 * W174) - (300 * X174)) / V174, 2), " ")</f>
        <v>126.3</v>
      </c>
      <c r="AE174" s="3">
        <f>ROUND(Table1[[#This Row],[Opp Passing Attempts]]/(Table1[[#This Row],[Opp Passing Attempts]]+Table1[[#This Row],[Opp Rushing Attempts]]), 2)</f>
        <v>0.69</v>
      </c>
      <c r="AF174" s="3">
        <f>1-Table1[[#This Row],[Passing Weight]]</f>
        <v>0.31000000000000005</v>
      </c>
      <c r="AG174" s="3" t="str">
        <f>IF(COUNTIF(A:A,Table1[[#This Row],[Opp Team Name]]) &gt; 0, "N", "Y")</f>
        <v>N</v>
      </c>
      <c r="AH174" s="3" t="str">
        <f>IF(Table1[[#This Row],[Passing Attempts]] &lt;15, "Y", "N")</f>
        <v>N</v>
      </c>
      <c r="AI174" s="3" t="str">
        <f>IF(Table1[[#This Row],[Rushing Attempts]] &lt; 15, "Y", "N")</f>
        <v>N</v>
      </c>
      <c r="AJ174" s="3" t="str">
        <f>IF(Table1[[#This Row],[Opp Passing Attempts]]&lt;15, "Y", "N")</f>
        <v>N</v>
      </c>
      <c r="AK174" s="3" t="str">
        <f>IF(Table1[[#This Row],[Opp Rushing Attempts]]&lt;15, "Y", "N")</f>
        <v>N</v>
      </c>
      <c r="AL17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113.97</v>
      </c>
      <c r="AM17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123.7</v>
      </c>
      <c r="AN17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77.36</v>
      </c>
      <c r="AO17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129.59</v>
      </c>
      <c r="AP174" s="3">
        <f>ABS(Table1[[#This Row],[Team Score]]-Table1[[#This Row],[Opp Team Score]])</f>
        <v>6</v>
      </c>
      <c r="AQ174" s="3">
        <f>SUM(Table1[[#This Row],[Team Score]], Table1[[#This Row],[Opp Team Score]])</f>
        <v>46</v>
      </c>
      <c r="AR17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44.409999999999968</v>
      </c>
      <c r="AS174" s="3">
        <f>IF(Table1[[#This Row],[Efficiency Difference]] = " ", " ", ROUND((Table1[[#This Row],[Winning Margin]]*100)/Table1[[#This Row],[Efficiency Difference]], 2))</f>
        <v>13.51</v>
      </c>
    </row>
    <row r="175" spans="1:45">
      <c r="A175" t="s">
        <v>81</v>
      </c>
      <c r="B175">
        <v>0</v>
      </c>
      <c r="C175">
        <v>20</v>
      </c>
      <c r="D175">
        <v>383</v>
      </c>
      <c r="E175">
        <v>45</v>
      </c>
      <c r="F175">
        <v>1</v>
      </c>
      <c r="G175">
        <v>29</v>
      </c>
      <c r="H175">
        <v>3</v>
      </c>
      <c r="I175">
        <v>70</v>
      </c>
      <c r="J175">
        <v>20</v>
      </c>
      <c r="K175">
        <v>1</v>
      </c>
      <c r="L175">
        <v>1</v>
      </c>
      <c r="M175" t="s">
        <v>96</v>
      </c>
      <c r="N175">
        <v>0</v>
      </c>
      <c r="O175">
        <v>26</v>
      </c>
      <c r="P175">
        <v>303</v>
      </c>
      <c r="Q175">
        <v>41</v>
      </c>
      <c r="R175">
        <v>2</v>
      </c>
      <c r="S175">
        <v>23</v>
      </c>
      <c r="T175">
        <v>0</v>
      </c>
      <c r="U175">
        <v>117</v>
      </c>
      <c r="V175">
        <v>25</v>
      </c>
      <c r="W175">
        <v>0</v>
      </c>
      <c r="X175">
        <v>0</v>
      </c>
      <c r="Y175" t="s">
        <v>15</v>
      </c>
      <c r="Z175">
        <v>0</v>
      </c>
      <c r="AA175">
        <f>IF(AND(Table1[[#This Row],[Throw Out Pass Eff]]="N", Table1[[#This Row],[Against FCS Team]]="N"), ROUND(((5.45 * D175) + (150 * F175) + (100 * G175) - (300 * H175)) / E175, 2), " ")</f>
        <v>94.16</v>
      </c>
      <c r="AB175">
        <f>IF(AND(Table1[[#This Row],[Throw Out Pass Def Eff]]="N", Table1[[#This Row],[Against FCS Team]]="N"),200 - ROUND(((5.45 * P175) + (150 * R175) + (100 * S175) - (300 * T175)) / Q175, 2), " ")</f>
        <v>96.31</v>
      </c>
      <c r="AC175">
        <f>IF(AND(Table1[[#This Row],[Throw Out Rush Eff]]="N", Table1[[#This Row],[Against FCS Team]]="N"), ROUND(((23.2 * I175) + (150 * K175) - (300 * L175)) / J175, 2), " ")</f>
        <v>73.7</v>
      </c>
      <c r="AD175" s="3">
        <f>IF(AND(Table1[[#This Row],[Throw Out Rush Def Eff]]="N", Table1[[#This Row],[Against FCS Team]]="N"), 200 - ROUND(((23.2 * U175) + (150 * W175) - (300 * X175)) / V175, 2), " ")</f>
        <v>91.42</v>
      </c>
      <c r="AE175" s="3">
        <f>ROUND(Table1[[#This Row],[Opp Passing Attempts]]/(Table1[[#This Row],[Opp Passing Attempts]]+Table1[[#This Row],[Opp Rushing Attempts]]), 2)</f>
        <v>0.62</v>
      </c>
      <c r="AF175" s="3">
        <f>1-Table1[[#This Row],[Passing Weight]]</f>
        <v>0.38</v>
      </c>
      <c r="AG175" s="3" t="str">
        <f>IF(COUNTIF(A:A,Table1[[#This Row],[Opp Team Name]]) &gt; 0, "N", "Y")</f>
        <v>N</v>
      </c>
      <c r="AH175" s="3" t="str">
        <f>IF(Table1[[#This Row],[Passing Attempts]] &lt;15, "Y", "N")</f>
        <v>N</v>
      </c>
      <c r="AI175" s="3" t="str">
        <f>IF(Table1[[#This Row],[Rushing Attempts]] &lt; 15, "Y", "N")</f>
        <v>N</v>
      </c>
      <c r="AJ175" s="3" t="str">
        <f>IF(Table1[[#This Row],[Opp Passing Attempts]]&lt;15, "Y", "N")</f>
        <v>N</v>
      </c>
      <c r="AK175" s="3" t="str">
        <f>IF(Table1[[#This Row],[Opp Rushing Attempts]]&lt;15, "Y", "N")</f>
        <v>N</v>
      </c>
      <c r="AL17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91.8</v>
      </c>
      <c r="AM17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84.69</v>
      </c>
      <c r="AN17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81.239999999999995</v>
      </c>
      <c r="AO17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91.28</v>
      </c>
      <c r="AP175" s="3">
        <f>ABS(Table1[[#This Row],[Team Score]]-Table1[[#This Row],[Opp Team Score]])</f>
        <v>6</v>
      </c>
      <c r="AQ175" s="3">
        <f>SUM(Table1[[#This Row],[Team Score]], Table1[[#This Row],[Opp Team Score]])</f>
        <v>46</v>
      </c>
      <c r="AR17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44.409999999999968</v>
      </c>
      <c r="AS175" s="3">
        <f>IF(Table1[[#This Row],[Efficiency Difference]] = " ", " ", ROUND((Table1[[#This Row],[Winning Margin]]*100)/Table1[[#This Row],[Efficiency Difference]], 2))</f>
        <v>13.51</v>
      </c>
    </row>
    <row r="176" spans="1:45">
      <c r="A176" t="s">
        <v>109</v>
      </c>
      <c r="B176">
        <v>0</v>
      </c>
      <c r="C176">
        <v>20</v>
      </c>
      <c r="D176">
        <v>270</v>
      </c>
      <c r="E176">
        <v>41</v>
      </c>
      <c r="F176">
        <v>2</v>
      </c>
      <c r="G176">
        <v>27</v>
      </c>
      <c r="H176">
        <v>2</v>
      </c>
      <c r="I176">
        <v>101</v>
      </c>
      <c r="J176">
        <v>25</v>
      </c>
      <c r="K176">
        <v>0</v>
      </c>
      <c r="L176">
        <v>2</v>
      </c>
      <c r="M176" t="s">
        <v>107</v>
      </c>
      <c r="N176">
        <v>0</v>
      </c>
      <c r="O176">
        <v>16</v>
      </c>
      <c r="P176">
        <v>300</v>
      </c>
      <c r="Q176">
        <v>41</v>
      </c>
      <c r="R176">
        <v>1</v>
      </c>
      <c r="S176">
        <v>27</v>
      </c>
      <c r="T176">
        <v>1</v>
      </c>
      <c r="U176">
        <v>77</v>
      </c>
      <c r="V176">
        <v>24</v>
      </c>
      <c r="W176">
        <v>0</v>
      </c>
      <c r="X176">
        <v>1</v>
      </c>
      <c r="Y176" t="s">
        <v>14</v>
      </c>
      <c r="Z176">
        <v>0</v>
      </c>
      <c r="AA176">
        <f>IF(AND(Table1[[#This Row],[Throw Out Pass Eff]]="N", Table1[[#This Row],[Against FCS Team]]="N"), ROUND(((5.45 * D176) + (150 * F176) + (100 * G176) - (300 * H176)) / E176, 2), " ")</f>
        <v>94.43</v>
      </c>
      <c r="AB176">
        <f>IF(AND(Table1[[#This Row],[Throw Out Pass Def Eff]]="N", Table1[[#This Row],[Against FCS Team]]="N"),200 - ROUND(((5.45 * P176) + (150 * R176) + (100 * S176) - (300 * T176)) / Q176, 2), " ")</f>
        <v>97.93</v>
      </c>
      <c r="AC176">
        <f>IF(AND(Table1[[#This Row],[Throw Out Rush Eff]]="N", Table1[[#This Row],[Against FCS Team]]="N"), ROUND(((23.2 * I176) + (150 * K176) - (300 * L176)) / J176, 2), " ")</f>
        <v>69.73</v>
      </c>
      <c r="AD176" s="3">
        <f>IF(AND(Table1[[#This Row],[Throw Out Rush Def Eff]]="N", Table1[[#This Row],[Against FCS Team]]="N"), 200 - ROUND(((23.2 * U176) + (150 * W176) - (300 * X176)) / V176, 2), " ")</f>
        <v>138.07</v>
      </c>
      <c r="AE176" s="3">
        <f>ROUND(Table1[[#This Row],[Opp Passing Attempts]]/(Table1[[#This Row],[Opp Passing Attempts]]+Table1[[#This Row],[Opp Rushing Attempts]]), 2)</f>
        <v>0.63</v>
      </c>
      <c r="AF176" s="3">
        <f>1-Table1[[#This Row],[Passing Weight]]</f>
        <v>0.37</v>
      </c>
      <c r="AG176" s="3" t="str">
        <f>IF(COUNTIF(A:A,Table1[[#This Row],[Opp Team Name]]) &gt; 0, "N", "Y")</f>
        <v>N</v>
      </c>
      <c r="AH176" s="3" t="str">
        <f>IF(Table1[[#This Row],[Passing Attempts]] &lt;15, "Y", "N")</f>
        <v>N</v>
      </c>
      <c r="AI176" s="3" t="str">
        <f>IF(Table1[[#This Row],[Rushing Attempts]] &lt; 15, "Y", "N")</f>
        <v>N</v>
      </c>
      <c r="AJ176" s="3" t="str">
        <f>IF(Table1[[#This Row],[Opp Passing Attempts]]&lt;15, "Y", "N")</f>
        <v>N</v>
      </c>
      <c r="AK176" s="3" t="str">
        <f>IF(Table1[[#This Row],[Opp Rushing Attempts]]&lt;15, "Y", "N")</f>
        <v>N</v>
      </c>
      <c r="AL17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103.58</v>
      </c>
      <c r="AM17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101.55</v>
      </c>
      <c r="AN17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92.38</v>
      </c>
      <c r="AO17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125.85</v>
      </c>
      <c r="AP176" s="3">
        <f>ABS(Table1[[#This Row],[Team Score]]-Table1[[#This Row],[Opp Team Score]])</f>
        <v>4</v>
      </c>
      <c r="AQ176" s="3">
        <f>SUM(Table1[[#This Row],[Team Score]], Table1[[#This Row],[Opp Team Score]])</f>
        <v>36</v>
      </c>
      <c r="AR17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0.16000000000002501</v>
      </c>
      <c r="AS176" s="3">
        <f>IF(Table1[[#This Row],[Efficiency Difference]] = " ", " ", ROUND((Table1[[#This Row],[Winning Margin]]*100)/Table1[[#This Row],[Efficiency Difference]], 2))</f>
        <v>2500</v>
      </c>
    </row>
    <row r="177" spans="1:45">
      <c r="A177" t="s">
        <v>107</v>
      </c>
      <c r="B177">
        <v>0</v>
      </c>
      <c r="C177">
        <v>16</v>
      </c>
      <c r="D177">
        <v>300</v>
      </c>
      <c r="E177">
        <v>41</v>
      </c>
      <c r="F177">
        <v>1</v>
      </c>
      <c r="G177">
        <v>27</v>
      </c>
      <c r="H177">
        <v>1</v>
      </c>
      <c r="I177">
        <v>77</v>
      </c>
      <c r="J177">
        <v>24</v>
      </c>
      <c r="K177">
        <v>0</v>
      </c>
      <c r="L177">
        <v>1</v>
      </c>
      <c r="M177" t="s">
        <v>109</v>
      </c>
      <c r="N177">
        <v>0</v>
      </c>
      <c r="O177">
        <v>20</v>
      </c>
      <c r="P177">
        <v>270</v>
      </c>
      <c r="Q177">
        <v>41</v>
      </c>
      <c r="R177">
        <v>2</v>
      </c>
      <c r="S177">
        <v>27</v>
      </c>
      <c r="T177">
        <v>2</v>
      </c>
      <c r="U177">
        <v>101</v>
      </c>
      <c r="V177">
        <v>25</v>
      </c>
      <c r="W177">
        <v>0</v>
      </c>
      <c r="X177">
        <v>2</v>
      </c>
      <c r="Y177" t="s">
        <v>15</v>
      </c>
      <c r="Z177">
        <v>0</v>
      </c>
      <c r="AA177" s="3">
        <f>IF(AND(Table1[[#This Row],[Throw Out Pass Eff]]="N", Table1[[#This Row],[Against FCS Team]]="N"), ROUND(((5.45 * D177) + (150 * F177) + (100 * G177) - (300 * H177)) / E177, 2), " ")</f>
        <v>102.07</v>
      </c>
      <c r="AB177" s="3">
        <f>IF(AND(Table1[[#This Row],[Throw Out Pass Def Eff]]="N", Table1[[#This Row],[Against FCS Team]]="N"),200 - ROUND(((5.45 * P177) + (150 * R177) + (100 * S177) - (300 * T177)) / Q177, 2), " ")</f>
        <v>105.57</v>
      </c>
      <c r="AC177" s="3">
        <f>IF(AND(Table1[[#This Row],[Throw Out Rush Eff]]="N", Table1[[#This Row],[Against FCS Team]]="N"), ROUND(((23.2 * I177) + (150 * K177) - (300 * L177)) / J177, 2), " ")</f>
        <v>61.93</v>
      </c>
      <c r="AD177" s="3">
        <f>IF(AND(Table1[[#This Row],[Throw Out Rush Def Eff]]="N", Table1[[#This Row],[Against FCS Team]]="N"), 200 - ROUND(((23.2 * U177) + (150 * W177) - (300 * X177)) / V177, 2), " ")</f>
        <v>130.26999999999998</v>
      </c>
      <c r="AE177" s="3">
        <f>ROUND(Table1[[#This Row],[Opp Passing Attempts]]/(Table1[[#This Row],[Opp Passing Attempts]]+Table1[[#This Row],[Opp Rushing Attempts]]), 2)</f>
        <v>0.62</v>
      </c>
      <c r="AF177" s="3">
        <f>1-Table1[[#This Row],[Passing Weight]]</f>
        <v>0.38</v>
      </c>
      <c r="AG177" s="3" t="str">
        <f>IF(COUNTIF(A:A,Table1[[#This Row],[Opp Team Name]]) &gt; 0, "N", "Y")</f>
        <v>N</v>
      </c>
      <c r="AH177" s="3" t="str">
        <f>IF(Table1[[#This Row],[Passing Attempts]] &lt;15, "Y", "N")</f>
        <v>N</v>
      </c>
      <c r="AI177" s="3" t="str">
        <f>IF(Table1[[#This Row],[Rushing Attempts]] &lt; 15, "Y", "N")</f>
        <v>N</v>
      </c>
      <c r="AJ177" s="3" t="str">
        <f>IF(Table1[[#This Row],[Opp Passing Attempts]]&lt;15, "Y", "N")</f>
        <v>N</v>
      </c>
      <c r="AK177" s="3" t="str">
        <f>IF(Table1[[#This Row],[Opp Rushing Attempts]]&lt;15, "Y", "N")</f>
        <v>N</v>
      </c>
      <c r="AL17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95.35</v>
      </c>
      <c r="AM17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121.73</v>
      </c>
      <c r="AN17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62.21</v>
      </c>
      <c r="AO17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138.69</v>
      </c>
      <c r="AP177" s="3">
        <f>ABS(Table1[[#This Row],[Team Score]]-Table1[[#This Row],[Opp Team Score]])</f>
        <v>4</v>
      </c>
      <c r="AQ177" s="3">
        <f>SUM(Table1[[#This Row],[Team Score]], Table1[[#This Row],[Opp Team Score]])</f>
        <v>36</v>
      </c>
      <c r="AR17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0.16000000000002501</v>
      </c>
      <c r="AS177" s="3">
        <f>IF(Table1[[#This Row],[Efficiency Difference]] = " ", " ", ROUND((Table1[[#This Row],[Winning Margin]]*100)/Table1[[#This Row],[Efficiency Difference]], 2))</f>
        <v>2500</v>
      </c>
    </row>
    <row r="178" spans="1:45">
      <c r="A178" t="s">
        <v>82</v>
      </c>
      <c r="B178">
        <v>0</v>
      </c>
      <c r="C178">
        <v>39</v>
      </c>
      <c r="D178">
        <v>258</v>
      </c>
      <c r="E178">
        <v>31</v>
      </c>
      <c r="F178">
        <v>2</v>
      </c>
      <c r="G178">
        <v>21</v>
      </c>
      <c r="H178">
        <v>0</v>
      </c>
      <c r="I178">
        <v>119</v>
      </c>
      <c r="J178">
        <v>28</v>
      </c>
      <c r="K178">
        <v>1</v>
      </c>
      <c r="L178">
        <v>1</v>
      </c>
      <c r="M178" t="s">
        <v>99</v>
      </c>
      <c r="N178">
        <v>0</v>
      </c>
      <c r="O178">
        <v>10</v>
      </c>
      <c r="P178">
        <v>233</v>
      </c>
      <c r="Q178">
        <v>42</v>
      </c>
      <c r="R178">
        <v>0</v>
      </c>
      <c r="S178">
        <v>28</v>
      </c>
      <c r="T178">
        <v>0</v>
      </c>
      <c r="U178">
        <v>53</v>
      </c>
      <c r="V178">
        <v>17</v>
      </c>
      <c r="W178">
        <v>1</v>
      </c>
      <c r="X178">
        <v>0</v>
      </c>
      <c r="Y178" t="s">
        <v>14</v>
      </c>
      <c r="Z178">
        <v>0</v>
      </c>
      <c r="AA178">
        <f>IF(AND(Table1[[#This Row],[Throw Out Pass Eff]]="N", Table1[[#This Row],[Against FCS Team]]="N"), ROUND(((5.45 * D178) + (150 * F178) + (100 * G178) - (300 * H178)) / E178, 2), " ")</f>
        <v>122.78</v>
      </c>
      <c r="AB178">
        <f>IF(AND(Table1[[#This Row],[Throw Out Pass Def Eff]]="N", Table1[[#This Row],[Against FCS Team]]="N"),200 - ROUND(((5.45 * P178) + (150 * R178) + (100 * S178) - (300 * T178)) / Q178, 2), " ")</f>
        <v>103.1</v>
      </c>
      <c r="AC178">
        <f>IF(AND(Table1[[#This Row],[Throw Out Rush Eff]]="N", Table1[[#This Row],[Against FCS Team]]="N"), ROUND(((23.2 * I178) + (150 * K178) - (300 * L178)) / J178, 2), " ")</f>
        <v>93.24</v>
      </c>
      <c r="AD178" s="3">
        <f>IF(AND(Table1[[#This Row],[Throw Out Rush Def Eff]]="N", Table1[[#This Row],[Against FCS Team]]="N"), 200 - ROUND(((23.2 * U178) + (150 * W178) - (300 * X178)) / V178, 2), " ")</f>
        <v>118.85</v>
      </c>
      <c r="AE178" s="3">
        <f>ROUND(Table1[[#This Row],[Opp Passing Attempts]]/(Table1[[#This Row],[Opp Passing Attempts]]+Table1[[#This Row],[Opp Rushing Attempts]]), 2)</f>
        <v>0.71</v>
      </c>
      <c r="AF178" s="3">
        <f>1-Table1[[#This Row],[Passing Weight]]</f>
        <v>0.29000000000000004</v>
      </c>
      <c r="AG178" s="3" t="str">
        <f>IF(COUNTIF(A:A,Table1[[#This Row],[Opp Team Name]]) &gt; 0, "N", "Y")</f>
        <v>N</v>
      </c>
      <c r="AH178" s="3" t="str">
        <f>IF(Table1[[#This Row],[Passing Attempts]] &lt;15, "Y", "N")</f>
        <v>N</v>
      </c>
      <c r="AI178" s="3" t="str">
        <f>IF(Table1[[#This Row],[Rushing Attempts]] &lt; 15, "Y", "N")</f>
        <v>N</v>
      </c>
      <c r="AJ178" s="3" t="str">
        <f>IF(Table1[[#This Row],[Opp Passing Attempts]]&lt;15, "Y", "N")</f>
        <v>N</v>
      </c>
      <c r="AK178" s="3" t="str">
        <f>IF(Table1[[#This Row],[Opp Rushing Attempts]]&lt;15, "Y", "N")</f>
        <v>N</v>
      </c>
      <c r="AL17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111.67</v>
      </c>
      <c r="AM17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86.61</v>
      </c>
      <c r="AN17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109.61</v>
      </c>
      <c r="AO17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151.82</v>
      </c>
      <c r="AP178" s="3">
        <f>ABS(Table1[[#This Row],[Team Score]]-Table1[[#This Row],[Opp Team Score]])</f>
        <v>29</v>
      </c>
      <c r="AQ178" s="3">
        <f>SUM(Table1[[#This Row],[Team Score]], Table1[[#This Row],[Opp Team Score]])</f>
        <v>49</v>
      </c>
      <c r="AR17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37.96999999999997</v>
      </c>
      <c r="AS178" s="3">
        <f>IF(Table1[[#This Row],[Efficiency Difference]] = " ", " ", ROUND((Table1[[#This Row],[Winning Margin]]*100)/Table1[[#This Row],[Efficiency Difference]], 2))</f>
        <v>76.38</v>
      </c>
    </row>
    <row r="179" spans="1:45">
      <c r="A179" t="s">
        <v>99</v>
      </c>
      <c r="B179">
        <v>0</v>
      </c>
      <c r="C179">
        <v>10</v>
      </c>
      <c r="D179">
        <v>233</v>
      </c>
      <c r="E179">
        <v>42</v>
      </c>
      <c r="F179">
        <v>0</v>
      </c>
      <c r="G179">
        <v>28</v>
      </c>
      <c r="H179">
        <v>0</v>
      </c>
      <c r="I179">
        <v>53</v>
      </c>
      <c r="J179">
        <v>17</v>
      </c>
      <c r="K179">
        <v>1</v>
      </c>
      <c r="L179">
        <v>0</v>
      </c>
      <c r="M179" t="s">
        <v>82</v>
      </c>
      <c r="N179">
        <v>0</v>
      </c>
      <c r="O179">
        <v>39</v>
      </c>
      <c r="P179">
        <v>258</v>
      </c>
      <c r="Q179">
        <v>31</v>
      </c>
      <c r="R179">
        <v>2</v>
      </c>
      <c r="S179">
        <v>21</v>
      </c>
      <c r="T179">
        <v>0</v>
      </c>
      <c r="U179">
        <v>119</v>
      </c>
      <c r="V179">
        <v>28</v>
      </c>
      <c r="W179">
        <v>1</v>
      </c>
      <c r="X179">
        <v>1</v>
      </c>
      <c r="Y179" t="s">
        <v>15</v>
      </c>
      <c r="Z179">
        <v>0</v>
      </c>
      <c r="AA179">
        <f>IF(AND(Table1[[#This Row],[Throw Out Pass Eff]]="N", Table1[[#This Row],[Against FCS Team]]="N"), ROUND(((5.45 * D179) + (150 * F179) + (100 * G179) - (300 * H179)) / E179, 2), " ")</f>
        <v>96.9</v>
      </c>
      <c r="AB179">
        <f>IF(AND(Table1[[#This Row],[Throw Out Pass Def Eff]]="N", Table1[[#This Row],[Against FCS Team]]="N"),200 - ROUND(((5.45 * P179) + (150 * R179) + (100 * S179) - (300 * T179)) / Q179, 2), " ")</f>
        <v>77.22</v>
      </c>
      <c r="AC179">
        <f>IF(AND(Table1[[#This Row],[Throw Out Rush Eff]]="N", Table1[[#This Row],[Against FCS Team]]="N"), ROUND(((23.2 * I179) + (150 * K179) - (300 * L179)) / J179, 2), " ")</f>
        <v>81.150000000000006</v>
      </c>
      <c r="AD179" s="3">
        <f>IF(AND(Table1[[#This Row],[Throw Out Rush Def Eff]]="N", Table1[[#This Row],[Against FCS Team]]="N"), 200 - ROUND(((23.2 * U179) + (150 * W179) - (300 * X179)) / V179, 2), " ")</f>
        <v>106.76</v>
      </c>
      <c r="AE179" s="3">
        <f>ROUND(Table1[[#This Row],[Opp Passing Attempts]]/(Table1[[#This Row],[Opp Passing Attempts]]+Table1[[#This Row],[Opp Rushing Attempts]]), 2)</f>
        <v>0.53</v>
      </c>
      <c r="AF179" s="3">
        <f>1-Table1[[#This Row],[Passing Weight]]</f>
        <v>0.47</v>
      </c>
      <c r="AG179" s="3" t="str">
        <f>IF(COUNTIF(A:A,Table1[[#This Row],[Opp Team Name]]) &gt; 0, "N", "Y")</f>
        <v>N</v>
      </c>
      <c r="AH179" s="3" t="str">
        <f>IF(Table1[[#This Row],[Passing Attempts]] &lt;15, "Y", "N")</f>
        <v>N</v>
      </c>
      <c r="AI179" s="3" t="str">
        <f>IF(Table1[[#This Row],[Rushing Attempts]] &lt; 15, "Y", "N")</f>
        <v>N</v>
      </c>
      <c r="AJ179" s="3" t="str">
        <f>IF(Table1[[#This Row],[Opp Passing Attempts]]&lt;15, "Y", "N")</f>
        <v>N</v>
      </c>
      <c r="AK179" s="3" t="str">
        <f>IF(Table1[[#This Row],[Opp Rushing Attempts]]&lt;15, "Y", "N")</f>
        <v>N</v>
      </c>
      <c r="AL17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95.29</v>
      </c>
      <c r="AM17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71.849999999999994</v>
      </c>
      <c r="AN17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62.54</v>
      </c>
      <c r="AO17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126.6</v>
      </c>
      <c r="AP179" s="3">
        <f>ABS(Table1[[#This Row],[Team Score]]-Table1[[#This Row],[Opp Team Score]])</f>
        <v>29</v>
      </c>
      <c r="AQ179" s="3">
        <f>SUM(Table1[[#This Row],[Team Score]], Table1[[#This Row],[Opp Team Score]])</f>
        <v>49</v>
      </c>
      <c r="AR17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37.96999999999997</v>
      </c>
      <c r="AS179" s="3">
        <f>IF(Table1[[#This Row],[Efficiency Difference]] = " ", " ", ROUND((Table1[[#This Row],[Winning Margin]]*100)/Table1[[#This Row],[Efficiency Difference]], 2))</f>
        <v>76.38</v>
      </c>
    </row>
    <row r="180" spans="1:45">
      <c r="A180" t="s">
        <v>106</v>
      </c>
      <c r="B180">
        <v>0</v>
      </c>
      <c r="C180">
        <v>24</v>
      </c>
      <c r="D180">
        <v>192</v>
      </c>
      <c r="E180">
        <v>25</v>
      </c>
      <c r="F180">
        <v>1</v>
      </c>
      <c r="G180">
        <v>14</v>
      </c>
      <c r="H180">
        <v>0</v>
      </c>
      <c r="I180">
        <v>104</v>
      </c>
      <c r="J180">
        <v>29</v>
      </c>
      <c r="K180">
        <v>1</v>
      </c>
      <c r="L180">
        <v>1</v>
      </c>
      <c r="M180" t="s">
        <v>108</v>
      </c>
      <c r="N180">
        <v>0</v>
      </c>
      <c r="O180">
        <v>6</v>
      </c>
      <c r="P180">
        <v>190</v>
      </c>
      <c r="Q180">
        <v>34</v>
      </c>
      <c r="R180">
        <v>0</v>
      </c>
      <c r="S180">
        <v>16</v>
      </c>
      <c r="T180">
        <v>2</v>
      </c>
      <c r="U180">
        <v>118</v>
      </c>
      <c r="V180">
        <v>25</v>
      </c>
      <c r="W180">
        <v>0</v>
      </c>
      <c r="X180">
        <v>1</v>
      </c>
      <c r="Y180" t="s">
        <v>14</v>
      </c>
      <c r="Z180">
        <v>0</v>
      </c>
      <c r="AA180">
        <f>IF(AND(Table1[[#This Row],[Throw Out Pass Eff]]="N", Table1[[#This Row],[Against FCS Team]]="N"), ROUND(((5.45 * D180) + (150 * F180) + (100 * G180) - (300 * H180)) / E180, 2), " ")</f>
        <v>103.86</v>
      </c>
      <c r="AB180">
        <f>IF(AND(Table1[[#This Row],[Throw Out Pass Def Eff]]="N", Table1[[#This Row],[Against FCS Team]]="N"),200 - ROUND(((5.45 * P180) + (150 * R180) + (100 * S180) - (300 * T180)) / Q180, 2), " ")</f>
        <v>140.13</v>
      </c>
      <c r="AC180">
        <f>IF(AND(Table1[[#This Row],[Throw Out Rush Eff]]="N", Table1[[#This Row],[Against FCS Team]]="N"), ROUND(((23.2 * I180) + (150 * K180) - (300 * L180)) / J180, 2), " ")</f>
        <v>78.03</v>
      </c>
      <c r="AD180" s="3">
        <f>IF(AND(Table1[[#This Row],[Throw Out Rush Def Eff]]="N", Table1[[#This Row],[Against FCS Team]]="N"), 200 - ROUND(((23.2 * U180) + (150 * W180) - (300 * X180)) / V180, 2), " ")</f>
        <v>102.5</v>
      </c>
      <c r="AE180" s="3">
        <f>ROUND(Table1[[#This Row],[Opp Passing Attempts]]/(Table1[[#This Row],[Opp Passing Attempts]]+Table1[[#This Row],[Opp Rushing Attempts]]), 2)</f>
        <v>0.57999999999999996</v>
      </c>
      <c r="AF180" s="3">
        <f>1-Table1[[#This Row],[Passing Weight]]</f>
        <v>0.42000000000000004</v>
      </c>
      <c r="AG180" s="3" t="str">
        <f>IF(COUNTIF(A:A,Table1[[#This Row],[Opp Team Name]]) &gt; 0, "N", "Y")</f>
        <v>N</v>
      </c>
      <c r="AH180" s="3" t="str">
        <f>IF(Table1[[#This Row],[Passing Attempts]] &lt;15, "Y", "N")</f>
        <v>N</v>
      </c>
      <c r="AI180" s="3" t="str">
        <f>IF(Table1[[#This Row],[Rushing Attempts]] &lt; 15, "Y", "N")</f>
        <v>N</v>
      </c>
      <c r="AJ180" s="3" t="str">
        <f>IF(Table1[[#This Row],[Opp Passing Attempts]]&lt;15, "Y", "N")</f>
        <v>N</v>
      </c>
      <c r="AK180" s="3" t="str">
        <f>IF(Table1[[#This Row],[Opp Rushing Attempts]]&lt;15, "Y", "N")</f>
        <v>N</v>
      </c>
      <c r="AL18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96.24</v>
      </c>
      <c r="AM18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118.98</v>
      </c>
      <c r="AN18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82.24</v>
      </c>
      <c r="AO18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94.73</v>
      </c>
      <c r="AP180" s="3">
        <f>ABS(Table1[[#This Row],[Team Score]]-Table1[[#This Row],[Opp Team Score]])</f>
        <v>18</v>
      </c>
      <c r="AQ180" s="3">
        <f>SUM(Table1[[#This Row],[Team Score]], Table1[[#This Row],[Opp Team Score]])</f>
        <v>30</v>
      </c>
      <c r="AR18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24.519999999999982</v>
      </c>
      <c r="AS180" s="3">
        <f>IF(Table1[[#This Row],[Efficiency Difference]] = " ", " ", ROUND((Table1[[#This Row],[Winning Margin]]*100)/Table1[[#This Row],[Efficiency Difference]], 2))</f>
        <v>73.41</v>
      </c>
    </row>
    <row r="181" spans="1:45">
      <c r="A181" t="s">
        <v>108</v>
      </c>
      <c r="B181">
        <v>0</v>
      </c>
      <c r="C181">
        <v>6</v>
      </c>
      <c r="D181">
        <v>190</v>
      </c>
      <c r="E181">
        <v>34</v>
      </c>
      <c r="F181">
        <v>0</v>
      </c>
      <c r="G181">
        <v>16</v>
      </c>
      <c r="H181">
        <v>2</v>
      </c>
      <c r="I181">
        <v>118</v>
      </c>
      <c r="J181">
        <v>25</v>
      </c>
      <c r="K181">
        <v>0</v>
      </c>
      <c r="L181">
        <v>1</v>
      </c>
      <c r="M181" t="s">
        <v>106</v>
      </c>
      <c r="N181">
        <v>0</v>
      </c>
      <c r="O181">
        <v>24</v>
      </c>
      <c r="P181">
        <v>192</v>
      </c>
      <c r="Q181">
        <v>25</v>
      </c>
      <c r="R181">
        <v>1</v>
      </c>
      <c r="S181">
        <v>14</v>
      </c>
      <c r="T181">
        <v>0</v>
      </c>
      <c r="U181">
        <v>104</v>
      </c>
      <c r="V181">
        <v>29</v>
      </c>
      <c r="W181">
        <v>1</v>
      </c>
      <c r="X181">
        <v>1</v>
      </c>
      <c r="Y181" t="s">
        <v>15</v>
      </c>
      <c r="Z181">
        <v>0</v>
      </c>
      <c r="AA181">
        <f>IF(AND(Table1[[#This Row],[Throw Out Pass Eff]]="N", Table1[[#This Row],[Against FCS Team]]="N"), ROUND(((5.45 * D181) + (150 * F181) + (100 * G181) - (300 * H181)) / E181, 2), " ")</f>
        <v>59.87</v>
      </c>
      <c r="AB181">
        <f>IF(AND(Table1[[#This Row],[Throw Out Pass Def Eff]]="N", Table1[[#This Row],[Against FCS Team]]="N"),200 - ROUND(((5.45 * P181) + (150 * R181) + (100 * S181) - (300 * T181)) / Q181, 2), " ")</f>
        <v>96.14</v>
      </c>
      <c r="AC181">
        <f>IF(AND(Table1[[#This Row],[Throw Out Rush Eff]]="N", Table1[[#This Row],[Against FCS Team]]="N"), ROUND(((23.2 * I181) + (150 * K181) - (300 * L181)) / J181, 2), " ")</f>
        <v>97.5</v>
      </c>
      <c r="AD181" s="3">
        <f>IF(AND(Table1[[#This Row],[Throw Out Rush Def Eff]]="N", Table1[[#This Row],[Against FCS Team]]="N"), 200 - ROUND(((23.2 * U181) + (150 * W181) - (300 * X181)) / V181, 2), " ")</f>
        <v>121.97</v>
      </c>
      <c r="AE181" s="3">
        <f>ROUND(Table1[[#This Row],[Opp Passing Attempts]]/(Table1[[#This Row],[Opp Passing Attempts]]+Table1[[#This Row],[Opp Rushing Attempts]]), 2)</f>
        <v>0.46</v>
      </c>
      <c r="AF181" s="3">
        <f>1-Table1[[#This Row],[Passing Weight]]</f>
        <v>0.54</v>
      </c>
      <c r="AG181" s="3" t="str">
        <f>IF(COUNTIF(A:A,Table1[[#This Row],[Opp Team Name]]) &gt; 0, "N", "Y")</f>
        <v>N</v>
      </c>
      <c r="AH181" s="3" t="str">
        <f>IF(Table1[[#This Row],[Passing Attempts]] &lt;15, "Y", "N")</f>
        <v>N</v>
      </c>
      <c r="AI181" s="3" t="str">
        <f>IF(Table1[[#This Row],[Rushing Attempts]] &lt; 15, "Y", "N")</f>
        <v>N</v>
      </c>
      <c r="AJ181" s="3" t="str">
        <f>IF(Table1[[#This Row],[Opp Passing Attempts]]&lt;15, "Y", "N")</f>
        <v>N</v>
      </c>
      <c r="AK181" s="3" t="str">
        <f>IF(Table1[[#This Row],[Opp Rushing Attempts]]&lt;15, "Y", "N")</f>
        <v>N</v>
      </c>
      <c r="AL18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75.48</v>
      </c>
      <c r="AM18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87.73</v>
      </c>
      <c r="AN18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100.28</v>
      </c>
      <c r="AO18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86.4</v>
      </c>
      <c r="AP181" s="3">
        <f>ABS(Table1[[#This Row],[Team Score]]-Table1[[#This Row],[Opp Team Score]])</f>
        <v>18</v>
      </c>
      <c r="AQ181" s="3">
        <f>SUM(Table1[[#This Row],[Team Score]], Table1[[#This Row],[Opp Team Score]])</f>
        <v>30</v>
      </c>
      <c r="AR18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24.519999999999982</v>
      </c>
      <c r="AS181" s="3">
        <f>IF(Table1[[#This Row],[Efficiency Difference]] = " ", " ", ROUND((Table1[[#This Row],[Winning Margin]]*100)/Table1[[#This Row],[Efficiency Difference]], 2))</f>
        <v>73.41</v>
      </c>
    </row>
    <row r="182" spans="1:45">
      <c r="A182" t="s">
        <v>106</v>
      </c>
      <c r="B182">
        <v>0</v>
      </c>
      <c r="C182">
        <v>27</v>
      </c>
      <c r="D182">
        <v>156</v>
      </c>
      <c r="E182">
        <v>33</v>
      </c>
      <c r="F182">
        <v>3</v>
      </c>
      <c r="G182">
        <v>18</v>
      </c>
      <c r="H182">
        <v>1</v>
      </c>
      <c r="I182">
        <v>162</v>
      </c>
      <c r="J182">
        <v>31</v>
      </c>
      <c r="K182">
        <v>0</v>
      </c>
      <c r="L182">
        <v>1</v>
      </c>
      <c r="M182" t="s">
        <v>98</v>
      </c>
      <c r="N182">
        <v>0</v>
      </c>
      <c r="O182">
        <v>21</v>
      </c>
      <c r="P182">
        <v>172</v>
      </c>
      <c r="Q182">
        <v>32</v>
      </c>
      <c r="R182">
        <v>1</v>
      </c>
      <c r="S182">
        <v>16</v>
      </c>
      <c r="T182">
        <v>2</v>
      </c>
      <c r="U182">
        <v>96</v>
      </c>
      <c r="V182">
        <v>25</v>
      </c>
      <c r="W182">
        <v>1</v>
      </c>
      <c r="X182">
        <v>0</v>
      </c>
      <c r="Y182" t="s">
        <v>14</v>
      </c>
      <c r="Z182">
        <v>0</v>
      </c>
      <c r="AA182">
        <f>IF(AND(Table1[[#This Row],[Throw Out Pass Eff]]="N", Table1[[#This Row],[Against FCS Team]]="N"), ROUND(((5.45 * D182) + (150 * F182) + (100 * G182) - (300 * H182)) / E182, 2), " ")</f>
        <v>84.85</v>
      </c>
      <c r="AB182">
        <f>IF(AND(Table1[[#This Row],[Throw Out Pass Def Eff]]="N", Table1[[#This Row],[Against FCS Team]]="N"),200 - ROUND(((5.45 * P182) + (150 * R182) + (100 * S182) - (300 * T182)) / Q182, 2), " ")</f>
        <v>134.76999999999998</v>
      </c>
      <c r="AC182">
        <f>IF(AND(Table1[[#This Row],[Throw Out Rush Eff]]="N", Table1[[#This Row],[Against FCS Team]]="N"), ROUND(((23.2 * I182) + (150 * K182) - (300 * L182)) / J182, 2), " ")</f>
        <v>111.56</v>
      </c>
      <c r="AD182" s="3">
        <f>IF(AND(Table1[[#This Row],[Throw Out Rush Def Eff]]="N", Table1[[#This Row],[Against FCS Team]]="N"), 200 - ROUND(((23.2 * U182) + (150 * W182) - (300 * X182)) / V182, 2), " ")</f>
        <v>104.91</v>
      </c>
      <c r="AE182" s="3">
        <f>ROUND(Table1[[#This Row],[Opp Passing Attempts]]/(Table1[[#This Row],[Opp Passing Attempts]]+Table1[[#This Row],[Opp Rushing Attempts]]), 2)</f>
        <v>0.56000000000000005</v>
      </c>
      <c r="AF182" s="3">
        <f>1-Table1[[#This Row],[Passing Weight]]</f>
        <v>0.43999999999999995</v>
      </c>
      <c r="AG182" s="3" t="str">
        <f>IF(COUNTIF(A:A,Table1[[#This Row],[Opp Team Name]]) &gt; 0, "N", "Y")</f>
        <v>N</v>
      </c>
      <c r="AH182" s="3" t="str">
        <f>IF(Table1[[#This Row],[Passing Attempts]] &lt;15, "Y", "N")</f>
        <v>N</v>
      </c>
      <c r="AI182" s="3" t="str">
        <f>IF(Table1[[#This Row],[Rushing Attempts]] &lt; 15, "Y", "N")</f>
        <v>N</v>
      </c>
      <c r="AJ182" s="3" t="str">
        <f>IF(Table1[[#This Row],[Opp Passing Attempts]]&lt;15, "Y", "N")</f>
        <v>N</v>
      </c>
      <c r="AK182" s="3" t="str">
        <f>IF(Table1[[#This Row],[Opp Rushing Attempts]]&lt;15, "Y", "N")</f>
        <v>N</v>
      </c>
      <c r="AL18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94.99</v>
      </c>
      <c r="AM18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131.72</v>
      </c>
      <c r="AN18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98.74</v>
      </c>
      <c r="AO18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96.59</v>
      </c>
      <c r="AP182" s="3">
        <f>ABS(Table1[[#This Row],[Team Score]]-Table1[[#This Row],[Opp Team Score]])</f>
        <v>6</v>
      </c>
      <c r="AQ182" s="3">
        <f>SUM(Table1[[#This Row],[Team Score]], Table1[[#This Row],[Opp Team Score]])</f>
        <v>48</v>
      </c>
      <c r="AR18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36.089999999999975</v>
      </c>
      <c r="AS182" s="3">
        <f>IF(Table1[[#This Row],[Efficiency Difference]] = " ", " ", ROUND((Table1[[#This Row],[Winning Margin]]*100)/Table1[[#This Row],[Efficiency Difference]], 2))</f>
        <v>16.63</v>
      </c>
    </row>
    <row r="183" spans="1:45">
      <c r="A183" t="s">
        <v>98</v>
      </c>
      <c r="B183">
        <v>0</v>
      </c>
      <c r="C183">
        <v>21</v>
      </c>
      <c r="D183">
        <v>172</v>
      </c>
      <c r="E183">
        <v>32</v>
      </c>
      <c r="F183">
        <v>1</v>
      </c>
      <c r="G183">
        <v>16</v>
      </c>
      <c r="H183">
        <v>2</v>
      </c>
      <c r="I183">
        <v>96</v>
      </c>
      <c r="J183">
        <v>25</v>
      </c>
      <c r="K183">
        <v>1</v>
      </c>
      <c r="L183">
        <v>0</v>
      </c>
      <c r="M183" t="s">
        <v>106</v>
      </c>
      <c r="N183">
        <v>0</v>
      </c>
      <c r="O183">
        <v>27</v>
      </c>
      <c r="P183">
        <v>156</v>
      </c>
      <c r="Q183">
        <v>33</v>
      </c>
      <c r="R183">
        <v>3</v>
      </c>
      <c r="S183">
        <v>18</v>
      </c>
      <c r="T183">
        <v>1</v>
      </c>
      <c r="U183">
        <v>162</v>
      </c>
      <c r="V183">
        <v>31</v>
      </c>
      <c r="W183">
        <v>0</v>
      </c>
      <c r="X183">
        <v>1</v>
      </c>
      <c r="Y183" t="s">
        <v>15</v>
      </c>
      <c r="Z183">
        <v>0</v>
      </c>
      <c r="AA183">
        <f>IF(AND(Table1[[#This Row],[Throw Out Pass Eff]]="N", Table1[[#This Row],[Against FCS Team]]="N"), ROUND(((5.45 * D183) + (150 * F183) + (100 * G183) - (300 * H183)) / E183, 2), " ")</f>
        <v>65.23</v>
      </c>
      <c r="AB183">
        <f>IF(AND(Table1[[#This Row],[Throw Out Pass Def Eff]]="N", Table1[[#This Row],[Against FCS Team]]="N"),200 - ROUND(((5.45 * P183) + (150 * R183) + (100 * S183) - (300 * T183)) / Q183, 2), " ")</f>
        <v>115.15</v>
      </c>
      <c r="AC183">
        <f>IF(AND(Table1[[#This Row],[Throw Out Rush Eff]]="N", Table1[[#This Row],[Against FCS Team]]="N"), ROUND(((23.2 * I183) + (150 * K183) - (300 * L183)) / J183, 2), " ")</f>
        <v>95.09</v>
      </c>
      <c r="AD183" s="3">
        <f>IF(AND(Table1[[#This Row],[Throw Out Rush Def Eff]]="N", Table1[[#This Row],[Against FCS Team]]="N"), 200 - ROUND(((23.2 * U183) + (150 * W183) - (300 * X183)) / V183, 2), " ")</f>
        <v>88.44</v>
      </c>
      <c r="AE183" s="3">
        <f>ROUND(Table1[[#This Row],[Opp Passing Attempts]]/(Table1[[#This Row],[Opp Passing Attempts]]+Table1[[#This Row],[Opp Rushing Attempts]]), 2)</f>
        <v>0.52</v>
      </c>
      <c r="AF183" s="3">
        <f>1-Table1[[#This Row],[Passing Weight]]</f>
        <v>0.48</v>
      </c>
      <c r="AG183" s="3" t="str">
        <f>IF(COUNTIF(A:A,Table1[[#This Row],[Opp Team Name]]) &gt; 0, "N", "Y")</f>
        <v>N</v>
      </c>
      <c r="AH183" s="3" t="str">
        <f>IF(Table1[[#This Row],[Passing Attempts]] &lt;15, "Y", "N")</f>
        <v>N</v>
      </c>
      <c r="AI183" s="3" t="str">
        <f>IF(Table1[[#This Row],[Rushing Attempts]] &lt; 15, "Y", "N")</f>
        <v>N</v>
      </c>
      <c r="AJ183" s="3" t="str">
        <f>IF(Table1[[#This Row],[Opp Passing Attempts]]&lt;15, "Y", "N")</f>
        <v>N</v>
      </c>
      <c r="AK183" s="3" t="str">
        <f>IF(Table1[[#This Row],[Opp Rushing Attempts]]&lt;15, "Y", "N")</f>
        <v>N</v>
      </c>
      <c r="AL18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82.24</v>
      </c>
      <c r="AM18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105.07</v>
      </c>
      <c r="AN18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97.8</v>
      </c>
      <c r="AO18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62.65</v>
      </c>
      <c r="AP183" s="3">
        <f>ABS(Table1[[#This Row],[Team Score]]-Table1[[#This Row],[Opp Team Score]])</f>
        <v>6</v>
      </c>
      <c r="AQ183" s="3">
        <f>SUM(Table1[[#This Row],[Team Score]], Table1[[#This Row],[Opp Team Score]])</f>
        <v>48</v>
      </c>
      <c r="AR18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36.090000000000003</v>
      </c>
      <c r="AS183" s="3">
        <f>IF(Table1[[#This Row],[Efficiency Difference]] = " ", " ", ROUND((Table1[[#This Row],[Winning Margin]]*100)/Table1[[#This Row],[Efficiency Difference]], 2))</f>
        <v>16.63</v>
      </c>
    </row>
    <row r="184" spans="1:45">
      <c r="A184" t="s">
        <v>90</v>
      </c>
      <c r="B184">
        <v>0</v>
      </c>
      <c r="C184">
        <v>6</v>
      </c>
      <c r="D184">
        <v>157</v>
      </c>
      <c r="E184">
        <v>35</v>
      </c>
      <c r="F184">
        <v>0</v>
      </c>
      <c r="G184">
        <v>20</v>
      </c>
      <c r="H184">
        <v>1</v>
      </c>
      <c r="I184">
        <v>141</v>
      </c>
      <c r="J184">
        <v>45</v>
      </c>
      <c r="K184">
        <v>0</v>
      </c>
      <c r="L184">
        <v>0</v>
      </c>
      <c r="M184" t="s">
        <v>105</v>
      </c>
      <c r="N184">
        <v>0</v>
      </c>
      <c r="O184">
        <v>3</v>
      </c>
      <c r="P184">
        <v>72</v>
      </c>
      <c r="Q184">
        <v>30</v>
      </c>
      <c r="R184">
        <v>0</v>
      </c>
      <c r="S184">
        <v>12</v>
      </c>
      <c r="T184">
        <v>1</v>
      </c>
      <c r="U184">
        <v>68</v>
      </c>
      <c r="V184">
        <v>16</v>
      </c>
      <c r="W184">
        <v>0</v>
      </c>
      <c r="X184">
        <v>1</v>
      </c>
      <c r="Y184" t="s">
        <v>14</v>
      </c>
      <c r="Z184">
        <v>0</v>
      </c>
      <c r="AA184" s="3">
        <f>IF(AND(Table1[[#This Row],[Throw Out Pass Eff]]="N", Table1[[#This Row],[Against FCS Team]]="N"), ROUND(((5.45 * D184) + (150 * F184) + (100 * G184) - (300 * H184)) / E184, 2), " ")</f>
        <v>73.02</v>
      </c>
      <c r="AB184" s="3">
        <f>IF(AND(Table1[[#This Row],[Throw Out Pass Def Eff]]="N", Table1[[#This Row],[Against FCS Team]]="N"),200 - ROUND(((5.45 * P184) + (150 * R184) + (100 * S184) - (300 * T184)) / Q184, 2), " ")</f>
        <v>156.92000000000002</v>
      </c>
      <c r="AC184" s="3">
        <f>IF(AND(Table1[[#This Row],[Throw Out Rush Eff]]="N", Table1[[#This Row],[Against FCS Team]]="N"), ROUND(((23.2 * I184) + (150 * K184) - (300 * L184)) / J184, 2), " ")</f>
        <v>72.69</v>
      </c>
      <c r="AD184" s="3">
        <f>IF(AND(Table1[[#This Row],[Throw Out Rush Def Eff]]="N", Table1[[#This Row],[Against FCS Team]]="N"), 200 - ROUND(((23.2 * U184) + (150 * W184) - (300 * X184)) / V184, 2), " ")</f>
        <v>120.15</v>
      </c>
      <c r="AE184" s="3">
        <f>ROUND(Table1[[#This Row],[Opp Passing Attempts]]/(Table1[[#This Row],[Opp Passing Attempts]]+Table1[[#This Row],[Opp Rushing Attempts]]), 2)</f>
        <v>0.65</v>
      </c>
      <c r="AF184" s="3">
        <f>1-Table1[[#This Row],[Passing Weight]]</f>
        <v>0.35</v>
      </c>
      <c r="AG184" s="3" t="str">
        <f>IF(COUNTIF(A:A,Table1[[#This Row],[Opp Team Name]]) &gt; 0, "N", "Y")</f>
        <v>N</v>
      </c>
      <c r="AH184" s="3" t="str">
        <f>IF(Table1[[#This Row],[Passing Attempts]] &lt;15, "Y", "N")</f>
        <v>N</v>
      </c>
      <c r="AI184" s="3" t="str">
        <f>IF(Table1[[#This Row],[Rushing Attempts]] &lt; 15, "Y", "N")</f>
        <v>N</v>
      </c>
      <c r="AJ184" s="3" t="str">
        <f>IF(Table1[[#This Row],[Opp Passing Attempts]]&lt;15, "Y", "N")</f>
        <v>N</v>
      </c>
      <c r="AK184" s="3" t="str">
        <f>IF(Table1[[#This Row],[Opp Rushing Attempts]]&lt;15, "Y", "N")</f>
        <v>N</v>
      </c>
      <c r="AL18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71.62</v>
      </c>
      <c r="AM18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130.12</v>
      </c>
      <c r="AN18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93.2</v>
      </c>
      <c r="AO18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98.97</v>
      </c>
      <c r="AP184" s="3">
        <f>ABS(Table1[[#This Row],[Team Score]]-Table1[[#This Row],[Opp Team Score]])</f>
        <v>3</v>
      </c>
      <c r="AQ184" s="3">
        <f>SUM(Table1[[#This Row],[Team Score]], Table1[[#This Row],[Opp Team Score]])</f>
        <v>9</v>
      </c>
      <c r="AR18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22.78000000000003</v>
      </c>
      <c r="AS184" s="3">
        <f>IF(Table1[[#This Row],[Efficiency Difference]] = " ", " ", ROUND((Table1[[#This Row],[Winning Margin]]*100)/Table1[[#This Row],[Efficiency Difference]], 2))</f>
        <v>13.17</v>
      </c>
    </row>
    <row r="185" spans="1:45">
      <c r="A185" t="s">
        <v>105</v>
      </c>
      <c r="B185">
        <v>0</v>
      </c>
      <c r="C185">
        <v>3</v>
      </c>
      <c r="D185">
        <v>72</v>
      </c>
      <c r="E185">
        <v>30</v>
      </c>
      <c r="F185">
        <v>0</v>
      </c>
      <c r="G185">
        <v>12</v>
      </c>
      <c r="H185">
        <v>1</v>
      </c>
      <c r="I185">
        <v>68</v>
      </c>
      <c r="J185">
        <v>16</v>
      </c>
      <c r="K185">
        <v>0</v>
      </c>
      <c r="L185">
        <v>1</v>
      </c>
      <c r="M185" t="s">
        <v>90</v>
      </c>
      <c r="N185">
        <v>0</v>
      </c>
      <c r="O185">
        <v>6</v>
      </c>
      <c r="P185">
        <v>157</v>
      </c>
      <c r="Q185">
        <v>35</v>
      </c>
      <c r="R185">
        <v>0</v>
      </c>
      <c r="S185">
        <v>20</v>
      </c>
      <c r="T185">
        <v>1</v>
      </c>
      <c r="U185">
        <v>141</v>
      </c>
      <c r="V185">
        <v>45</v>
      </c>
      <c r="W185">
        <v>0</v>
      </c>
      <c r="X185">
        <v>0</v>
      </c>
      <c r="Y185" t="s">
        <v>15</v>
      </c>
      <c r="Z185">
        <v>0</v>
      </c>
      <c r="AA185">
        <f>IF(AND(Table1[[#This Row],[Throw Out Pass Eff]]="N", Table1[[#This Row],[Against FCS Team]]="N"), ROUND(((5.45 * D185) + (150 * F185) + (100 * G185) - (300 * H185)) / E185, 2), " ")</f>
        <v>43.08</v>
      </c>
      <c r="AB185">
        <f>IF(AND(Table1[[#This Row],[Throw Out Pass Def Eff]]="N", Table1[[#This Row],[Against FCS Team]]="N"),200 - ROUND(((5.45 * P185) + (150 * R185) + (100 * S185) - (300 * T185)) / Q185, 2), " ")</f>
        <v>126.98</v>
      </c>
      <c r="AC185">
        <f>IF(AND(Table1[[#This Row],[Throw Out Rush Eff]]="N", Table1[[#This Row],[Against FCS Team]]="N"), ROUND(((23.2 * I185) + (150 * K185) - (300 * L185)) / J185, 2), " ")</f>
        <v>79.849999999999994</v>
      </c>
      <c r="AD185" s="3">
        <f>IF(AND(Table1[[#This Row],[Throw Out Rush Def Eff]]="N", Table1[[#This Row],[Against FCS Team]]="N"), 200 - ROUND(((23.2 * U185) + (150 * W185) - (300 * X185)) / V185, 2), " ")</f>
        <v>127.31</v>
      </c>
      <c r="AE185" s="3">
        <f>ROUND(Table1[[#This Row],[Opp Passing Attempts]]/(Table1[[#This Row],[Opp Passing Attempts]]+Table1[[#This Row],[Opp Rushing Attempts]]), 2)</f>
        <v>0.44</v>
      </c>
      <c r="AF185" s="3">
        <f>1-Table1[[#This Row],[Passing Weight]]</f>
        <v>0.56000000000000005</v>
      </c>
      <c r="AG185" s="3" t="str">
        <f>IF(COUNTIF(A:A,Table1[[#This Row],[Opp Team Name]]) &gt; 0, "N", "Y")</f>
        <v>N</v>
      </c>
      <c r="AH185" s="3" t="str">
        <f>IF(Table1[[#This Row],[Passing Attempts]] &lt;15, "Y", "N")</f>
        <v>N</v>
      </c>
      <c r="AI185" s="3" t="str">
        <f>IF(Table1[[#This Row],[Rushing Attempts]] &lt; 15, "Y", "N")</f>
        <v>N</v>
      </c>
      <c r="AJ185" s="3" t="str">
        <f>IF(Table1[[#This Row],[Opp Passing Attempts]]&lt;15, "Y", "N")</f>
        <v>N</v>
      </c>
      <c r="AK185" s="3" t="str">
        <f>IF(Table1[[#This Row],[Opp Rushing Attempts]]&lt;15, "Y", "N")</f>
        <v>N</v>
      </c>
      <c r="AL18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47.6</v>
      </c>
      <c r="AM18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106.62</v>
      </c>
      <c r="AN18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90.81</v>
      </c>
      <c r="AO18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95.62</v>
      </c>
      <c r="AP185" s="3">
        <f>ABS(Table1[[#This Row],[Team Score]]-Table1[[#This Row],[Opp Team Score]])</f>
        <v>3</v>
      </c>
      <c r="AQ185" s="3">
        <f>SUM(Table1[[#This Row],[Team Score]], Table1[[#This Row],[Opp Team Score]])</f>
        <v>9</v>
      </c>
      <c r="AR18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22.779999999999987</v>
      </c>
      <c r="AS185" s="3">
        <f>IF(Table1[[#This Row],[Efficiency Difference]] = " ", " ", ROUND((Table1[[#This Row],[Winning Margin]]*100)/Table1[[#This Row],[Efficiency Difference]], 2))</f>
        <v>13.17</v>
      </c>
    </row>
    <row r="186" spans="1:45">
      <c r="A186" t="s">
        <v>97</v>
      </c>
      <c r="B186">
        <v>0</v>
      </c>
      <c r="C186">
        <v>16</v>
      </c>
      <c r="D186">
        <v>159</v>
      </c>
      <c r="E186">
        <v>32</v>
      </c>
      <c r="F186">
        <v>1</v>
      </c>
      <c r="G186">
        <v>15</v>
      </c>
      <c r="H186">
        <v>0</v>
      </c>
      <c r="I186">
        <v>104</v>
      </c>
      <c r="J186">
        <v>20</v>
      </c>
      <c r="K186">
        <v>0</v>
      </c>
      <c r="L186">
        <v>1</v>
      </c>
      <c r="M186" t="s">
        <v>83</v>
      </c>
      <c r="N186">
        <v>0</v>
      </c>
      <c r="O186">
        <v>23</v>
      </c>
      <c r="P186">
        <v>199</v>
      </c>
      <c r="Q186">
        <v>35</v>
      </c>
      <c r="R186">
        <v>1</v>
      </c>
      <c r="S186">
        <v>20</v>
      </c>
      <c r="T186">
        <v>2</v>
      </c>
      <c r="U186">
        <v>129</v>
      </c>
      <c r="V186">
        <v>31</v>
      </c>
      <c r="W186">
        <v>1</v>
      </c>
      <c r="X186">
        <v>0</v>
      </c>
      <c r="Y186" t="s">
        <v>15</v>
      </c>
      <c r="Z186">
        <v>0</v>
      </c>
      <c r="AA186">
        <f>IF(AND(Table1[[#This Row],[Throw Out Pass Eff]]="N", Table1[[#This Row],[Against FCS Team]]="N"), ROUND(((5.45 * D186) + (150 * F186) + (100 * G186) - (300 * H186)) / E186, 2), " ")</f>
        <v>78.64</v>
      </c>
      <c r="AB186">
        <f>IF(AND(Table1[[#This Row],[Throw Out Pass Def Eff]]="N", Table1[[#This Row],[Against FCS Team]]="N"),200 - ROUND(((5.45 * P186) + (150 * R186) + (100 * S186) - (300 * T186)) / Q186, 2), " ")</f>
        <v>124.73</v>
      </c>
      <c r="AC186">
        <f>IF(AND(Table1[[#This Row],[Throw Out Rush Eff]]="N", Table1[[#This Row],[Against FCS Team]]="N"), ROUND(((23.2 * I186) + (150 * K186) - (300 * L186)) / J186, 2), " ")</f>
        <v>105.64</v>
      </c>
      <c r="AD186" s="3">
        <f>IF(AND(Table1[[#This Row],[Throw Out Rush Def Eff]]="N", Table1[[#This Row],[Against FCS Team]]="N"), 200 - ROUND(((23.2 * U186) + (150 * W186) - (300 * X186)) / V186, 2), " ")</f>
        <v>98.62</v>
      </c>
      <c r="AE186" s="3">
        <f>ROUND(Table1[[#This Row],[Opp Passing Attempts]]/(Table1[[#This Row],[Opp Passing Attempts]]+Table1[[#This Row],[Opp Rushing Attempts]]), 2)</f>
        <v>0.53</v>
      </c>
      <c r="AF186" s="3">
        <f>1-Table1[[#This Row],[Passing Weight]]</f>
        <v>0.47</v>
      </c>
      <c r="AG186" s="3" t="str">
        <f>IF(COUNTIF(A:A,Table1[[#This Row],[Opp Team Name]]) &gt; 0, "N", "Y")</f>
        <v>N</v>
      </c>
      <c r="AH186" s="3" t="str">
        <f>IF(Table1[[#This Row],[Passing Attempts]] &lt;15, "Y", "N")</f>
        <v>N</v>
      </c>
      <c r="AI186" s="3" t="str">
        <f>IF(Table1[[#This Row],[Rushing Attempts]] &lt; 15, "Y", "N")</f>
        <v>N</v>
      </c>
      <c r="AJ186" s="3" t="str">
        <f>IF(Table1[[#This Row],[Opp Passing Attempts]]&lt;15, "Y", "N")</f>
        <v>N</v>
      </c>
      <c r="AK186" s="3" t="str">
        <f>IF(Table1[[#This Row],[Opp Rushing Attempts]]&lt;15, "Y", "N")</f>
        <v>N</v>
      </c>
      <c r="AL18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79</v>
      </c>
      <c r="AM18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113.24</v>
      </c>
      <c r="AN18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116.05</v>
      </c>
      <c r="AO18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88.68</v>
      </c>
      <c r="AP186" s="3">
        <f>ABS(Table1[[#This Row],[Team Score]]-Table1[[#This Row],[Opp Team Score]])</f>
        <v>7</v>
      </c>
      <c r="AQ186" s="3">
        <f>SUM(Table1[[#This Row],[Team Score]], Table1[[#This Row],[Opp Team Score]])</f>
        <v>39</v>
      </c>
      <c r="AR18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7.6300000000000239</v>
      </c>
      <c r="AS186" s="3">
        <f>IF(Table1[[#This Row],[Efficiency Difference]] = " ", " ", ROUND((Table1[[#This Row],[Winning Margin]]*100)/Table1[[#This Row],[Efficiency Difference]], 2))</f>
        <v>91.74</v>
      </c>
    </row>
    <row r="187" spans="1:45">
      <c r="A187" t="s">
        <v>83</v>
      </c>
      <c r="B187">
        <v>0</v>
      </c>
      <c r="C187">
        <v>23</v>
      </c>
      <c r="D187">
        <v>199</v>
      </c>
      <c r="E187">
        <v>35</v>
      </c>
      <c r="F187">
        <v>1</v>
      </c>
      <c r="G187">
        <v>20</v>
      </c>
      <c r="H187">
        <v>2</v>
      </c>
      <c r="I187">
        <v>129</v>
      </c>
      <c r="J187">
        <v>31</v>
      </c>
      <c r="K187">
        <v>1</v>
      </c>
      <c r="L187">
        <v>0</v>
      </c>
      <c r="M187" t="s">
        <v>97</v>
      </c>
      <c r="N187">
        <v>0</v>
      </c>
      <c r="O187">
        <v>16</v>
      </c>
      <c r="P187">
        <v>159</v>
      </c>
      <c r="Q187">
        <v>32</v>
      </c>
      <c r="R187">
        <v>1</v>
      </c>
      <c r="S187">
        <v>15</v>
      </c>
      <c r="T187">
        <v>0</v>
      </c>
      <c r="U187">
        <v>104</v>
      </c>
      <c r="V187">
        <v>20</v>
      </c>
      <c r="W187">
        <v>0</v>
      </c>
      <c r="X187">
        <v>1</v>
      </c>
      <c r="Y187" t="s">
        <v>14</v>
      </c>
      <c r="Z187">
        <v>0</v>
      </c>
      <c r="AA187">
        <f>IF(AND(Table1[[#This Row],[Throw Out Pass Eff]]="N", Table1[[#This Row],[Against FCS Team]]="N"), ROUND(((5.45 * D187) + (150 * F187) + (100 * G187) - (300 * H187)) / E187, 2), " ")</f>
        <v>75.27</v>
      </c>
      <c r="AB187">
        <f>IF(AND(Table1[[#This Row],[Throw Out Pass Def Eff]]="N", Table1[[#This Row],[Against FCS Team]]="N"),200 - ROUND(((5.45 * P187) + (150 * R187) + (100 * S187) - (300 * T187)) / Q187, 2), " ")</f>
        <v>121.36</v>
      </c>
      <c r="AC187">
        <f>IF(AND(Table1[[#This Row],[Throw Out Rush Eff]]="N", Table1[[#This Row],[Against FCS Team]]="N"), ROUND(((23.2 * I187) + (150 * K187) - (300 * L187)) / J187, 2), " ")</f>
        <v>101.38</v>
      </c>
      <c r="AD187" s="3">
        <f>IF(AND(Table1[[#This Row],[Throw Out Rush Def Eff]]="N", Table1[[#This Row],[Against FCS Team]]="N"), 200 - ROUND(((23.2 * U187) + (150 * W187) - (300 * X187)) / V187, 2), " ")</f>
        <v>94.36</v>
      </c>
      <c r="AE187" s="3">
        <f>ROUND(Table1[[#This Row],[Opp Passing Attempts]]/(Table1[[#This Row],[Opp Passing Attempts]]+Table1[[#This Row],[Opp Rushing Attempts]]), 2)</f>
        <v>0.62</v>
      </c>
      <c r="AF187" s="3">
        <f>1-Table1[[#This Row],[Passing Weight]]</f>
        <v>0.38</v>
      </c>
      <c r="AG187" s="3" t="str">
        <f>IF(COUNTIF(A:A,Table1[[#This Row],[Opp Team Name]]) &gt; 0, "N", "Y")</f>
        <v>N</v>
      </c>
      <c r="AH187" s="3" t="str">
        <f>IF(Table1[[#This Row],[Passing Attempts]] &lt;15, "Y", "N")</f>
        <v>N</v>
      </c>
      <c r="AI187" s="3" t="str">
        <f>IF(Table1[[#This Row],[Rushing Attempts]] &lt; 15, "Y", "N")</f>
        <v>N</v>
      </c>
      <c r="AJ187" s="3" t="str">
        <f>IF(Table1[[#This Row],[Opp Passing Attempts]]&lt;15, "Y", "N")</f>
        <v>N</v>
      </c>
      <c r="AK187" s="3" t="str">
        <f>IF(Table1[[#This Row],[Opp Rushing Attempts]]&lt;15, "Y", "N")</f>
        <v>N</v>
      </c>
      <c r="AL18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86.87</v>
      </c>
      <c r="AM18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124.75</v>
      </c>
      <c r="AN18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92.57</v>
      </c>
      <c r="AO18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91.79</v>
      </c>
      <c r="AP187" s="3">
        <f>ABS(Table1[[#This Row],[Team Score]]-Table1[[#This Row],[Opp Team Score]])</f>
        <v>7</v>
      </c>
      <c r="AQ187" s="3">
        <f>SUM(Table1[[#This Row],[Team Score]], Table1[[#This Row],[Opp Team Score]])</f>
        <v>39</v>
      </c>
      <c r="AR18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7.6300000000000239</v>
      </c>
      <c r="AS187" s="3">
        <f>IF(Table1[[#This Row],[Efficiency Difference]] = " ", " ", ROUND((Table1[[#This Row],[Winning Margin]]*100)/Table1[[#This Row],[Efficiency Difference]], 2))</f>
        <v>91.74</v>
      </c>
    </row>
    <row r="188" spans="1:45">
      <c r="A188" t="s">
        <v>103</v>
      </c>
      <c r="B188">
        <v>0</v>
      </c>
      <c r="C188">
        <v>33</v>
      </c>
      <c r="D188">
        <v>232</v>
      </c>
      <c r="E188">
        <v>23</v>
      </c>
      <c r="F188">
        <v>1</v>
      </c>
      <c r="G188">
        <v>18</v>
      </c>
      <c r="H188">
        <v>0</v>
      </c>
      <c r="I188">
        <v>175</v>
      </c>
      <c r="J188">
        <v>37</v>
      </c>
      <c r="K188">
        <v>2</v>
      </c>
      <c r="L188">
        <v>0</v>
      </c>
      <c r="M188" t="s">
        <v>100</v>
      </c>
      <c r="N188">
        <v>0</v>
      </c>
      <c r="O188">
        <v>20</v>
      </c>
      <c r="P188">
        <v>261</v>
      </c>
      <c r="Q188">
        <v>37</v>
      </c>
      <c r="R188">
        <v>1</v>
      </c>
      <c r="S188">
        <v>22</v>
      </c>
      <c r="T188">
        <v>1</v>
      </c>
      <c r="U188">
        <v>92</v>
      </c>
      <c r="V188">
        <v>23</v>
      </c>
      <c r="W188">
        <v>1</v>
      </c>
      <c r="X188">
        <v>2</v>
      </c>
      <c r="Y188" t="s">
        <v>14</v>
      </c>
      <c r="Z188">
        <v>0</v>
      </c>
      <c r="AA188">
        <f>IF(AND(Table1[[#This Row],[Throw Out Pass Eff]]="N", Table1[[#This Row],[Against FCS Team]]="N"), ROUND(((5.45 * D188) + (150 * F188) + (100 * G188) - (300 * H188)) / E188, 2), " ")</f>
        <v>139.76</v>
      </c>
      <c r="AB188">
        <f>IF(AND(Table1[[#This Row],[Throw Out Pass Def Eff]]="N", Table1[[#This Row],[Against FCS Team]]="N"),200 - ROUND(((5.45 * P188) + (150 * R188) + (100 * S188) - (300 * T188)) / Q188, 2), " ")</f>
        <v>106.15</v>
      </c>
      <c r="AC188">
        <f>IF(AND(Table1[[#This Row],[Throw Out Rush Eff]]="N", Table1[[#This Row],[Against FCS Team]]="N"), ROUND(((23.2 * I188) + (150 * K188) - (300 * L188)) / J188, 2), " ")</f>
        <v>117.84</v>
      </c>
      <c r="AD188" s="3">
        <f>IF(AND(Table1[[#This Row],[Throw Out Rush Def Eff]]="N", Table1[[#This Row],[Against FCS Team]]="N"), 200 - ROUND(((23.2 * U188) + (150 * W188) - (300 * X188)) / V188, 2), " ")</f>
        <v>126.77</v>
      </c>
      <c r="AE188" s="3">
        <f>ROUND(Table1[[#This Row],[Opp Passing Attempts]]/(Table1[[#This Row],[Opp Passing Attempts]]+Table1[[#This Row],[Opp Rushing Attempts]]), 2)</f>
        <v>0.62</v>
      </c>
      <c r="AF188" s="3">
        <f>1-Table1[[#This Row],[Passing Weight]]</f>
        <v>0.38</v>
      </c>
      <c r="AG188" s="3" t="str">
        <f>IF(COUNTIF(A:A,Table1[[#This Row],[Opp Team Name]]) &gt; 0, "N", "Y")</f>
        <v>N</v>
      </c>
      <c r="AH188" s="3" t="str">
        <f>IF(Table1[[#This Row],[Passing Attempts]] &lt;15, "Y", "N")</f>
        <v>N</v>
      </c>
      <c r="AI188" s="3" t="str">
        <f>IF(Table1[[#This Row],[Rushing Attempts]] &lt; 15, "Y", "N")</f>
        <v>N</v>
      </c>
      <c r="AJ188" s="3" t="str">
        <f>IF(Table1[[#This Row],[Opp Passing Attempts]]&lt;15, "Y", "N")</f>
        <v>N</v>
      </c>
      <c r="AK188" s="3" t="str">
        <f>IF(Table1[[#This Row],[Opp Rushing Attempts]]&lt;15, "Y", "N")</f>
        <v>N</v>
      </c>
      <c r="AL18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148.09</v>
      </c>
      <c r="AM18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87.61</v>
      </c>
      <c r="AN18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114.18</v>
      </c>
      <c r="AO18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106.45</v>
      </c>
      <c r="AP188" s="3">
        <f>ABS(Table1[[#This Row],[Team Score]]-Table1[[#This Row],[Opp Team Score]])</f>
        <v>13</v>
      </c>
      <c r="AQ188" s="3">
        <f>SUM(Table1[[#This Row],[Team Score]], Table1[[#This Row],[Opp Team Score]])</f>
        <v>53</v>
      </c>
      <c r="AR18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90.520000000000039</v>
      </c>
      <c r="AS188" s="3">
        <f>IF(Table1[[#This Row],[Efficiency Difference]] = " ", " ", ROUND((Table1[[#This Row],[Winning Margin]]*100)/Table1[[#This Row],[Efficiency Difference]], 2))</f>
        <v>14.36</v>
      </c>
    </row>
    <row r="189" spans="1:45">
      <c r="A189" t="s">
        <v>100</v>
      </c>
      <c r="B189">
        <v>0</v>
      </c>
      <c r="C189">
        <v>20</v>
      </c>
      <c r="D189">
        <v>261</v>
      </c>
      <c r="E189">
        <v>37</v>
      </c>
      <c r="F189">
        <v>1</v>
      </c>
      <c r="G189">
        <v>22</v>
      </c>
      <c r="H189">
        <v>1</v>
      </c>
      <c r="I189">
        <v>92</v>
      </c>
      <c r="J189">
        <v>23</v>
      </c>
      <c r="K189">
        <v>1</v>
      </c>
      <c r="L189">
        <v>2</v>
      </c>
      <c r="M189" t="s">
        <v>103</v>
      </c>
      <c r="N189">
        <v>0</v>
      </c>
      <c r="O189">
        <v>33</v>
      </c>
      <c r="P189">
        <v>232</v>
      </c>
      <c r="Q189">
        <v>23</v>
      </c>
      <c r="R189">
        <v>1</v>
      </c>
      <c r="S189">
        <v>18</v>
      </c>
      <c r="T189">
        <v>0</v>
      </c>
      <c r="U189">
        <v>175</v>
      </c>
      <c r="V189">
        <v>37</v>
      </c>
      <c r="W189">
        <v>2</v>
      </c>
      <c r="X189">
        <v>0</v>
      </c>
      <c r="Y189" t="s">
        <v>15</v>
      </c>
      <c r="Z189">
        <v>0</v>
      </c>
      <c r="AA189">
        <f>IF(AND(Table1[[#This Row],[Throw Out Pass Eff]]="N", Table1[[#This Row],[Against FCS Team]]="N"), ROUND(((5.45 * D189) + (150 * F189) + (100 * G189) - (300 * H189)) / E189, 2), " ")</f>
        <v>93.85</v>
      </c>
      <c r="AB189">
        <f>IF(AND(Table1[[#This Row],[Throw Out Pass Def Eff]]="N", Table1[[#This Row],[Against FCS Team]]="N"),200 - ROUND(((5.45 * P189) + (150 * R189) + (100 * S189) - (300 * T189)) / Q189, 2), " ")</f>
        <v>60.240000000000009</v>
      </c>
      <c r="AC189">
        <f>IF(AND(Table1[[#This Row],[Throw Out Rush Eff]]="N", Table1[[#This Row],[Against FCS Team]]="N"), ROUND(((23.2 * I189) + (150 * K189) - (300 * L189)) / J189, 2), " ")</f>
        <v>73.23</v>
      </c>
      <c r="AD189" s="3">
        <f>IF(AND(Table1[[#This Row],[Throw Out Rush Def Eff]]="N", Table1[[#This Row],[Against FCS Team]]="N"), 200 - ROUND(((23.2 * U189) + (150 * W189) - (300 * X189)) / V189, 2), " ")</f>
        <v>82.16</v>
      </c>
      <c r="AE189" s="3">
        <f>ROUND(Table1[[#This Row],[Opp Passing Attempts]]/(Table1[[#This Row],[Opp Passing Attempts]]+Table1[[#This Row],[Opp Rushing Attempts]]), 2)</f>
        <v>0.38</v>
      </c>
      <c r="AF189" s="3">
        <f>1-Table1[[#This Row],[Passing Weight]]</f>
        <v>0.62</v>
      </c>
      <c r="AG189" s="3" t="str">
        <f>IF(COUNTIF(A:A,Table1[[#This Row],[Opp Team Name]]) &gt; 0, "N", "Y")</f>
        <v>N</v>
      </c>
      <c r="AH189" s="3" t="str">
        <f>IF(Table1[[#This Row],[Passing Attempts]] &lt;15, "Y", "N")</f>
        <v>N</v>
      </c>
      <c r="AI189" s="3" t="str">
        <f>IF(Table1[[#This Row],[Rushing Attempts]] &lt; 15, "Y", "N")</f>
        <v>N</v>
      </c>
      <c r="AJ189" s="3" t="str">
        <f>IF(Table1[[#This Row],[Opp Passing Attempts]]&lt;15, "Y", "N")</f>
        <v>N</v>
      </c>
      <c r="AK189" s="3" t="str">
        <f>IF(Table1[[#This Row],[Opp Rushing Attempts]]&lt;15, "Y", "N")</f>
        <v>N</v>
      </c>
      <c r="AL18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89.94</v>
      </c>
      <c r="AM18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60.11</v>
      </c>
      <c r="AN18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66.37</v>
      </c>
      <c r="AO18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97.34</v>
      </c>
      <c r="AP189" s="3">
        <f>ABS(Table1[[#This Row],[Team Score]]-Table1[[#This Row],[Opp Team Score]])</f>
        <v>13</v>
      </c>
      <c r="AQ189" s="3">
        <f>SUM(Table1[[#This Row],[Team Score]], Table1[[#This Row],[Opp Team Score]])</f>
        <v>53</v>
      </c>
      <c r="AR18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90.520000000000039</v>
      </c>
      <c r="AS189" s="3">
        <f>IF(Table1[[#This Row],[Efficiency Difference]] = " ", " ", ROUND((Table1[[#This Row],[Winning Margin]]*100)/Table1[[#This Row],[Efficiency Difference]], 2))</f>
        <v>14.36</v>
      </c>
    </row>
    <row r="190" spans="1:45">
      <c r="A190" t="s">
        <v>96</v>
      </c>
      <c r="B190">
        <v>0</v>
      </c>
      <c r="C190">
        <v>18</v>
      </c>
      <c r="D190">
        <v>250</v>
      </c>
      <c r="E190">
        <v>52</v>
      </c>
      <c r="F190">
        <v>2</v>
      </c>
      <c r="G190">
        <v>29</v>
      </c>
      <c r="H190">
        <v>4</v>
      </c>
      <c r="I190">
        <v>30</v>
      </c>
      <c r="J190">
        <v>11</v>
      </c>
      <c r="K190">
        <v>0</v>
      </c>
      <c r="L190">
        <v>0</v>
      </c>
      <c r="M190" t="s">
        <v>82</v>
      </c>
      <c r="N190">
        <v>0</v>
      </c>
      <c r="O190">
        <v>24</v>
      </c>
      <c r="P190">
        <v>218</v>
      </c>
      <c r="Q190">
        <v>32</v>
      </c>
      <c r="R190">
        <v>1</v>
      </c>
      <c r="S190">
        <v>17</v>
      </c>
      <c r="T190">
        <v>2</v>
      </c>
      <c r="U190">
        <v>177</v>
      </c>
      <c r="V190">
        <v>33</v>
      </c>
      <c r="W190">
        <v>2</v>
      </c>
      <c r="X190">
        <v>0</v>
      </c>
      <c r="Y190" t="s">
        <v>15</v>
      </c>
      <c r="Z190">
        <v>0</v>
      </c>
      <c r="AA190">
        <f>IF(AND(Table1[[#This Row],[Throw Out Pass Eff]]="N", Table1[[#This Row],[Against FCS Team]]="N"), ROUND(((5.45 * D190) + (150 * F190) + (100 * G190) - (300 * H190)) / E190, 2), " ")</f>
        <v>64.66</v>
      </c>
      <c r="AB190">
        <f>IF(AND(Table1[[#This Row],[Throw Out Pass Def Eff]]="N", Table1[[#This Row],[Against FCS Team]]="N"),200 - ROUND(((5.45 * P190) + (150 * R190) + (100 * S190) - (300 * T190)) / Q190, 2), " ")</f>
        <v>123.81</v>
      </c>
      <c r="AC190" t="str">
        <f>IF(AND(Table1[[#This Row],[Throw Out Rush Eff]]="N", Table1[[#This Row],[Against FCS Team]]="N"), ROUND(((23.2 * I190) + (150 * K190) - (300 * L190)) / J190, 2), " ")</f>
        <v xml:space="preserve"> </v>
      </c>
      <c r="AD190" s="3">
        <f>IF(AND(Table1[[#This Row],[Throw Out Rush Def Eff]]="N", Table1[[#This Row],[Against FCS Team]]="N"), 200 - ROUND(((23.2 * U190) + (150 * W190) - (300 * X190)) / V190, 2), " ")</f>
        <v>66.47</v>
      </c>
      <c r="AE190" s="3">
        <f>ROUND(Table1[[#This Row],[Opp Passing Attempts]]/(Table1[[#This Row],[Opp Passing Attempts]]+Table1[[#This Row],[Opp Rushing Attempts]]), 2)</f>
        <v>0.49</v>
      </c>
      <c r="AF190" s="3">
        <f>1-Table1[[#This Row],[Passing Weight]]</f>
        <v>0.51</v>
      </c>
      <c r="AG190" s="3" t="str">
        <f>IF(COUNTIF(A:A,Table1[[#This Row],[Opp Team Name]]) &gt; 0, "N", "Y")</f>
        <v>N</v>
      </c>
      <c r="AH190" s="3" t="str">
        <f>IF(Table1[[#This Row],[Passing Attempts]] &lt;15, "Y", "N")</f>
        <v>N</v>
      </c>
      <c r="AI190" s="3" t="str">
        <f>IF(Table1[[#This Row],[Rushing Attempts]] &lt; 15, "Y", "N")</f>
        <v>Y</v>
      </c>
      <c r="AJ190" s="3" t="str">
        <f>IF(Table1[[#This Row],[Opp Passing Attempts]]&lt;15, "Y", "N")</f>
        <v>N</v>
      </c>
      <c r="AK190" s="3" t="str">
        <f>IF(Table1[[#This Row],[Opp Rushing Attempts]]&lt;15, "Y", "N")</f>
        <v>N</v>
      </c>
      <c r="AL19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63.58</v>
      </c>
      <c r="AM19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115.21</v>
      </c>
      <c r="AN190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19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78.819999999999993</v>
      </c>
      <c r="AP190" s="3">
        <f>ABS(Table1[[#This Row],[Team Score]]-Table1[[#This Row],[Opp Team Score]])</f>
        <v>6</v>
      </c>
      <c r="AQ190" s="3">
        <f>SUM(Table1[[#This Row],[Team Score]], Table1[[#This Row],[Opp Team Score]])</f>
        <v>42</v>
      </c>
      <c r="AR190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90" s="3" t="str">
        <f>IF(Table1[[#This Row],[Efficiency Difference]] = " ", " ", ROUND((Table1[[#This Row],[Winning Margin]]*100)/Table1[[#This Row],[Efficiency Difference]], 2))</f>
        <v xml:space="preserve"> </v>
      </c>
    </row>
    <row r="191" spans="1:45">
      <c r="A191" t="s">
        <v>82</v>
      </c>
      <c r="B191">
        <v>0</v>
      </c>
      <c r="C191">
        <v>24</v>
      </c>
      <c r="D191">
        <v>218</v>
      </c>
      <c r="E191">
        <v>32</v>
      </c>
      <c r="F191">
        <v>1</v>
      </c>
      <c r="G191">
        <v>17</v>
      </c>
      <c r="H191">
        <v>2</v>
      </c>
      <c r="I191">
        <v>177</v>
      </c>
      <c r="J191">
        <v>33</v>
      </c>
      <c r="K191">
        <v>2</v>
      </c>
      <c r="L191">
        <v>0</v>
      </c>
      <c r="M191" t="s">
        <v>96</v>
      </c>
      <c r="N191">
        <v>0</v>
      </c>
      <c r="O191">
        <v>18</v>
      </c>
      <c r="P191">
        <v>250</v>
      </c>
      <c r="Q191">
        <v>52</v>
      </c>
      <c r="R191">
        <v>2</v>
      </c>
      <c r="S191">
        <v>29</v>
      </c>
      <c r="T191">
        <v>4</v>
      </c>
      <c r="U191">
        <v>30</v>
      </c>
      <c r="V191">
        <v>11</v>
      </c>
      <c r="W191">
        <v>0</v>
      </c>
      <c r="X191">
        <v>0</v>
      </c>
      <c r="Y191" t="s">
        <v>14</v>
      </c>
      <c r="Z191">
        <v>0</v>
      </c>
      <c r="AA191">
        <f>IF(AND(Table1[[#This Row],[Throw Out Pass Eff]]="N", Table1[[#This Row],[Against FCS Team]]="N"), ROUND(((5.45 * D191) + (150 * F191) + (100 * G191) - (300 * H191)) / E191, 2), " ")</f>
        <v>76.19</v>
      </c>
      <c r="AB191">
        <f>IF(AND(Table1[[#This Row],[Throw Out Pass Def Eff]]="N", Table1[[#This Row],[Against FCS Team]]="N"),200 - ROUND(((5.45 * P191) + (150 * R191) + (100 * S191) - (300 * T191)) / Q191, 2), " ")</f>
        <v>135.34</v>
      </c>
      <c r="AC191">
        <f>IF(AND(Table1[[#This Row],[Throw Out Rush Eff]]="N", Table1[[#This Row],[Against FCS Team]]="N"), ROUND(((23.2 * I191) + (150 * K191) - (300 * L191)) / J191, 2), " ")</f>
        <v>133.53</v>
      </c>
      <c r="AD191" s="3" t="str">
        <f>IF(AND(Table1[[#This Row],[Throw Out Rush Def Eff]]="N", Table1[[#This Row],[Against FCS Team]]="N"), 200 - ROUND(((23.2 * U191) + (150 * W191) - (300 * X191)) / V191, 2), " ")</f>
        <v xml:space="preserve"> </v>
      </c>
      <c r="AE191" s="3">
        <f>ROUND(Table1[[#This Row],[Opp Passing Attempts]]/(Table1[[#This Row],[Opp Passing Attempts]]+Table1[[#This Row],[Opp Rushing Attempts]]), 2)</f>
        <v>0.83</v>
      </c>
      <c r="AF191" s="3">
        <f>1-Table1[[#This Row],[Passing Weight]]</f>
        <v>0.17000000000000004</v>
      </c>
      <c r="AG191" s="3" t="str">
        <f>IF(COUNTIF(A:A,Table1[[#This Row],[Opp Team Name]]) &gt; 0, "N", "Y")</f>
        <v>N</v>
      </c>
      <c r="AH191" s="3" t="str">
        <f>IF(Table1[[#This Row],[Passing Attempts]] &lt;15, "Y", "N")</f>
        <v>N</v>
      </c>
      <c r="AI191" s="3" t="str">
        <f>IF(Table1[[#This Row],[Rushing Attempts]] &lt; 15, "Y", "N")</f>
        <v>N</v>
      </c>
      <c r="AJ191" s="3" t="str">
        <f>IF(Table1[[#This Row],[Opp Passing Attempts]]&lt;15, "Y", "N")</f>
        <v>N</v>
      </c>
      <c r="AK191" s="3" t="str">
        <f>IF(Table1[[#This Row],[Opp Rushing Attempts]]&lt;15, "Y", "N")</f>
        <v>Y</v>
      </c>
      <c r="AL19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74.28</v>
      </c>
      <c r="AM19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119.01</v>
      </c>
      <c r="AN19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147.18</v>
      </c>
      <c r="AO191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191" s="3">
        <f>ABS(Table1[[#This Row],[Team Score]]-Table1[[#This Row],[Opp Team Score]])</f>
        <v>6</v>
      </c>
      <c r="AQ191" s="3">
        <f>SUM(Table1[[#This Row],[Team Score]], Table1[[#This Row],[Opp Team Score]])</f>
        <v>42</v>
      </c>
      <c r="AR19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91" s="3" t="str">
        <f>IF(Table1[[#This Row],[Efficiency Difference]] = " ", " ", ROUND((Table1[[#This Row],[Winning Margin]]*100)/Table1[[#This Row],[Efficiency Difference]], 2))</f>
        <v xml:space="preserve"> </v>
      </c>
    </row>
    <row r="192" spans="1:45">
      <c r="A192" t="s">
        <v>108</v>
      </c>
      <c r="B192">
        <v>0</v>
      </c>
      <c r="C192">
        <v>15</v>
      </c>
      <c r="D192">
        <v>173</v>
      </c>
      <c r="E192">
        <v>33</v>
      </c>
      <c r="F192">
        <v>1</v>
      </c>
      <c r="G192">
        <v>22</v>
      </c>
      <c r="H192">
        <v>0</v>
      </c>
      <c r="I192">
        <v>94</v>
      </c>
      <c r="J192">
        <v>31</v>
      </c>
      <c r="K192">
        <v>0</v>
      </c>
      <c r="L192">
        <v>1</v>
      </c>
      <c r="M192" t="s">
        <v>110</v>
      </c>
      <c r="N192">
        <v>0</v>
      </c>
      <c r="O192">
        <v>18</v>
      </c>
      <c r="P192">
        <v>125</v>
      </c>
      <c r="Q192">
        <v>27</v>
      </c>
      <c r="R192">
        <v>2</v>
      </c>
      <c r="S192">
        <v>13</v>
      </c>
      <c r="T192">
        <v>0</v>
      </c>
      <c r="U192">
        <v>177</v>
      </c>
      <c r="V192">
        <v>40</v>
      </c>
      <c r="W192">
        <v>0</v>
      </c>
      <c r="X192">
        <v>1</v>
      </c>
      <c r="Y192" t="s">
        <v>15</v>
      </c>
      <c r="Z192">
        <v>0</v>
      </c>
      <c r="AA192" s="3">
        <f>IF(AND(Table1[[#This Row],[Throw Out Pass Eff]]="N", Table1[[#This Row],[Against FCS Team]]="N"), ROUND(((5.45 * D192) + (150 * F192) + (100 * G192) - (300 * H192)) / E192, 2), " ")</f>
        <v>99.78</v>
      </c>
      <c r="AB192" s="3">
        <f>IF(AND(Table1[[#This Row],[Throw Out Pass Def Eff]]="N", Table1[[#This Row],[Against FCS Team]]="N"),200 - ROUND(((5.45 * P192) + (150 * R192) + (100 * S192) - (300 * T192)) / Q192, 2), " ")</f>
        <v>115.51</v>
      </c>
      <c r="AC192" s="3">
        <f>IF(AND(Table1[[#This Row],[Throw Out Rush Eff]]="N", Table1[[#This Row],[Against FCS Team]]="N"), ROUND(((23.2 * I192) + (150 * K192) - (300 * L192)) / J192, 2), " ")</f>
        <v>60.67</v>
      </c>
      <c r="AD192" s="3">
        <f>IF(AND(Table1[[#This Row],[Throw Out Rush Def Eff]]="N", Table1[[#This Row],[Against FCS Team]]="N"), 200 - ROUND(((23.2 * U192) + (150 * W192) - (300 * X192)) / V192, 2), " ")</f>
        <v>104.84</v>
      </c>
      <c r="AE192" s="3">
        <f>ROUND(Table1[[#This Row],[Opp Passing Attempts]]/(Table1[[#This Row],[Opp Passing Attempts]]+Table1[[#This Row],[Opp Rushing Attempts]]), 2)</f>
        <v>0.4</v>
      </c>
      <c r="AF192" s="3">
        <f>1-Table1[[#This Row],[Passing Weight]]</f>
        <v>0.6</v>
      </c>
      <c r="AG192" s="3" t="str">
        <f>IF(COUNTIF(A:A,Table1[[#This Row],[Opp Team Name]]) &gt; 0, "N", "Y")</f>
        <v>N</v>
      </c>
      <c r="AH192" s="3" t="str">
        <f>IF(Table1[[#This Row],[Passing Attempts]] &lt;15, "Y", "N")</f>
        <v>N</v>
      </c>
      <c r="AI192" s="3" t="str">
        <f>IF(Table1[[#This Row],[Rushing Attempts]] &lt; 15, "Y", "N")</f>
        <v>N</v>
      </c>
      <c r="AJ192" s="3" t="str">
        <f>IF(Table1[[#This Row],[Opp Passing Attempts]]&lt;15, "Y", "N")</f>
        <v>N</v>
      </c>
      <c r="AK192" s="3" t="str">
        <f>IF(Table1[[#This Row],[Opp Rushing Attempts]]&lt;15, "Y", "N")</f>
        <v>N</v>
      </c>
      <c r="AL19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89.96</v>
      </c>
      <c r="AM19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99.49</v>
      </c>
      <c r="AN19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73.209999999999994</v>
      </c>
      <c r="AO19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105.58</v>
      </c>
      <c r="AP192" s="3">
        <f>ABS(Table1[[#This Row],[Team Score]]-Table1[[#This Row],[Opp Team Score]])</f>
        <v>3</v>
      </c>
      <c r="AQ192" s="3">
        <f>SUM(Table1[[#This Row],[Team Score]], Table1[[#This Row],[Opp Team Score]])</f>
        <v>33</v>
      </c>
      <c r="AR19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19.199999999999989</v>
      </c>
      <c r="AS192" s="3">
        <f>IF(Table1[[#This Row],[Efficiency Difference]] = " ", " ", ROUND((Table1[[#This Row],[Winning Margin]]*100)/Table1[[#This Row],[Efficiency Difference]], 2))</f>
        <v>15.63</v>
      </c>
    </row>
    <row r="193" spans="1:45">
      <c r="A193" t="s">
        <v>110</v>
      </c>
      <c r="B193">
        <v>0</v>
      </c>
      <c r="C193">
        <v>18</v>
      </c>
      <c r="D193">
        <v>125</v>
      </c>
      <c r="E193">
        <v>27</v>
      </c>
      <c r="F193">
        <v>2</v>
      </c>
      <c r="G193">
        <v>13</v>
      </c>
      <c r="H193">
        <v>0</v>
      </c>
      <c r="I193">
        <v>177</v>
      </c>
      <c r="J193">
        <v>40</v>
      </c>
      <c r="K193">
        <v>0</v>
      </c>
      <c r="L193">
        <v>1</v>
      </c>
      <c r="M193" t="s">
        <v>108</v>
      </c>
      <c r="N193">
        <v>0</v>
      </c>
      <c r="O193">
        <v>15</v>
      </c>
      <c r="P193">
        <v>173</v>
      </c>
      <c r="Q193">
        <v>33</v>
      </c>
      <c r="R193">
        <v>1</v>
      </c>
      <c r="S193">
        <v>22</v>
      </c>
      <c r="T193">
        <v>0</v>
      </c>
      <c r="U193">
        <v>94</v>
      </c>
      <c r="V193">
        <v>31</v>
      </c>
      <c r="W193">
        <v>0</v>
      </c>
      <c r="X193">
        <v>1</v>
      </c>
      <c r="Y193" t="s">
        <v>14</v>
      </c>
      <c r="Z193">
        <v>0</v>
      </c>
      <c r="AA193">
        <f>IF(AND(Table1[[#This Row],[Throw Out Pass Eff]]="N", Table1[[#This Row],[Against FCS Team]]="N"), ROUND(((5.45 * D193) + (150 * F193) + (100 * G193) - (300 * H193)) / E193, 2), " ")</f>
        <v>84.49</v>
      </c>
      <c r="AB193">
        <f>IF(AND(Table1[[#This Row],[Throw Out Pass Def Eff]]="N", Table1[[#This Row],[Against FCS Team]]="N"),200 - ROUND(((5.45 * P193) + (150 * R193) + (100 * S193) - (300 * T193)) / Q193, 2), " ")</f>
        <v>100.22</v>
      </c>
      <c r="AC193">
        <f>IF(AND(Table1[[#This Row],[Throw Out Rush Eff]]="N", Table1[[#This Row],[Against FCS Team]]="N"), ROUND(((23.2 * I193) + (150 * K193) - (300 * L193)) / J193, 2), " ")</f>
        <v>95.16</v>
      </c>
      <c r="AD193" s="3">
        <f>IF(AND(Table1[[#This Row],[Throw Out Rush Def Eff]]="N", Table1[[#This Row],[Against FCS Team]]="N"), 200 - ROUND(((23.2 * U193) + (150 * W193) - (300 * X193)) / V193, 2), " ")</f>
        <v>139.32999999999998</v>
      </c>
      <c r="AE193" s="3">
        <f>ROUND(Table1[[#This Row],[Opp Passing Attempts]]/(Table1[[#This Row],[Opp Passing Attempts]]+Table1[[#This Row],[Opp Rushing Attempts]]), 2)</f>
        <v>0.52</v>
      </c>
      <c r="AF193" s="3">
        <f>1-Table1[[#This Row],[Passing Weight]]</f>
        <v>0.48</v>
      </c>
      <c r="AG193" s="3" t="str">
        <f>IF(COUNTIF(A:A,Table1[[#This Row],[Opp Team Name]]) &gt; 0, "N", "Y")</f>
        <v>N</v>
      </c>
      <c r="AH193" s="3" t="str">
        <f>IF(Table1[[#This Row],[Passing Attempts]] &lt;15, "Y", "N")</f>
        <v>N</v>
      </c>
      <c r="AI193" s="3" t="str">
        <f>IF(Table1[[#This Row],[Rushing Attempts]] &lt; 15, "Y", "N")</f>
        <v>N</v>
      </c>
      <c r="AJ193" s="3" t="str">
        <f>IF(Table1[[#This Row],[Opp Passing Attempts]]&lt;15, "Y", "N")</f>
        <v>N</v>
      </c>
      <c r="AK193" s="3" t="str">
        <f>IF(Table1[[#This Row],[Opp Rushing Attempts]]&lt;15, "Y", "N")</f>
        <v>N</v>
      </c>
      <c r="AL19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78.290000000000006</v>
      </c>
      <c r="AM19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85.1</v>
      </c>
      <c r="AN19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100.29</v>
      </c>
      <c r="AO19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128.77000000000001</v>
      </c>
      <c r="AP193" s="3">
        <f>ABS(Table1[[#This Row],[Team Score]]-Table1[[#This Row],[Opp Team Score]])</f>
        <v>3</v>
      </c>
      <c r="AQ193" s="3">
        <f>SUM(Table1[[#This Row],[Team Score]], Table1[[#This Row],[Opp Team Score]])</f>
        <v>33</v>
      </c>
      <c r="AR19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19.19999999999996</v>
      </c>
      <c r="AS193" s="3">
        <f>IF(Table1[[#This Row],[Efficiency Difference]] = " ", " ", ROUND((Table1[[#This Row],[Winning Margin]]*100)/Table1[[#This Row],[Efficiency Difference]], 2))</f>
        <v>15.63</v>
      </c>
    </row>
    <row r="194" spans="1:45">
      <c r="A194" t="s">
        <v>89</v>
      </c>
      <c r="B194">
        <v>0</v>
      </c>
      <c r="C194">
        <v>7</v>
      </c>
      <c r="D194">
        <v>95</v>
      </c>
      <c r="E194">
        <v>31</v>
      </c>
      <c r="F194">
        <v>1</v>
      </c>
      <c r="G194">
        <v>15</v>
      </c>
      <c r="H194">
        <v>2</v>
      </c>
      <c r="I194">
        <v>53</v>
      </c>
      <c r="J194">
        <v>15</v>
      </c>
      <c r="K194">
        <v>0</v>
      </c>
      <c r="L194">
        <v>0</v>
      </c>
      <c r="M194" t="s">
        <v>84</v>
      </c>
      <c r="N194">
        <v>0</v>
      </c>
      <c r="O194">
        <v>41</v>
      </c>
      <c r="P194">
        <v>296</v>
      </c>
      <c r="Q194">
        <v>23</v>
      </c>
      <c r="R194">
        <v>2</v>
      </c>
      <c r="S194">
        <v>18</v>
      </c>
      <c r="T194">
        <v>0</v>
      </c>
      <c r="U194">
        <v>222</v>
      </c>
      <c r="V194">
        <v>47</v>
      </c>
      <c r="W194">
        <v>2</v>
      </c>
      <c r="X194">
        <v>0</v>
      </c>
      <c r="Y194" t="s">
        <v>15</v>
      </c>
      <c r="Z194">
        <v>0</v>
      </c>
      <c r="AA194">
        <f>IF(AND(Table1[[#This Row],[Throw Out Pass Eff]]="N", Table1[[#This Row],[Against FCS Team]]="N"), ROUND(((5.45 * D194) + (150 * F194) + (100 * G194) - (300 * H194)) / E194, 2), " ")</f>
        <v>50.57</v>
      </c>
      <c r="AB194">
        <f>IF(AND(Table1[[#This Row],[Throw Out Pass Def Eff]]="N", Table1[[#This Row],[Against FCS Team]]="N"),200 - ROUND(((5.45 * P194) + (150 * R194) + (100 * S194) - (300 * T194)) / Q194, 2), " ")</f>
        <v>38.56</v>
      </c>
      <c r="AC194">
        <f>IF(AND(Table1[[#This Row],[Throw Out Rush Eff]]="N", Table1[[#This Row],[Against FCS Team]]="N"), ROUND(((23.2 * I194) + (150 * K194) - (300 * L194)) / J194, 2), " ")</f>
        <v>81.97</v>
      </c>
      <c r="AD194" s="3">
        <f>IF(AND(Table1[[#This Row],[Throw Out Rush Def Eff]]="N", Table1[[#This Row],[Against FCS Team]]="N"), 200 - ROUND(((23.2 * U194) + (150 * W194) - (300 * X194)) / V194, 2), " ")</f>
        <v>84.03</v>
      </c>
      <c r="AE194" s="3">
        <f>ROUND(Table1[[#This Row],[Opp Passing Attempts]]/(Table1[[#This Row],[Opp Passing Attempts]]+Table1[[#This Row],[Opp Rushing Attempts]]), 2)</f>
        <v>0.33</v>
      </c>
      <c r="AF194" s="3">
        <f>1-Table1[[#This Row],[Passing Weight]]</f>
        <v>0.66999999999999993</v>
      </c>
      <c r="AG194" s="3" t="str">
        <f>IF(COUNTIF(A:A,Table1[[#This Row],[Opp Team Name]]) &gt; 0, "N", "Y")</f>
        <v>N</v>
      </c>
      <c r="AH194" s="3" t="str">
        <f>IF(Table1[[#This Row],[Passing Attempts]] &lt;15, "Y", "N")</f>
        <v>N</v>
      </c>
      <c r="AI194" s="3" t="str">
        <f>IF(Table1[[#This Row],[Rushing Attempts]] &lt; 15, "Y", "N")</f>
        <v>N</v>
      </c>
      <c r="AJ194" s="3" t="str">
        <f>IF(Table1[[#This Row],[Opp Passing Attempts]]&lt;15, "Y", "N")</f>
        <v>N</v>
      </c>
      <c r="AK194" s="3" t="str">
        <f>IF(Table1[[#This Row],[Opp Rushing Attempts]]&lt;15, "Y", "N")</f>
        <v>N</v>
      </c>
      <c r="AL19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60.87</v>
      </c>
      <c r="AM19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42.95</v>
      </c>
      <c r="AN19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83.12</v>
      </c>
      <c r="AO19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81.08</v>
      </c>
      <c r="AP194" s="3">
        <f>ABS(Table1[[#This Row],[Team Score]]-Table1[[#This Row],[Opp Team Score]])</f>
        <v>34</v>
      </c>
      <c r="AQ194" s="3">
        <f>SUM(Table1[[#This Row],[Team Score]], Table1[[#This Row],[Opp Team Score]])</f>
        <v>48</v>
      </c>
      <c r="AR19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144.86999999999998</v>
      </c>
      <c r="AS194" s="3">
        <f>IF(Table1[[#This Row],[Efficiency Difference]] = " ", " ", ROUND((Table1[[#This Row],[Winning Margin]]*100)/Table1[[#This Row],[Efficiency Difference]], 2))</f>
        <v>23.47</v>
      </c>
    </row>
    <row r="195" spans="1:45">
      <c r="A195" t="s">
        <v>84</v>
      </c>
      <c r="B195">
        <v>0</v>
      </c>
      <c r="C195">
        <v>41</v>
      </c>
      <c r="D195">
        <v>296</v>
      </c>
      <c r="E195">
        <v>23</v>
      </c>
      <c r="F195">
        <v>2</v>
      </c>
      <c r="G195">
        <v>18</v>
      </c>
      <c r="H195">
        <v>0</v>
      </c>
      <c r="I195">
        <v>222</v>
      </c>
      <c r="J195">
        <v>47</v>
      </c>
      <c r="K195">
        <v>2</v>
      </c>
      <c r="L195">
        <v>0</v>
      </c>
      <c r="M195" t="s">
        <v>89</v>
      </c>
      <c r="N195">
        <v>0</v>
      </c>
      <c r="O195">
        <v>7</v>
      </c>
      <c r="P195">
        <v>95</v>
      </c>
      <c r="Q195">
        <v>31</v>
      </c>
      <c r="R195">
        <v>1</v>
      </c>
      <c r="S195">
        <v>15</v>
      </c>
      <c r="T195">
        <v>2</v>
      </c>
      <c r="U195">
        <v>53</v>
      </c>
      <c r="V195">
        <v>15</v>
      </c>
      <c r="W195">
        <v>0</v>
      </c>
      <c r="X195">
        <v>0</v>
      </c>
      <c r="Y195" t="s">
        <v>14</v>
      </c>
      <c r="Z195">
        <v>0</v>
      </c>
      <c r="AA195">
        <f>IF(AND(Table1[[#This Row],[Throw Out Pass Eff]]="N", Table1[[#This Row],[Against FCS Team]]="N"), ROUND(((5.45 * D195) + (150 * F195) + (100 * G195) - (300 * H195)) / E195, 2), " ")</f>
        <v>161.44</v>
      </c>
      <c r="AB195">
        <f>IF(AND(Table1[[#This Row],[Throw Out Pass Def Eff]]="N", Table1[[#This Row],[Against FCS Team]]="N"),200 - ROUND(((5.45 * P195) + (150 * R195) + (100 * S195) - (300 * T195)) / Q195, 2), " ")</f>
        <v>149.43</v>
      </c>
      <c r="AC195">
        <f>IF(AND(Table1[[#This Row],[Throw Out Rush Eff]]="N", Table1[[#This Row],[Against FCS Team]]="N"), ROUND(((23.2 * I195) + (150 * K195) - (300 * L195)) / J195, 2), " ")</f>
        <v>115.97</v>
      </c>
      <c r="AD195" s="3">
        <f>IF(AND(Table1[[#This Row],[Throw Out Rush Def Eff]]="N", Table1[[#This Row],[Against FCS Team]]="N"), 200 - ROUND(((23.2 * U195) + (150 * W195) - (300 * X195)) / V195, 2), " ")</f>
        <v>118.03</v>
      </c>
      <c r="AE195" s="3">
        <f>ROUND(Table1[[#This Row],[Opp Passing Attempts]]/(Table1[[#This Row],[Opp Passing Attempts]]+Table1[[#This Row],[Opp Rushing Attempts]]), 2)</f>
        <v>0.67</v>
      </c>
      <c r="AF195" s="3">
        <f>1-Table1[[#This Row],[Passing Weight]]</f>
        <v>0.32999999999999996</v>
      </c>
      <c r="AG195" s="3" t="str">
        <f>IF(COUNTIF(A:A,Table1[[#This Row],[Opp Team Name]]) &gt; 0, "N", "Y")</f>
        <v>N</v>
      </c>
      <c r="AH195" s="3" t="str">
        <f>IF(Table1[[#This Row],[Passing Attempts]] &lt;15, "Y", "N")</f>
        <v>N</v>
      </c>
      <c r="AI195" s="3" t="str">
        <f>IF(Table1[[#This Row],[Rushing Attempts]] &lt; 15, "Y", "N")</f>
        <v>N</v>
      </c>
      <c r="AJ195" s="3" t="str">
        <f>IF(Table1[[#This Row],[Opp Passing Attempts]]&lt;15, "Y", "N")</f>
        <v>N</v>
      </c>
      <c r="AK195" s="3" t="str">
        <f>IF(Table1[[#This Row],[Opp Rushing Attempts]]&lt;15, "Y", "N")</f>
        <v>N</v>
      </c>
      <c r="AL19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153.97999999999999</v>
      </c>
      <c r="AM19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146.75</v>
      </c>
      <c r="AN19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131.71</v>
      </c>
      <c r="AO19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80.63</v>
      </c>
      <c r="AP195" s="3">
        <f>ABS(Table1[[#This Row],[Team Score]]-Table1[[#This Row],[Opp Team Score]])</f>
        <v>34</v>
      </c>
      <c r="AQ195" s="3">
        <f>SUM(Table1[[#This Row],[Team Score]], Table1[[#This Row],[Opp Team Score]])</f>
        <v>48</v>
      </c>
      <c r="AR19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144.87</v>
      </c>
      <c r="AS195" s="3">
        <f>IF(Table1[[#This Row],[Efficiency Difference]] = " ", " ", ROUND((Table1[[#This Row],[Winning Margin]]*100)/Table1[[#This Row],[Efficiency Difference]], 2))</f>
        <v>23.47</v>
      </c>
    </row>
    <row r="196" spans="1:45">
      <c r="A196" t="s">
        <v>102</v>
      </c>
      <c r="B196">
        <v>0</v>
      </c>
      <c r="C196">
        <v>20</v>
      </c>
      <c r="D196">
        <v>257</v>
      </c>
      <c r="E196">
        <v>34</v>
      </c>
      <c r="F196">
        <v>2</v>
      </c>
      <c r="G196">
        <v>18</v>
      </c>
      <c r="H196">
        <v>1</v>
      </c>
      <c r="I196">
        <v>73</v>
      </c>
      <c r="J196">
        <v>19</v>
      </c>
      <c r="K196">
        <v>1</v>
      </c>
      <c r="L196">
        <v>0</v>
      </c>
      <c r="M196" t="s">
        <v>95</v>
      </c>
      <c r="N196">
        <v>0</v>
      </c>
      <c r="O196">
        <v>32</v>
      </c>
      <c r="P196">
        <v>354</v>
      </c>
      <c r="Q196">
        <v>39</v>
      </c>
      <c r="R196">
        <v>3</v>
      </c>
      <c r="S196">
        <v>26</v>
      </c>
      <c r="T196">
        <v>0</v>
      </c>
      <c r="U196">
        <v>91</v>
      </c>
      <c r="V196">
        <v>28</v>
      </c>
      <c r="W196">
        <v>0</v>
      </c>
      <c r="X196">
        <v>0</v>
      </c>
      <c r="Y196" t="s">
        <v>15</v>
      </c>
      <c r="Z196">
        <v>0</v>
      </c>
      <c r="AA196">
        <f>IF(AND(Table1[[#This Row],[Throw Out Pass Eff]]="N", Table1[[#This Row],[Against FCS Team]]="N"), ROUND(((5.45 * D196) + (150 * F196) + (100 * G196) - (300 * H196)) / E196, 2), " ")</f>
        <v>94.14</v>
      </c>
      <c r="AB196">
        <f>IF(AND(Table1[[#This Row],[Throw Out Pass Def Eff]]="N", Table1[[#This Row],[Against FCS Team]]="N"),200 - ROUND(((5.45 * P196) + (150 * R196) + (100 * S196) - (300 * T196)) / Q196, 2), " ")</f>
        <v>72.33</v>
      </c>
      <c r="AC196">
        <f>IF(AND(Table1[[#This Row],[Throw Out Rush Eff]]="N", Table1[[#This Row],[Against FCS Team]]="N"), ROUND(((23.2 * I196) + (150 * K196) - (300 * L196)) / J196, 2), " ")</f>
        <v>97.03</v>
      </c>
      <c r="AD196" s="3">
        <f>IF(AND(Table1[[#This Row],[Throw Out Rush Def Eff]]="N", Table1[[#This Row],[Against FCS Team]]="N"), 200 - ROUND(((23.2 * U196) + (150 * W196) - (300 * X196)) / V196, 2), " ")</f>
        <v>124.6</v>
      </c>
      <c r="AE196" s="3">
        <f>ROUND(Table1[[#This Row],[Opp Passing Attempts]]/(Table1[[#This Row],[Opp Passing Attempts]]+Table1[[#This Row],[Opp Rushing Attempts]]), 2)</f>
        <v>0.57999999999999996</v>
      </c>
      <c r="AF196" s="3">
        <f>1-Table1[[#This Row],[Passing Weight]]</f>
        <v>0.42000000000000004</v>
      </c>
      <c r="AG196" s="3" t="str">
        <f>IF(COUNTIF(A:A,Table1[[#This Row],[Opp Team Name]]) &gt; 0, "N", "Y")</f>
        <v>N</v>
      </c>
      <c r="AH196" s="3" t="str">
        <f>IF(Table1[[#This Row],[Passing Attempts]] &lt;15, "Y", "N")</f>
        <v>N</v>
      </c>
      <c r="AI196" s="3" t="str">
        <f>IF(Table1[[#This Row],[Rushing Attempts]] &lt; 15, "Y", "N")</f>
        <v>N</v>
      </c>
      <c r="AJ196" s="3" t="str">
        <f>IF(Table1[[#This Row],[Opp Passing Attempts]]&lt;15, "Y", "N")</f>
        <v>N</v>
      </c>
      <c r="AK196" s="3" t="str">
        <f>IF(Table1[[#This Row],[Opp Rushing Attempts]]&lt;15, "Y", "N")</f>
        <v>N</v>
      </c>
      <c r="AL19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103.88</v>
      </c>
      <c r="AM19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76.8</v>
      </c>
      <c r="AN19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89.11</v>
      </c>
      <c r="AO19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111.16</v>
      </c>
      <c r="AP196" s="3">
        <f>ABS(Table1[[#This Row],[Team Score]]-Table1[[#This Row],[Opp Team Score]])</f>
        <v>12</v>
      </c>
      <c r="AQ196" s="3">
        <f>SUM(Table1[[#This Row],[Team Score]], Table1[[#This Row],[Opp Team Score]])</f>
        <v>52</v>
      </c>
      <c r="AR19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11.899999999999977</v>
      </c>
      <c r="AS196" s="3">
        <f>IF(Table1[[#This Row],[Efficiency Difference]] = " ", " ", ROUND((Table1[[#This Row],[Winning Margin]]*100)/Table1[[#This Row],[Efficiency Difference]], 2))</f>
        <v>100.84</v>
      </c>
    </row>
    <row r="197" spans="1:45">
      <c r="A197" t="s">
        <v>95</v>
      </c>
      <c r="B197">
        <v>0</v>
      </c>
      <c r="C197">
        <v>32</v>
      </c>
      <c r="D197">
        <v>354</v>
      </c>
      <c r="E197">
        <v>39</v>
      </c>
      <c r="F197">
        <v>3</v>
      </c>
      <c r="G197">
        <v>26</v>
      </c>
      <c r="H197">
        <v>0</v>
      </c>
      <c r="I197">
        <v>91</v>
      </c>
      <c r="J197">
        <v>28</v>
      </c>
      <c r="K197">
        <v>0</v>
      </c>
      <c r="L197">
        <v>0</v>
      </c>
      <c r="M197" t="s">
        <v>102</v>
      </c>
      <c r="N197">
        <v>0</v>
      </c>
      <c r="O197">
        <v>20</v>
      </c>
      <c r="P197">
        <v>257</v>
      </c>
      <c r="Q197">
        <v>34</v>
      </c>
      <c r="R197">
        <v>2</v>
      </c>
      <c r="S197">
        <v>18</v>
      </c>
      <c r="T197">
        <v>1</v>
      </c>
      <c r="U197">
        <v>73</v>
      </c>
      <c r="V197">
        <v>19</v>
      </c>
      <c r="W197">
        <v>1</v>
      </c>
      <c r="X197">
        <v>0</v>
      </c>
      <c r="Y197" t="s">
        <v>14</v>
      </c>
      <c r="Z197">
        <v>0</v>
      </c>
      <c r="AA197">
        <f>IF(AND(Table1[[#This Row],[Throw Out Pass Eff]]="N", Table1[[#This Row],[Against FCS Team]]="N"), ROUND(((5.45 * D197) + (150 * F197) + (100 * G197) - (300 * H197)) / E197, 2), " ")</f>
        <v>127.67</v>
      </c>
      <c r="AB197">
        <f>IF(AND(Table1[[#This Row],[Throw Out Pass Def Eff]]="N", Table1[[#This Row],[Against FCS Team]]="N"),200 - ROUND(((5.45 * P197) + (150 * R197) + (100 * S197) - (300 * T197)) / Q197, 2), " ")</f>
        <v>105.86</v>
      </c>
      <c r="AC197">
        <f>IF(AND(Table1[[#This Row],[Throw Out Rush Eff]]="N", Table1[[#This Row],[Against FCS Team]]="N"), ROUND(((23.2 * I197) + (150 * K197) - (300 * L197)) / J197, 2), " ")</f>
        <v>75.400000000000006</v>
      </c>
      <c r="AD197" s="3">
        <f>IF(AND(Table1[[#This Row],[Throw Out Rush Def Eff]]="N", Table1[[#This Row],[Against FCS Team]]="N"), 200 - ROUND(((23.2 * U197) + (150 * W197) - (300 * X197)) / V197, 2), " ")</f>
        <v>102.97</v>
      </c>
      <c r="AE197" s="3">
        <f>ROUND(Table1[[#This Row],[Opp Passing Attempts]]/(Table1[[#This Row],[Opp Passing Attempts]]+Table1[[#This Row],[Opp Rushing Attempts]]), 2)</f>
        <v>0.64</v>
      </c>
      <c r="AF197" s="3">
        <f>1-Table1[[#This Row],[Passing Weight]]</f>
        <v>0.36</v>
      </c>
      <c r="AG197" s="3" t="str">
        <f>IF(COUNTIF(A:A,Table1[[#This Row],[Opp Team Name]]) &gt; 0, "N", "Y")</f>
        <v>N</v>
      </c>
      <c r="AH197" s="3" t="str">
        <f>IF(Table1[[#This Row],[Passing Attempts]] &lt;15, "Y", "N")</f>
        <v>N</v>
      </c>
      <c r="AI197" s="3" t="str">
        <f>IF(Table1[[#This Row],[Rushing Attempts]] &lt; 15, "Y", "N")</f>
        <v>N</v>
      </c>
      <c r="AJ197" s="3" t="str">
        <f>IF(Table1[[#This Row],[Opp Passing Attempts]]&lt;15, "Y", "N")</f>
        <v>N</v>
      </c>
      <c r="AK197" s="3" t="str">
        <f>IF(Table1[[#This Row],[Opp Rushing Attempts]]&lt;15, "Y", "N")</f>
        <v>N</v>
      </c>
      <c r="AL19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123.93</v>
      </c>
      <c r="AM19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97.53</v>
      </c>
      <c r="AN19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86.26</v>
      </c>
      <c r="AO19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99.07</v>
      </c>
      <c r="AP197" s="3">
        <f>ABS(Table1[[#This Row],[Team Score]]-Table1[[#This Row],[Opp Team Score]])</f>
        <v>12</v>
      </c>
      <c r="AQ197" s="3">
        <f>SUM(Table1[[#This Row],[Team Score]], Table1[[#This Row],[Opp Team Score]])</f>
        <v>52</v>
      </c>
      <c r="AR19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11.899999999999977</v>
      </c>
      <c r="AS197" s="3">
        <f>IF(Table1[[#This Row],[Efficiency Difference]] = " ", " ", ROUND((Table1[[#This Row],[Winning Margin]]*100)/Table1[[#This Row],[Efficiency Difference]], 2))</f>
        <v>100.84</v>
      </c>
    </row>
    <row r="198" spans="1:45">
      <c r="A198" t="s">
        <v>111</v>
      </c>
      <c r="B198">
        <v>0</v>
      </c>
      <c r="C198">
        <v>0</v>
      </c>
      <c r="D198">
        <v>167</v>
      </c>
      <c r="E198">
        <v>35</v>
      </c>
      <c r="F198">
        <v>0</v>
      </c>
      <c r="G198">
        <v>15</v>
      </c>
      <c r="H198">
        <v>6</v>
      </c>
      <c r="I198">
        <v>155</v>
      </c>
      <c r="J198">
        <v>27</v>
      </c>
      <c r="K198">
        <v>0</v>
      </c>
      <c r="L198">
        <v>0</v>
      </c>
      <c r="M198" t="s">
        <v>86</v>
      </c>
      <c r="N198">
        <v>0</v>
      </c>
      <c r="O198">
        <v>28</v>
      </c>
      <c r="P198">
        <v>161</v>
      </c>
      <c r="Q198">
        <v>30</v>
      </c>
      <c r="R198">
        <v>0</v>
      </c>
      <c r="S198">
        <v>15</v>
      </c>
      <c r="T198">
        <v>2</v>
      </c>
      <c r="U198">
        <v>139</v>
      </c>
      <c r="V198">
        <v>39</v>
      </c>
      <c r="W198">
        <v>2</v>
      </c>
      <c r="X198">
        <v>0</v>
      </c>
      <c r="Y198" t="s">
        <v>15</v>
      </c>
      <c r="Z198">
        <v>0</v>
      </c>
      <c r="AA198">
        <f>IF(AND(Table1[[#This Row],[Throw Out Pass Eff]]="N", Table1[[#This Row],[Against FCS Team]]="N"), ROUND(((5.45 * D198) + (150 * F198) + (100 * G198) - (300 * H198)) / E198, 2), " ")</f>
        <v>17.43</v>
      </c>
      <c r="AB198">
        <f>IF(AND(Table1[[#This Row],[Throw Out Pass Def Eff]]="N", Table1[[#This Row],[Against FCS Team]]="N"),200 - ROUND(((5.45 * P198) + (150 * R198) + (100 * S198) - (300 * T198)) / Q198, 2), " ")</f>
        <v>140.75</v>
      </c>
      <c r="AC198">
        <f>IF(AND(Table1[[#This Row],[Throw Out Rush Eff]]="N", Table1[[#This Row],[Against FCS Team]]="N"), ROUND(((23.2 * I198) + (150 * K198) - (300 * L198)) / J198, 2), " ")</f>
        <v>133.19</v>
      </c>
      <c r="AD198" s="3">
        <f>IF(AND(Table1[[#This Row],[Throw Out Rush Def Eff]]="N", Table1[[#This Row],[Against FCS Team]]="N"), 200 - ROUND(((23.2 * U198) + (150 * W198) - (300 * X198)) / V198, 2), " ")</f>
        <v>109.62</v>
      </c>
      <c r="AE198" s="3">
        <f>ROUND(Table1[[#This Row],[Opp Passing Attempts]]/(Table1[[#This Row],[Opp Passing Attempts]]+Table1[[#This Row],[Opp Rushing Attempts]]), 2)</f>
        <v>0.43</v>
      </c>
      <c r="AF198" s="3">
        <f>1-Table1[[#This Row],[Passing Weight]]</f>
        <v>0.57000000000000006</v>
      </c>
      <c r="AG198" s="3" t="str">
        <f>IF(COUNTIF(A:A,Table1[[#This Row],[Opp Team Name]]) &gt; 0, "N", "Y")</f>
        <v>N</v>
      </c>
      <c r="AH198" s="3" t="str">
        <f>IF(Table1[[#This Row],[Passing Attempts]] &lt;15, "Y", "N")</f>
        <v>N</v>
      </c>
      <c r="AI198" s="3" t="str">
        <f>IF(Table1[[#This Row],[Rushing Attempts]] &lt; 15, "Y", "N")</f>
        <v>N</v>
      </c>
      <c r="AJ198" s="3" t="str">
        <f>IF(Table1[[#This Row],[Opp Passing Attempts]]&lt;15, "Y", "N")</f>
        <v>N</v>
      </c>
      <c r="AK198" s="3" t="str">
        <f>IF(Table1[[#This Row],[Opp Rushing Attempts]]&lt;15, "Y", "N")</f>
        <v>N</v>
      </c>
      <c r="AL19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18.899999999999999</v>
      </c>
      <c r="AM19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128.44999999999999</v>
      </c>
      <c r="AN19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132.6</v>
      </c>
      <c r="AO19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102.2</v>
      </c>
      <c r="AP198" s="3">
        <f>ABS(Table1[[#This Row],[Team Score]]-Table1[[#This Row],[Opp Team Score]])</f>
        <v>28</v>
      </c>
      <c r="AQ198" s="3">
        <f>SUM(Table1[[#This Row],[Team Score]], Table1[[#This Row],[Opp Team Score]])</f>
        <v>28</v>
      </c>
      <c r="AR19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0.99000000000000909</v>
      </c>
      <c r="AS198" s="3">
        <f>IF(Table1[[#This Row],[Efficiency Difference]] = " ", " ", ROUND((Table1[[#This Row],[Winning Margin]]*100)/Table1[[#This Row],[Efficiency Difference]], 2))</f>
        <v>2828.28</v>
      </c>
    </row>
    <row r="199" spans="1:45">
      <c r="A199" t="s">
        <v>86</v>
      </c>
      <c r="B199">
        <v>0</v>
      </c>
      <c r="C199">
        <v>28</v>
      </c>
      <c r="D199">
        <v>161</v>
      </c>
      <c r="E199">
        <v>30</v>
      </c>
      <c r="F199">
        <v>0</v>
      </c>
      <c r="G199">
        <v>15</v>
      </c>
      <c r="H199">
        <v>2</v>
      </c>
      <c r="I199">
        <v>139</v>
      </c>
      <c r="J199">
        <v>39</v>
      </c>
      <c r="K199">
        <v>2</v>
      </c>
      <c r="L199">
        <v>0</v>
      </c>
      <c r="M199" t="s">
        <v>111</v>
      </c>
      <c r="N199">
        <v>0</v>
      </c>
      <c r="O199">
        <v>0</v>
      </c>
      <c r="P199">
        <v>167</v>
      </c>
      <c r="Q199">
        <v>35</v>
      </c>
      <c r="R199">
        <v>0</v>
      </c>
      <c r="S199">
        <v>15</v>
      </c>
      <c r="T199">
        <v>6</v>
      </c>
      <c r="U199">
        <v>155</v>
      </c>
      <c r="V199">
        <v>27</v>
      </c>
      <c r="W199">
        <v>0</v>
      </c>
      <c r="X199">
        <v>0</v>
      </c>
      <c r="Y199" t="s">
        <v>14</v>
      </c>
      <c r="Z199">
        <v>0</v>
      </c>
      <c r="AA199" s="3">
        <f>IF(AND(Table1[[#This Row],[Throw Out Pass Eff]]="N", Table1[[#This Row],[Against FCS Team]]="N"), ROUND(((5.45 * D199) + (150 * F199) + (100 * G199) - (300 * H199)) / E199, 2), " ")</f>
        <v>59.25</v>
      </c>
      <c r="AB199" s="3">
        <f>IF(AND(Table1[[#This Row],[Throw Out Pass Def Eff]]="N", Table1[[#This Row],[Against FCS Team]]="N"),200 - ROUND(((5.45 * P199) + (150 * R199) + (100 * S199) - (300 * T199)) / Q199, 2), " ")</f>
        <v>182.57</v>
      </c>
      <c r="AC199" s="3">
        <f>IF(AND(Table1[[#This Row],[Throw Out Rush Eff]]="N", Table1[[#This Row],[Against FCS Team]]="N"), ROUND(((23.2 * I199) + (150 * K199) - (300 * L199)) / J199, 2), " ")</f>
        <v>90.38</v>
      </c>
      <c r="AD199" s="3">
        <f>IF(AND(Table1[[#This Row],[Throw Out Rush Def Eff]]="N", Table1[[#This Row],[Against FCS Team]]="N"), 200 - ROUND(((23.2 * U199) + (150 * W199) - (300 * X199)) / V199, 2), " ")</f>
        <v>66.81</v>
      </c>
      <c r="AE199" s="3">
        <f>ROUND(Table1[[#This Row],[Opp Passing Attempts]]/(Table1[[#This Row],[Opp Passing Attempts]]+Table1[[#This Row],[Opp Rushing Attempts]]), 2)</f>
        <v>0.56000000000000005</v>
      </c>
      <c r="AF199" s="3">
        <f>1-Table1[[#This Row],[Passing Weight]]</f>
        <v>0.43999999999999995</v>
      </c>
      <c r="AG199" s="3" t="str">
        <f>IF(COUNTIF(A:A,Table1[[#This Row],[Opp Team Name]]) &gt; 0, "N", "Y")</f>
        <v>N</v>
      </c>
      <c r="AH199" s="3" t="str">
        <f>IF(Table1[[#This Row],[Passing Attempts]] &lt;15, "Y", "N")</f>
        <v>N</v>
      </c>
      <c r="AI199" s="3" t="str">
        <f>IF(Table1[[#This Row],[Rushing Attempts]] &lt; 15, "Y", "N")</f>
        <v>N</v>
      </c>
      <c r="AJ199" s="3" t="str">
        <f>IF(Table1[[#This Row],[Opp Passing Attempts]]&lt;15, "Y", "N")</f>
        <v>N</v>
      </c>
      <c r="AK199" s="3" t="str">
        <f>IF(Table1[[#This Row],[Opp Rushing Attempts]]&lt;15, "Y", "N")</f>
        <v>N</v>
      </c>
      <c r="AL19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67.09</v>
      </c>
      <c r="AM19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158.83000000000001</v>
      </c>
      <c r="AN19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78.44</v>
      </c>
      <c r="AO19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82.37</v>
      </c>
      <c r="AP199" s="3">
        <f>ABS(Table1[[#This Row],[Team Score]]-Table1[[#This Row],[Opp Team Score]])</f>
        <v>28</v>
      </c>
      <c r="AQ199" s="3">
        <f>SUM(Table1[[#This Row],[Team Score]], Table1[[#This Row],[Opp Team Score]])</f>
        <v>28</v>
      </c>
      <c r="AR19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0.99000000000000909</v>
      </c>
      <c r="AS199" s="3">
        <f>IF(Table1[[#This Row],[Efficiency Difference]] = " ", " ", ROUND((Table1[[#This Row],[Winning Margin]]*100)/Table1[[#This Row],[Efficiency Difference]], 2))</f>
        <v>2828.28</v>
      </c>
    </row>
    <row r="200" spans="1:45">
      <c r="A200" t="s">
        <v>99</v>
      </c>
      <c r="B200">
        <v>0</v>
      </c>
      <c r="C200">
        <v>27</v>
      </c>
      <c r="D200">
        <v>217</v>
      </c>
      <c r="E200">
        <v>32</v>
      </c>
      <c r="F200">
        <v>2</v>
      </c>
      <c r="G200">
        <v>13</v>
      </c>
      <c r="H200">
        <v>2</v>
      </c>
      <c r="I200">
        <v>218</v>
      </c>
      <c r="J200">
        <v>31</v>
      </c>
      <c r="K200">
        <v>1</v>
      </c>
      <c r="L200">
        <v>0</v>
      </c>
      <c r="M200" t="s">
        <v>80</v>
      </c>
      <c r="N200">
        <v>0</v>
      </c>
      <c r="O200">
        <v>33</v>
      </c>
      <c r="P200">
        <v>307</v>
      </c>
      <c r="Q200">
        <v>30</v>
      </c>
      <c r="R200">
        <v>3</v>
      </c>
      <c r="S200">
        <v>24</v>
      </c>
      <c r="T200">
        <v>0</v>
      </c>
      <c r="U200">
        <v>114</v>
      </c>
      <c r="V200">
        <v>26</v>
      </c>
      <c r="W200">
        <v>0</v>
      </c>
      <c r="X200">
        <v>1</v>
      </c>
      <c r="Y200" t="s">
        <v>15</v>
      </c>
      <c r="Z200">
        <v>0</v>
      </c>
      <c r="AA200">
        <f>IF(AND(Table1[[#This Row],[Throw Out Pass Eff]]="N", Table1[[#This Row],[Against FCS Team]]="N"), ROUND(((5.45 * D200) + (150 * F200) + (100 * G200) - (300 * H200)) / E200, 2), " ")</f>
        <v>68.209999999999994</v>
      </c>
      <c r="AB200">
        <f>IF(AND(Table1[[#This Row],[Throw Out Pass Def Eff]]="N", Table1[[#This Row],[Against FCS Team]]="N"),200 - ROUND(((5.45 * P200) + (150 * R200) + (100 * S200) - (300 * T200)) / Q200, 2), " ")</f>
        <v>49.22999999999999</v>
      </c>
      <c r="AC200">
        <f>IF(AND(Table1[[#This Row],[Throw Out Rush Eff]]="N", Table1[[#This Row],[Against FCS Team]]="N"), ROUND(((23.2 * I200) + (150 * K200) - (300 * L200)) / J200, 2), " ")</f>
        <v>167.99</v>
      </c>
      <c r="AD200" s="3">
        <f>IF(AND(Table1[[#This Row],[Throw Out Rush Def Eff]]="N", Table1[[#This Row],[Against FCS Team]]="N"), 200 - ROUND(((23.2 * U200) + (150 * W200) - (300 * X200)) / V200, 2), " ")</f>
        <v>109.82</v>
      </c>
      <c r="AE200" s="3">
        <f>ROUND(Table1[[#This Row],[Opp Passing Attempts]]/(Table1[[#This Row],[Opp Passing Attempts]]+Table1[[#This Row],[Opp Rushing Attempts]]), 2)</f>
        <v>0.54</v>
      </c>
      <c r="AF200" s="3">
        <f>1-Table1[[#This Row],[Passing Weight]]</f>
        <v>0.45999999999999996</v>
      </c>
      <c r="AG200" s="3" t="str">
        <f>IF(COUNTIF(A:A,Table1[[#This Row],[Opp Team Name]]) &gt; 0, "N", "Y")</f>
        <v>N</v>
      </c>
      <c r="AH200" s="3" t="str">
        <f>IF(Table1[[#This Row],[Passing Attempts]] &lt;15, "Y", "N")</f>
        <v>N</v>
      </c>
      <c r="AI200" s="3" t="str">
        <f>IF(Table1[[#This Row],[Rushing Attempts]] &lt; 15, "Y", "N")</f>
        <v>N</v>
      </c>
      <c r="AJ200" s="3" t="str">
        <f>IF(Table1[[#This Row],[Opp Passing Attempts]]&lt;15, "Y", "N")</f>
        <v>N</v>
      </c>
      <c r="AK200" s="3" t="str">
        <f>IF(Table1[[#This Row],[Opp Rushing Attempts]]&lt;15, "Y", "N")</f>
        <v>N</v>
      </c>
      <c r="AL20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75.11</v>
      </c>
      <c r="AM20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64.3</v>
      </c>
      <c r="AN20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156.08000000000001</v>
      </c>
      <c r="AO20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95.77</v>
      </c>
      <c r="AP200" s="3">
        <f>ABS(Table1[[#This Row],[Team Score]]-Table1[[#This Row],[Opp Team Score]])</f>
        <v>6</v>
      </c>
      <c r="AQ200" s="3">
        <f>SUM(Table1[[#This Row],[Team Score]], Table1[[#This Row],[Opp Team Score]])</f>
        <v>60</v>
      </c>
      <c r="AR20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4.7500000000000284</v>
      </c>
      <c r="AS200" s="3">
        <f>IF(Table1[[#This Row],[Efficiency Difference]] = " ", " ", ROUND((Table1[[#This Row],[Winning Margin]]*100)/Table1[[#This Row],[Efficiency Difference]], 2))</f>
        <v>126.32</v>
      </c>
    </row>
    <row r="201" spans="1:45">
      <c r="A201" t="s">
        <v>80</v>
      </c>
      <c r="B201">
        <v>0</v>
      </c>
      <c r="C201">
        <v>33</v>
      </c>
      <c r="D201">
        <v>307</v>
      </c>
      <c r="E201">
        <v>30</v>
      </c>
      <c r="F201">
        <v>3</v>
      </c>
      <c r="G201">
        <v>24</v>
      </c>
      <c r="H201">
        <v>0</v>
      </c>
      <c r="I201">
        <v>114</v>
      </c>
      <c r="J201">
        <v>26</v>
      </c>
      <c r="K201">
        <v>0</v>
      </c>
      <c r="L201">
        <v>1</v>
      </c>
      <c r="M201" t="s">
        <v>99</v>
      </c>
      <c r="N201">
        <v>0</v>
      </c>
      <c r="O201">
        <v>27</v>
      </c>
      <c r="P201">
        <v>217</v>
      </c>
      <c r="Q201">
        <v>32</v>
      </c>
      <c r="R201">
        <v>2</v>
      </c>
      <c r="S201">
        <v>13</v>
      </c>
      <c r="T201">
        <v>2</v>
      </c>
      <c r="U201">
        <v>218</v>
      </c>
      <c r="V201">
        <v>31</v>
      </c>
      <c r="W201">
        <v>1</v>
      </c>
      <c r="X201">
        <v>0</v>
      </c>
      <c r="Y201" t="s">
        <v>14</v>
      </c>
      <c r="Z201">
        <v>0</v>
      </c>
      <c r="AA201">
        <f>IF(AND(Table1[[#This Row],[Throw Out Pass Eff]]="N", Table1[[#This Row],[Against FCS Team]]="N"), ROUND(((5.45 * D201) + (150 * F201) + (100 * G201) - (300 * H201)) / E201, 2), " ")</f>
        <v>150.77000000000001</v>
      </c>
      <c r="AB201">
        <f>IF(AND(Table1[[#This Row],[Throw Out Pass Def Eff]]="N", Table1[[#This Row],[Against FCS Team]]="N"),200 - ROUND(((5.45 * P201) + (150 * R201) + (100 * S201) - (300 * T201)) / Q201, 2), " ")</f>
        <v>131.79000000000002</v>
      </c>
      <c r="AC201">
        <f>IF(AND(Table1[[#This Row],[Throw Out Rush Eff]]="N", Table1[[#This Row],[Against FCS Team]]="N"), ROUND(((23.2 * I201) + (150 * K201) - (300 * L201)) / J201, 2), " ")</f>
        <v>90.18</v>
      </c>
      <c r="AD201" s="3">
        <f>IF(AND(Table1[[#This Row],[Throw Out Rush Def Eff]]="N", Table1[[#This Row],[Against FCS Team]]="N"), 200 - ROUND(((23.2 * U201) + (150 * W201) - (300 * X201)) / V201, 2), " ")</f>
        <v>32.009999999999991</v>
      </c>
      <c r="AE201" s="3">
        <f>ROUND(Table1[[#This Row],[Opp Passing Attempts]]/(Table1[[#This Row],[Opp Passing Attempts]]+Table1[[#This Row],[Opp Rushing Attempts]]), 2)</f>
        <v>0.51</v>
      </c>
      <c r="AF201" s="3">
        <f>1-Table1[[#This Row],[Passing Weight]]</f>
        <v>0.49</v>
      </c>
      <c r="AG201" s="3" t="str">
        <f>IF(COUNTIF(A:A,Table1[[#This Row],[Opp Team Name]]) &gt; 0, "N", "Y")</f>
        <v>N</v>
      </c>
      <c r="AH201" s="3" t="str">
        <f>IF(Table1[[#This Row],[Passing Attempts]] &lt;15, "Y", "N")</f>
        <v>N</v>
      </c>
      <c r="AI201" s="3" t="str">
        <f>IF(Table1[[#This Row],[Rushing Attempts]] &lt; 15, "Y", "N")</f>
        <v>N</v>
      </c>
      <c r="AJ201" s="3" t="str">
        <f>IF(Table1[[#This Row],[Opp Passing Attempts]]&lt;15, "Y", "N")</f>
        <v>N</v>
      </c>
      <c r="AK201" s="3" t="str">
        <f>IF(Table1[[#This Row],[Opp Rushing Attempts]]&lt;15, "Y", "N")</f>
        <v>N</v>
      </c>
      <c r="AL20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137.13</v>
      </c>
      <c r="AM20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110.71</v>
      </c>
      <c r="AN20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106.02</v>
      </c>
      <c r="AO20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40.89</v>
      </c>
      <c r="AP201" s="3">
        <f>ABS(Table1[[#This Row],[Team Score]]-Table1[[#This Row],[Opp Team Score]])</f>
        <v>6</v>
      </c>
      <c r="AQ201" s="3">
        <f>SUM(Table1[[#This Row],[Team Score]], Table1[[#This Row],[Opp Team Score]])</f>
        <v>60</v>
      </c>
      <c r="AR20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4.7500000000000284</v>
      </c>
      <c r="AS201" s="3">
        <f>IF(Table1[[#This Row],[Efficiency Difference]] = " ", " ", ROUND((Table1[[#This Row],[Winning Margin]]*100)/Table1[[#This Row],[Efficiency Difference]], 2))</f>
        <v>126.32</v>
      </c>
    </row>
    <row r="202" spans="1:45">
      <c r="A202" t="s">
        <v>107</v>
      </c>
      <c r="B202">
        <v>0</v>
      </c>
      <c r="C202">
        <v>34</v>
      </c>
      <c r="D202">
        <v>151</v>
      </c>
      <c r="E202">
        <v>24</v>
      </c>
      <c r="F202">
        <v>2</v>
      </c>
      <c r="G202">
        <v>14</v>
      </c>
      <c r="H202">
        <v>0</v>
      </c>
      <c r="I202">
        <v>294</v>
      </c>
      <c r="J202">
        <v>34</v>
      </c>
      <c r="K202">
        <v>2</v>
      </c>
      <c r="L202">
        <v>1</v>
      </c>
      <c r="M202" t="s">
        <v>92</v>
      </c>
      <c r="N202">
        <v>0</v>
      </c>
      <c r="O202">
        <v>7</v>
      </c>
      <c r="P202">
        <v>195</v>
      </c>
      <c r="Q202">
        <v>33</v>
      </c>
      <c r="R202">
        <v>0</v>
      </c>
      <c r="S202">
        <v>20</v>
      </c>
      <c r="T202">
        <v>1</v>
      </c>
      <c r="U202">
        <v>70</v>
      </c>
      <c r="V202">
        <v>21</v>
      </c>
      <c r="W202">
        <v>1</v>
      </c>
      <c r="X202">
        <v>1</v>
      </c>
      <c r="Y202" t="s">
        <v>14</v>
      </c>
      <c r="Z202">
        <v>0</v>
      </c>
      <c r="AA202">
        <f>IF(AND(Table1[[#This Row],[Throw Out Pass Eff]]="N", Table1[[#This Row],[Against FCS Team]]="N"), ROUND(((5.45 * D202) + (150 * F202) + (100 * G202) - (300 * H202)) / E202, 2), " ")</f>
        <v>105.12</v>
      </c>
      <c r="AB202">
        <f>IF(AND(Table1[[#This Row],[Throw Out Pass Def Eff]]="N", Table1[[#This Row],[Against FCS Team]]="N"),200 - ROUND(((5.45 * P202) + (150 * R202) + (100 * S202) - (300 * T202)) / Q202, 2), " ")</f>
        <v>116.28</v>
      </c>
      <c r="AC202">
        <f>IF(AND(Table1[[#This Row],[Throw Out Rush Eff]]="N", Table1[[#This Row],[Against FCS Team]]="N"), ROUND(((23.2 * I202) + (150 * K202) - (300 * L202)) / J202, 2), " ")</f>
        <v>200.61</v>
      </c>
      <c r="AD202" s="3">
        <f>IF(AND(Table1[[#This Row],[Throw Out Rush Def Eff]]="N", Table1[[#This Row],[Against FCS Team]]="N"), 200 - ROUND(((23.2 * U202) + (150 * W202) - (300 * X202)) / V202, 2), " ")</f>
        <v>129.81</v>
      </c>
      <c r="AE202" s="3">
        <f>ROUND(Table1[[#This Row],[Opp Passing Attempts]]/(Table1[[#This Row],[Opp Passing Attempts]]+Table1[[#This Row],[Opp Rushing Attempts]]), 2)</f>
        <v>0.61</v>
      </c>
      <c r="AF202" s="3">
        <f>1-Table1[[#This Row],[Passing Weight]]</f>
        <v>0.39</v>
      </c>
      <c r="AG202" s="3" t="str">
        <f>IF(COUNTIF(A:A,Table1[[#This Row],[Opp Team Name]]) &gt; 0, "N", "Y")</f>
        <v>N</v>
      </c>
      <c r="AH202" s="3" t="str">
        <f>IF(Table1[[#This Row],[Passing Attempts]] &lt;15, "Y", "N")</f>
        <v>N</v>
      </c>
      <c r="AI202" s="3" t="str">
        <f>IF(Table1[[#This Row],[Rushing Attempts]] &lt; 15, "Y", "N")</f>
        <v>N</v>
      </c>
      <c r="AJ202" s="3" t="str">
        <f>IF(Table1[[#This Row],[Opp Passing Attempts]]&lt;15, "Y", "N")</f>
        <v>N</v>
      </c>
      <c r="AK202" s="3" t="str">
        <f>IF(Table1[[#This Row],[Opp Rushing Attempts]]&lt;15, "Y", "N")</f>
        <v>N</v>
      </c>
      <c r="AL20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107.78</v>
      </c>
      <c r="AM20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92.95</v>
      </c>
      <c r="AN20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142.80000000000001</v>
      </c>
      <c r="AO20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105.69</v>
      </c>
      <c r="AP202" s="3">
        <f>ABS(Table1[[#This Row],[Team Score]]-Table1[[#This Row],[Opp Team Score]])</f>
        <v>27</v>
      </c>
      <c r="AQ202" s="3">
        <f>SUM(Table1[[#This Row],[Team Score]], Table1[[#This Row],[Opp Team Score]])</f>
        <v>41</v>
      </c>
      <c r="AR20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151.82000000000002</v>
      </c>
      <c r="AS202" s="3">
        <f>IF(Table1[[#This Row],[Efficiency Difference]] = " ", " ", ROUND((Table1[[#This Row],[Winning Margin]]*100)/Table1[[#This Row],[Efficiency Difference]], 2))</f>
        <v>17.78</v>
      </c>
    </row>
    <row r="203" spans="1:45">
      <c r="A203" t="s">
        <v>92</v>
      </c>
      <c r="B203">
        <v>0</v>
      </c>
      <c r="C203">
        <v>7</v>
      </c>
      <c r="D203">
        <v>195</v>
      </c>
      <c r="E203">
        <v>33</v>
      </c>
      <c r="F203">
        <v>0</v>
      </c>
      <c r="G203">
        <v>20</v>
      </c>
      <c r="H203">
        <v>1</v>
      </c>
      <c r="I203">
        <v>70</v>
      </c>
      <c r="J203">
        <v>21</v>
      </c>
      <c r="K203">
        <v>1</v>
      </c>
      <c r="L203">
        <v>1</v>
      </c>
      <c r="M203" t="s">
        <v>107</v>
      </c>
      <c r="N203">
        <v>0</v>
      </c>
      <c r="O203">
        <v>34</v>
      </c>
      <c r="P203">
        <v>151</v>
      </c>
      <c r="Q203">
        <v>24</v>
      </c>
      <c r="R203">
        <v>2</v>
      </c>
      <c r="S203">
        <v>14</v>
      </c>
      <c r="T203">
        <v>0</v>
      </c>
      <c r="U203">
        <v>294</v>
      </c>
      <c r="V203">
        <v>34</v>
      </c>
      <c r="W203">
        <v>2</v>
      </c>
      <c r="X203">
        <v>1</v>
      </c>
      <c r="Y203" t="s">
        <v>15</v>
      </c>
      <c r="Z203">
        <v>0</v>
      </c>
      <c r="AA203">
        <f>IF(AND(Table1[[#This Row],[Throw Out Pass Eff]]="N", Table1[[#This Row],[Against FCS Team]]="N"), ROUND(((5.45 * D203) + (150 * F203) + (100 * G203) - (300 * H203)) / E203, 2), " ")</f>
        <v>83.72</v>
      </c>
      <c r="AB203">
        <f>IF(AND(Table1[[#This Row],[Throw Out Pass Def Eff]]="N", Table1[[#This Row],[Against FCS Team]]="N"),200 - ROUND(((5.45 * P203) + (150 * R203) + (100 * S203) - (300 * T203)) / Q203, 2), " ")</f>
        <v>94.88</v>
      </c>
      <c r="AC203">
        <f>IF(AND(Table1[[#This Row],[Throw Out Rush Eff]]="N", Table1[[#This Row],[Against FCS Team]]="N"), ROUND(((23.2 * I203) + (150 * K203) - (300 * L203)) / J203, 2), " ")</f>
        <v>70.19</v>
      </c>
      <c r="AD203" s="3">
        <f>IF(AND(Table1[[#This Row],[Throw Out Rush Def Eff]]="N", Table1[[#This Row],[Against FCS Team]]="N"), 200 - ROUND(((23.2 * U203) + (150 * W203) - (300 * X203)) / V203, 2), " ")</f>
        <v>-0.61000000000001364</v>
      </c>
      <c r="AE203" s="3">
        <f>ROUND(Table1[[#This Row],[Opp Passing Attempts]]/(Table1[[#This Row],[Opp Passing Attempts]]+Table1[[#This Row],[Opp Rushing Attempts]]), 2)</f>
        <v>0.41</v>
      </c>
      <c r="AF203" s="3">
        <f>1-Table1[[#This Row],[Passing Weight]]</f>
        <v>0.59000000000000008</v>
      </c>
      <c r="AG203" s="3" t="str">
        <f>IF(COUNTIF(A:A,Table1[[#This Row],[Opp Team Name]]) &gt; 0, "N", "Y")</f>
        <v>N</v>
      </c>
      <c r="AH203" s="3" t="str">
        <f>IF(Table1[[#This Row],[Passing Attempts]] &lt;15, "Y", "N")</f>
        <v>N</v>
      </c>
      <c r="AI203" s="3" t="str">
        <f>IF(Table1[[#This Row],[Rushing Attempts]] &lt; 15, "Y", "N")</f>
        <v>N</v>
      </c>
      <c r="AJ203" s="3" t="str">
        <f>IF(Table1[[#This Row],[Opp Passing Attempts]]&lt;15, "Y", "N")</f>
        <v>N</v>
      </c>
      <c r="AK203" s="3" t="str">
        <f>IF(Table1[[#This Row],[Opp Rushing Attempts]]&lt;15, "Y", "N")</f>
        <v>N</v>
      </c>
      <c r="AL20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91.83</v>
      </c>
      <c r="AM20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98.38</v>
      </c>
      <c r="AN20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92.99</v>
      </c>
      <c r="AO20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-0.56000000000000005</v>
      </c>
      <c r="AP203" s="3">
        <f>ABS(Table1[[#This Row],[Team Score]]-Table1[[#This Row],[Opp Team Score]])</f>
        <v>27</v>
      </c>
      <c r="AQ203" s="3">
        <f>SUM(Table1[[#This Row],[Team Score]], Table1[[#This Row],[Opp Team Score]])</f>
        <v>41</v>
      </c>
      <c r="AR20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151.82000000000002</v>
      </c>
      <c r="AS203" s="3">
        <f>IF(Table1[[#This Row],[Efficiency Difference]] = " ", " ", ROUND((Table1[[#This Row],[Winning Margin]]*100)/Table1[[#This Row],[Efficiency Difference]], 2))</f>
        <v>17.78</v>
      </c>
    </row>
    <row r="204" spans="1:45">
      <c r="A204" t="s">
        <v>81</v>
      </c>
      <c r="B204">
        <v>0</v>
      </c>
      <c r="C204">
        <v>62</v>
      </c>
      <c r="D204">
        <v>321</v>
      </c>
      <c r="E204">
        <v>35</v>
      </c>
      <c r="F204">
        <v>5</v>
      </c>
      <c r="G204">
        <v>31</v>
      </c>
      <c r="H204">
        <v>0</v>
      </c>
      <c r="I204">
        <v>236</v>
      </c>
      <c r="J204">
        <v>38</v>
      </c>
      <c r="K204">
        <v>2</v>
      </c>
      <c r="L204">
        <v>0</v>
      </c>
      <c r="M204" t="s">
        <v>85</v>
      </c>
      <c r="N204">
        <v>0</v>
      </c>
      <c r="O204">
        <v>7</v>
      </c>
      <c r="P204">
        <v>97</v>
      </c>
      <c r="Q204">
        <v>22</v>
      </c>
      <c r="R204">
        <v>0</v>
      </c>
      <c r="S204">
        <v>12</v>
      </c>
      <c r="T204">
        <v>1</v>
      </c>
      <c r="U204">
        <v>155</v>
      </c>
      <c r="V204">
        <v>23</v>
      </c>
      <c r="W204">
        <v>1</v>
      </c>
      <c r="X204">
        <v>2</v>
      </c>
      <c r="Y204" t="s">
        <v>14</v>
      </c>
      <c r="Z204">
        <v>0</v>
      </c>
      <c r="AA204">
        <f>IF(AND(Table1[[#This Row],[Throw Out Pass Eff]]="N", Table1[[#This Row],[Against FCS Team]]="N"), ROUND(((5.45 * D204) + (150 * F204) + (100 * G204) - (300 * H204)) / E204, 2), " ")</f>
        <v>159.97999999999999</v>
      </c>
      <c r="AB204">
        <f>IF(AND(Table1[[#This Row],[Throw Out Pass Def Eff]]="N", Table1[[#This Row],[Against FCS Team]]="N"),200 - ROUND(((5.45 * P204) + (150 * R204) + (100 * S204) - (300 * T204)) / Q204, 2), " ")</f>
        <v>135.06</v>
      </c>
      <c r="AC204">
        <f>IF(AND(Table1[[#This Row],[Throw Out Rush Eff]]="N", Table1[[#This Row],[Against FCS Team]]="N"), ROUND(((23.2 * I204) + (150 * K204) - (300 * L204)) / J204, 2), " ")</f>
        <v>151.97999999999999</v>
      </c>
      <c r="AD204" s="3">
        <f>IF(AND(Table1[[#This Row],[Throw Out Rush Def Eff]]="N", Table1[[#This Row],[Against FCS Team]]="N"), 200 - ROUND(((23.2 * U204) + (150 * W204) - (300 * X204)) / V204, 2), " ")</f>
        <v>63.22</v>
      </c>
      <c r="AE204" s="3">
        <f>ROUND(Table1[[#This Row],[Opp Passing Attempts]]/(Table1[[#This Row],[Opp Passing Attempts]]+Table1[[#This Row],[Opp Rushing Attempts]]), 2)</f>
        <v>0.49</v>
      </c>
      <c r="AF204" s="3">
        <f>1-Table1[[#This Row],[Passing Weight]]</f>
        <v>0.51</v>
      </c>
      <c r="AG204" s="3" t="str">
        <f>IF(COUNTIF(A:A,Table1[[#This Row],[Opp Team Name]]) &gt; 0, "N", "Y")</f>
        <v>N</v>
      </c>
      <c r="AH204" s="3" t="str">
        <f>IF(Table1[[#This Row],[Passing Attempts]] &lt;15, "Y", "N")</f>
        <v>N</v>
      </c>
      <c r="AI204" s="3" t="str">
        <f>IF(Table1[[#This Row],[Rushing Attempts]] &lt; 15, "Y", "N")</f>
        <v>N</v>
      </c>
      <c r="AJ204" s="3" t="str">
        <f>IF(Table1[[#This Row],[Opp Passing Attempts]]&lt;15, "Y", "N")</f>
        <v>N</v>
      </c>
      <c r="AK204" s="3" t="str">
        <f>IF(Table1[[#This Row],[Opp Rushing Attempts]]&lt;15, "Y", "N")</f>
        <v>N</v>
      </c>
      <c r="AL20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124.63</v>
      </c>
      <c r="AM20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116.13</v>
      </c>
      <c r="AN20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156.63</v>
      </c>
      <c r="AO20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53.19</v>
      </c>
      <c r="AP204" s="3">
        <f>ABS(Table1[[#This Row],[Team Score]]-Table1[[#This Row],[Opp Team Score]])</f>
        <v>55</v>
      </c>
      <c r="AQ204" s="3">
        <f>SUM(Table1[[#This Row],[Team Score]], Table1[[#This Row],[Opp Team Score]])</f>
        <v>69</v>
      </c>
      <c r="AR20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110.23999999999998</v>
      </c>
      <c r="AS204" s="3">
        <f>IF(Table1[[#This Row],[Efficiency Difference]] = " ", " ", ROUND((Table1[[#This Row],[Winning Margin]]*100)/Table1[[#This Row],[Efficiency Difference]], 2))</f>
        <v>49.89</v>
      </c>
    </row>
    <row r="205" spans="1:45">
      <c r="A205" t="s">
        <v>85</v>
      </c>
      <c r="B205">
        <v>0</v>
      </c>
      <c r="C205">
        <v>7</v>
      </c>
      <c r="D205">
        <v>97</v>
      </c>
      <c r="E205">
        <v>22</v>
      </c>
      <c r="F205">
        <v>0</v>
      </c>
      <c r="G205">
        <v>12</v>
      </c>
      <c r="H205">
        <v>1</v>
      </c>
      <c r="I205">
        <v>155</v>
      </c>
      <c r="J205">
        <v>23</v>
      </c>
      <c r="K205">
        <v>1</v>
      </c>
      <c r="L205">
        <v>2</v>
      </c>
      <c r="M205" t="s">
        <v>81</v>
      </c>
      <c r="N205">
        <v>0</v>
      </c>
      <c r="O205">
        <v>62</v>
      </c>
      <c r="P205">
        <v>321</v>
      </c>
      <c r="Q205">
        <v>35</v>
      </c>
      <c r="R205">
        <v>5</v>
      </c>
      <c r="S205">
        <v>31</v>
      </c>
      <c r="T205">
        <v>0</v>
      </c>
      <c r="U205">
        <v>236</v>
      </c>
      <c r="V205">
        <v>38</v>
      </c>
      <c r="W205">
        <v>2</v>
      </c>
      <c r="X205">
        <v>0</v>
      </c>
      <c r="Y205" t="s">
        <v>15</v>
      </c>
      <c r="Z205">
        <v>0</v>
      </c>
      <c r="AA205">
        <f>IF(AND(Table1[[#This Row],[Throw Out Pass Eff]]="N", Table1[[#This Row],[Against FCS Team]]="N"), ROUND(((5.45 * D205) + (150 * F205) + (100 * G205) - (300 * H205)) / E205, 2), " ")</f>
        <v>64.94</v>
      </c>
      <c r="AB205">
        <f>IF(AND(Table1[[#This Row],[Throw Out Pass Def Eff]]="N", Table1[[#This Row],[Against FCS Team]]="N"),200 - ROUND(((5.45 * P205) + (150 * R205) + (100 * S205) - (300 * T205)) / Q205, 2), " ")</f>
        <v>40.02000000000001</v>
      </c>
      <c r="AC205">
        <f>IF(AND(Table1[[#This Row],[Throw Out Rush Eff]]="N", Table1[[#This Row],[Against FCS Team]]="N"), ROUND(((23.2 * I205) + (150 * K205) - (300 * L205)) / J205, 2), " ")</f>
        <v>136.78</v>
      </c>
      <c r="AD205" s="3">
        <f>IF(AND(Table1[[#This Row],[Throw Out Rush Def Eff]]="N", Table1[[#This Row],[Against FCS Team]]="N"), 200 - ROUND(((23.2 * U205) + (150 * W205) - (300 * X205)) / V205, 2), " ")</f>
        <v>48.02000000000001</v>
      </c>
      <c r="AE205" s="3">
        <f>ROUND(Table1[[#This Row],[Opp Passing Attempts]]/(Table1[[#This Row],[Opp Passing Attempts]]+Table1[[#This Row],[Opp Rushing Attempts]]), 2)</f>
        <v>0.48</v>
      </c>
      <c r="AF205" s="3">
        <f>1-Table1[[#This Row],[Passing Weight]]</f>
        <v>0.52</v>
      </c>
      <c r="AG205" s="3" t="str">
        <f>IF(COUNTIF(A:A,Table1[[#This Row],[Opp Team Name]]) &gt; 0, "N", "Y")</f>
        <v>N</v>
      </c>
      <c r="AH205" s="3" t="str">
        <f>IF(Table1[[#This Row],[Passing Attempts]] &lt;15, "Y", "N")</f>
        <v>N</v>
      </c>
      <c r="AI205" s="3" t="str">
        <f>IF(Table1[[#This Row],[Rushing Attempts]] &lt; 15, "Y", "N")</f>
        <v>N</v>
      </c>
      <c r="AJ205" s="3" t="str">
        <f>IF(Table1[[#This Row],[Opp Passing Attempts]]&lt;15, "Y", "N")</f>
        <v>N</v>
      </c>
      <c r="AK205" s="3" t="str">
        <f>IF(Table1[[#This Row],[Opp Rushing Attempts]]&lt;15, "Y", "N")</f>
        <v>N</v>
      </c>
      <c r="AL20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71.38</v>
      </c>
      <c r="AM20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46.77</v>
      </c>
      <c r="AN20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97.45</v>
      </c>
      <c r="AO20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49.27</v>
      </c>
      <c r="AP205" s="3">
        <f>ABS(Table1[[#This Row],[Team Score]]-Table1[[#This Row],[Opp Team Score]])</f>
        <v>55</v>
      </c>
      <c r="AQ205" s="3">
        <f>SUM(Table1[[#This Row],[Team Score]], Table1[[#This Row],[Opp Team Score]])</f>
        <v>69</v>
      </c>
      <c r="AR20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110.23999999999998</v>
      </c>
      <c r="AS205" s="3">
        <f>IF(Table1[[#This Row],[Efficiency Difference]] = " ", " ", ROUND((Table1[[#This Row],[Winning Margin]]*100)/Table1[[#This Row],[Efficiency Difference]], 2))</f>
        <v>49.89</v>
      </c>
    </row>
    <row r="206" spans="1:45">
      <c r="A206" t="s">
        <v>88</v>
      </c>
      <c r="B206">
        <v>0</v>
      </c>
      <c r="C206">
        <v>12</v>
      </c>
      <c r="D206">
        <v>73</v>
      </c>
      <c r="E206">
        <v>20</v>
      </c>
      <c r="F206">
        <v>0</v>
      </c>
      <c r="G206">
        <v>9</v>
      </c>
      <c r="H206">
        <v>0</v>
      </c>
      <c r="I206">
        <v>132</v>
      </c>
      <c r="J206">
        <v>42</v>
      </c>
      <c r="K206">
        <v>0</v>
      </c>
      <c r="L206">
        <v>1</v>
      </c>
      <c r="M206" t="s">
        <v>94</v>
      </c>
      <c r="N206">
        <v>0</v>
      </c>
      <c r="O206">
        <v>7</v>
      </c>
      <c r="P206">
        <v>112</v>
      </c>
      <c r="Q206">
        <v>38</v>
      </c>
      <c r="R206">
        <v>1</v>
      </c>
      <c r="S206">
        <v>21</v>
      </c>
      <c r="T206">
        <v>1</v>
      </c>
      <c r="U206">
        <v>34</v>
      </c>
      <c r="V206">
        <v>12</v>
      </c>
      <c r="W206">
        <v>0</v>
      </c>
      <c r="X206">
        <v>1</v>
      </c>
      <c r="Y206" t="s">
        <v>14</v>
      </c>
      <c r="Z206">
        <v>0</v>
      </c>
      <c r="AA206" s="3">
        <f>IF(AND(Table1[[#This Row],[Throw Out Pass Eff]]="N", Table1[[#This Row],[Against FCS Team]]="N"), ROUND(((5.45 * D206) + (150 * F206) + (100 * G206) - (300 * H206)) / E206, 2), " ")</f>
        <v>64.89</v>
      </c>
      <c r="AB206" s="3">
        <f>IF(AND(Table1[[#This Row],[Throw Out Pass Def Eff]]="N", Table1[[#This Row],[Against FCS Team]]="N"),200 - ROUND(((5.45 * P206) + (150 * R206) + (100 * S206) - (300 * T206)) / Q206, 2), " ")</f>
        <v>132.62</v>
      </c>
      <c r="AC206" s="3">
        <f>IF(AND(Table1[[#This Row],[Throw Out Rush Eff]]="N", Table1[[#This Row],[Against FCS Team]]="N"), ROUND(((23.2 * I206) + (150 * K206) - (300 * L206)) / J206, 2), " ")</f>
        <v>65.77</v>
      </c>
      <c r="AD206" s="3" t="str">
        <f>IF(AND(Table1[[#This Row],[Throw Out Rush Def Eff]]="N", Table1[[#This Row],[Against FCS Team]]="N"), 200 - ROUND(((23.2 * U206) + (150 * W206) - (300 * X206)) / V206, 2), " ")</f>
        <v xml:space="preserve"> </v>
      </c>
      <c r="AE206" s="3">
        <f>ROUND(Table1[[#This Row],[Opp Passing Attempts]]/(Table1[[#This Row],[Opp Passing Attempts]]+Table1[[#This Row],[Opp Rushing Attempts]]), 2)</f>
        <v>0.76</v>
      </c>
      <c r="AF206" s="3">
        <f>1-Table1[[#This Row],[Passing Weight]]</f>
        <v>0.24</v>
      </c>
      <c r="AG206" s="3" t="str">
        <f>IF(COUNTIF(A:A,Table1[[#This Row],[Opp Team Name]]) &gt; 0, "N", "Y")</f>
        <v>N</v>
      </c>
      <c r="AH206" s="3" t="str">
        <f>IF(Table1[[#This Row],[Passing Attempts]] &lt;15, "Y", "N")</f>
        <v>N</v>
      </c>
      <c r="AI206" s="3" t="str">
        <f>IF(Table1[[#This Row],[Rushing Attempts]] &lt; 15, "Y", "N")</f>
        <v>N</v>
      </c>
      <c r="AJ206" s="3" t="str">
        <f>IF(Table1[[#This Row],[Opp Passing Attempts]]&lt;15, "Y", "N")</f>
        <v>N</v>
      </c>
      <c r="AK206" s="3" t="str">
        <f>IF(Table1[[#This Row],[Opp Rushing Attempts]]&lt;15, "Y", "N")</f>
        <v>Y</v>
      </c>
      <c r="AL20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81.59</v>
      </c>
      <c r="AM20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111.51</v>
      </c>
      <c r="AN20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95.96</v>
      </c>
      <c r="AO206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206" s="3">
        <f>ABS(Table1[[#This Row],[Team Score]]-Table1[[#This Row],[Opp Team Score]])</f>
        <v>5</v>
      </c>
      <c r="AQ206" s="3">
        <f>SUM(Table1[[#This Row],[Team Score]], Table1[[#This Row],[Opp Team Score]])</f>
        <v>19</v>
      </c>
      <c r="AR20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06" s="3" t="str">
        <f>IF(Table1[[#This Row],[Efficiency Difference]] = " ", " ", ROUND((Table1[[#This Row],[Winning Margin]]*100)/Table1[[#This Row],[Efficiency Difference]], 2))</f>
        <v xml:space="preserve"> </v>
      </c>
    </row>
    <row r="207" spans="1:45">
      <c r="A207" t="s">
        <v>94</v>
      </c>
      <c r="B207">
        <v>0</v>
      </c>
      <c r="C207">
        <v>7</v>
      </c>
      <c r="D207">
        <v>112</v>
      </c>
      <c r="E207">
        <v>38</v>
      </c>
      <c r="F207">
        <v>1</v>
      </c>
      <c r="G207">
        <v>21</v>
      </c>
      <c r="H207">
        <v>1</v>
      </c>
      <c r="I207">
        <v>34</v>
      </c>
      <c r="J207">
        <v>12</v>
      </c>
      <c r="K207">
        <v>0</v>
      </c>
      <c r="L207">
        <v>1</v>
      </c>
      <c r="M207" t="s">
        <v>88</v>
      </c>
      <c r="N207">
        <v>0</v>
      </c>
      <c r="O207">
        <v>12</v>
      </c>
      <c r="P207">
        <v>73</v>
      </c>
      <c r="Q207">
        <v>20</v>
      </c>
      <c r="R207">
        <v>0</v>
      </c>
      <c r="S207">
        <v>9</v>
      </c>
      <c r="T207">
        <v>0</v>
      </c>
      <c r="U207">
        <v>132</v>
      </c>
      <c r="V207">
        <v>42</v>
      </c>
      <c r="W207">
        <v>0</v>
      </c>
      <c r="X207">
        <v>1</v>
      </c>
      <c r="Y207" t="s">
        <v>15</v>
      </c>
      <c r="Z207">
        <v>0</v>
      </c>
      <c r="AA207">
        <f>IF(AND(Table1[[#This Row],[Throw Out Pass Eff]]="N", Table1[[#This Row],[Against FCS Team]]="N"), ROUND(((5.45 * D207) + (150 * F207) + (100 * G207) - (300 * H207)) / E207, 2), " ")</f>
        <v>67.38</v>
      </c>
      <c r="AB207">
        <f>IF(AND(Table1[[#This Row],[Throw Out Pass Def Eff]]="N", Table1[[#This Row],[Against FCS Team]]="N"),200 - ROUND(((5.45 * P207) + (150 * R207) + (100 * S207) - (300 * T207)) / Q207, 2), " ")</f>
        <v>135.11000000000001</v>
      </c>
      <c r="AC207" t="str">
        <f>IF(AND(Table1[[#This Row],[Throw Out Rush Eff]]="N", Table1[[#This Row],[Against FCS Team]]="N"), ROUND(((23.2 * I207) + (150 * K207) - (300 * L207)) / J207, 2), " ")</f>
        <v xml:space="preserve"> </v>
      </c>
      <c r="AD207" s="3">
        <f>IF(AND(Table1[[#This Row],[Throw Out Rush Def Eff]]="N", Table1[[#This Row],[Against FCS Team]]="N"), 200 - ROUND(((23.2 * U207) + (150 * W207) - (300 * X207)) / V207, 2), " ")</f>
        <v>134.23000000000002</v>
      </c>
      <c r="AE207" s="3">
        <f>ROUND(Table1[[#This Row],[Opp Passing Attempts]]/(Table1[[#This Row],[Opp Passing Attempts]]+Table1[[#This Row],[Opp Rushing Attempts]]), 2)</f>
        <v>0.32</v>
      </c>
      <c r="AF207" s="3">
        <f>1-Table1[[#This Row],[Passing Weight]]</f>
        <v>0.67999999999999994</v>
      </c>
      <c r="AG207" s="3" t="str">
        <f>IF(COUNTIF(A:A,Table1[[#This Row],[Opp Team Name]]) &gt; 0, "N", "Y")</f>
        <v>N</v>
      </c>
      <c r="AH207" s="3" t="str">
        <f>IF(Table1[[#This Row],[Passing Attempts]] &lt;15, "Y", "N")</f>
        <v>N</v>
      </c>
      <c r="AI207" s="3" t="str">
        <f>IF(Table1[[#This Row],[Rushing Attempts]] &lt; 15, "Y", "N")</f>
        <v>Y</v>
      </c>
      <c r="AJ207" s="3" t="str">
        <f>IF(Table1[[#This Row],[Opp Passing Attempts]]&lt;15, "Y", "N")</f>
        <v>N</v>
      </c>
      <c r="AK207" s="3" t="str">
        <f>IF(Table1[[#This Row],[Opp Rushing Attempts]]&lt;15, "Y", "N")</f>
        <v>N</v>
      </c>
      <c r="AL20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72.680000000000007</v>
      </c>
      <c r="AM20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95.29</v>
      </c>
      <c r="AN207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20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122.19</v>
      </c>
      <c r="AP207" s="3">
        <f>ABS(Table1[[#This Row],[Team Score]]-Table1[[#This Row],[Opp Team Score]])</f>
        <v>5</v>
      </c>
      <c r="AQ207" s="3">
        <f>SUM(Table1[[#This Row],[Team Score]], Table1[[#This Row],[Opp Team Score]])</f>
        <v>19</v>
      </c>
      <c r="AR20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07" s="3" t="str">
        <f>IF(Table1[[#This Row],[Efficiency Difference]] = " ", " ", ROUND((Table1[[#This Row],[Winning Margin]]*100)/Table1[[#This Row],[Efficiency Difference]], 2))</f>
        <v xml:space="preserve"> </v>
      </c>
    </row>
    <row r="209" spans="1:45">
      <c r="A209" s="1" t="s">
        <v>18</v>
      </c>
      <c r="C209" s="1">
        <f t="shared" ref="C209:L209" si="0">ROUND(AVERAGE(C2:C207), 2)</f>
        <v>22.47</v>
      </c>
      <c r="D209" s="1">
        <f t="shared" si="0"/>
        <v>236.35</v>
      </c>
      <c r="E209" s="1">
        <f t="shared" si="0"/>
        <v>34.54</v>
      </c>
      <c r="F209" s="1">
        <f t="shared" si="0"/>
        <v>1.47</v>
      </c>
      <c r="G209" s="1">
        <f t="shared" si="0"/>
        <v>20.84</v>
      </c>
      <c r="H209" s="1">
        <f t="shared" si="0"/>
        <v>1</v>
      </c>
      <c r="I209" s="1">
        <f t="shared" si="0"/>
        <v>114.41</v>
      </c>
      <c r="J209" s="1">
        <f t="shared" si="0"/>
        <v>26.64</v>
      </c>
      <c r="K209" s="1">
        <f t="shared" si="0"/>
        <v>0.78</v>
      </c>
      <c r="L209" s="1">
        <f t="shared" si="0"/>
        <v>0.57999999999999996</v>
      </c>
      <c r="M209" s="1"/>
      <c r="N209" s="1"/>
      <c r="O209" s="1">
        <f t="shared" ref="O209:X209" si="1">ROUND(AVERAGE(O2:O207), 2)</f>
        <v>22.47</v>
      </c>
      <c r="P209" s="1">
        <f t="shared" si="1"/>
        <v>236.35</v>
      </c>
      <c r="Q209" s="1">
        <f t="shared" si="1"/>
        <v>34.54</v>
      </c>
      <c r="R209" s="1">
        <f t="shared" si="1"/>
        <v>1.47</v>
      </c>
      <c r="S209" s="1">
        <f t="shared" si="1"/>
        <v>20.84</v>
      </c>
      <c r="T209" s="1">
        <f t="shared" si="1"/>
        <v>1</v>
      </c>
      <c r="U209" s="1">
        <f t="shared" si="1"/>
        <v>114.41</v>
      </c>
      <c r="V209" s="1">
        <f t="shared" si="1"/>
        <v>26.64</v>
      </c>
      <c r="W209" s="1">
        <f t="shared" si="1"/>
        <v>0.78</v>
      </c>
      <c r="X209" s="1">
        <f t="shared" si="1"/>
        <v>0.57999999999999996</v>
      </c>
      <c r="Y209" s="1"/>
      <c r="Z209" s="1"/>
      <c r="AA209" s="1">
        <f t="shared" ref="AA209:AF209" si="2">ROUND(AVERAGE(AA2:AA207), 2)</f>
        <v>95.39</v>
      </c>
      <c r="AB209" s="1">
        <f t="shared" si="2"/>
        <v>104.61</v>
      </c>
      <c r="AC209" s="1">
        <f t="shared" si="2"/>
        <v>96.58</v>
      </c>
      <c r="AD209" s="1">
        <f t="shared" si="2"/>
        <v>103.42</v>
      </c>
      <c r="AE209" s="1">
        <f t="shared" si="2"/>
        <v>0.56999999999999995</v>
      </c>
      <c r="AF209" s="1">
        <f t="shared" si="2"/>
        <v>0.43</v>
      </c>
      <c r="AG209" s="1"/>
      <c r="AH209" s="1"/>
      <c r="AI209" s="1"/>
      <c r="AJ209" s="1"/>
      <c r="AK209" s="1"/>
      <c r="AL209" s="1">
        <f t="shared" ref="AL209:AS209" si="3">ROUND(AVERAGE(AL2:AL207), 2)</f>
        <v>98.68</v>
      </c>
      <c r="AM209" s="1">
        <f t="shared" si="3"/>
        <v>98.14</v>
      </c>
      <c r="AN209" s="1">
        <f t="shared" si="3"/>
        <v>96.68</v>
      </c>
      <c r="AO209" s="1">
        <f t="shared" si="3"/>
        <v>97.13</v>
      </c>
      <c r="AP209" s="1">
        <f t="shared" si="3"/>
        <v>11.39</v>
      </c>
      <c r="AQ209" s="1">
        <f t="shared" si="3"/>
        <v>44.94</v>
      </c>
      <c r="AR209" s="1">
        <f t="shared" si="3"/>
        <v>43.68</v>
      </c>
      <c r="AS209" s="1">
        <f t="shared" si="3"/>
        <v>115.01</v>
      </c>
    </row>
    <row r="210" spans="1:45">
      <c r="AA210">
        <f t="shared" ref="AA210:AF210" si="4">MAX(AA2:AA207)</f>
        <v>161.44</v>
      </c>
      <c r="AB210">
        <f t="shared" si="4"/>
        <v>184.16</v>
      </c>
      <c r="AC210">
        <f t="shared" si="4"/>
        <v>228.07</v>
      </c>
      <c r="AD210">
        <f t="shared" si="4"/>
        <v>200.97</v>
      </c>
      <c r="AE210">
        <f t="shared" si="4"/>
        <v>0.83</v>
      </c>
      <c r="AF210">
        <f t="shared" si="4"/>
        <v>0.67999999999999994</v>
      </c>
      <c r="AL210">
        <f>MAX(AL2:AL207)</f>
        <v>161.88</v>
      </c>
      <c r="AM210">
        <f>MAX(AM2:AM207)</f>
        <v>158.83000000000001</v>
      </c>
      <c r="AN210">
        <f>MAX(AN2:AN207)</f>
        <v>197.95</v>
      </c>
      <c r="AO210">
        <f>MAX(AO2:AO207)</f>
        <v>174.09</v>
      </c>
      <c r="AQ210">
        <f>MAX(AQ2:AQ207)</f>
        <v>76</v>
      </c>
      <c r="AR210">
        <f>MAX(AR2:AR207)</f>
        <v>157.83000000000004</v>
      </c>
      <c r="AS210">
        <f>MAX(AS2:AS207)</f>
        <v>2828.28</v>
      </c>
    </row>
    <row r="211" spans="1:45">
      <c r="AA211">
        <f t="shared" ref="AA211:AF211" si="5">MIN(AA2:AA207)</f>
        <v>15.84</v>
      </c>
      <c r="AB211">
        <f t="shared" si="5"/>
        <v>38.56</v>
      </c>
      <c r="AC211">
        <f t="shared" si="5"/>
        <v>-0.97</v>
      </c>
      <c r="AD211">
        <f t="shared" si="5"/>
        <v>-28.069999999999993</v>
      </c>
      <c r="AE211">
        <f t="shared" si="5"/>
        <v>0.32</v>
      </c>
      <c r="AF211">
        <f t="shared" si="5"/>
        <v>0.17000000000000004</v>
      </c>
      <c r="AL211">
        <f>MIN(AL2:AL207)</f>
        <v>18.899999999999999</v>
      </c>
      <c r="AM211">
        <f>MIN(AM2:AM207)</f>
        <v>42.95</v>
      </c>
      <c r="AN211">
        <f>MIN(AN2:AN207)</f>
        <v>-1.42</v>
      </c>
      <c r="AO211">
        <f>MIN(AO2:AO207)</f>
        <v>-37.1</v>
      </c>
      <c r="AQ211">
        <f>MIN(AQ2:AQ207)</f>
        <v>9</v>
      </c>
      <c r="AR211">
        <f>MIN(AR2:AR207)</f>
        <v>0.16000000000002501</v>
      </c>
      <c r="AS211">
        <f>MIN(AS2:AS207)</f>
        <v>1.77</v>
      </c>
    </row>
    <row r="213" spans="1:45">
      <c r="AS213">
        <f>_xlfn.PERCENTILE.INC(Table1[Efficiency Coefficient], 0.5)</f>
        <v>24.97</v>
      </c>
    </row>
  </sheetData>
  <conditionalFormatting sqref="AB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G20"/>
  <sheetViews>
    <sheetView tabSelected="1" workbookViewId="0">
      <selection activeCell="B4" sqref="B4"/>
    </sheetView>
  </sheetViews>
  <sheetFormatPr defaultRowHeight="15"/>
  <cols>
    <col min="2" max="2" width="20.5703125" customWidth="1"/>
    <col min="3" max="3" width="28" customWidth="1"/>
    <col min="4" max="4" width="18.42578125" customWidth="1"/>
    <col min="5" max="5" width="15" customWidth="1"/>
    <col min="6" max="6" width="15.7109375" customWidth="1"/>
  </cols>
  <sheetData>
    <row r="2" spans="1:7">
      <c r="A2" s="1" t="s">
        <v>53</v>
      </c>
      <c r="B2" s="14" t="s">
        <v>86</v>
      </c>
    </row>
    <row r="3" spans="1:7">
      <c r="A3" s="1" t="s">
        <v>54</v>
      </c>
      <c r="B3" s="15" t="s">
        <v>98</v>
      </c>
    </row>
    <row r="5" spans="1:7">
      <c r="A5" s="1" t="s">
        <v>67</v>
      </c>
      <c r="B5" s="14">
        <v>0</v>
      </c>
    </row>
    <row r="6" spans="1:7">
      <c r="C6" s="1"/>
      <c r="D6" s="1" t="str">
        <f>$B$2 &amp; " Offense"</f>
        <v>Chiefs Offense</v>
      </c>
      <c r="E6" s="1"/>
      <c r="F6" s="1" t="str">
        <f>$B$3 &amp;  " Offense"</f>
        <v>Chargers Offense</v>
      </c>
      <c r="G6" s="1"/>
    </row>
    <row r="7" spans="1:7">
      <c r="C7" s="1"/>
      <c r="D7" s="1" t="s">
        <v>55</v>
      </c>
      <c r="E7" s="1" t="s">
        <v>56</v>
      </c>
      <c r="F7" s="1" t="s">
        <v>55</v>
      </c>
      <c r="G7" s="1" t="s">
        <v>56</v>
      </c>
    </row>
    <row r="8" spans="1:7">
      <c r="C8" s="1" t="str">
        <f>$B$2</f>
        <v>Chiefs</v>
      </c>
      <c r="D8" s="5">
        <f>GETPIVOTDATA("Passing Efficiency",'Team Stats'!$A$3,"Team Name",$B$2)</f>
        <v>91.26</v>
      </c>
      <c r="E8" s="5">
        <f>GETPIVOTDATA("Rushing Efficiency",'Team Stats'!$A$3,"Team Name",$B$2)</f>
        <v>93.233333333333348</v>
      </c>
      <c r="F8" s="5">
        <f>GETPIVOTDATA("Passing Defense Efficiency",'Team Stats'!$A$3,"Team Name",$B$2)</f>
        <v>108.44500000000001</v>
      </c>
      <c r="G8" s="5">
        <f>GETPIVOTDATA("Rushing Defense Efficiency",'Team Stats'!$A$3,"Team Name",$B$2)</f>
        <v>99.556666666666658</v>
      </c>
    </row>
    <row r="9" spans="1:7">
      <c r="C9" s="1" t="str">
        <f>$B$3</f>
        <v>Chargers</v>
      </c>
      <c r="D9" s="5">
        <f>GETPIVOTDATA("Passing Defense Efficiency",'Team Stats'!$A$3,"Team Name",$B$3)</f>
        <v>111.94499999999999</v>
      </c>
      <c r="E9" s="5">
        <f>GETPIVOTDATA("Rushing Defense Efficiency",'Team Stats'!$A$3,"Team Name",$B$3)</f>
        <v>88.508333333333326</v>
      </c>
      <c r="F9" s="5">
        <f>GETPIVOTDATA("Passing Efficiency",'Team Stats'!$A$3,"Team Name",$B$3)</f>
        <v>97.74</v>
      </c>
      <c r="G9" s="5">
        <f>GETPIVOTDATA("Rushing Efficiency",'Team Stats'!$A$3,"Team Name",$B$3)</f>
        <v>92.066666666666663</v>
      </c>
    </row>
    <row r="10" spans="1:7">
      <c r="D10" s="5">
        <f>ABS(D8-D9)*(GETPIVOTDATA("Passing Weight",'Team Stats'!$A$3,"Team Name",$B$2) / 0.5)</f>
        <v>21.30554999999999</v>
      </c>
      <c r="E10" s="5">
        <f>ABS(E8-E9)*(GETPIVOTDATA("Rushing Weight",'Team Stats'!$A$3,"Team Name",$B$2) / 0.5)</f>
        <v>4.5832500000000218</v>
      </c>
      <c r="F10" s="5">
        <f>ABS(F8-F9)*(GETPIVOTDATA("Passing Weight",'Team Stats'!$A$3,"Team Name",$B$3) / 0.5)</f>
        <v>10.919100000000013</v>
      </c>
      <c r="G10" s="5">
        <f>ABS(G8-G9)*(GETPIVOTDATA("Rushing Weight",'Team Stats'!$A$3,"Team Name",$B$3) / 0.5)</f>
        <v>7.340199999999995</v>
      </c>
    </row>
    <row r="12" spans="1:7">
      <c r="D12" s="8">
        <f>IF(D8&gt;D9, D10, 0) + IF(E8&gt;E9, E10, 0) + IF(F8&gt;F9, F10, 0) + IF(G8&gt;G9, G10, 0)</f>
        <v>22.842550000000031</v>
      </c>
    </row>
    <row r="13" spans="1:7">
      <c r="D13" s="9">
        <f>IF(D8&lt;D9, D10, 0) + IF(E8&lt;E9, E10, 0) + IF(F8&lt;F9, F10, 0) + IF(G8&lt;G9, G10, 0)</f>
        <v>21.30554999999999</v>
      </c>
    </row>
    <row r="14" spans="1:7">
      <c r="C14" s="1" t="s">
        <v>57</v>
      </c>
      <c r="D14" s="7">
        <f>ABS(D13-D12) * 0.2146</f>
        <v>0.32984020000000897</v>
      </c>
    </row>
    <row r="16" spans="1:7">
      <c r="C16" s="1" t="s">
        <v>64</v>
      </c>
      <c r="D16" s="10">
        <f>D14</f>
        <v>0.32984020000000897</v>
      </c>
    </row>
    <row r="17" spans="3:4">
      <c r="C17" s="1" t="s">
        <v>66</v>
      </c>
      <c r="D17" s="10">
        <f>D16+7</f>
        <v>7.3298402000000094</v>
      </c>
    </row>
    <row r="18" spans="3:4">
      <c r="C18" s="1" t="s">
        <v>65</v>
      </c>
      <c r="D18" s="10">
        <f>D16-5</f>
        <v>-4.6701597999999906</v>
      </c>
    </row>
    <row r="19" spans="3:4">
      <c r="D19" s="12">
        <f>B5+IF(D13&gt;D12, -D14, D14)</f>
        <v>0.32984020000000897</v>
      </c>
    </row>
    <row r="20" spans="3:4">
      <c r="C20" s="1" t="s">
        <v>76</v>
      </c>
      <c r="D20" s="13">
        <f>(-0.0035*POWER(D19,3) - 0.0061*POWER(D19,2) + 4.025*D19 + 46.716)/100</f>
        <v>0.48042817561333911</v>
      </c>
    </row>
  </sheetData>
  <conditionalFormatting sqref="D10:G10">
    <cfRule type="expression" dxfId="15" priority="5">
      <formula>D8&gt;D9</formula>
    </cfRule>
    <cfRule type="expression" dxfId="14" priority="6">
      <formula>D8&lt;D9</formula>
    </cfRule>
  </conditionalFormatting>
  <conditionalFormatting sqref="D14">
    <cfRule type="expression" dxfId="13" priority="3">
      <formula>$D$12&lt;$D$13</formula>
    </cfRule>
    <cfRule type="expression" dxfId="12" priority="4">
      <formula>$D$12&gt;$D$13</formula>
    </cfRule>
  </conditionalFormatting>
  <conditionalFormatting sqref="D16:D17">
    <cfRule type="expression" dxfId="11" priority="1">
      <formula>$D$12&gt;$D$13</formula>
    </cfRule>
    <cfRule type="expression" dxfId="10" priority="2">
      <formula>$D$13&gt;$D$12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AJ723"/>
  <sheetViews>
    <sheetView topLeftCell="E10" workbookViewId="0">
      <selection activeCell="AI5" sqref="AI5:AJ16"/>
    </sheetView>
  </sheetViews>
  <sheetFormatPr defaultRowHeight="15"/>
  <cols>
    <col min="2" max="2" width="19.7109375" bestFit="1" customWidth="1"/>
    <col min="3" max="3" width="14.140625" bestFit="1" customWidth="1"/>
    <col min="24" max="24" width="21.5703125" customWidth="1"/>
    <col min="25" max="25" width="16.140625" customWidth="1"/>
    <col min="26" max="26" width="18" bestFit="1" customWidth="1"/>
    <col min="27" max="27" width="21.140625" customWidth="1"/>
    <col min="33" max="33" width="11.28515625" customWidth="1"/>
    <col min="34" max="34" width="21.42578125" customWidth="1"/>
    <col min="35" max="35" width="10.7109375" bestFit="1" customWidth="1"/>
  </cols>
  <sheetData>
    <row r="1" spans="2:36">
      <c r="B1" t="s">
        <v>63</v>
      </c>
      <c r="C1" t="s">
        <v>68</v>
      </c>
      <c r="X1" t="s">
        <v>63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77</v>
      </c>
    </row>
    <row r="2" spans="2:36">
      <c r="B2" s="5">
        <v>41.96999999999997</v>
      </c>
      <c r="C2" s="5">
        <v>8</v>
      </c>
      <c r="X2" s="5">
        <v>41.96999999999997</v>
      </c>
      <c r="Y2" s="5">
        <v>8</v>
      </c>
      <c r="Z2" s="5">
        <f>IF(Table3[[#This Row],[Efficiency Difference]]*0.2146 &gt; Table3[[#This Row],[Scoring Margin]], 1, 0)</f>
        <v>1</v>
      </c>
      <c r="AA2" s="5">
        <f>IF(Table3[[#This Row],[Efficiency Difference]]*0.2146 + 7 &gt; Table3[[#This Row],[Scoring Margin]], 1, 0)</f>
        <v>1</v>
      </c>
      <c r="AB2" s="5">
        <f>IF(Table3[[#This Row],[Efficiency Difference]]*0.2146 + 14 &gt; Table3[[#This Row],[Scoring Margin]], 1, 0)</f>
        <v>1</v>
      </c>
      <c r="AC2" s="5">
        <f>IF(Table3[[#This Row],[Efficiency Difference]]*0.2146 + 21 &gt; Table3[[#This Row],[Scoring Margin]], 1, 0)</f>
        <v>1</v>
      </c>
      <c r="AD2" s="5">
        <f>IF(Table3[[#This Row],[Efficiency Difference]]*0.2146 -7 &gt; Table3[[#This Row],[Scoring Margin]], 1, 0)</f>
        <v>0</v>
      </c>
      <c r="AE2" s="5">
        <f>IF(Table3[[#This Row],[Efficiency Difference]]*0.2146 -3 &gt; Table3[[#This Row],[Scoring Margin]], 1, 0)</f>
        <v>0</v>
      </c>
      <c r="AF2" s="5">
        <f>IF(Table3[[#This Row],[Efficiency Difference]]*0.2146 -5 &gt; Table3[[#This Row],[Scoring Margin]], 1, 0)</f>
        <v>0</v>
      </c>
      <c r="AG2" s="5">
        <f>IF(Table3[[#This Row],[Efficiency Difference]]*0.2146 -10 &gt; Table3[[#This Row],[Scoring Margin]], 1, 0)</f>
        <v>0</v>
      </c>
    </row>
    <row r="3" spans="2:36">
      <c r="B3" s="5">
        <v>41.96999999999997</v>
      </c>
      <c r="C3" s="5">
        <v>8</v>
      </c>
      <c r="X3" s="5">
        <v>41.96999999999997</v>
      </c>
      <c r="Y3" s="5">
        <v>8</v>
      </c>
      <c r="Z3" s="5">
        <f>IF(Table3[[#This Row],[Efficiency Difference]]*0.2146 &gt; Table3[[#This Row],[Scoring Margin]], 1, 0)</f>
        <v>1</v>
      </c>
      <c r="AA3" s="5">
        <f>IF(Table3[[#This Row],[Efficiency Difference]]*0.2146 + 7 &gt; Table3[[#This Row],[Scoring Margin]], 1, 0)</f>
        <v>1</v>
      </c>
      <c r="AB3" s="5">
        <f>IF(Table3[[#This Row],[Efficiency Difference]]*0.2146 + 14 &gt; Table3[[#This Row],[Scoring Margin]], 1, 0)</f>
        <v>1</v>
      </c>
      <c r="AC3" s="5">
        <f>IF(Table3[[#This Row],[Efficiency Difference]]*0.2146 + 21 &gt; Table3[[#This Row],[Scoring Margin]], 1, 0)</f>
        <v>1</v>
      </c>
      <c r="AD3" s="5">
        <f>IF(Table3[[#This Row],[Efficiency Difference]]*0.2146 -7 &gt; Table3[[#This Row],[Scoring Margin]], 1, 0)</f>
        <v>0</v>
      </c>
      <c r="AE3" s="5">
        <f>IF(Table3[[#This Row],[Efficiency Difference]]*0.2146 -3 &gt; Table3[[#This Row],[Scoring Margin]], 1, 0)</f>
        <v>0</v>
      </c>
      <c r="AF3" s="5">
        <f>IF(Table3[[#This Row],[Efficiency Difference]]*0.2146 -5 &gt; Table3[[#This Row],[Scoring Margin]], 1, 0)</f>
        <v>0</v>
      </c>
      <c r="AG3" s="5">
        <f>IF(Table3[[#This Row],[Efficiency Difference]]*0.2146 -10 &gt; Table3[[#This Row],[Scoring Margin]], 1, 0)</f>
        <v>0</v>
      </c>
    </row>
    <row r="4" spans="2:36">
      <c r="B4" s="5">
        <v>53.870000000000005</v>
      </c>
      <c r="C4" s="5">
        <v>27</v>
      </c>
      <c r="X4" s="5">
        <v>53.870000000000005</v>
      </c>
      <c r="Y4" s="5">
        <v>27</v>
      </c>
      <c r="Z4" s="5">
        <f>IF(Table3[[#This Row],[Efficiency Difference]]*0.2146 &gt; Table3[[#This Row],[Scoring Margin]], 1, 0)</f>
        <v>0</v>
      </c>
      <c r="AA4" s="5">
        <f>IF(Table3[[#This Row],[Efficiency Difference]]*0.2146 + 7 &gt; Table3[[#This Row],[Scoring Margin]], 1, 0)</f>
        <v>0</v>
      </c>
      <c r="AB4" s="5">
        <f>IF(Table3[[#This Row],[Efficiency Difference]]*0.2146 + 14 &gt; Table3[[#This Row],[Scoring Margin]], 1, 0)</f>
        <v>0</v>
      </c>
      <c r="AC4" s="5">
        <f>IF(Table3[[#This Row],[Efficiency Difference]]*0.2146 + 21 &gt; Table3[[#This Row],[Scoring Margin]], 1, 0)</f>
        <v>1</v>
      </c>
      <c r="AD4" s="5">
        <f>IF(Table3[[#This Row],[Efficiency Difference]]*0.2146 -7 &gt; Table3[[#This Row],[Scoring Margin]], 1, 0)</f>
        <v>0</v>
      </c>
      <c r="AE4" s="5">
        <f>IF(Table3[[#This Row],[Efficiency Difference]]*0.2146 -3 &gt; Table3[[#This Row],[Scoring Margin]], 1, 0)</f>
        <v>0</v>
      </c>
      <c r="AF4" s="5">
        <f>IF(Table3[[#This Row],[Efficiency Difference]]*0.2146 -5 &gt; Table3[[#This Row],[Scoring Margin]], 1, 0)</f>
        <v>0</v>
      </c>
      <c r="AG4" s="5">
        <f>IF(Table3[[#This Row],[Efficiency Difference]]*0.2146 -10 &gt; Table3[[#This Row],[Scoring Margin]], 1, 0)</f>
        <v>0</v>
      </c>
      <c r="AI4" t="s">
        <v>78</v>
      </c>
      <c r="AJ4" t="s">
        <v>79</v>
      </c>
    </row>
    <row r="5" spans="2:36">
      <c r="B5" s="5">
        <v>53.870000000000005</v>
      </c>
      <c r="C5" s="5">
        <v>27</v>
      </c>
      <c r="X5" s="5">
        <v>53.870000000000005</v>
      </c>
      <c r="Y5" s="5">
        <v>27</v>
      </c>
      <c r="Z5" s="5">
        <f>IF(Table3[[#This Row],[Efficiency Difference]]*0.2146 &gt; Table3[[#This Row],[Scoring Margin]], 1, 0)</f>
        <v>0</v>
      </c>
      <c r="AA5" s="5">
        <f>IF(Table3[[#This Row],[Efficiency Difference]]*0.2146 + 7 &gt; Table3[[#This Row],[Scoring Margin]], 1, 0)</f>
        <v>0</v>
      </c>
      <c r="AB5" s="5">
        <f>IF(Table3[[#This Row],[Efficiency Difference]]*0.2146 + 14 &gt; Table3[[#This Row],[Scoring Margin]], 1, 0)</f>
        <v>0</v>
      </c>
      <c r="AC5" s="5">
        <f>IF(Table3[[#This Row],[Efficiency Difference]]*0.2146 + 21 &gt; Table3[[#This Row],[Scoring Margin]], 1, 0)</f>
        <v>1</v>
      </c>
      <c r="AD5" s="5">
        <f>IF(Table3[[#This Row],[Efficiency Difference]]*0.2146 -7 &gt; Table3[[#This Row],[Scoring Margin]], 1, 0)</f>
        <v>0</v>
      </c>
      <c r="AE5" s="5">
        <f>IF(Table3[[#This Row],[Efficiency Difference]]*0.2146 -3 &gt; Table3[[#This Row],[Scoring Margin]], 1, 0)</f>
        <v>0</v>
      </c>
      <c r="AF5" s="5">
        <f>IF(Table3[[#This Row],[Efficiency Difference]]*0.2146 -5 &gt; Table3[[#This Row],[Scoring Margin]], 1, 0)</f>
        <v>0</v>
      </c>
      <c r="AG5" s="5">
        <f>IF(Table3[[#This Row],[Efficiency Difference]]*0.2146 -10 &gt; Table3[[#This Row],[Scoring Margin]], 1, 0)</f>
        <v>0</v>
      </c>
      <c r="AI5">
        <v>-21</v>
      </c>
      <c r="AJ5">
        <v>1</v>
      </c>
    </row>
    <row r="6" spans="2:36">
      <c r="B6" s="5">
        <v>41.16</v>
      </c>
      <c r="C6" s="5">
        <v>34</v>
      </c>
      <c r="X6" s="5">
        <v>41.16</v>
      </c>
      <c r="Y6" s="5">
        <v>34</v>
      </c>
      <c r="Z6" s="5">
        <f>IF(Table3[[#This Row],[Efficiency Difference]]*0.2146 &gt; Table3[[#This Row],[Scoring Margin]], 1, 0)</f>
        <v>0</v>
      </c>
      <c r="AA6" s="5">
        <f>IF(Table3[[#This Row],[Efficiency Difference]]*0.2146 + 7 &gt; Table3[[#This Row],[Scoring Margin]], 1, 0)</f>
        <v>0</v>
      </c>
      <c r="AB6" s="5">
        <f>IF(Table3[[#This Row],[Efficiency Difference]]*0.2146 + 14 &gt; Table3[[#This Row],[Scoring Margin]], 1, 0)</f>
        <v>0</v>
      </c>
      <c r="AC6" s="5">
        <f>IF(Table3[[#This Row],[Efficiency Difference]]*0.2146 + 21 &gt; Table3[[#This Row],[Scoring Margin]], 1, 0)</f>
        <v>0</v>
      </c>
      <c r="AD6" s="5">
        <f>IF(Table3[[#This Row],[Efficiency Difference]]*0.2146 -7 &gt; Table3[[#This Row],[Scoring Margin]], 1, 0)</f>
        <v>0</v>
      </c>
      <c r="AE6" s="5">
        <f>IF(Table3[[#This Row],[Efficiency Difference]]*0.2146 -3 &gt; Table3[[#This Row],[Scoring Margin]], 1, 0)</f>
        <v>0</v>
      </c>
      <c r="AF6" s="5">
        <f>IF(Table3[[#This Row],[Efficiency Difference]]*0.2146 -5 &gt; Table3[[#This Row],[Scoring Margin]], 1, 0)</f>
        <v>0</v>
      </c>
      <c r="AG6" s="5">
        <f>IF(Table3[[#This Row],[Efficiency Difference]]*0.2146 -10 &gt; Table3[[#This Row],[Scoring Margin]], 1, 0)</f>
        <v>0</v>
      </c>
      <c r="AI6">
        <v>-18</v>
      </c>
      <c r="AJ6">
        <v>2</v>
      </c>
    </row>
    <row r="7" spans="2:36">
      <c r="B7" s="5">
        <v>41.16</v>
      </c>
      <c r="C7" s="5">
        <v>34</v>
      </c>
      <c r="X7" s="5">
        <v>41.16</v>
      </c>
      <c r="Y7" s="5">
        <v>34</v>
      </c>
      <c r="Z7" s="5">
        <f>IF(Table3[[#This Row],[Efficiency Difference]]*0.2146 &gt; Table3[[#This Row],[Scoring Margin]], 1, 0)</f>
        <v>0</v>
      </c>
      <c r="AA7" s="5">
        <f>IF(Table3[[#This Row],[Efficiency Difference]]*0.2146 + 7 &gt; Table3[[#This Row],[Scoring Margin]], 1, 0)</f>
        <v>0</v>
      </c>
      <c r="AB7" s="5">
        <f>IF(Table3[[#This Row],[Efficiency Difference]]*0.2146 + 14 &gt; Table3[[#This Row],[Scoring Margin]], 1, 0)</f>
        <v>0</v>
      </c>
      <c r="AC7" s="5">
        <f>IF(Table3[[#This Row],[Efficiency Difference]]*0.2146 + 21 &gt; Table3[[#This Row],[Scoring Margin]], 1, 0)</f>
        <v>0</v>
      </c>
      <c r="AD7" s="5">
        <f>IF(Table3[[#This Row],[Efficiency Difference]]*0.2146 -7 &gt; Table3[[#This Row],[Scoring Margin]], 1, 0)</f>
        <v>0</v>
      </c>
      <c r="AE7" s="5">
        <f>IF(Table3[[#This Row],[Efficiency Difference]]*0.2146 -3 &gt; Table3[[#This Row],[Scoring Margin]], 1, 0)</f>
        <v>0</v>
      </c>
      <c r="AF7" s="5">
        <f>IF(Table3[[#This Row],[Efficiency Difference]]*0.2146 -5 &gt; Table3[[#This Row],[Scoring Margin]], 1, 0)</f>
        <v>0</v>
      </c>
      <c r="AG7" s="5">
        <f>IF(Table3[[#This Row],[Efficiency Difference]]*0.2146 -10 &gt; Table3[[#This Row],[Scoring Margin]], 1, 0)</f>
        <v>0</v>
      </c>
      <c r="AI7">
        <v>-14</v>
      </c>
      <c r="AJ7">
        <v>3</v>
      </c>
    </row>
    <row r="8" spans="2:36">
      <c r="B8" s="5">
        <v>51.140000000000015</v>
      </c>
      <c r="C8" s="5">
        <v>10</v>
      </c>
      <c r="X8" s="5">
        <v>51.140000000000015</v>
      </c>
      <c r="Y8" s="5">
        <v>10</v>
      </c>
      <c r="Z8" s="5">
        <f>IF(Table3[[#This Row],[Efficiency Difference]]*0.2146 &gt; Table3[[#This Row],[Scoring Margin]], 1, 0)</f>
        <v>1</v>
      </c>
      <c r="AA8" s="5">
        <f>IF(Table3[[#This Row],[Efficiency Difference]]*0.2146 + 7 &gt; Table3[[#This Row],[Scoring Margin]], 1, 0)</f>
        <v>1</v>
      </c>
      <c r="AB8" s="5">
        <f>IF(Table3[[#This Row],[Efficiency Difference]]*0.2146 + 14 &gt; Table3[[#This Row],[Scoring Margin]], 1, 0)</f>
        <v>1</v>
      </c>
      <c r="AC8" s="5">
        <f>IF(Table3[[#This Row],[Efficiency Difference]]*0.2146 + 21 &gt; Table3[[#This Row],[Scoring Margin]], 1, 0)</f>
        <v>1</v>
      </c>
      <c r="AD8" s="5">
        <f>IF(Table3[[#This Row],[Efficiency Difference]]*0.2146 -7 &gt; Table3[[#This Row],[Scoring Margin]], 1, 0)</f>
        <v>0</v>
      </c>
      <c r="AE8" s="5">
        <f>IF(Table3[[#This Row],[Efficiency Difference]]*0.2146 -3 &gt; Table3[[#This Row],[Scoring Margin]], 1, 0)</f>
        <v>0</v>
      </c>
      <c r="AF8" s="5">
        <f>IF(Table3[[#This Row],[Efficiency Difference]]*0.2146 -5 &gt; Table3[[#This Row],[Scoring Margin]], 1, 0)</f>
        <v>0</v>
      </c>
      <c r="AG8" s="5">
        <f>IF(Table3[[#This Row],[Efficiency Difference]]*0.2146 -10 &gt; Table3[[#This Row],[Scoring Margin]], 1, 0)</f>
        <v>0</v>
      </c>
      <c r="AI8" s="11">
        <v>-10</v>
      </c>
      <c r="AJ8" s="11">
        <v>8</v>
      </c>
    </row>
    <row r="9" spans="2:36">
      <c r="B9" s="5">
        <v>51.140000000000015</v>
      </c>
      <c r="C9" s="5">
        <v>10</v>
      </c>
      <c r="X9" s="5">
        <v>51.140000000000015</v>
      </c>
      <c r="Y9" s="5">
        <v>10</v>
      </c>
      <c r="Z9" s="5">
        <f>IF(Table3[[#This Row],[Efficiency Difference]]*0.2146 &gt; Table3[[#This Row],[Scoring Margin]], 1, 0)</f>
        <v>1</v>
      </c>
      <c r="AA9" s="5">
        <f>IF(Table3[[#This Row],[Efficiency Difference]]*0.2146 + 7 &gt; Table3[[#This Row],[Scoring Margin]], 1, 0)</f>
        <v>1</v>
      </c>
      <c r="AB9" s="5">
        <f>IF(Table3[[#This Row],[Efficiency Difference]]*0.2146 + 14 &gt; Table3[[#This Row],[Scoring Margin]], 1, 0)</f>
        <v>1</v>
      </c>
      <c r="AC9" s="5">
        <f>IF(Table3[[#This Row],[Efficiency Difference]]*0.2146 + 21 &gt; Table3[[#This Row],[Scoring Margin]], 1, 0)</f>
        <v>1</v>
      </c>
      <c r="AD9" s="5">
        <f>IF(Table3[[#This Row],[Efficiency Difference]]*0.2146 -7 &gt; Table3[[#This Row],[Scoring Margin]], 1, 0)</f>
        <v>0</v>
      </c>
      <c r="AE9" s="5">
        <f>IF(Table3[[#This Row],[Efficiency Difference]]*0.2146 -3 &gt; Table3[[#This Row],[Scoring Margin]], 1, 0)</f>
        <v>0</v>
      </c>
      <c r="AF9" s="5">
        <f>IF(Table3[[#This Row],[Efficiency Difference]]*0.2146 -5 &gt; Table3[[#This Row],[Scoring Margin]], 1, 0)</f>
        <v>0</v>
      </c>
      <c r="AG9" s="5">
        <f>IF(Table3[[#This Row],[Efficiency Difference]]*0.2146 -10 &gt; Table3[[#This Row],[Scoring Margin]], 1, 0)</f>
        <v>0</v>
      </c>
      <c r="AI9" s="11">
        <v>-7</v>
      </c>
      <c r="AJ9" s="11">
        <v>15</v>
      </c>
    </row>
    <row r="10" spans="2:36">
      <c r="B10" s="5">
        <v>42.84</v>
      </c>
      <c r="C10" s="5">
        <v>18</v>
      </c>
      <c r="X10" s="5">
        <v>42.84</v>
      </c>
      <c r="Y10" s="5">
        <v>18</v>
      </c>
      <c r="Z10" s="5">
        <f>IF(Table3[[#This Row],[Efficiency Difference]]*0.2146 &gt; Table3[[#This Row],[Scoring Margin]], 1, 0)</f>
        <v>0</v>
      </c>
      <c r="AA10" s="5">
        <f>IF(Table3[[#This Row],[Efficiency Difference]]*0.2146 + 7 &gt; Table3[[#This Row],[Scoring Margin]], 1, 0)</f>
        <v>0</v>
      </c>
      <c r="AB10" s="5">
        <f>IF(Table3[[#This Row],[Efficiency Difference]]*0.2146 + 14 &gt; Table3[[#This Row],[Scoring Margin]], 1, 0)</f>
        <v>1</v>
      </c>
      <c r="AC10" s="5">
        <f>IF(Table3[[#This Row],[Efficiency Difference]]*0.2146 + 21 &gt; Table3[[#This Row],[Scoring Margin]], 1, 0)</f>
        <v>1</v>
      </c>
      <c r="AD10" s="5">
        <f>IF(Table3[[#This Row],[Efficiency Difference]]*0.2146 -7 &gt; Table3[[#This Row],[Scoring Margin]], 1, 0)</f>
        <v>0</v>
      </c>
      <c r="AE10" s="5">
        <f>IF(Table3[[#This Row],[Efficiency Difference]]*0.2146 -3 &gt; Table3[[#This Row],[Scoring Margin]], 1, 0)</f>
        <v>0</v>
      </c>
      <c r="AF10" s="5">
        <f>IF(Table3[[#This Row],[Efficiency Difference]]*0.2146 -5 &gt; Table3[[#This Row],[Scoring Margin]], 1, 0)</f>
        <v>0</v>
      </c>
      <c r="AG10" s="5">
        <f>IF(Table3[[#This Row],[Efficiency Difference]]*0.2146 -10 &gt; Table3[[#This Row],[Scoring Margin]], 1, 0)</f>
        <v>0</v>
      </c>
      <c r="AI10" s="11">
        <v>-5</v>
      </c>
      <c r="AJ10" s="11">
        <v>23</v>
      </c>
    </row>
    <row r="11" spans="2:36">
      <c r="B11" s="5">
        <v>42.84</v>
      </c>
      <c r="C11" s="5">
        <v>18</v>
      </c>
      <c r="X11" s="5">
        <v>42.84</v>
      </c>
      <c r="Y11" s="5">
        <v>18</v>
      </c>
      <c r="Z11" s="5">
        <f>IF(Table3[[#This Row],[Efficiency Difference]]*0.2146 &gt; Table3[[#This Row],[Scoring Margin]], 1, 0)</f>
        <v>0</v>
      </c>
      <c r="AA11" s="5">
        <f>IF(Table3[[#This Row],[Efficiency Difference]]*0.2146 + 7 &gt; Table3[[#This Row],[Scoring Margin]], 1, 0)</f>
        <v>0</v>
      </c>
      <c r="AB11" s="5">
        <f>IF(Table3[[#This Row],[Efficiency Difference]]*0.2146 + 14 &gt; Table3[[#This Row],[Scoring Margin]], 1, 0)</f>
        <v>1</v>
      </c>
      <c r="AC11" s="5">
        <f>IF(Table3[[#This Row],[Efficiency Difference]]*0.2146 + 21 &gt; Table3[[#This Row],[Scoring Margin]], 1, 0)</f>
        <v>1</v>
      </c>
      <c r="AD11" s="5">
        <f>IF(Table3[[#This Row],[Efficiency Difference]]*0.2146 -7 &gt; Table3[[#This Row],[Scoring Margin]], 1, 0)</f>
        <v>0</v>
      </c>
      <c r="AE11" s="5">
        <f>IF(Table3[[#This Row],[Efficiency Difference]]*0.2146 -3 &gt; Table3[[#This Row],[Scoring Margin]], 1, 0)</f>
        <v>0</v>
      </c>
      <c r="AF11" s="5">
        <f>IF(Table3[[#This Row],[Efficiency Difference]]*0.2146 -5 &gt; Table3[[#This Row],[Scoring Margin]], 1, 0)</f>
        <v>0</v>
      </c>
      <c r="AG11" s="5">
        <f>IF(Table3[[#This Row],[Efficiency Difference]]*0.2146 -10 &gt; Table3[[#This Row],[Scoring Margin]], 1, 0)</f>
        <v>0</v>
      </c>
      <c r="AI11" s="11">
        <v>-3</v>
      </c>
      <c r="AJ11" s="11">
        <v>26</v>
      </c>
    </row>
    <row r="12" spans="2:36">
      <c r="B12" s="5">
        <v>157.83000000000004</v>
      </c>
      <c r="C12" s="5">
        <v>28</v>
      </c>
      <c r="X12" s="5">
        <v>157.83000000000004</v>
      </c>
      <c r="Y12" s="5">
        <v>28</v>
      </c>
      <c r="Z12" s="5">
        <f>IF(Table3[[#This Row],[Efficiency Difference]]*0.2146 &gt; Table3[[#This Row],[Scoring Margin]], 1, 0)</f>
        <v>1</v>
      </c>
      <c r="AA12" s="5">
        <f>IF(Table3[[#This Row],[Efficiency Difference]]*0.2146 + 7 &gt; Table3[[#This Row],[Scoring Margin]], 1, 0)</f>
        <v>1</v>
      </c>
      <c r="AB12" s="5">
        <f>IF(Table3[[#This Row],[Efficiency Difference]]*0.2146 + 14 &gt; Table3[[#This Row],[Scoring Margin]], 1, 0)</f>
        <v>1</v>
      </c>
      <c r="AC12" s="5">
        <f>IF(Table3[[#This Row],[Efficiency Difference]]*0.2146 + 21 &gt; Table3[[#This Row],[Scoring Margin]], 1, 0)</f>
        <v>1</v>
      </c>
      <c r="AD12" s="5">
        <f>IF(Table3[[#This Row],[Efficiency Difference]]*0.2146 -7 &gt; Table3[[#This Row],[Scoring Margin]], 1, 0)</f>
        <v>0</v>
      </c>
      <c r="AE12" s="5">
        <f>IF(Table3[[#This Row],[Efficiency Difference]]*0.2146 -3 &gt; Table3[[#This Row],[Scoring Margin]], 1, 0)</f>
        <v>1</v>
      </c>
      <c r="AF12" s="5">
        <f>IF(Table3[[#This Row],[Efficiency Difference]]*0.2146 -5 &gt; Table3[[#This Row],[Scoring Margin]], 1, 0)</f>
        <v>1</v>
      </c>
      <c r="AG12" s="5">
        <f>IF(Table3[[#This Row],[Efficiency Difference]]*0.2146 -10 &gt; Table3[[#This Row],[Scoring Margin]], 1, 0)</f>
        <v>0</v>
      </c>
      <c r="AI12" s="11">
        <v>0</v>
      </c>
      <c r="AJ12" s="11">
        <v>43</v>
      </c>
    </row>
    <row r="13" spans="2:36">
      <c r="B13" s="5">
        <v>157.83000000000004</v>
      </c>
      <c r="C13" s="5">
        <v>28</v>
      </c>
      <c r="X13" s="5">
        <v>157.83000000000004</v>
      </c>
      <c r="Y13" s="5">
        <v>28</v>
      </c>
      <c r="Z13" s="5">
        <f>IF(Table3[[#This Row],[Efficiency Difference]]*0.2146 &gt; Table3[[#This Row],[Scoring Margin]], 1, 0)</f>
        <v>1</v>
      </c>
      <c r="AA13" s="5">
        <f>IF(Table3[[#This Row],[Efficiency Difference]]*0.2146 + 7 &gt; Table3[[#This Row],[Scoring Margin]], 1, 0)</f>
        <v>1</v>
      </c>
      <c r="AB13" s="5">
        <f>IF(Table3[[#This Row],[Efficiency Difference]]*0.2146 + 14 &gt; Table3[[#This Row],[Scoring Margin]], 1, 0)</f>
        <v>1</v>
      </c>
      <c r="AC13" s="5">
        <f>IF(Table3[[#This Row],[Efficiency Difference]]*0.2146 + 21 &gt; Table3[[#This Row],[Scoring Margin]], 1, 0)</f>
        <v>1</v>
      </c>
      <c r="AD13" s="5">
        <f>IF(Table3[[#This Row],[Efficiency Difference]]*0.2146 -7 &gt; Table3[[#This Row],[Scoring Margin]], 1, 0)</f>
        <v>0</v>
      </c>
      <c r="AE13" s="5">
        <f>IF(Table3[[#This Row],[Efficiency Difference]]*0.2146 -3 &gt; Table3[[#This Row],[Scoring Margin]], 1, 0)</f>
        <v>1</v>
      </c>
      <c r="AF13" s="5">
        <f>IF(Table3[[#This Row],[Efficiency Difference]]*0.2146 -5 &gt; Table3[[#This Row],[Scoring Margin]], 1, 0)</f>
        <v>1</v>
      </c>
      <c r="AG13" s="5">
        <f>IF(Table3[[#This Row],[Efficiency Difference]]*0.2146 -10 &gt; Table3[[#This Row],[Scoring Margin]], 1, 0)</f>
        <v>0</v>
      </c>
      <c r="AI13" s="11">
        <v>7</v>
      </c>
      <c r="AJ13" s="11">
        <v>75</v>
      </c>
    </row>
    <row r="14" spans="2:36">
      <c r="B14" s="5">
        <v>58.239999999999981</v>
      </c>
      <c r="C14" s="5">
        <v>7</v>
      </c>
      <c r="X14" s="5">
        <v>58.239999999999981</v>
      </c>
      <c r="Y14" s="5">
        <v>7</v>
      </c>
      <c r="Z14" s="5">
        <f>IF(Table3[[#This Row],[Efficiency Difference]]*0.2146 &gt; Table3[[#This Row],[Scoring Margin]], 1, 0)</f>
        <v>1</v>
      </c>
      <c r="AA14" s="5">
        <f>IF(Table3[[#This Row],[Efficiency Difference]]*0.2146 + 7 &gt; Table3[[#This Row],[Scoring Margin]], 1, 0)</f>
        <v>1</v>
      </c>
      <c r="AB14" s="5">
        <f>IF(Table3[[#This Row],[Efficiency Difference]]*0.2146 + 14 &gt; Table3[[#This Row],[Scoring Margin]], 1, 0)</f>
        <v>1</v>
      </c>
      <c r="AC14" s="5">
        <f>IF(Table3[[#This Row],[Efficiency Difference]]*0.2146 + 21 &gt; Table3[[#This Row],[Scoring Margin]], 1, 0)</f>
        <v>1</v>
      </c>
      <c r="AD14" s="5">
        <f>IF(Table3[[#This Row],[Efficiency Difference]]*0.2146 -7 &gt; Table3[[#This Row],[Scoring Margin]], 1, 0)</f>
        <v>0</v>
      </c>
      <c r="AE14" s="5">
        <f>IF(Table3[[#This Row],[Efficiency Difference]]*0.2146 -3 &gt; Table3[[#This Row],[Scoring Margin]], 1, 0)</f>
        <v>1</v>
      </c>
      <c r="AF14" s="5">
        <f>IF(Table3[[#This Row],[Efficiency Difference]]*0.2146 -5 &gt; Table3[[#This Row],[Scoring Margin]], 1, 0)</f>
        <v>1</v>
      </c>
      <c r="AG14" s="5">
        <f>IF(Table3[[#This Row],[Efficiency Difference]]*0.2146 -10 &gt; Table3[[#This Row],[Scoring Margin]], 1, 0)</f>
        <v>0</v>
      </c>
      <c r="AI14" s="11">
        <v>14</v>
      </c>
      <c r="AJ14" s="11">
        <v>89</v>
      </c>
    </row>
    <row r="15" spans="2:36">
      <c r="B15" s="5">
        <v>58.240000000000009</v>
      </c>
      <c r="C15" s="5">
        <v>7</v>
      </c>
      <c r="X15" s="5">
        <v>58.240000000000009</v>
      </c>
      <c r="Y15" s="5">
        <v>7</v>
      </c>
      <c r="Z15" s="5">
        <f>IF(Table3[[#This Row],[Efficiency Difference]]*0.2146 &gt; Table3[[#This Row],[Scoring Margin]], 1, 0)</f>
        <v>1</v>
      </c>
      <c r="AA15" s="5">
        <f>IF(Table3[[#This Row],[Efficiency Difference]]*0.2146 + 7 &gt; Table3[[#This Row],[Scoring Margin]], 1, 0)</f>
        <v>1</v>
      </c>
      <c r="AB15" s="5">
        <f>IF(Table3[[#This Row],[Efficiency Difference]]*0.2146 + 14 &gt; Table3[[#This Row],[Scoring Margin]], 1, 0)</f>
        <v>1</v>
      </c>
      <c r="AC15" s="5">
        <f>IF(Table3[[#This Row],[Efficiency Difference]]*0.2146 + 21 &gt; Table3[[#This Row],[Scoring Margin]], 1, 0)</f>
        <v>1</v>
      </c>
      <c r="AD15" s="5">
        <f>IF(Table3[[#This Row],[Efficiency Difference]]*0.2146 -7 &gt; Table3[[#This Row],[Scoring Margin]], 1, 0)</f>
        <v>0</v>
      </c>
      <c r="AE15" s="5">
        <f>IF(Table3[[#This Row],[Efficiency Difference]]*0.2146 -3 &gt; Table3[[#This Row],[Scoring Margin]], 1, 0)</f>
        <v>1</v>
      </c>
      <c r="AF15" s="5">
        <f>IF(Table3[[#This Row],[Efficiency Difference]]*0.2146 -5 &gt; Table3[[#This Row],[Scoring Margin]], 1, 0)</f>
        <v>1</v>
      </c>
      <c r="AG15" s="5">
        <f>IF(Table3[[#This Row],[Efficiency Difference]]*0.2146 -10 &gt; Table3[[#This Row],[Scoring Margin]], 1, 0)</f>
        <v>0</v>
      </c>
      <c r="AI15" s="11">
        <v>21</v>
      </c>
      <c r="AJ15" s="11">
        <v>95</v>
      </c>
    </row>
    <row r="16" spans="2:36">
      <c r="B16" s="5">
        <v>17.03</v>
      </c>
      <c r="C16" s="5">
        <v>7</v>
      </c>
      <c r="X16" s="5">
        <v>17.03</v>
      </c>
      <c r="Y16" s="5">
        <v>7</v>
      </c>
      <c r="Z16" s="5">
        <f>IF(Table3[[#This Row],[Efficiency Difference]]*0.2146 &gt; Table3[[#This Row],[Scoring Margin]], 1, 0)</f>
        <v>0</v>
      </c>
      <c r="AA16" s="5">
        <f>IF(Table3[[#This Row],[Efficiency Difference]]*0.2146 + 7 &gt; Table3[[#This Row],[Scoring Margin]], 1, 0)</f>
        <v>1</v>
      </c>
      <c r="AB16" s="5">
        <f>IF(Table3[[#This Row],[Efficiency Difference]]*0.2146 + 14 &gt; Table3[[#This Row],[Scoring Margin]], 1, 0)</f>
        <v>1</v>
      </c>
      <c r="AC16" s="5">
        <f>IF(Table3[[#This Row],[Efficiency Difference]]*0.2146 + 21 &gt; Table3[[#This Row],[Scoring Margin]], 1, 0)</f>
        <v>1</v>
      </c>
      <c r="AD16" s="5">
        <f>IF(Table3[[#This Row],[Efficiency Difference]]*0.2146 -7 &gt; Table3[[#This Row],[Scoring Margin]], 1, 0)</f>
        <v>0</v>
      </c>
      <c r="AE16" s="5">
        <f>IF(Table3[[#This Row],[Efficiency Difference]]*0.2146 -3 &gt; Table3[[#This Row],[Scoring Margin]], 1, 0)</f>
        <v>0</v>
      </c>
      <c r="AF16" s="5">
        <f>IF(Table3[[#This Row],[Efficiency Difference]]*0.2146 -5 &gt; Table3[[#This Row],[Scoring Margin]], 1, 0)</f>
        <v>0</v>
      </c>
      <c r="AG16" s="5">
        <f>IF(Table3[[#This Row],[Efficiency Difference]]*0.2146 -10 &gt; Table3[[#This Row],[Scoring Margin]], 1, 0)</f>
        <v>0</v>
      </c>
      <c r="AI16" s="11">
        <v>25</v>
      </c>
      <c r="AJ16" s="11">
        <v>99</v>
      </c>
    </row>
    <row r="17" spans="2:36">
      <c r="B17" s="5">
        <v>17.03</v>
      </c>
      <c r="C17" s="5">
        <v>7</v>
      </c>
      <c r="X17" s="5">
        <v>17.03</v>
      </c>
      <c r="Y17" s="5">
        <v>7</v>
      </c>
      <c r="Z17" s="5">
        <f>IF(Table3[[#This Row],[Efficiency Difference]]*0.2146 &gt; Table3[[#This Row],[Scoring Margin]], 1, 0)</f>
        <v>0</v>
      </c>
      <c r="AA17" s="5">
        <f>IF(Table3[[#This Row],[Efficiency Difference]]*0.2146 + 7 &gt; Table3[[#This Row],[Scoring Margin]], 1, 0)</f>
        <v>1</v>
      </c>
      <c r="AB17" s="5">
        <f>IF(Table3[[#This Row],[Efficiency Difference]]*0.2146 + 14 &gt; Table3[[#This Row],[Scoring Margin]], 1, 0)</f>
        <v>1</v>
      </c>
      <c r="AC17" s="5">
        <f>IF(Table3[[#This Row],[Efficiency Difference]]*0.2146 + 21 &gt; Table3[[#This Row],[Scoring Margin]], 1, 0)</f>
        <v>1</v>
      </c>
      <c r="AD17" s="5">
        <f>IF(Table3[[#This Row],[Efficiency Difference]]*0.2146 -7 &gt; Table3[[#This Row],[Scoring Margin]], 1, 0)</f>
        <v>0</v>
      </c>
      <c r="AE17" s="5">
        <f>IF(Table3[[#This Row],[Efficiency Difference]]*0.2146 -3 &gt; Table3[[#This Row],[Scoring Margin]], 1, 0)</f>
        <v>0</v>
      </c>
      <c r="AF17" s="5">
        <f>IF(Table3[[#This Row],[Efficiency Difference]]*0.2146 -5 &gt; Table3[[#This Row],[Scoring Margin]], 1, 0)</f>
        <v>0</v>
      </c>
      <c r="AG17" s="5">
        <f>IF(Table3[[#This Row],[Efficiency Difference]]*0.2146 -10 &gt; Table3[[#This Row],[Scoring Margin]], 1, 0)</f>
        <v>0</v>
      </c>
    </row>
    <row r="18" spans="2:36">
      <c r="B18" s="5">
        <v>17.550000000000011</v>
      </c>
      <c r="C18" s="5">
        <v>14</v>
      </c>
      <c r="X18" s="5">
        <v>17.550000000000011</v>
      </c>
      <c r="Y18" s="5">
        <v>14</v>
      </c>
      <c r="Z18" s="5">
        <f>IF(Table3[[#This Row],[Efficiency Difference]]*0.2146 &gt; Table3[[#This Row],[Scoring Margin]], 1, 0)</f>
        <v>0</v>
      </c>
      <c r="AA18" s="5">
        <f>IF(Table3[[#This Row],[Efficiency Difference]]*0.2146 + 7 &gt; Table3[[#This Row],[Scoring Margin]], 1, 0)</f>
        <v>0</v>
      </c>
      <c r="AB18" s="5">
        <f>IF(Table3[[#This Row],[Efficiency Difference]]*0.2146 + 14 &gt; Table3[[#This Row],[Scoring Margin]], 1, 0)</f>
        <v>1</v>
      </c>
      <c r="AC18" s="5">
        <f>IF(Table3[[#This Row],[Efficiency Difference]]*0.2146 + 21 &gt; Table3[[#This Row],[Scoring Margin]], 1, 0)</f>
        <v>1</v>
      </c>
      <c r="AD18" s="5">
        <f>IF(Table3[[#This Row],[Efficiency Difference]]*0.2146 -7 &gt; Table3[[#This Row],[Scoring Margin]], 1, 0)</f>
        <v>0</v>
      </c>
      <c r="AE18" s="5">
        <f>IF(Table3[[#This Row],[Efficiency Difference]]*0.2146 -3 &gt; Table3[[#This Row],[Scoring Margin]], 1, 0)</f>
        <v>0</v>
      </c>
      <c r="AF18" s="5">
        <f>IF(Table3[[#This Row],[Efficiency Difference]]*0.2146 -5 &gt; Table3[[#This Row],[Scoring Margin]], 1, 0)</f>
        <v>0</v>
      </c>
      <c r="AG18" s="5">
        <f>IF(Table3[[#This Row],[Efficiency Difference]]*0.2146 -10 &gt; Table3[[#This Row],[Scoring Margin]], 1, 0)</f>
        <v>0</v>
      </c>
    </row>
    <row r="19" spans="2:36">
      <c r="B19" s="5">
        <v>17.550000000000011</v>
      </c>
      <c r="C19" s="5">
        <v>14</v>
      </c>
      <c r="X19" s="5">
        <v>17.550000000000011</v>
      </c>
      <c r="Y19" s="5">
        <v>14</v>
      </c>
      <c r="Z19" s="5">
        <f>IF(Table3[[#This Row],[Efficiency Difference]]*0.2146 &gt; Table3[[#This Row],[Scoring Margin]], 1, 0)</f>
        <v>0</v>
      </c>
      <c r="AA19" s="5">
        <f>IF(Table3[[#This Row],[Efficiency Difference]]*0.2146 + 7 &gt; Table3[[#This Row],[Scoring Margin]], 1, 0)</f>
        <v>0</v>
      </c>
      <c r="AB19" s="5">
        <f>IF(Table3[[#This Row],[Efficiency Difference]]*0.2146 + 14 &gt; Table3[[#This Row],[Scoring Margin]], 1, 0)</f>
        <v>1</v>
      </c>
      <c r="AC19" s="5">
        <f>IF(Table3[[#This Row],[Efficiency Difference]]*0.2146 + 21 &gt; Table3[[#This Row],[Scoring Margin]], 1, 0)</f>
        <v>1</v>
      </c>
      <c r="AD19" s="5">
        <f>IF(Table3[[#This Row],[Efficiency Difference]]*0.2146 -7 &gt; Table3[[#This Row],[Scoring Margin]], 1, 0)</f>
        <v>0</v>
      </c>
      <c r="AE19" s="5">
        <f>IF(Table3[[#This Row],[Efficiency Difference]]*0.2146 -3 &gt; Table3[[#This Row],[Scoring Margin]], 1, 0)</f>
        <v>0</v>
      </c>
      <c r="AF19" s="5">
        <f>IF(Table3[[#This Row],[Efficiency Difference]]*0.2146 -5 &gt; Table3[[#This Row],[Scoring Margin]], 1, 0)</f>
        <v>0</v>
      </c>
      <c r="AG19" s="5">
        <f>IF(Table3[[#This Row],[Efficiency Difference]]*0.2146 -10 &gt; Table3[[#This Row],[Scoring Margin]], 1, 0)</f>
        <v>0</v>
      </c>
      <c r="AI19" s="11"/>
      <c r="AJ19" s="11"/>
    </row>
    <row r="20" spans="2:36">
      <c r="B20" s="5">
        <v>29.819999999999993</v>
      </c>
      <c r="C20" s="5">
        <v>7</v>
      </c>
      <c r="X20" s="5">
        <v>29.819999999999993</v>
      </c>
      <c r="Y20" s="5">
        <v>7</v>
      </c>
      <c r="Z20" s="5">
        <f>IF(Table3[[#This Row],[Efficiency Difference]]*0.2146 &gt; Table3[[#This Row],[Scoring Margin]], 1, 0)</f>
        <v>0</v>
      </c>
      <c r="AA20" s="5">
        <f>IF(Table3[[#This Row],[Efficiency Difference]]*0.2146 + 7 &gt; Table3[[#This Row],[Scoring Margin]], 1, 0)</f>
        <v>1</v>
      </c>
      <c r="AB20" s="5">
        <f>IF(Table3[[#This Row],[Efficiency Difference]]*0.2146 + 14 &gt; Table3[[#This Row],[Scoring Margin]], 1, 0)</f>
        <v>1</v>
      </c>
      <c r="AC20" s="5">
        <f>IF(Table3[[#This Row],[Efficiency Difference]]*0.2146 + 21 &gt; Table3[[#This Row],[Scoring Margin]], 1, 0)</f>
        <v>1</v>
      </c>
      <c r="AD20" s="5">
        <f>IF(Table3[[#This Row],[Efficiency Difference]]*0.2146 -7 &gt; Table3[[#This Row],[Scoring Margin]], 1, 0)</f>
        <v>0</v>
      </c>
      <c r="AE20" s="5">
        <f>IF(Table3[[#This Row],[Efficiency Difference]]*0.2146 -3 &gt; Table3[[#This Row],[Scoring Margin]], 1, 0)</f>
        <v>0</v>
      </c>
      <c r="AF20" s="5">
        <f>IF(Table3[[#This Row],[Efficiency Difference]]*0.2146 -5 &gt; Table3[[#This Row],[Scoring Margin]], 1, 0)</f>
        <v>0</v>
      </c>
      <c r="AG20" s="5">
        <f>IF(Table3[[#This Row],[Efficiency Difference]]*0.2146 -10 &gt; Table3[[#This Row],[Scoring Margin]], 1, 0)</f>
        <v>0</v>
      </c>
      <c r="AI20" s="11"/>
      <c r="AJ20" s="11"/>
    </row>
    <row r="21" spans="2:36">
      <c r="B21" s="5">
        <v>29.819999999999993</v>
      </c>
      <c r="C21" s="5">
        <v>7</v>
      </c>
      <c r="X21" s="5">
        <v>29.819999999999993</v>
      </c>
      <c r="Y21" s="5">
        <v>7</v>
      </c>
      <c r="Z21" s="5">
        <f>IF(Table3[[#This Row],[Efficiency Difference]]*0.2146 &gt; Table3[[#This Row],[Scoring Margin]], 1, 0)</f>
        <v>0</v>
      </c>
      <c r="AA21" s="5">
        <f>IF(Table3[[#This Row],[Efficiency Difference]]*0.2146 + 7 &gt; Table3[[#This Row],[Scoring Margin]], 1, 0)</f>
        <v>1</v>
      </c>
      <c r="AB21" s="5">
        <f>IF(Table3[[#This Row],[Efficiency Difference]]*0.2146 + 14 &gt; Table3[[#This Row],[Scoring Margin]], 1, 0)</f>
        <v>1</v>
      </c>
      <c r="AC21" s="5">
        <f>IF(Table3[[#This Row],[Efficiency Difference]]*0.2146 + 21 &gt; Table3[[#This Row],[Scoring Margin]], 1, 0)</f>
        <v>1</v>
      </c>
      <c r="AD21" s="5">
        <f>IF(Table3[[#This Row],[Efficiency Difference]]*0.2146 -7 &gt; Table3[[#This Row],[Scoring Margin]], 1, 0)</f>
        <v>0</v>
      </c>
      <c r="AE21" s="5">
        <f>IF(Table3[[#This Row],[Efficiency Difference]]*0.2146 -3 &gt; Table3[[#This Row],[Scoring Margin]], 1, 0)</f>
        <v>0</v>
      </c>
      <c r="AF21" s="5">
        <f>IF(Table3[[#This Row],[Efficiency Difference]]*0.2146 -5 &gt; Table3[[#This Row],[Scoring Margin]], 1, 0)</f>
        <v>0</v>
      </c>
      <c r="AG21" s="5">
        <f>IF(Table3[[#This Row],[Efficiency Difference]]*0.2146 -10 &gt; Table3[[#This Row],[Scoring Margin]], 1, 0)</f>
        <v>0</v>
      </c>
    </row>
    <row r="22" spans="2:36">
      <c r="B22" s="5">
        <v>55.29000000000002</v>
      </c>
      <c r="C22" s="5">
        <v>16</v>
      </c>
      <c r="X22" s="5">
        <v>55.29000000000002</v>
      </c>
      <c r="Y22" s="5">
        <v>16</v>
      </c>
      <c r="Z22" s="5">
        <f>IF(Table3[[#This Row],[Efficiency Difference]]*0.2146 &gt; Table3[[#This Row],[Scoring Margin]], 1, 0)</f>
        <v>0</v>
      </c>
      <c r="AA22" s="5">
        <f>IF(Table3[[#This Row],[Efficiency Difference]]*0.2146 + 7 &gt; Table3[[#This Row],[Scoring Margin]], 1, 0)</f>
        <v>1</v>
      </c>
      <c r="AB22" s="5">
        <f>IF(Table3[[#This Row],[Efficiency Difference]]*0.2146 + 14 &gt; Table3[[#This Row],[Scoring Margin]], 1, 0)</f>
        <v>1</v>
      </c>
      <c r="AC22" s="5">
        <f>IF(Table3[[#This Row],[Efficiency Difference]]*0.2146 + 21 &gt; Table3[[#This Row],[Scoring Margin]], 1, 0)</f>
        <v>1</v>
      </c>
      <c r="AD22" s="5">
        <f>IF(Table3[[#This Row],[Efficiency Difference]]*0.2146 -7 &gt; Table3[[#This Row],[Scoring Margin]], 1, 0)</f>
        <v>0</v>
      </c>
      <c r="AE22" s="5">
        <f>IF(Table3[[#This Row],[Efficiency Difference]]*0.2146 -3 &gt; Table3[[#This Row],[Scoring Margin]], 1, 0)</f>
        <v>0</v>
      </c>
      <c r="AF22" s="5">
        <f>IF(Table3[[#This Row],[Efficiency Difference]]*0.2146 -5 &gt; Table3[[#This Row],[Scoring Margin]], 1, 0)</f>
        <v>0</v>
      </c>
      <c r="AG22" s="5">
        <f>IF(Table3[[#This Row],[Efficiency Difference]]*0.2146 -10 &gt; Table3[[#This Row],[Scoring Margin]], 1, 0)</f>
        <v>0</v>
      </c>
    </row>
    <row r="23" spans="2:36">
      <c r="B23" s="5">
        <v>55.29000000000002</v>
      </c>
      <c r="C23" s="5">
        <v>16</v>
      </c>
      <c r="X23" s="5">
        <v>55.29000000000002</v>
      </c>
      <c r="Y23" s="5">
        <v>16</v>
      </c>
      <c r="Z23" s="5">
        <f>IF(Table3[[#This Row],[Efficiency Difference]]*0.2146 &gt; Table3[[#This Row],[Scoring Margin]], 1, 0)</f>
        <v>0</v>
      </c>
      <c r="AA23" s="5">
        <f>IF(Table3[[#This Row],[Efficiency Difference]]*0.2146 + 7 &gt; Table3[[#This Row],[Scoring Margin]], 1, 0)</f>
        <v>1</v>
      </c>
      <c r="AB23" s="5">
        <f>IF(Table3[[#This Row],[Efficiency Difference]]*0.2146 + 14 &gt; Table3[[#This Row],[Scoring Margin]], 1, 0)</f>
        <v>1</v>
      </c>
      <c r="AC23" s="5">
        <f>IF(Table3[[#This Row],[Efficiency Difference]]*0.2146 + 21 &gt; Table3[[#This Row],[Scoring Margin]], 1, 0)</f>
        <v>1</v>
      </c>
      <c r="AD23" s="5">
        <f>IF(Table3[[#This Row],[Efficiency Difference]]*0.2146 -7 &gt; Table3[[#This Row],[Scoring Margin]], 1, 0)</f>
        <v>0</v>
      </c>
      <c r="AE23" s="5">
        <f>IF(Table3[[#This Row],[Efficiency Difference]]*0.2146 -3 &gt; Table3[[#This Row],[Scoring Margin]], 1, 0)</f>
        <v>0</v>
      </c>
      <c r="AF23" s="5">
        <f>IF(Table3[[#This Row],[Efficiency Difference]]*0.2146 -5 &gt; Table3[[#This Row],[Scoring Margin]], 1, 0)</f>
        <v>0</v>
      </c>
      <c r="AG23" s="5">
        <f>IF(Table3[[#This Row],[Efficiency Difference]]*0.2146 -10 &gt; Table3[[#This Row],[Scoring Margin]], 1, 0)</f>
        <v>0</v>
      </c>
    </row>
    <row r="24" spans="2:36">
      <c r="B24" s="5">
        <v>8.4300000000000068</v>
      </c>
      <c r="C24" s="5">
        <v>3</v>
      </c>
      <c r="X24" s="5">
        <v>8.4300000000000068</v>
      </c>
      <c r="Y24" s="5">
        <v>3</v>
      </c>
      <c r="Z24" s="5">
        <f>IF(Table3[[#This Row],[Efficiency Difference]]*0.2146 &gt; Table3[[#This Row],[Scoring Margin]], 1, 0)</f>
        <v>0</v>
      </c>
      <c r="AA24" s="5">
        <f>IF(Table3[[#This Row],[Efficiency Difference]]*0.2146 + 7 &gt; Table3[[#This Row],[Scoring Margin]], 1, 0)</f>
        <v>1</v>
      </c>
      <c r="AB24" s="5">
        <f>IF(Table3[[#This Row],[Efficiency Difference]]*0.2146 + 14 &gt; Table3[[#This Row],[Scoring Margin]], 1, 0)</f>
        <v>1</v>
      </c>
      <c r="AC24" s="5">
        <f>IF(Table3[[#This Row],[Efficiency Difference]]*0.2146 + 21 &gt; Table3[[#This Row],[Scoring Margin]], 1, 0)</f>
        <v>1</v>
      </c>
      <c r="AD24" s="5">
        <f>IF(Table3[[#This Row],[Efficiency Difference]]*0.2146 -7 &gt; Table3[[#This Row],[Scoring Margin]], 1, 0)</f>
        <v>0</v>
      </c>
      <c r="AE24" s="5">
        <f>IF(Table3[[#This Row],[Efficiency Difference]]*0.2146 -3 &gt; Table3[[#This Row],[Scoring Margin]], 1, 0)</f>
        <v>0</v>
      </c>
      <c r="AF24" s="5">
        <f>IF(Table3[[#This Row],[Efficiency Difference]]*0.2146 -5 &gt; Table3[[#This Row],[Scoring Margin]], 1, 0)</f>
        <v>0</v>
      </c>
      <c r="AG24" s="5">
        <f>IF(Table3[[#This Row],[Efficiency Difference]]*0.2146 -10 &gt; Table3[[#This Row],[Scoring Margin]], 1, 0)</f>
        <v>0</v>
      </c>
    </row>
    <row r="25" spans="2:36">
      <c r="B25" s="5">
        <v>8.4299999999999784</v>
      </c>
      <c r="C25" s="5">
        <v>3</v>
      </c>
      <c r="X25" s="5">
        <v>8.4299999999999784</v>
      </c>
      <c r="Y25" s="5">
        <v>3</v>
      </c>
      <c r="Z25" s="5">
        <f>IF(Table3[[#This Row],[Efficiency Difference]]*0.2146 &gt; Table3[[#This Row],[Scoring Margin]], 1, 0)</f>
        <v>0</v>
      </c>
      <c r="AA25" s="5">
        <f>IF(Table3[[#This Row],[Efficiency Difference]]*0.2146 + 7 &gt; Table3[[#This Row],[Scoring Margin]], 1, 0)</f>
        <v>1</v>
      </c>
      <c r="AB25" s="5">
        <f>IF(Table3[[#This Row],[Efficiency Difference]]*0.2146 + 14 &gt; Table3[[#This Row],[Scoring Margin]], 1, 0)</f>
        <v>1</v>
      </c>
      <c r="AC25" s="5">
        <f>IF(Table3[[#This Row],[Efficiency Difference]]*0.2146 + 21 &gt; Table3[[#This Row],[Scoring Margin]], 1, 0)</f>
        <v>1</v>
      </c>
      <c r="AD25" s="5">
        <f>IF(Table3[[#This Row],[Efficiency Difference]]*0.2146 -7 &gt; Table3[[#This Row],[Scoring Margin]], 1, 0)</f>
        <v>0</v>
      </c>
      <c r="AE25" s="5">
        <f>IF(Table3[[#This Row],[Efficiency Difference]]*0.2146 -3 &gt; Table3[[#This Row],[Scoring Margin]], 1, 0)</f>
        <v>0</v>
      </c>
      <c r="AF25" s="5">
        <f>IF(Table3[[#This Row],[Efficiency Difference]]*0.2146 -5 &gt; Table3[[#This Row],[Scoring Margin]], 1, 0)</f>
        <v>0</v>
      </c>
      <c r="AG25" s="5">
        <f>IF(Table3[[#This Row],[Efficiency Difference]]*0.2146 -10 &gt; Table3[[#This Row],[Scoring Margin]], 1, 0)</f>
        <v>0</v>
      </c>
    </row>
    <row r="26" spans="2:36">
      <c r="B26" s="5">
        <v>24.319999999999993</v>
      </c>
      <c r="C26" s="5">
        <v>14</v>
      </c>
      <c r="X26" s="5">
        <v>24.319999999999993</v>
      </c>
      <c r="Y26" s="5">
        <v>14</v>
      </c>
      <c r="Z26" s="5">
        <f>IF(Table3[[#This Row],[Efficiency Difference]]*0.2146 &gt; Table3[[#This Row],[Scoring Margin]], 1, 0)</f>
        <v>0</v>
      </c>
      <c r="AA26" s="5">
        <f>IF(Table3[[#This Row],[Efficiency Difference]]*0.2146 + 7 &gt; Table3[[#This Row],[Scoring Margin]], 1, 0)</f>
        <v>0</v>
      </c>
      <c r="AB26" s="5">
        <f>IF(Table3[[#This Row],[Efficiency Difference]]*0.2146 + 14 &gt; Table3[[#This Row],[Scoring Margin]], 1, 0)</f>
        <v>1</v>
      </c>
      <c r="AC26" s="5">
        <f>IF(Table3[[#This Row],[Efficiency Difference]]*0.2146 + 21 &gt; Table3[[#This Row],[Scoring Margin]], 1, 0)</f>
        <v>1</v>
      </c>
      <c r="AD26" s="5">
        <f>IF(Table3[[#This Row],[Efficiency Difference]]*0.2146 -7 &gt; Table3[[#This Row],[Scoring Margin]], 1, 0)</f>
        <v>0</v>
      </c>
      <c r="AE26" s="5">
        <f>IF(Table3[[#This Row],[Efficiency Difference]]*0.2146 -3 &gt; Table3[[#This Row],[Scoring Margin]], 1, 0)</f>
        <v>0</v>
      </c>
      <c r="AF26" s="5">
        <f>IF(Table3[[#This Row],[Efficiency Difference]]*0.2146 -5 &gt; Table3[[#This Row],[Scoring Margin]], 1, 0)</f>
        <v>0</v>
      </c>
      <c r="AG26" s="5">
        <f>IF(Table3[[#This Row],[Efficiency Difference]]*0.2146 -10 &gt; Table3[[#This Row],[Scoring Margin]], 1, 0)</f>
        <v>0</v>
      </c>
    </row>
    <row r="27" spans="2:36">
      <c r="B27" s="5">
        <v>24.319999999999993</v>
      </c>
      <c r="C27" s="5">
        <v>14</v>
      </c>
      <c r="X27" s="5">
        <v>24.319999999999993</v>
      </c>
      <c r="Y27" s="5">
        <v>14</v>
      </c>
      <c r="Z27" s="5">
        <f>IF(Table3[[#This Row],[Efficiency Difference]]*0.2146 &gt; Table3[[#This Row],[Scoring Margin]], 1, 0)</f>
        <v>0</v>
      </c>
      <c r="AA27" s="5">
        <f>IF(Table3[[#This Row],[Efficiency Difference]]*0.2146 + 7 &gt; Table3[[#This Row],[Scoring Margin]], 1, 0)</f>
        <v>0</v>
      </c>
      <c r="AB27" s="5">
        <f>IF(Table3[[#This Row],[Efficiency Difference]]*0.2146 + 14 &gt; Table3[[#This Row],[Scoring Margin]], 1, 0)</f>
        <v>1</v>
      </c>
      <c r="AC27" s="5">
        <f>IF(Table3[[#This Row],[Efficiency Difference]]*0.2146 + 21 &gt; Table3[[#This Row],[Scoring Margin]], 1, 0)</f>
        <v>1</v>
      </c>
      <c r="AD27" s="5">
        <f>IF(Table3[[#This Row],[Efficiency Difference]]*0.2146 -7 &gt; Table3[[#This Row],[Scoring Margin]], 1, 0)</f>
        <v>0</v>
      </c>
      <c r="AE27" s="5">
        <f>IF(Table3[[#This Row],[Efficiency Difference]]*0.2146 -3 &gt; Table3[[#This Row],[Scoring Margin]], 1, 0)</f>
        <v>0</v>
      </c>
      <c r="AF27" s="5">
        <f>IF(Table3[[#This Row],[Efficiency Difference]]*0.2146 -5 &gt; Table3[[#This Row],[Scoring Margin]], 1, 0)</f>
        <v>0</v>
      </c>
      <c r="AG27" s="5">
        <f>IF(Table3[[#This Row],[Efficiency Difference]]*0.2146 -10 &gt; Table3[[#This Row],[Scoring Margin]], 1, 0)</f>
        <v>0</v>
      </c>
    </row>
    <row r="28" spans="2:36">
      <c r="B28" s="5">
        <v>70.770000000000039</v>
      </c>
      <c r="C28" s="5">
        <v>13</v>
      </c>
      <c r="X28" s="5">
        <v>70.770000000000039</v>
      </c>
      <c r="Y28" s="5">
        <v>13</v>
      </c>
      <c r="Z28" s="5">
        <f>IF(Table3[[#This Row],[Efficiency Difference]]*0.2146 &gt; Table3[[#This Row],[Scoring Margin]], 1, 0)</f>
        <v>1</v>
      </c>
      <c r="AA28" s="5">
        <f>IF(Table3[[#This Row],[Efficiency Difference]]*0.2146 + 7 &gt; Table3[[#This Row],[Scoring Margin]], 1, 0)</f>
        <v>1</v>
      </c>
      <c r="AB28" s="5">
        <f>IF(Table3[[#This Row],[Efficiency Difference]]*0.2146 + 14 &gt; Table3[[#This Row],[Scoring Margin]], 1, 0)</f>
        <v>1</v>
      </c>
      <c r="AC28" s="5">
        <f>IF(Table3[[#This Row],[Efficiency Difference]]*0.2146 + 21 &gt; Table3[[#This Row],[Scoring Margin]], 1, 0)</f>
        <v>1</v>
      </c>
      <c r="AD28" s="5">
        <f>IF(Table3[[#This Row],[Efficiency Difference]]*0.2146 -7 &gt; Table3[[#This Row],[Scoring Margin]], 1, 0)</f>
        <v>0</v>
      </c>
      <c r="AE28" s="5">
        <f>IF(Table3[[#This Row],[Efficiency Difference]]*0.2146 -3 &gt; Table3[[#This Row],[Scoring Margin]], 1, 0)</f>
        <v>0</v>
      </c>
      <c r="AF28" s="5">
        <f>IF(Table3[[#This Row],[Efficiency Difference]]*0.2146 -5 &gt; Table3[[#This Row],[Scoring Margin]], 1, 0)</f>
        <v>0</v>
      </c>
      <c r="AG28" s="5">
        <f>IF(Table3[[#This Row],[Efficiency Difference]]*0.2146 -10 &gt; Table3[[#This Row],[Scoring Margin]], 1, 0)</f>
        <v>0</v>
      </c>
    </row>
    <row r="29" spans="2:36">
      <c r="B29" s="5">
        <v>70.77000000000001</v>
      </c>
      <c r="C29" s="5">
        <v>13</v>
      </c>
      <c r="X29" s="5">
        <v>70.77000000000001</v>
      </c>
      <c r="Y29" s="5">
        <v>13</v>
      </c>
      <c r="Z29" s="5">
        <f>IF(Table3[[#This Row],[Efficiency Difference]]*0.2146 &gt; Table3[[#This Row],[Scoring Margin]], 1, 0)</f>
        <v>1</v>
      </c>
      <c r="AA29" s="5">
        <f>IF(Table3[[#This Row],[Efficiency Difference]]*0.2146 + 7 &gt; Table3[[#This Row],[Scoring Margin]], 1, 0)</f>
        <v>1</v>
      </c>
      <c r="AB29" s="5">
        <f>IF(Table3[[#This Row],[Efficiency Difference]]*0.2146 + 14 &gt; Table3[[#This Row],[Scoring Margin]], 1, 0)</f>
        <v>1</v>
      </c>
      <c r="AC29" s="5">
        <f>IF(Table3[[#This Row],[Efficiency Difference]]*0.2146 + 21 &gt; Table3[[#This Row],[Scoring Margin]], 1, 0)</f>
        <v>1</v>
      </c>
      <c r="AD29" s="5">
        <f>IF(Table3[[#This Row],[Efficiency Difference]]*0.2146 -7 &gt; Table3[[#This Row],[Scoring Margin]], 1, 0)</f>
        <v>0</v>
      </c>
      <c r="AE29" s="5">
        <f>IF(Table3[[#This Row],[Efficiency Difference]]*0.2146 -3 &gt; Table3[[#This Row],[Scoring Margin]], 1, 0)</f>
        <v>0</v>
      </c>
      <c r="AF29" s="5">
        <f>IF(Table3[[#This Row],[Efficiency Difference]]*0.2146 -5 &gt; Table3[[#This Row],[Scoring Margin]], 1, 0)</f>
        <v>0</v>
      </c>
      <c r="AG29" s="5">
        <f>IF(Table3[[#This Row],[Efficiency Difference]]*0.2146 -10 &gt; Table3[[#This Row],[Scoring Margin]], 1, 0)</f>
        <v>0</v>
      </c>
    </row>
    <row r="30" spans="2:36">
      <c r="B30" s="5">
        <v>65.490000000000009</v>
      </c>
      <c r="C30" s="5">
        <v>29</v>
      </c>
      <c r="X30" s="5">
        <v>65.490000000000009</v>
      </c>
      <c r="Y30" s="5">
        <v>29</v>
      </c>
      <c r="Z30" s="5">
        <f>IF(Table3[[#This Row],[Efficiency Difference]]*0.2146 &gt; Table3[[#This Row],[Scoring Margin]], 1, 0)</f>
        <v>0</v>
      </c>
      <c r="AA30" s="5">
        <f>IF(Table3[[#This Row],[Efficiency Difference]]*0.2146 + 7 &gt; Table3[[#This Row],[Scoring Margin]], 1, 0)</f>
        <v>0</v>
      </c>
      <c r="AB30" s="5">
        <f>IF(Table3[[#This Row],[Efficiency Difference]]*0.2146 + 14 &gt; Table3[[#This Row],[Scoring Margin]], 1, 0)</f>
        <v>0</v>
      </c>
      <c r="AC30" s="5">
        <f>IF(Table3[[#This Row],[Efficiency Difference]]*0.2146 + 21 &gt; Table3[[#This Row],[Scoring Margin]], 1, 0)</f>
        <v>1</v>
      </c>
      <c r="AD30" s="5">
        <f>IF(Table3[[#This Row],[Efficiency Difference]]*0.2146 -7 &gt; Table3[[#This Row],[Scoring Margin]], 1, 0)</f>
        <v>0</v>
      </c>
      <c r="AE30" s="5">
        <f>IF(Table3[[#This Row],[Efficiency Difference]]*0.2146 -3 &gt; Table3[[#This Row],[Scoring Margin]], 1, 0)</f>
        <v>0</v>
      </c>
      <c r="AF30" s="5">
        <f>IF(Table3[[#This Row],[Efficiency Difference]]*0.2146 -5 &gt; Table3[[#This Row],[Scoring Margin]], 1, 0)</f>
        <v>0</v>
      </c>
      <c r="AG30" s="5">
        <f>IF(Table3[[#This Row],[Efficiency Difference]]*0.2146 -10 &gt; Table3[[#This Row],[Scoring Margin]], 1, 0)</f>
        <v>0</v>
      </c>
    </row>
    <row r="31" spans="2:36">
      <c r="B31" s="5">
        <v>65.489999999999995</v>
      </c>
      <c r="C31" s="5">
        <v>29</v>
      </c>
      <c r="X31" s="5">
        <v>65.489999999999995</v>
      </c>
      <c r="Y31" s="5">
        <v>29</v>
      </c>
      <c r="Z31" s="5">
        <f>IF(Table3[[#This Row],[Efficiency Difference]]*0.2146 &gt; Table3[[#This Row],[Scoring Margin]], 1, 0)</f>
        <v>0</v>
      </c>
      <c r="AA31" s="5">
        <f>IF(Table3[[#This Row],[Efficiency Difference]]*0.2146 + 7 &gt; Table3[[#This Row],[Scoring Margin]], 1, 0)</f>
        <v>0</v>
      </c>
      <c r="AB31" s="5">
        <f>IF(Table3[[#This Row],[Efficiency Difference]]*0.2146 + 14 &gt; Table3[[#This Row],[Scoring Margin]], 1, 0)</f>
        <v>0</v>
      </c>
      <c r="AC31" s="5">
        <f>IF(Table3[[#This Row],[Efficiency Difference]]*0.2146 + 21 &gt; Table3[[#This Row],[Scoring Margin]], 1, 0)</f>
        <v>1</v>
      </c>
      <c r="AD31" s="5">
        <f>IF(Table3[[#This Row],[Efficiency Difference]]*0.2146 -7 &gt; Table3[[#This Row],[Scoring Margin]], 1, 0)</f>
        <v>0</v>
      </c>
      <c r="AE31" s="5">
        <f>IF(Table3[[#This Row],[Efficiency Difference]]*0.2146 -3 &gt; Table3[[#This Row],[Scoring Margin]], 1, 0)</f>
        <v>0</v>
      </c>
      <c r="AF31" s="5">
        <f>IF(Table3[[#This Row],[Efficiency Difference]]*0.2146 -5 &gt; Table3[[#This Row],[Scoring Margin]], 1, 0)</f>
        <v>0</v>
      </c>
      <c r="AG31" s="5">
        <f>IF(Table3[[#This Row],[Efficiency Difference]]*0.2146 -10 &gt; Table3[[#This Row],[Scoring Margin]], 1, 0)</f>
        <v>0</v>
      </c>
    </row>
    <row r="32" spans="2:36">
      <c r="B32" s="5">
        <v>31.429999999999978</v>
      </c>
      <c r="C32" s="5">
        <v>1</v>
      </c>
      <c r="X32" s="5">
        <v>31.429999999999978</v>
      </c>
      <c r="Y32" s="5">
        <v>1</v>
      </c>
      <c r="Z32" s="5">
        <f>IF(Table3[[#This Row],[Efficiency Difference]]*0.2146 &gt; Table3[[#This Row],[Scoring Margin]], 1, 0)</f>
        <v>1</v>
      </c>
      <c r="AA32" s="5">
        <f>IF(Table3[[#This Row],[Efficiency Difference]]*0.2146 + 7 &gt; Table3[[#This Row],[Scoring Margin]], 1, 0)</f>
        <v>1</v>
      </c>
      <c r="AB32" s="5">
        <f>IF(Table3[[#This Row],[Efficiency Difference]]*0.2146 + 14 &gt; Table3[[#This Row],[Scoring Margin]], 1, 0)</f>
        <v>1</v>
      </c>
      <c r="AC32" s="5">
        <f>IF(Table3[[#This Row],[Efficiency Difference]]*0.2146 + 21 &gt; Table3[[#This Row],[Scoring Margin]], 1, 0)</f>
        <v>1</v>
      </c>
      <c r="AD32" s="5">
        <f>IF(Table3[[#This Row],[Efficiency Difference]]*0.2146 -7 &gt; Table3[[#This Row],[Scoring Margin]], 1, 0)</f>
        <v>0</v>
      </c>
      <c r="AE32" s="5">
        <f>IF(Table3[[#This Row],[Efficiency Difference]]*0.2146 -3 &gt; Table3[[#This Row],[Scoring Margin]], 1, 0)</f>
        <v>1</v>
      </c>
      <c r="AF32" s="5">
        <f>IF(Table3[[#This Row],[Efficiency Difference]]*0.2146 -5 &gt; Table3[[#This Row],[Scoring Margin]], 1, 0)</f>
        <v>1</v>
      </c>
      <c r="AG32" s="5">
        <f>IF(Table3[[#This Row],[Efficiency Difference]]*0.2146 -10 &gt; Table3[[#This Row],[Scoring Margin]], 1, 0)</f>
        <v>0</v>
      </c>
    </row>
    <row r="33" spans="2:33">
      <c r="B33" s="5">
        <v>31.429999999999978</v>
      </c>
      <c r="C33" s="5">
        <v>1</v>
      </c>
      <c r="X33" s="5">
        <v>31.429999999999978</v>
      </c>
      <c r="Y33" s="5">
        <v>1</v>
      </c>
      <c r="Z33" s="5">
        <f>IF(Table3[[#This Row],[Efficiency Difference]]*0.2146 &gt; Table3[[#This Row],[Scoring Margin]], 1, 0)</f>
        <v>1</v>
      </c>
      <c r="AA33" s="5">
        <f>IF(Table3[[#This Row],[Efficiency Difference]]*0.2146 + 7 &gt; Table3[[#This Row],[Scoring Margin]], 1, 0)</f>
        <v>1</v>
      </c>
      <c r="AB33" s="5">
        <f>IF(Table3[[#This Row],[Efficiency Difference]]*0.2146 + 14 &gt; Table3[[#This Row],[Scoring Margin]], 1, 0)</f>
        <v>1</v>
      </c>
      <c r="AC33" s="5">
        <f>IF(Table3[[#This Row],[Efficiency Difference]]*0.2146 + 21 &gt; Table3[[#This Row],[Scoring Margin]], 1, 0)</f>
        <v>1</v>
      </c>
      <c r="AD33" s="5">
        <f>IF(Table3[[#This Row],[Efficiency Difference]]*0.2146 -7 &gt; Table3[[#This Row],[Scoring Margin]], 1, 0)</f>
        <v>0</v>
      </c>
      <c r="AE33" s="5">
        <f>IF(Table3[[#This Row],[Efficiency Difference]]*0.2146 -3 &gt; Table3[[#This Row],[Scoring Margin]], 1, 0)</f>
        <v>1</v>
      </c>
      <c r="AF33" s="5">
        <f>IF(Table3[[#This Row],[Efficiency Difference]]*0.2146 -5 &gt; Table3[[#This Row],[Scoring Margin]], 1, 0)</f>
        <v>1</v>
      </c>
      <c r="AG33" s="5">
        <f>IF(Table3[[#This Row],[Efficiency Difference]]*0.2146 -10 &gt; Table3[[#This Row],[Scoring Margin]], 1, 0)</f>
        <v>0</v>
      </c>
    </row>
    <row r="34" spans="2:33">
      <c r="B34" s="5">
        <v>93.419999999999959</v>
      </c>
      <c r="C34" s="5">
        <v>3</v>
      </c>
      <c r="X34" s="5">
        <v>93.419999999999959</v>
      </c>
      <c r="Y34" s="5">
        <v>3</v>
      </c>
      <c r="Z34" s="5">
        <f>IF(Table3[[#This Row],[Efficiency Difference]]*0.2146 &gt; Table3[[#This Row],[Scoring Margin]], 1, 0)</f>
        <v>1</v>
      </c>
      <c r="AA34" s="5">
        <f>IF(Table3[[#This Row],[Efficiency Difference]]*0.2146 + 7 &gt; Table3[[#This Row],[Scoring Margin]], 1, 0)</f>
        <v>1</v>
      </c>
      <c r="AB34" s="5">
        <f>IF(Table3[[#This Row],[Efficiency Difference]]*0.2146 + 14 &gt; Table3[[#This Row],[Scoring Margin]], 1, 0)</f>
        <v>1</v>
      </c>
      <c r="AC34" s="5">
        <f>IF(Table3[[#This Row],[Efficiency Difference]]*0.2146 + 21 &gt; Table3[[#This Row],[Scoring Margin]], 1, 0)</f>
        <v>1</v>
      </c>
      <c r="AD34" s="5">
        <f>IF(Table3[[#This Row],[Efficiency Difference]]*0.2146 -7 &gt; Table3[[#This Row],[Scoring Margin]], 1, 0)</f>
        <v>1</v>
      </c>
      <c r="AE34" s="5">
        <f>IF(Table3[[#This Row],[Efficiency Difference]]*0.2146 -3 &gt; Table3[[#This Row],[Scoring Margin]], 1, 0)</f>
        <v>1</v>
      </c>
      <c r="AF34" s="5">
        <f>IF(Table3[[#This Row],[Efficiency Difference]]*0.2146 -5 &gt; Table3[[#This Row],[Scoring Margin]], 1, 0)</f>
        <v>1</v>
      </c>
      <c r="AG34" s="5">
        <f>IF(Table3[[#This Row],[Efficiency Difference]]*0.2146 -10 &gt; Table3[[#This Row],[Scoring Margin]], 1, 0)</f>
        <v>1</v>
      </c>
    </row>
    <row r="35" spans="2:33">
      <c r="B35" s="5">
        <v>93.419999999999959</v>
      </c>
      <c r="C35" s="5">
        <v>3</v>
      </c>
      <c r="X35" s="5">
        <v>93.419999999999959</v>
      </c>
      <c r="Y35" s="5">
        <v>3</v>
      </c>
      <c r="Z35" s="5">
        <f>IF(Table3[[#This Row],[Efficiency Difference]]*0.2146 &gt; Table3[[#This Row],[Scoring Margin]], 1, 0)</f>
        <v>1</v>
      </c>
      <c r="AA35" s="5">
        <f>IF(Table3[[#This Row],[Efficiency Difference]]*0.2146 + 7 &gt; Table3[[#This Row],[Scoring Margin]], 1, 0)</f>
        <v>1</v>
      </c>
      <c r="AB35" s="5">
        <f>IF(Table3[[#This Row],[Efficiency Difference]]*0.2146 + 14 &gt; Table3[[#This Row],[Scoring Margin]], 1, 0)</f>
        <v>1</v>
      </c>
      <c r="AC35" s="5">
        <f>IF(Table3[[#This Row],[Efficiency Difference]]*0.2146 + 21 &gt; Table3[[#This Row],[Scoring Margin]], 1, 0)</f>
        <v>1</v>
      </c>
      <c r="AD35" s="5">
        <f>IF(Table3[[#This Row],[Efficiency Difference]]*0.2146 -7 &gt; Table3[[#This Row],[Scoring Margin]], 1, 0)</f>
        <v>1</v>
      </c>
      <c r="AE35" s="5">
        <f>IF(Table3[[#This Row],[Efficiency Difference]]*0.2146 -3 &gt; Table3[[#This Row],[Scoring Margin]], 1, 0)</f>
        <v>1</v>
      </c>
      <c r="AF35" s="5">
        <f>IF(Table3[[#This Row],[Efficiency Difference]]*0.2146 -5 &gt; Table3[[#This Row],[Scoring Margin]], 1, 0)</f>
        <v>1</v>
      </c>
      <c r="AG35" s="5">
        <f>IF(Table3[[#This Row],[Efficiency Difference]]*0.2146 -10 &gt; Table3[[#This Row],[Scoring Margin]], 1, 0)</f>
        <v>1</v>
      </c>
    </row>
    <row r="36" spans="2:33">
      <c r="B36" s="5">
        <v>21.29000000000002</v>
      </c>
      <c r="C36" s="5">
        <v>4</v>
      </c>
      <c r="X36" s="5">
        <v>21.29000000000002</v>
      </c>
      <c r="Y36" s="5">
        <v>4</v>
      </c>
      <c r="Z36" s="5">
        <f>IF(Table3[[#This Row],[Efficiency Difference]]*0.2146 &gt; Table3[[#This Row],[Scoring Margin]], 1, 0)</f>
        <v>1</v>
      </c>
      <c r="AA36" s="5">
        <f>IF(Table3[[#This Row],[Efficiency Difference]]*0.2146 + 7 &gt; Table3[[#This Row],[Scoring Margin]], 1, 0)</f>
        <v>1</v>
      </c>
      <c r="AB36" s="5">
        <f>IF(Table3[[#This Row],[Efficiency Difference]]*0.2146 + 14 &gt; Table3[[#This Row],[Scoring Margin]], 1, 0)</f>
        <v>1</v>
      </c>
      <c r="AC36" s="5">
        <f>IF(Table3[[#This Row],[Efficiency Difference]]*0.2146 + 21 &gt; Table3[[#This Row],[Scoring Margin]], 1, 0)</f>
        <v>1</v>
      </c>
      <c r="AD36" s="5">
        <f>IF(Table3[[#This Row],[Efficiency Difference]]*0.2146 -7 &gt; Table3[[#This Row],[Scoring Margin]], 1, 0)</f>
        <v>0</v>
      </c>
      <c r="AE36" s="5">
        <f>IF(Table3[[#This Row],[Efficiency Difference]]*0.2146 -3 &gt; Table3[[#This Row],[Scoring Margin]], 1, 0)</f>
        <v>0</v>
      </c>
      <c r="AF36" s="5">
        <f>IF(Table3[[#This Row],[Efficiency Difference]]*0.2146 -5 &gt; Table3[[#This Row],[Scoring Margin]], 1, 0)</f>
        <v>0</v>
      </c>
      <c r="AG36" s="5">
        <f>IF(Table3[[#This Row],[Efficiency Difference]]*0.2146 -10 &gt; Table3[[#This Row],[Scoring Margin]], 1, 0)</f>
        <v>0</v>
      </c>
    </row>
    <row r="37" spans="2:33">
      <c r="B37" s="5">
        <v>21.29000000000002</v>
      </c>
      <c r="C37" s="5">
        <v>4</v>
      </c>
      <c r="X37" s="5">
        <v>21.29000000000002</v>
      </c>
      <c r="Y37" s="5">
        <v>4</v>
      </c>
      <c r="Z37" s="5">
        <f>IF(Table3[[#This Row],[Efficiency Difference]]*0.2146 &gt; Table3[[#This Row],[Scoring Margin]], 1, 0)</f>
        <v>1</v>
      </c>
      <c r="AA37" s="5">
        <f>IF(Table3[[#This Row],[Efficiency Difference]]*0.2146 + 7 &gt; Table3[[#This Row],[Scoring Margin]], 1, 0)</f>
        <v>1</v>
      </c>
      <c r="AB37" s="5">
        <f>IF(Table3[[#This Row],[Efficiency Difference]]*0.2146 + 14 &gt; Table3[[#This Row],[Scoring Margin]], 1, 0)</f>
        <v>1</v>
      </c>
      <c r="AC37" s="5">
        <f>IF(Table3[[#This Row],[Efficiency Difference]]*0.2146 + 21 &gt; Table3[[#This Row],[Scoring Margin]], 1, 0)</f>
        <v>1</v>
      </c>
      <c r="AD37" s="5">
        <f>IF(Table3[[#This Row],[Efficiency Difference]]*0.2146 -7 &gt; Table3[[#This Row],[Scoring Margin]], 1, 0)</f>
        <v>0</v>
      </c>
      <c r="AE37" s="5">
        <f>IF(Table3[[#This Row],[Efficiency Difference]]*0.2146 -3 &gt; Table3[[#This Row],[Scoring Margin]], 1, 0)</f>
        <v>0</v>
      </c>
      <c r="AF37" s="5">
        <f>IF(Table3[[#This Row],[Efficiency Difference]]*0.2146 -5 &gt; Table3[[#This Row],[Scoring Margin]], 1, 0)</f>
        <v>0</v>
      </c>
      <c r="AG37" s="5">
        <f>IF(Table3[[#This Row],[Efficiency Difference]]*0.2146 -10 &gt; Table3[[#This Row],[Scoring Margin]], 1, 0)</f>
        <v>0</v>
      </c>
    </row>
    <row r="38" spans="2:33">
      <c r="B38" s="5">
        <v>93.049999999999955</v>
      </c>
      <c r="C38" s="5">
        <v>7</v>
      </c>
      <c r="X38" s="5">
        <v>93.049999999999955</v>
      </c>
      <c r="Y38" s="5">
        <v>7</v>
      </c>
      <c r="Z38" s="5">
        <f>IF(Table3[[#This Row],[Efficiency Difference]]*0.2146 &gt; Table3[[#This Row],[Scoring Margin]], 1, 0)</f>
        <v>1</v>
      </c>
      <c r="AA38" s="5">
        <f>IF(Table3[[#This Row],[Efficiency Difference]]*0.2146 + 7 &gt; Table3[[#This Row],[Scoring Margin]], 1, 0)</f>
        <v>1</v>
      </c>
      <c r="AB38" s="5">
        <f>IF(Table3[[#This Row],[Efficiency Difference]]*0.2146 + 14 &gt; Table3[[#This Row],[Scoring Margin]], 1, 0)</f>
        <v>1</v>
      </c>
      <c r="AC38" s="5">
        <f>IF(Table3[[#This Row],[Efficiency Difference]]*0.2146 + 21 &gt; Table3[[#This Row],[Scoring Margin]], 1, 0)</f>
        <v>1</v>
      </c>
      <c r="AD38" s="5">
        <f>IF(Table3[[#This Row],[Efficiency Difference]]*0.2146 -7 &gt; Table3[[#This Row],[Scoring Margin]], 1, 0)</f>
        <v>1</v>
      </c>
      <c r="AE38" s="5">
        <f>IF(Table3[[#This Row],[Efficiency Difference]]*0.2146 -3 &gt; Table3[[#This Row],[Scoring Margin]], 1, 0)</f>
        <v>1</v>
      </c>
      <c r="AF38" s="5">
        <f>IF(Table3[[#This Row],[Efficiency Difference]]*0.2146 -5 &gt; Table3[[#This Row],[Scoring Margin]], 1, 0)</f>
        <v>1</v>
      </c>
      <c r="AG38" s="5">
        <f>IF(Table3[[#This Row],[Efficiency Difference]]*0.2146 -10 &gt; Table3[[#This Row],[Scoring Margin]], 1, 0)</f>
        <v>1</v>
      </c>
    </row>
    <row r="39" spans="2:33">
      <c r="B39" s="5">
        <v>93.049999999999955</v>
      </c>
      <c r="C39" s="5">
        <v>7</v>
      </c>
      <c r="X39" s="5">
        <v>93.049999999999955</v>
      </c>
      <c r="Y39" s="5">
        <v>7</v>
      </c>
      <c r="Z39" s="5">
        <f>IF(Table3[[#This Row],[Efficiency Difference]]*0.2146 &gt; Table3[[#This Row],[Scoring Margin]], 1, 0)</f>
        <v>1</v>
      </c>
      <c r="AA39" s="5">
        <f>IF(Table3[[#This Row],[Efficiency Difference]]*0.2146 + 7 &gt; Table3[[#This Row],[Scoring Margin]], 1, 0)</f>
        <v>1</v>
      </c>
      <c r="AB39" s="5">
        <f>IF(Table3[[#This Row],[Efficiency Difference]]*0.2146 + 14 &gt; Table3[[#This Row],[Scoring Margin]], 1, 0)</f>
        <v>1</v>
      </c>
      <c r="AC39" s="5">
        <f>IF(Table3[[#This Row],[Efficiency Difference]]*0.2146 + 21 &gt; Table3[[#This Row],[Scoring Margin]], 1, 0)</f>
        <v>1</v>
      </c>
      <c r="AD39" s="5">
        <f>IF(Table3[[#This Row],[Efficiency Difference]]*0.2146 -7 &gt; Table3[[#This Row],[Scoring Margin]], 1, 0)</f>
        <v>1</v>
      </c>
      <c r="AE39" s="5">
        <f>IF(Table3[[#This Row],[Efficiency Difference]]*0.2146 -3 &gt; Table3[[#This Row],[Scoring Margin]], 1, 0)</f>
        <v>1</v>
      </c>
      <c r="AF39" s="5">
        <f>IF(Table3[[#This Row],[Efficiency Difference]]*0.2146 -5 &gt; Table3[[#This Row],[Scoring Margin]], 1, 0)</f>
        <v>1</v>
      </c>
      <c r="AG39" s="5">
        <f>IF(Table3[[#This Row],[Efficiency Difference]]*0.2146 -10 &gt; Table3[[#This Row],[Scoring Margin]], 1, 0)</f>
        <v>1</v>
      </c>
    </row>
    <row r="40" spans="2:33">
      <c r="B40" s="5">
        <v>22.310000000000002</v>
      </c>
      <c r="C40" s="5">
        <v>8</v>
      </c>
      <c r="X40" s="5">
        <v>22.310000000000002</v>
      </c>
      <c r="Y40" s="5">
        <v>8</v>
      </c>
      <c r="Z40" s="5">
        <f>IF(Table3[[#This Row],[Efficiency Difference]]*0.2146 &gt; Table3[[#This Row],[Scoring Margin]], 1, 0)</f>
        <v>0</v>
      </c>
      <c r="AA40" s="5">
        <f>IF(Table3[[#This Row],[Efficiency Difference]]*0.2146 + 7 &gt; Table3[[#This Row],[Scoring Margin]], 1, 0)</f>
        <v>1</v>
      </c>
      <c r="AB40" s="5">
        <f>IF(Table3[[#This Row],[Efficiency Difference]]*0.2146 + 14 &gt; Table3[[#This Row],[Scoring Margin]], 1, 0)</f>
        <v>1</v>
      </c>
      <c r="AC40" s="5">
        <f>IF(Table3[[#This Row],[Efficiency Difference]]*0.2146 + 21 &gt; Table3[[#This Row],[Scoring Margin]], 1, 0)</f>
        <v>1</v>
      </c>
      <c r="AD40" s="5">
        <f>IF(Table3[[#This Row],[Efficiency Difference]]*0.2146 -7 &gt; Table3[[#This Row],[Scoring Margin]], 1, 0)</f>
        <v>0</v>
      </c>
      <c r="AE40" s="5">
        <f>IF(Table3[[#This Row],[Efficiency Difference]]*0.2146 -3 &gt; Table3[[#This Row],[Scoring Margin]], 1, 0)</f>
        <v>0</v>
      </c>
      <c r="AF40" s="5">
        <f>IF(Table3[[#This Row],[Efficiency Difference]]*0.2146 -5 &gt; Table3[[#This Row],[Scoring Margin]], 1, 0)</f>
        <v>0</v>
      </c>
      <c r="AG40" s="5">
        <f>IF(Table3[[#This Row],[Efficiency Difference]]*0.2146 -10 &gt; Table3[[#This Row],[Scoring Margin]], 1, 0)</f>
        <v>0</v>
      </c>
    </row>
    <row r="41" spans="2:33">
      <c r="B41" s="5">
        <v>22.309999999999974</v>
      </c>
      <c r="C41" s="5">
        <v>8</v>
      </c>
      <c r="X41" s="5">
        <v>22.309999999999974</v>
      </c>
      <c r="Y41" s="5">
        <v>8</v>
      </c>
      <c r="Z41" s="5">
        <f>IF(Table3[[#This Row],[Efficiency Difference]]*0.2146 &gt; Table3[[#This Row],[Scoring Margin]], 1, 0)</f>
        <v>0</v>
      </c>
      <c r="AA41" s="5">
        <f>IF(Table3[[#This Row],[Efficiency Difference]]*0.2146 + 7 &gt; Table3[[#This Row],[Scoring Margin]], 1, 0)</f>
        <v>1</v>
      </c>
      <c r="AB41" s="5">
        <f>IF(Table3[[#This Row],[Efficiency Difference]]*0.2146 + 14 &gt; Table3[[#This Row],[Scoring Margin]], 1, 0)</f>
        <v>1</v>
      </c>
      <c r="AC41" s="5">
        <f>IF(Table3[[#This Row],[Efficiency Difference]]*0.2146 + 21 &gt; Table3[[#This Row],[Scoring Margin]], 1, 0)</f>
        <v>1</v>
      </c>
      <c r="AD41" s="5">
        <f>IF(Table3[[#This Row],[Efficiency Difference]]*0.2146 -7 &gt; Table3[[#This Row],[Scoring Margin]], 1, 0)</f>
        <v>0</v>
      </c>
      <c r="AE41" s="5">
        <f>IF(Table3[[#This Row],[Efficiency Difference]]*0.2146 -3 &gt; Table3[[#This Row],[Scoring Margin]], 1, 0)</f>
        <v>0</v>
      </c>
      <c r="AF41" s="5">
        <f>IF(Table3[[#This Row],[Efficiency Difference]]*0.2146 -5 &gt; Table3[[#This Row],[Scoring Margin]], 1, 0)</f>
        <v>0</v>
      </c>
      <c r="AG41" s="5">
        <f>IF(Table3[[#This Row],[Efficiency Difference]]*0.2146 -10 &gt; Table3[[#This Row],[Scoring Margin]], 1, 0)</f>
        <v>0</v>
      </c>
    </row>
    <row r="42" spans="2:33">
      <c r="B42" s="5">
        <v>46.860000000000014</v>
      </c>
      <c r="C42" s="5">
        <v>45</v>
      </c>
      <c r="X42" s="5">
        <v>46.860000000000014</v>
      </c>
      <c r="Y42" s="5">
        <v>45</v>
      </c>
      <c r="Z42" s="5">
        <f>IF(Table3[[#This Row],[Efficiency Difference]]*0.2146 &gt; Table3[[#This Row],[Scoring Margin]], 1, 0)</f>
        <v>0</v>
      </c>
      <c r="AA42" s="5">
        <f>IF(Table3[[#This Row],[Efficiency Difference]]*0.2146 + 7 &gt; Table3[[#This Row],[Scoring Margin]], 1, 0)</f>
        <v>0</v>
      </c>
      <c r="AB42" s="5">
        <f>IF(Table3[[#This Row],[Efficiency Difference]]*0.2146 + 14 &gt; Table3[[#This Row],[Scoring Margin]], 1, 0)</f>
        <v>0</v>
      </c>
      <c r="AC42" s="5">
        <f>IF(Table3[[#This Row],[Efficiency Difference]]*0.2146 + 21 &gt; Table3[[#This Row],[Scoring Margin]], 1, 0)</f>
        <v>0</v>
      </c>
      <c r="AD42" s="5">
        <f>IF(Table3[[#This Row],[Efficiency Difference]]*0.2146 -7 &gt; Table3[[#This Row],[Scoring Margin]], 1, 0)</f>
        <v>0</v>
      </c>
      <c r="AE42" s="5">
        <f>IF(Table3[[#This Row],[Efficiency Difference]]*0.2146 -3 &gt; Table3[[#This Row],[Scoring Margin]], 1, 0)</f>
        <v>0</v>
      </c>
      <c r="AF42" s="5">
        <f>IF(Table3[[#This Row],[Efficiency Difference]]*0.2146 -5 &gt; Table3[[#This Row],[Scoring Margin]], 1, 0)</f>
        <v>0</v>
      </c>
      <c r="AG42" s="5">
        <f>IF(Table3[[#This Row],[Efficiency Difference]]*0.2146 -10 &gt; Table3[[#This Row],[Scoring Margin]], 1, 0)</f>
        <v>0</v>
      </c>
    </row>
    <row r="43" spans="2:33">
      <c r="B43" s="5">
        <v>46.859999999999985</v>
      </c>
      <c r="C43" s="5">
        <v>45</v>
      </c>
      <c r="X43" s="5">
        <v>46.859999999999985</v>
      </c>
      <c r="Y43" s="5">
        <v>45</v>
      </c>
      <c r="Z43" s="5">
        <f>IF(Table3[[#This Row],[Efficiency Difference]]*0.2146 &gt; Table3[[#This Row],[Scoring Margin]], 1, 0)</f>
        <v>0</v>
      </c>
      <c r="AA43" s="5">
        <f>IF(Table3[[#This Row],[Efficiency Difference]]*0.2146 + 7 &gt; Table3[[#This Row],[Scoring Margin]], 1, 0)</f>
        <v>0</v>
      </c>
      <c r="AB43" s="5">
        <f>IF(Table3[[#This Row],[Efficiency Difference]]*0.2146 + 14 &gt; Table3[[#This Row],[Scoring Margin]], 1, 0)</f>
        <v>0</v>
      </c>
      <c r="AC43" s="5">
        <f>IF(Table3[[#This Row],[Efficiency Difference]]*0.2146 + 21 &gt; Table3[[#This Row],[Scoring Margin]], 1, 0)</f>
        <v>0</v>
      </c>
      <c r="AD43" s="5">
        <f>IF(Table3[[#This Row],[Efficiency Difference]]*0.2146 -7 &gt; Table3[[#This Row],[Scoring Margin]], 1, 0)</f>
        <v>0</v>
      </c>
      <c r="AE43" s="5">
        <f>IF(Table3[[#This Row],[Efficiency Difference]]*0.2146 -3 &gt; Table3[[#This Row],[Scoring Margin]], 1, 0)</f>
        <v>0</v>
      </c>
      <c r="AF43" s="5">
        <f>IF(Table3[[#This Row],[Efficiency Difference]]*0.2146 -5 &gt; Table3[[#This Row],[Scoring Margin]], 1, 0)</f>
        <v>0</v>
      </c>
      <c r="AG43" s="5">
        <f>IF(Table3[[#This Row],[Efficiency Difference]]*0.2146 -10 &gt; Table3[[#This Row],[Scoring Margin]], 1, 0)</f>
        <v>0</v>
      </c>
    </row>
    <row r="44" spans="2:33">
      <c r="B44" s="5">
        <v>15.870000000000033</v>
      </c>
      <c r="C44" s="5">
        <v>3</v>
      </c>
      <c r="X44" s="5">
        <v>15.870000000000033</v>
      </c>
      <c r="Y44" s="5">
        <v>3</v>
      </c>
      <c r="Z44" s="5">
        <f>IF(Table3[[#This Row],[Efficiency Difference]]*0.2146 &gt; Table3[[#This Row],[Scoring Margin]], 1, 0)</f>
        <v>1</v>
      </c>
      <c r="AA44" s="5">
        <f>IF(Table3[[#This Row],[Efficiency Difference]]*0.2146 + 7 &gt; Table3[[#This Row],[Scoring Margin]], 1, 0)</f>
        <v>1</v>
      </c>
      <c r="AB44" s="5">
        <f>IF(Table3[[#This Row],[Efficiency Difference]]*0.2146 + 14 &gt; Table3[[#This Row],[Scoring Margin]], 1, 0)</f>
        <v>1</v>
      </c>
      <c r="AC44" s="5">
        <f>IF(Table3[[#This Row],[Efficiency Difference]]*0.2146 + 21 &gt; Table3[[#This Row],[Scoring Margin]], 1, 0)</f>
        <v>1</v>
      </c>
      <c r="AD44" s="5">
        <f>IF(Table3[[#This Row],[Efficiency Difference]]*0.2146 -7 &gt; Table3[[#This Row],[Scoring Margin]], 1, 0)</f>
        <v>0</v>
      </c>
      <c r="AE44" s="5">
        <f>IF(Table3[[#This Row],[Efficiency Difference]]*0.2146 -3 &gt; Table3[[#This Row],[Scoring Margin]], 1, 0)</f>
        <v>0</v>
      </c>
      <c r="AF44" s="5">
        <f>IF(Table3[[#This Row],[Efficiency Difference]]*0.2146 -5 &gt; Table3[[#This Row],[Scoring Margin]], 1, 0)</f>
        <v>0</v>
      </c>
      <c r="AG44" s="5">
        <f>IF(Table3[[#This Row],[Efficiency Difference]]*0.2146 -10 &gt; Table3[[#This Row],[Scoring Margin]], 1, 0)</f>
        <v>0</v>
      </c>
    </row>
    <row r="45" spans="2:33">
      <c r="B45" s="5">
        <v>15.870000000000005</v>
      </c>
      <c r="C45" s="5">
        <v>3</v>
      </c>
      <c r="X45" s="5">
        <v>15.870000000000005</v>
      </c>
      <c r="Y45" s="5">
        <v>3</v>
      </c>
      <c r="Z45" s="5">
        <f>IF(Table3[[#This Row],[Efficiency Difference]]*0.2146 &gt; Table3[[#This Row],[Scoring Margin]], 1, 0)</f>
        <v>1</v>
      </c>
      <c r="AA45" s="5">
        <f>IF(Table3[[#This Row],[Efficiency Difference]]*0.2146 + 7 &gt; Table3[[#This Row],[Scoring Margin]], 1, 0)</f>
        <v>1</v>
      </c>
      <c r="AB45" s="5">
        <f>IF(Table3[[#This Row],[Efficiency Difference]]*0.2146 + 14 &gt; Table3[[#This Row],[Scoring Margin]], 1, 0)</f>
        <v>1</v>
      </c>
      <c r="AC45" s="5">
        <f>IF(Table3[[#This Row],[Efficiency Difference]]*0.2146 + 21 &gt; Table3[[#This Row],[Scoring Margin]], 1, 0)</f>
        <v>1</v>
      </c>
      <c r="AD45" s="5">
        <f>IF(Table3[[#This Row],[Efficiency Difference]]*0.2146 -7 &gt; Table3[[#This Row],[Scoring Margin]], 1, 0)</f>
        <v>0</v>
      </c>
      <c r="AE45" s="5">
        <f>IF(Table3[[#This Row],[Efficiency Difference]]*0.2146 -3 &gt; Table3[[#This Row],[Scoring Margin]], 1, 0)</f>
        <v>0</v>
      </c>
      <c r="AF45" s="5">
        <f>IF(Table3[[#This Row],[Efficiency Difference]]*0.2146 -5 &gt; Table3[[#This Row],[Scoring Margin]], 1, 0)</f>
        <v>0</v>
      </c>
      <c r="AG45" s="5">
        <f>IF(Table3[[#This Row],[Efficiency Difference]]*0.2146 -10 &gt; Table3[[#This Row],[Scoring Margin]], 1, 0)</f>
        <v>0</v>
      </c>
    </row>
    <row r="46" spans="2:33">
      <c r="B46" s="5">
        <v>13.20999999999998</v>
      </c>
      <c r="C46" s="5">
        <v>2</v>
      </c>
      <c r="X46" s="5">
        <v>13.20999999999998</v>
      </c>
      <c r="Y46" s="5">
        <v>2</v>
      </c>
      <c r="Z46" s="5">
        <f>IF(Table3[[#This Row],[Efficiency Difference]]*0.2146 &gt; Table3[[#This Row],[Scoring Margin]], 1, 0)</f>
        <v>1</v>
      </c>
      <c r="AA46" s="5">
        <f>IF(Table3[[#This Row],[Efficiency Difference]]*0.2146 + 7 &gt; Table3[[#This Row],[Scoring Margin]], 1, 0)</f>
        <v>1</v>
      </c>
      <c r="AB46" s="5">
        <f>IF(Table3[[#This Row],[Efficiency Difference]]*0.2146 + 14 &gt; Table3[[#This Row],[Scoring Margin]], 1, 0)</f>
        <v>1</v>
      </c>
      <c r="AC46" s="5">
        <f>IF(Table3[[#This Row],[Efficiency Difference]]*0.2146 + 21 &gt; Table3[[#This Row],[Scoring Margin]], 1, 0)</f>
        <v>1</v>
      </c>
      <c r="AD46" s="5">
        <f>IF(Table3[[#This Row],[Efficiency Difference]]*0.2146 -7 &gt; Table3[[#This Row],[Scoring Margin]], 1, 0)</f>
        <v>0</v>
      </c>
      <c r="AE46" s="5">
        <f>IF(Table3[[#This Row],[Efficiency Difference]]*0.2146 -3 &gt; Table3[[#This Row],[Scoring Margin]], 1, 0)</f>
        <v>0</v>
      </c>
      <c r="AF46" s="5">
        <f>IF(Table3[[#This Row],[Efficiency Difference]]*0.2146 -5 &gt; Table3[[#This Row],[Scoring Margin]], 1, 0)</f>
        <v>0</v>
      </c>
      <c r="AG46" s="5">
        <f>IF(Table3[[#This Row],[Efficiency Difference]]*0.2146 -10 &gt; Table3[[#This Row],[Scoring Margin]], 1, 0)</f>
        <v>0</v>
      </c>
    </row>
    <row r="47" spans="2:33">
      <c r="B47" s="5">
        <v>13.20999999999998</v>
      </c>
      <c r="C47" s="5">
        <v>2</v>
      </c>
      <c r="X47" s="5">
        <v>13.20999999999998</v>
      </c>
      <c r="Y47" s="5">
        <v>2</v>
      </c>
      <c r="Z47" s="5">
        <f>IF(Table3[[#This Row],[Efficiency Difference]]*0.2146 &gt; Table3[[#This Row],[Scoring Margin]], 1, 0)</f>
        <v>1</v>
      </c>
      <c r="AA47" s="5">
        <f>IF(Table3[[#This Row],[Efficiency Difference]]*0.2146 + 7 &gt; Table3[[#This Row],[Scoring Margin]], 1, 0)</f>
        <v>1</v>
      </c>
      <c r="AB47" s="5">
        <f>IF(Table3[[#This Row],[Efficiency Difference]]*0.2146 + 14 &gt; Table3[[#This Row],[Scoring Margin]], 1, 0)</f>
        <v>1</v>
      </c>
      <c r="AC47" s="5">
        <f>IF(Table3[[#This Row],[Efficiency Difference]]*0.2146 + 21 &gt; Table3[[#This Row],[Scoring Margin]], 1, 0)</f>
        <v>1</v>
      </c>
      <c r="AD47" s="5">
        <f>IF(Table3[[#This Row],[Efficiency Difference]]*0.2146 -7 &gt; Table3[[#This Row],[Scoring Margin]], 1, 0)</f>
        <v>0</v>
      </c>
      <c r="AE47" s="5">
        <f>IF(Table3[[#This Row],[Efficiency Difference]]*0.2146 -3 &gt; Table3[[#This Row],[Scoring Margin]], 1, 0)</f>
        <v>0</v>
      </c>
      <c r="AF47" s="5">
        <f>IF(Table3[[#This Row],[Efficiency Difference]]*0.2146 -5 &gt; Table3[[#This Row],[Scoring Margin]], 1, 0)</f>
        <v>0</v>
      </c>
      <c r="AG47" s="5">
        <f>IF(Table3[[#This Row],[Efficiency Difference]]*0.2146 -10 &gt; Table3[[#This Row],[Scoring Margin]], 1, 0)</f>
        <v>0</v>
      </c>
    </row>
    <row r="48" spans="2:33">
      <c r="B48" s="5">
        <v>31.72999999999999</v>
      </c>
      <c r="C48" s="5">
        <v>10</v>
      </c>
      <c r="X48" s="5">
        <v>31.72999999999999</v>
      </c>
      <c r="Y48" s="5">
        <v>10</v>
      </c>
      <c r="Z48" s="5">
        <f>IF(Table3[[#This Row],[Efficiency Difference]]*0.2146 &gt; Table3[[#This Row],[Scoring Margin]], 1, 0)</f>
        <v>0</v>
      </c>
      <c r="AA48" s="5">
        <f>IF(Table3[[#This Row],[Efficiency Difference]]*0.2146 + 7 &gt; Table3[[#This Row],[Scoring Margin]], 1, 0)</f>
        <v>1</v>
      </c>
      <c r="AB48" s="5">
        <f>IF(Table3[[#This Row],[Efficiency Difference]]*0.2146 + 14 &gt; Table3[[#This Row],[Scoring Margin]], 1, 0)</f>
        <v>1</v>
      </c>
      <c r="AC48" s="5">
        <f>IF(Table3[[#This Row],[Efficiency Difference]]*0.2146 + 21 &gt; Table3[[#This Row],[Scoring Margin]], 1, 0)</f>
        <v>1</v>
      </c>
      <c r="AD48" s="5">
        <f>IF(Table3[[#This Row],[Efficiency Difference]]*0.2146 -7 &gt; Table3[[#This Row],[Scoring Margin]], 1, 0)</f>
        <v>0</v>
      </c>
      <c r="AE48" s="5">
        <f>IF(Table3[[#This Row],[Efficiency Difference]]*0.2146 -3 &gt; Table3[[#This Row],[Scoring Margin]], 1, 0)</f>
        <v>0</v>
      </c>
      <c r="AF48" s="5">
        <f>IF(Table3[[#This Row],[Efficiency Difference]]*0.2146 -5 &gt; Table3[[#This Row],[Scoring Margin]], 1, 0)</f>
        <v>0</v>
      </c>
      <c r="AG48" s="5">
        <f>IF(Table3[[#This Row],[Efficiency Difference]]*0.2146 -10 &gt; Table3[[#This Row],[Scoring Margin]], 1, 0)</f>
        <v>0</v>
      </c>
    </row>
    <row r="49" spans="2:33">
      <c r="B49" s="5">
        <v>31.72999999999999</v>
      </c>
      <c r="C49" s="5">
        <v>10</v>
      </c>
      <c r="X49" s="5">
        <v>31.72999999999999</v>
      </c>
      <c r="Y49" s="5">
        <v>10</v>
      </c>
      <c r="Z49" s="5">
        <f>IF(Table3[[#This Row],[Efficiency Difference]]*0.2146 &gt; Table3[[#This Row],[Scoring Margin]], 1, 0)</f>
        <v>0</v>
      </c>
      <c r="AA49" s="5">
        <f>IF(Table3[[#This Row],[Efficiency Difference]]*0.2146 + 7 &gt; Table3[[#This Row],[Scoring Margin]], 1, 0)</f>
        <v>1</v>
      </c>
      <c r="AB49" s="5">
        <f>IF(Table3[[#This Row],[Efficiency Difference]]*0.2146 + 14 &gt; Table3[[#This Row],[Scoring Margin]], 1, 0)</f>
        <v>1</v>
      </c>
      <c r="AC49" s="5">
        <f>IF(Table3[[#This Row],[Efficiency Difference]]*0.2146 + 21 &gt; Table3[[#This Row],[Scoring Margin]], 1, 0)</f>
        <v>1</v>
      </c>
      <c r="AD49" s="5">
        <f>IF(Table3[[#This Row],[Efficiency Difference]]*0.2146 -7 &gt; Table3[[#This Row],[Scoring Margin]], 1, 0)</f>
        <v>0</v>
      </c>
      <c r="AE49" s="5">
        <f>IF(Table3[[#This Row],[Efficiency Difference]]*0.2146 -3 &gt; Table3[[#This Row],[Scoring Margin]], 1, 0)</f>
        <v>0</v>
      </c>
      <c r="AF49" s="5">
        <f>IF(Table3[[#This Row],[Efficiency Difference]]*0.2146 -5 &gt; Table3[[#This Row],[Scoring Margin]], 1, 0)</f>
        <v>0</v>
      </c>
      <c r="AG49" s="5">
        <f>IF(Table3[[#This Row],[Efficiency Difference]]*0.2146 -10 &gt; Table3[[#This Row],[Scoring Margin]], 1, 0)</f>
        <v>0</v>
      </c>
    </row>
    <row r="50" spans="2:33">
      <c r="B50" s="5">
        <v>46.170000000000016</v>
      </c>
      <c r="C50" s="5">
        <v>14</v>
      </c>
      <c r="X50" s="5">
        <v>46.170000000000016</v>
      </c>
      <c r="Y50" s="5">
        <v>14</v>
      </c>
      <c r="Z50" s="5">
        <f>IF(Table3[[#This Row],[Efficiency Difference]]*0.2146 &gt; Table3[[#This Row],[Scoring Margin]], 1, 0)</f>
        <v>0</v>
      </c>
      <c r="AA50" s="5">
        <f>IF(Table3[[#This Row],[Efficiency Difference]]*0.2146 + 7 &gt; Table3[[#This Row],[Scoring Margin]], 1, 0)</f>
        <v>1</v>
      </c>
      <c r="AB50" s="5">
        <f>IF(Table3[[#This Row],[Efficiency Difference]]*0.2146 + 14 &gt; Table3[[#This Row],[Scoring Margin]], 1, 0)</f>
        <v>1</v>
      </c>
      <c r="AC50" s="5">
        <f>IF(Table3[[#This Row],[Efficiency Difference]]*0.2146 + 21 &gt; Table3[[#This Row],[Scoring Margin]], 1, 0)</f>
        <v>1</v>
      </c>
      <c r="AD50" s="5">
        <f>IF(Table3[[#This Row],[Efficiency Difference]]*0.2146 -7 &gt; Table3[[#This Row],[Scoring Margin]], 1, 0)</f>
        <v>0</v>
      </c>
      <c r="AE50" s="5">
        <f>IF(Table3[[#This Row],[Efficiency Difference]]*0.2146 -3 &gt; Table3[[#This Row],[Scoring Margin]], 1, 0)</f>
        <v>0</v>
      </c>
      <c r="AF50" s="5">
        <f>IF(Table3[[#This Row],[Efficiency Difference]]*0.2146 -5 &gt; Table3[[#This Row],[Scoring Margin]], 1, 0)</f>
        <v>0</v>
      </c>
      <c r="AG50" s="5">
        <f>IF(Table3[[#This Row],[Efficiency Difference]]*0.2146 -10 &gt; Table3[[#This Row],[Scoring Margin]], 1, 0)</f>
        <v>0</v>
      </c>
    </row>
    <row r="51" spans="2:33">
      <c r="B51" s="5">
        <v>46.170000000000016</v>
      </c>
      <c r="C51" s="5">
        <v>14</v>
      </c>
      <c r="X51" s="5">
        <v>46.170000000000016</v>
      </c>
      <c r="Y51" s="5">
        <v>14</v>
      </c>
      <c r="Z51" s="5">
        <f>IF(Table3[[#This Row],[Efficiency Difference]]*0.2146 &gt; Table3[[#This Row],[Scoring Margin]], 1, 0)</f>
        <v>0</v>
      </c>
      <c r="AA51" s="5">
        <f>IF(Table3[[#This Row],[Efficiency Difference]]*0.2146 + 7 &gt; Table3[[#This Row],[Scoring Margin]], 1, 0)</f>
        <v>1</v>
      </c>
      <c r="AB51" s="5">
        <f>IF(Table3[[#This Row],[Efficiency Difference]]*0.2146 + 14 &gt; Table3[[#This Row],[Scoring Margin]], 1, 0)</f>
        <v>1</v>
      </c>
      <c r="AC51" s="5">
        <f>IF(Table3[[#This Row],[Efficiency Difference]]*0.2146 + 21 &gt; Table3[[#This Row],[Scoring Margin]], 1, 0)</f>
        <v>1</v>
      </c>
      <c r="AD51" s="5">
        <f>IF(Table3[[#This Row],[Efficiency Difference]]*0.2146 -7 &gt; Table3[[#This Row],[Scoring Margin]], 1, 0)</f>
        <v>0</v>
      </c>
      <c r="AE51" s="5">
        <f>IF(Table3[[#This Row],[Efficiency Difference]]*0.2146 -3 &gt; Table3[[#This Row],[Scoring Margin]], 1, 0)</f>
        <v>0</v>
      </c>
      <c r="AF51" s="5">
        <f>IF(Table3[[#This Row],[Efficiency Difference]]*0.2146 -5 &gt; Table3[[#This Row],[Scoring Margin]], 1, 0)</f>
        <v>0</v>
      </c>
      <c r="AG51" s="5">
        <f>IF(Table3[[#This Row],[Efficiency Difference]]*0.2146 -10 &gt; Table3[[#This Row],[Scoring Margin]], 1, 0)</f>
        <v>0</v>
      </c>
    </row>
    <row r="52" spans="2:33">
      <c r="B52" s="5">
        <v>1.9499999999999886</v>
      </c>
      <c r="C52" s="5">
        <v>4</v>
      </c>
      <c r="X52" s="5">
        <v>1.9499999999999886</v>
      </c>
      <c r="Y52" s="5">
        <v>4</v>
      </c>
      <c r="Z52" s="5">
        <f>IF(Table3[[#This Row],[Efficiency Difference]]*0.2146 &gt; Table3[[#This Row],[Scoring Margin]], 1, 0)</f>
        <v>0</v>
      </c>
      <c r="AA52" s="5">
        <f>IF(Table3[[#This Row],[Efficiency Difference]]*0.2146 + 7 &gt; Table3[[#This Row],[Scoring Margin]], 1, 0)</f>
        <v>1</v>
      </c>
      <c r="AB52" s="5">
        <f>IF(Table3[[#This Row],[Efficiency Difference]]*0.2146 + 14 &gt; Table3[[#This Row],[Scoring Margin]], 1, 0)</f>
        <v>1</v>
      </c>
      <c r="AC52" s="5">
        <f>IF(Table3[[#This Row],[Efficiency Difference]]*0.2146 + 21 &gt; Table3[[#This Row],[Scoring Margin]], 1, 0)</f>
        <v>1</v>
      </c>
      <c r="AD52" s="5">
        <f>IF(Table3[[#This Row],[Efficiency Difference]]*0.2146 -7 &gt; Table3[[#This Row],[Scoring Margin]], 1, 0)</f>
        <v>0</v>
      </c>
      <c r="AE52" s="5">
        <f>IF(Table3[[#This Row],[Efficiency Difference]]*0.2146 -3 &gt; Table3[[#This Row],[Scoring Margin]], 1, 0)</f>
        <v>0</v>
      </c>
      <c r="AF52" s="5">
        <f>IF(Table3[[#This Row],[Efficiency Difference]]*0.2146 -5 &gt; Table3[[#This Row],[Scoring Margin]], 1, 0)</f>
        <v>0</v>
      </c>
      <c r="AG52" s="5">
        <f>IF(Table3[[#This Row],[Efficiency Difference]]*0.2146 -10 &gt; Table3[[#This Row],[Scoring Margin]], 1, 0)</f>
        <v>0</v>
      </c>
    </row>
    <row r="53" spans="2:33">
      <c r="B53" s="5">
        <v>1.9499999999999886</v>
      </c>
      <c r="C53" s="5">
        <v>4</v>
      </c>
      <c r="X53" s="5">
        <v>1.9499999999999886</v>
      </c>
      <c r="Y53" s="5">
        <v>4</v>
      </c>
      <c r="Z53" s="5">
        <f>IF(Table3[[#This Row],[Efficiency Difference]]*0.2146 &gt; Table3[[#This Row],[Scoring Margin]], 1, 0)</f>
        <v>0</v>
      </c>
      <c r="AA53" s="5">
        <f>IF(Table3[[#This Row],[Efficiency Difference]]*0.2146 + 7 &gt; Table3[[#This Row],[Scoring Margin]], 1, 0)</f>
        <v>1</v>
      </c>
      <c r="AB53" s="5">
        <f>IF(Table3[[#This Row],[Efficiency Difference]]*0.2146 + 14 &gt; Table3[[#This Row],[Scoring Margin]], 1, 0)</f>
        <v>1</v>
      </c>
      <c r="AC53" s="5">
        <f>IF(Table3[[#This Row],[Efficiency Difference]]*0.2146 + 21 &gt; Table3[[#This Row],[Scoring Margin]], 1, 0)</f>
        <v>1</v>
      </c>
      <c r="AD53" s="5">
        <f>IF(Table3[[#This Row],[Efficiency Difference]]*0.2146 -7 &gt; Table3[[#This Row],[Scoring Margin]], 1, 0)</f>
        <v>0</v>
      </c>
      <c r="AE53" s="5">
        <f>IF(Table3[[#This Row],[Efficiency Difference]]*0.2146 -3 &gt; Table3[[#This Row],[Scoring Margin]], 1, 0)</f>
        <v>0</v>
      </c>
      <c r="AF53" s="5">
        <f>IF(Table3[[#This Row],[Efficiency Difference]]*0.2146 -5 &gt; Table3[[#This Row],[Scoring Margin]], 1, 0)</f>
        <v>0</v>
      </c>
      <c r="AG53" s="5">
        <f>IF(Table3[[#This Row],[Efficiency Difference]]*0.2146 -10 &gt; Table3[[#This Row],[Scoring Margin]], 1, 0)</f>
        <v>0</v>
      </c>
    </row>
    <row r="54" spans="2:33">
      <c r="B54" s="5">
        <v>48.949999999999989</v>
      </c>
      <c r="C54" s="5">
        <v>12</v>
      </c>
      <c r="X54" s="5">
        <v>48.949999999999989</v>
      </c>
      <c r="Y54" s="5">
        <v>12</v>
      </c>
      <c r="Z54" s="5">
        <f>IF(Table3[[#This Row],[Efficiency Difference]]*0.2146 &gt; Table3[[#This Row],[Scoring Margin]], 1, 0)</f>
        <v>0</v>
      </c>
      <c r="AA54" s="5">
        <f>IF(Table3[[#This Row],[Efficiency Difference]]*0.2146 + 7 &gt; Table3[[#This Row],[Scoring Margin]], 1, 0)</f>
        <v>1</v>
      </c>
      <c r="AB54" s="5">
        <f>IF(Table3[[#This Row],[Efficiency Difference]]*0.2146 + 14 &gt; Table3[[#This Row],[Scoring Margin]], 1, 0)</f>
        <v>1</v>
      </c>
      <c r="AC54" s="5">
        <f>IF(Table3[[#This Row],[Efficiency Difference]]*0.2146 + 21 &gt; Table3[[#This Row],[Scoring Margin]], 1, 0)</f>
        <v>1</v>
      </c>
      <c r="AD54" s="5">
        <f>IF(Table3[[#This Row],[Efficiency Difference]]*0.2146 -7 &gt; Table3[[#This Row],[Scoring Margin]], 1, 0)</f>
        <v>0</v>
      </c>
      <c r="AE54" s="5">
        <f>IF(Table3[[#This Row],[Efficiency Difference]]*0.2146 -3 &gt; Table3[[#This Row],[Scoring Margin]], 1, 0)</f>
        <v>0</v>
      </c>
      <c r="AF54" s="5">
        <f>IF(Table3[[#This Row],[Efficiency Difference]]*0.2146 -5 &gt; Table3[[#This Row],[Scoring Margin]], 1, 0)</f>
        <v>0</v>
      </c>
      <c r="AG54" s="5">
        <f>IF(Table3[[#This Row],[Efficiency Difference]]*0.2146 -10 &gt; Table3[[#This Row],[Scoring Margin]], 1, 0)</f>
        <v>0</v>
      </c>
    </row>
    <row r="55" spans="2:33">
      <c r="B55" s="5">
        <v>48.950000000000017</v>
      </c>
      <c r="C55" s="5">
        <v>12</v>
      </c>
      <c r="X55" s="5">
        <v>48.950000000000017</v>
      </c>
      <c r="Y55" s="5">
        <v>12</v>
      </c>
      <c r="Z55" s="5">
        <f>IF(Table3[[#This Row],[Efficiency Difference]]*0.2146 &gt; Table3[[#This Row],[Scoring Margin]], 1, 0)</f>
        <v>0</v>
      </c>
      <c r="AA55" s="5">
        <f>IF(Table3[[#This Row],[Efficiency Difference]]*0.2146 + 7 &gt; Table3[[#This Row],[Scoring Margin]], 1, 0)</f>
        <v>1</v>
      </c>
      <c r="AB55" s="5">
        <f>IF(Table3[[#This Row],[Efficiency Difference]]*0.2146 + 14 &gt; Table3[[#This Row],[Scoring Margin]], 1, 0)</f>
        <v>1</v>
      </c>
      <c r="AC55" s="5">
        <f>IF(Table3[[#This Row],[Efficiency Difference]]*0.2146 + 21 &gt; Table3[[#This Row],[Scoring Margin]], 1, 0)</f>
        <v>1</v>
      </c>
      <c r="AD55" s="5">
        <f>IF(Table3[[#This Row],[Efficiency Difference]]*0.2146 -7 &gt; Table3[[#This Row],[Scoring Margin]], 1, 0)</f>
        <v>0</v>
      </c>
      <c r="AE55" s="5">
        <f>IF(Table3[[#This Row],[Efficiency Difference]]*0.2146 -3 &gt; Table3[[#This Row],[Scoring Margin]], 1, 0)</f>
        <v>0</v>
      </c>
      <c r="AF55" s="5">
        <f>IF(Table3[[#This Row],[Efficiency Difference]]*0.2146 -5 &gt; Table3[[#This Row],[Scoring Margin]], 1, 0)</f>
        <v>0</v>
      </c>
      <c r="AG55" s="5">
        <f>IF(Table3[[#This Row],[Efficiency Difference]]*0.2146 -10 &gt; Table3[[#This Row],[Scoring Margin]], 1, 0)</f>
        <v>0</v>
      </c>
    </row>
    <row r="56" spans="2:33">
      <c r="B56" s="5">
        <v>0.52000000000001023</v>
      </c>
      <c r="C56" s="5">
        <v>6</v>
      </c>
      <c r="X56" s="5">
        <v>0.52000000000001023</v>
      </c>
      <c r="Y56" s="5">
        <v>6</v>
      </c>
      <c r="Z56" s="5">
        <f>IF(Table3[[#This Row],[Efficiency Difference]]*0.2146 &gt; Table3[[#This Row],[Scoring Margin]], 1, 0)</f>
        <v>0</v>
      </c>
      <c r="AA56" s="5">
        <f>IF(Table3[[#This Row],[Efficiency Difference]]*0.2146 + 7 &gt; Table3[[#This Row],[Scoring Margin]], 1, 0)</f>
        <v>1</v>
      </c>
      <c r="AB56" s="5">
        <f>IF(Table3[[#This Row],[Efficiency Difference]]*0.2146 + 14 &gt; Table3[[#This Row],[Scoring Margin]], 1, 0)</f>
        <v>1</v>
      </c>
      <c r="AC56" s="5">
        <f>IF(Table3[[#This Row],[Efficiency Difference]]*0.2146 + 21 &gt; Table3[[#This Row],[Scoring Margin]], 1, 0)</f>
        <v>1</v>
      </c>
      <c r="AD56" s="5">
        <f>IF(Table3[[#This Row],[Efficiency Difference]]*0.2146 -7 &gt; Table3[[#This Row],[Scoring Margin]], 1, 0)</f>
        <v>0</v>
      </c>
      <c r="AE56" s="5">
        <f>IF(Table3[[#This Row],[Efficiency Difference]]*0.2146 -3 &gt; Table3[[#This Row],[Scoring Margin]], 1, 0)</f>
        <v>0</v>
      </c>
      <c r="AF56" s="5">
        <f>IF(Table3[[#This Row],[Efficiency Difference]]*0.2146 -5 &gt; Table3[[#This Row],[Scoring Margin]], 1, 0)</f>
        <v>0</v>
      </c>
      <c r="AG56" s="5">
        <f>IF(Table3[[#This Row],[Efficiency Difference]]*0.2146 -10 &gt; Table3[[#This Row],[Scoring Margin]], 1, 0)</f>
        <v>0</v>
      </c>
    </row>
    <row r="57" spans="2:33">
      <c r="B57" s="5">
        <v>0.52000000000001023</v>
      </c>
      <c r="C57" s="5">
        <v>6</v>
      </c>
      <c r="X57" s="5">
        <v>0.52000000000001023</v>
      </c>
      <c r="Y57" s="5">
        <v>6</v>
      </c>
      <c r="Z57" s="5">
        <f>IF(Table3[[#This Row],[Efficiency Difference]]*0.2146 &gt; Table3[[#This Row],[Scoring Margin]], 1, 0)</f>
        <v>0</v>
      </c>
      <c r="AA57" s="5">
        <f>IF(Table3[[#This Row],[Efficiency Difference]]*0.2146 + 7 &gt; Table3[[#This Row],[Scoring Margin]], 1, 0)</f>
        <v>1</v>
      </c>
      <c r="AB57" s="5">
        <f>IF(Table3[[#This Row],[Efficiency Difference]]*0.2146 + 14 &gt; Table3[[#This Row],[Scoring Margin]], 1, 0)</f>
        <v>1</v>
      </c>
      <c r="AC57" s="5">
        <f>IF(Table3[[#This Row],[Efficiency Difference]]*0.2146 + 21 &gt; Table3[[#This Row],[Scoring Margin]], 1, 0)</f>
        <v>1</v>
      </c>
      <c r="AD57" s="5">
        <f>IF(Table3[[#This Row],[Efficiency Difference]]*0.2146 -7 &gt; Table3[[#This Row],[Scoring Margin]], 1, 0)</f>
        <v>0</v>
      </c>
      <c r="AE57" s="5">
        <f>IF(Table3[[#This Row],[Efficiency Difference]]*0.2146 -3 &gt; Table3[[#This Row],[Scoring Margin]], 1, 0)</f>
        <v>0</v>
      </c>
      <c r="AF57" s="5">
        <f>IF(Table3[[#This Row],[Efficiency Difference]]*0.2146 -5 &gt; Table3[[#This Row],[Scoring Margin]], 1, 0)</f>
        <v>0</v>
      </c>
      <c r="AG57" s="5">
        <f>IF(Table3[[#This Row],[Efficiency Difference]]*0.2146 -10 &gt; Table3[[#This Row],[Scoring Margin]], 1, 0)</f>
        <v>0</v>
      </c>
    </row>
    <row r="58" spans="2:33">
      <c r="B58" s="5">
        <v>2.8400000000000034</v>
      </c>
      <c r="C58" s="5">
        <v>3</v>
      </c>
      <c r="X58" s="5">
        <v>2.8400000000000034</v>
      </c>
      <c r="Y58" s="5">
        <v>3</v>
      </c>
      <c r="Z58" s="5">
        <f>IF(Table3[[#This Row],[Efficiency Difference]]*0.2146 &gt; Table3[[#This Row],[Scoring Margin]], 1, 0)</f>
        <v>0</v>
      </c>
      <c r="AA58" s="5">
        <f>IF(Table3[[#This Row],[Efficiency Difference]]*0.2146 + 7 &gt; Table3[[#This Row],[Scoring Margin]], 1, 0)</f>
        <v>1</v>
      </c>
      <c r="AB58" s="5">
        <f>IF(Table3[[#This Row],[Efficiency Difference]]*0.2146 + 14 &gt; Table3[[#This Row],[Scoring Margin]], 1, 0)</f>
        <v>1</v>
      </c>
      <c r="AC58" s="5">
        <f>IF(Table3[[#This Row],[Efficiency Difference]]*0.2146 + 21 &gt; Table3[[#This Row],[Scoring Margin]], 1, 0)</f>
        <v>1</v>
      </c>
      <c r="AD58" s="5">
        <f>IF(Table3[[#This Row],[Efficiency Difference]]*0.2146 -7 &gt; Table3[[#This Row],[Scoring Margin]], 1, 0)</f>
        <v>0</v>
      </c>
      <c r="AE58" s="5">
        <f>IF(Table3[[#This Row],[Efficiency Difference]]*0.2146 -3 &gt; Table3[[#This Row],[Scoring Margin]], 1, 0)</f>
        <v>0</v>
      </c>
      <c r="AF58" s="5">
        <f>IF(Table3[[#This Row],[Efficiency Difference]]*0.2146 -5 &gt; Table3[[#This Row],[Scoring Margin]], 1, 0)</f>
        <v>0</v>
      </c>
      <c r="AG58" s="5">
        <f>IF(Table3[[#This Row],[Efficiency Difference]]*0.2146 -10 &gt; Table3[[#This Row],[Scoring Margin]], 1, 0)</f>
        <v>0</v>
      </c>
    </row>
    <row r="59" spans="2:33">
      <c r="B59" s="5">
        <v>2.8400000000000318</v>
      </c>
      <c r="C59" s="5">
        <v>3</v>
      </c>
      <c r="X59" s="5">
        <v>2.8400000000000318</v>
      </c>
      <c r="Y59" s="5">
        <v>3</v>
      </c>
      <c r="Z59" s="5">
        <f>IF(Table3[[#This Row],[Efficiency Difference]]*0.2146 &gt; Table3[[#This Row],[Scoring Margin]], 1, 0)</f>
        <v>0</v>
      </c>
      <c r="AA59" s="5">
        <f>IF(Table3[[#This Row],[Efficiency Difference]]*0.2146 + 7 &gt; Table3[[#This Row],[Scoring Margin]], 1, 0)</f>
        <v>1</v>
      </c>
      <c r="AB59" s="5">
        <f>IF(Table3[[#This Row],[Efficiency Difference]]*0.2146 + 14 &gt; Table3[[#This Row],[Scoring Margin]], 1, 0)</f>
        <v>1</v>
      </c>
      <c r="AC59" s="5">
        <f>IF(Table3[[#This Row],[Efficiency Difference]]*0.2146 + 21 &gt; Table3[[#This Row],[Scoring Margin]], 1, 0)</f>
        <v>1</v>
      </c>
      <c r="AD59" s="5">
        <f>IF(Table3[[#This Row],[Efficiency Difference]]*0.2146 -7 &gt; Table3[[#This Row],[Scoring Margin]], 1, 0)</f>
        <v>0</v>
      </c>
      <c r="AE59" s="5">
        <f>IF(Table3[[#This Row],[Efficiency Difference]]*0.2146 -3 &gt; Table3[[#This Row],[Scoring Margin]], 1, 0)</f>
        <v>0</v>
      </c>
      <c r="AF59" s="5">
        <f>IF(Table3[[#This Row],[Efficiency Difference]]*0.2146 -5 &gt; Table3[[#This Row],[Scoring Margin]], 1, 0)</f>
        <v>0</v>
      </c>
      <c r="AG59" s="5">
        <f>IF(Table3[[#This Row],[Efficiency Difference]]*0.2146 -10 &gt; Table3[[#This Row],[Scoring Margin]], 1, 0)</f>
        <v>0</v>
      </c>
    </row>
    <row r="60" spans="2:33">
      <c r="B60" s="5">
        <v>17.710000000000008</v>
      </c>
      <c r="C60" s="5">
        <v>7</v>
      </c>
      <c r="X60" s="5">
        <v>17.710000000000008</v>
      </c>
      <c r="Y60" s="5">
        <v>7</v>
      </c>
      <c r="Z60" s="5">
        <f>IF(Table3[[#This Row],[Efficiency Difference]]*0.2146 &gt; Table3[[#This Row],[Scoring Margin]], 1, 0)</f>
        <v>0</v>
      </c>
      <c r="AA60" s="5">
        <f>IF(Table3[[#This Row],[Efficiency Difference]]*0.2146 + 7 &gt; Table3[[#This Row],[Scoring Margin]], 1, 0)</f>
        <v>1</v>
      </c>
      <c r="AB60" s="5">
        <f>IF(Table3[[#This Row],[Efficiency Difference]]*0.2146 + 14 &gt; Table3[[#This Row],[Scoring Margin]], 1, 0)</f>
        <v>1</v>
      </c>
      <c r="AC60" s="5">
        <f>IF(Table3[[#This Row],[Efficiency Difference]]*0.2146 + 21 &gt; Table3[[#This Row],[Scoring Margin]], 1, 0)</f>
        <v>1</v>
      </c>
      <c r="AD60" s="5">
        <f>IF(Table3[[#This Row],[Efficiency Difference]]*0.2146 -7 &gt; Table3[[#This Row],[Scoring Margin]], 1, 0)</f>
        <v>0</v>
      </c>
      <c r="AE60" s="5">
        <f>IF(Table3[[#This Row],[Efficiency Difference]]*0.2146 -3 &gt; Table3[[#This Row],[Scoring Margin]], 1, 0)</f>
        <v>0</v>
      </c>
      <c r="AF60" s="5">
        <f>IF(Table3[[#This Row],[Efficiency Difference]]*0.2146 -5 &gt; Table3[[#This Row],[Scoring Margin]], 1, 0)</f>
        <v>0</v>
      </c>
      <c r="AG60" s="5">
        <f>IF(Table3[[#This Row],[Efficiency Difference]]*0.2146 -10 &gt; Table3[[#This Row],[Scoring Margin]], 1, 0)</f>
        <v>0</v>
      </c>
    </row>
    <row r="61" spans="2:33">
      <c r="B61" s="5">
        <v>17.710000000000008</v>
      </c>
      <c r="C61" s="5">
        <v>7</v>
      </c>
      <c r="X61" s="5">
        <v>17.710000000000008</v>
      </c>
      <c r="Y61" s="5">
        <v>7</v>
      </c>
      <c r="Z61" s="5">
        <f>IF(Table3[[#This Row],[Efficiency Difference]]*0.2146 &gt; Table3[[#This Row],[Scoring Margin]], 1, 0)</f>
        <v>0</v>
      </c>
      <c r="AA61" s="5">
        <f>IF(Table3[[#This Row],[Efficiency Difference]]*0.2146 + 7 &gt; Table3[[#This Row],[Scoring Margin]], 1, 0)</f>
        <v>1</v>
      </c>
      <c r="AB61" s="5">
        <f>IF(Table3[[#This Row],[Efficiency Difference]]*0.2146 + 14 &gt; Table3[[#This Row],[Scoring Margin]], 1, 0)</f>
        <v>1</v>
      </c>
      <c r="AC61" s="5">
        <f>IF(Table3[[#This Row],[Efficiency Difference]]*0.2146 + 21 &gt; Table3[[#This Row],[Scoring Margin]], 1, 0)</f>
        <v>1</v>
      </c>
      <c r="AD61" s="5">
        <f>IF(Table3[[#This Row],[Efficiency Difference]]*0.2146 -7 &gt; Table3[[#This Row],[Scoring Margin]], 1, 0)</f>
        <v>0</v>
      </c>
      <c r="AE61" s="5">
        <f>IF(Table3[[#This Row],[Efficiency Difference]]*0.2146 -3 &gt; Table3[[#This Row],[Scoring Margin]], 1, 0)</f>
        <v>0</v>
      </c>
      <c r="AF61" s="5">
        <f>IF(Table3[[#This Row],[Efficiency Difference]]*0.2146 -5 &gt; Table3[[#This Row],[Scoring Margin]], 1, 0)</f>
        <v>0</v>
      </c>
      <c r="AG61" s="5">
        <f>IF(Table3[[#This Row],[Efficiency Difference]]*0.2146 -10 &gt; Table3[[#This Row],[Scoring Margin]], 1, 0)</f>
        <v>0</v>
      </c>
    </row>
    <row r="62" spans="2:33">
      <c r="B62" s="5">
        <v>93.009999999999991</v>
      </c>
      <c r="C62" s="5">
        <v>3</v>
      </c>
      <c r="X62" s="5">
        <v>93.009999999999991</v>
      </c>
      <c r="Y62" s="5">
        <v>3</v>
      </c>
      <c r="Z62" s="5">
        <f>IF(Table3[[#This Row],[Efficiency Difference]]*0.2146 &gt; Table3[[#This Row],[Scoring Margin]], 1, 0)</f>
        <v>1</v>
      </c>
      <c r="AA62" s="5">
        <f>IF(Table3[[#This Row],[Efficiency Difference]]*0.2146 + 7 &gt; Table3[[#This Row],[Scoring Margin]], 1, 0)</f>
        <v>1</v>
      </c>
      <c r="AB62" s="5">
        <f>IF(Table3[[#This Row],[Efficiency Difference]]*0.2146 + 14 &gt; Table3[[#This Row],[Scoring Margin]], 1, 0)</f>
        <v>1</v>
      </c>
      <c r="AC62" s="5">
        <f>IF(Table3[[#This Row],[Efficiency Difference]]*0.2146 + 21 &gt; Table3[[#This Row],[Scoring Margin]], 1, 0)</f>
        <v>1</v>
      </c>
      <c r="AD62" s="5">
        <f>IF(Table3[[#This Row],[Efficiency Difference]]*0.2146 -7 &gt; Table3[[#This Row],[Scoring Margin]], 1, 0)</f>
        <v>1</v>
      </c>
      <c r="AE62" s="5">
        <f>IF(Table3[[#This Row],[Efficiency Difference]]*0.2146 -3 &gt; Table3[[#This Row],[Scoring Margin]], 1, 0)</f>
        <v>1</v>
      </c>
      <c r="AF62" s="5">
        <f>IF(Table3[[#This Row],[Efficiency Difference]]*0.2146 -5 &gt; Table3[[#This Row],[Scoring Margin]], 1, 0)</f>
        <v>1</v>
      </c>
      <c r="AG62" s="5">
        <f>IF(Table3[[#This Row],[Efficiency Difference]]*0.2146 -10 &gt; Table3[[#This Row],[Scoring Margin]], 1, 0)</f>
        <v>1</v>
      </c>
    </row>
    <row r="63" spans="2:33">
      <c r="B63" s="5">
        <v>93.009999999999991</v>
      </c>
      <c r="C63" s="5">
        <v>3</v>
      </c>
      <c r="X63" s="5">
        <v>93.009999999999991</v>
      </c>
      <c r="Y63" s="5">
        <v>3</v>
      </c>
      <c r="Z63" s="5">
        <f>IF(Table3[[#This Row],[Efficiency Difference]]*0.2146 &gt; Table3[[#This Row],[Scoring Margin]], 1, 0)</f>
        <v>1</v>
      </c>
      <c r="AA63" s="5">
        <f>IF(Table3[[#This Row],[Efficiency Difference]]*0.2146 + 7 &gt; Table3[[#This Row],[Scoring Margin]], 1, 0)</f>
        <v>1</v>
      </c>
      <c r="AB63" s="5">
        <f>IF(Table3[[#This Row],[Efficiency Difference]]*0.2146 + 14 &gt; Table3[[#This Row],[Scoring Margin]], 1, 0)</f>
        <v>1</v>
      </c>
      <c r="AC63" s="5">
        <f>IF(Table3[[#This Row],[Efficiency Difference]]*0.2146 + 21 &gt; Table3[[#This Row],[Scoring Margin]], 1, 0)</f>
        <v>1</v>
      </c>
      <c r="AD63" s="5">
        <f>IF(Table3[[#This Row],[Efficiency Difference]]*0.2146 -7 &gt; Table3[[#This Row],[Scoring Margin]], 1, 0)</f>
        <v>1</v>
      </c>
      <c r="AE63" s="5">
        <f>IF(Table3[[#This Row],[Efficiency Difference]]*0.2146 -3 &gt; Table3[[#This Row],[Scoring Margin]], 1, 0)</f>
        <v>1</v>
      </c>
      <c r="AF63" s="5">
        <f>IF(Table3[[#This Row],[Efficiency Difference]]*0.2146 -5 &gt; Table3[[#This Row],[Scoring Margin]], 1, 0)</f>
        <v>1</v>
      </c>
      <c r="AG63" s="5">
        <f>IF(Table3[[#This Row],[Efficiency Difference]]*0.2146 -10 &gt; Table3[[#This Row],[Scoring Margin]], 1, 0)</f>
        <v>1</v>
      </c>
    </row>
    <row r="64" spans="2:33">
      <c r="B64" s="5">
        <v>66.06</v>
      </c>
      <c r="C64" s="5">
        <v>13</v>
      </c>
      <c r="X64" s="5">
        <v>66.06</v>
      </c>
      <c r="Y64" s="5">
        <v>13</v>
      </c>
      <c r="Z64" s="5">
        <f>IF(Table3[[#This Row],[Efficiency Difference]]*0.2146 &gt; Table3[[#This Row],[Scoring Margin]], 1, 0)</f>
        <v>1</v>
      </c>
      <c r="AA64" s="5">
        <f>IF(Table3[[#This Row],[Efficiency Difference]]*0.2146 + 7 &gt; Table3[[#This Row],[Scoring Margin]], 1, 0)</f>
        <v>1</v>
      </c>
      <c r="AB64" s="5">
        <f>IF(Table3[[#This Row],[Efficiency Difference]]*0.2146 + 14 &gt; Table3[[#This Row],[Scoring Margin]], 1, 0)</f>
        <v>1</v>
      </c>
      <c r="AC64" s="5">
        <f>IF(Table3[[#This Row],[Efficiency Difference]]*0.2146 + 21 &gt; Table3[[#This Row],[Scoring Margin]], 1, 0)</f>
        <v>1</v>
      </c>
      <c r="AD64" s="5">
        <f>IF(Table3[[#This Row],[Efficiency Difference]]*0.2146 -7 &gt; Table3[[#This Row],[Scoring Margin]], 1, 0)</f>
        <v>0</v>
      </c>
      <c r="AE64" s="5">
        <f>IF(Table3[[#This Row],[Efficiency Difference]]*0.2146 -3 &gt; Table3[[#This Row],[Scoring Margin]], 1, 0)</f>
        <v>0</v>
      </c>
      <c r="AF64" s="5">
        <f>IF(Table3[[#This Row],[Efficiency Difference]]*0.2146 -5 &gt; Table3[[#This Row],[Scoring Margin]], 1, 0)</f>
        <v>0</v>
      </c>
      <c r="AG64" s="5">
        <f>IF(Table3[[#This Row],[Efficiency Difference]]*0.2146 -10 &gt; Table3[[#This Row],[Scoring Margin]], 1, 0)</f>
        <v>0</v>
      </c>
    </row>
    <row r="65" spans="2:33">
      <c r="B65" s="5">
        <v>66.06</v>
      </c>
      <c r="C65" s="5">
        <v>13</v>
      </c>
      <c r="X65" s="5">
        <v>66.06</v>
      </c>
      <c r="Y65" s="5">
        <v>13</v>
      </c>
      <c r="Z65" s="5">
        <f>IF(Table3[[#This Row],[Efficiency Difference]]*0.2146 &gt; Table3[[#This Row],[Scoring Margin]], 1, 0)</f>
        <v>1</v>
      </c>
      <c r="AA65" s="5">
        <f>IF(Table3[[#This Row],[Efficiency Difference]]*0.2146 + 7 &gt; Table3[[#This Row],[Scoring Margin]], 1, 0)</f>
        <v>1</v>
      </c>
      <c r="AB65" s="5">
        <f>IF(Table3[[#This Row],[Efficiency Difference]]*0.2146 + 14 &gt; Table3[[#This Row],[Scoring Margin]], 1, 0)</f>
        <v>1</v>
      </c>
      <c r="AC65" s="5">
        <f>IF(Table3[[#This Row],[Efficiency Difference]]*0.2146 + 21 &gt; Table3[[#This Row],[Scoring Margin]], 1, 0)</f>
        <v>1</v>
      </c>
      <c r="AD65" s="5">
        <f>IF(Table3[[#This Row],[Efficiency Difference]]*0.2146 -7 &gt; Table3[[#This Row],[Scoring Margin]], 1, 0)</f>
        <v>0</v>
      </c>
      <c r="AE65" s="5">
        <f>IF(Table3[[#This Row],[Efficiency Difference]]*0.2146 -3 &gt; Table3[[#This Row],[Scoring Margin]], 1, 0)</f>
        <v>0</v>
      </c>
      <c r="AF65" s="5">
        <f>IF(Table3[[#This Row],[Efficiency Difference]]*0.2146 -5 &gt; Table3[[#This Row],[Scoring Margin]], 1, 0)</f>
        <v>0</v>
      </c>
      <c r="AG65" s="5">
        <f>IF(Table3[[#This Row],[Efficiency Difference]]*0.2146 -10 &gt; Table3[[#This Row],[Scoring Margin]], 1, 0)</f>
        <v>0</v>
      </c>
    </row>
    <row r="66" spans="2:33">
      <c r="B66" s="5">
        <v>12.850000000000023</v>
      </c>
      <c r="C66" s="5">
        <v>3</v>
      </c>
      <c r="X66" s="5">
        <v>12.850000000000023</v>
      </c>
      <c r="Y66" s="5">
        <v>3</v>
      </c>
      <c r="Z66" s="5">
        <f>IF(Table3[[#This Row],[Efficiency Difference]]*0.2146 &gt; Table3[[#This Row],[Scoring Margin]], 1, 0)</f>
        <v>0</v>
      </c>
      <c r="AA66" s="5">
        <f>IF(Table3[[#This Row],[Efficiency Difference]]*0.2146 + 7 &gt; Table3[[#This Row],[Scoring Margin]], 1, 0)</f>
        <v>1</v>
      </c>
      <c r="AB66" s="5">
        <f>IF(Table3[[#This Row],[Efficiency Difference]]*0.2146 + 14 &gt; Table3[[#This Row],[Scoring Margin]], 1, 0)</f>
        <v>1</v>
      </c>
      <c r="AC66" s="5">
        <f>IF(Table3[[#This Row],[Efficiency Difference]]*0.2146 + 21 &gt; Table3[[#This Row],[Scoring Margin]], 1, 0)</f>
        <v>1</v>
      </c>
      <c r="AD66" s="5">
        <f>IF(Table3[[#This Row],[Efficiency Difference]]*0.2146 -7 &gt; Table3[[#This Row],[Scoring Margin]], 1, 0)</f>
        <v>0</v>
      </c>
      <c r="AE66" s="5">
        <f>IF(Table3[[#This Row],[Efficiency Difference]]*0.2146 -3 &gt; Table3[[#This Row],[Scoring Margin]], 1, 0)</f>
        <v>0</v>
      </c>
      <c r="AF66" s="5">
        <f>IF(Table3[[#This Row],[Efficiency Difference]]*0.2146 -5 &gt; Table3[[#This Row],[Scoring Margin]], 1, 0)</f>
        <v>0</v>
      </c>
      <c r="AG66" s="5">
        <f>IF(Table3[[#This Row],[Efficiency Difference]]*0.2146 -10 &gt; Table3[[#This Row],[Scoring Margin]], 1, 0)</f>
        <v>0</v>
      </c>
    </row>
    <row r="67" spans="2:33">
      <c r="B67" s="5">
        <v>12.850000000000023</v>
      </c>
      <c r="C67" s="5">
        <v>3</v>
      </c>
      <c r="X67" s="5">
        <v>12.850000000000023</v>
      </c>
      <c r="Y67" s="5">
        <v>3</v>
      </c>
      <c r="Z67" s="5">
        <f>IF(Table3[[#This Row],[Efficiency Difference]]*0.2146 &gt; Table3[[#This Row],[Scoring Margin]], 1, 0)</f>
        <v>0</v>
      </c>
      <c r="AA67" s="5">
        <f>IF(Table3[[#This Row],[Efficiency Difference]]*0.2146 + 7 &gt; Table3[[#This Row],[Scoring Margin]], 1, 0)</f>
        <v>1</v>
      </c>
      <c r="AB67" s="5">
        <f>IF(Table3[[#This Row],[Efficiency Difference]]*0.2146 + 14 &gt; Table3[[#This Row],[Scoring Margin]], 1, 0)</f>
        <v>1</v>
      </c>
      <c r="AC67" s="5">
        <f>IF(Table3[[#This Row],[Efficiency Difference]]*0.2146 + 21 &gt; Table3[[#This Row],[Scoring Margin]], 1, 0)</f>
        <v>1</v>
      </c>
      <c r="AD67" s="5">
        <f>IF(Table3[[#This Row],[Efficiency Difference]]*0.2146 -7 &gt; Table3[[#This Row],[Scoring Margin]], 1, 0)</f>
        <v>0</v>
      </c>
      <c r="AE67" s="5">
        <f>IF(Table3[[#This Row],[Efficiency Difference]]*0.2146 -3 &gt; Table3[[#This Row],[Scoring Margin]], 1, 0)</f>
        <v>0</v>
      </c>
      <c r="AF67" s="5">
        <f>IF(Table3[[#This Row],[Efficiency Difference]]*0.2146 -5 &gt; Table3[[#This Row],[Scoring Margin]], 1, 0)</f>
        <v>0</v>
      </c>
      <c r="AG67" s="5">
        <f>IF(Table3[[#This Row],[Efficiency Difference]]*0.2146 -10 &gt; Table3[[#This Row],[Scoring Margin]], 1, 0)</f>
        <v>0</v>
      </c>
    </row>
    <row r="68" spans="2:33">
      <c r="B68" s="5">
        <v>16.590000000000003</v>
      </c>
      <c r="C68" s="5">
        <v>1</v>
      </c>
      <c r="X68" s="5">
        <v>16.590000000000003</v>
      </c>
      <c r="Y68" s="5">
        <v>1</v>
      </c>
      <c r="Z68" s="5">
        <f>IF(Table3[[#This Row],[Efficiency Difference]]*0.2146 &gt; Table3[[#This Row],[Scoring Margin]], 1, 0)</f>
        <v>1</v>
      </c>
      <c r="AA68" s="5">
        <f>IF(Table3[[#This Row],[Efficiency Difference]]*0.2146 + 7 &gt; Table3[[#This Row],[Scoring Margin]], 1, 0)</f>
        <v>1</v>
      </c>
      <c r="AB68" s="5">
        <f>IF(Table3[[#This Row],[Efficiency Difference]]*0.2146 + 14 &gt; Table3[[#This Row],[Scoring Margin]], 1, 0)</f>
        <v>1</v>
      </c>
      <c r="AC68" s="5">
        <f>IF(Table3[[#This Row],[Efficiency Difference]]*0.2146 + 21 &gt; Table3[[#This Row],[Scoring Margin]], 1, 0)</f>
        <v>1</v>
      </c>
      <c r="AD68" s="5">
        <f>IF(Table3[[#This Row],[Efficiency Difference]]*0.2146 -7 &gt; Table3[[#This Row],[Scoring Margin]], 1, 0)</f>
        <v>0</v>
      </c>
      <c r="AE68" s="5">
        <f>IF(Table3[[#This Row],[Efficiency Difference]]*0.2146 -3 &gt; Table3[[#This Row],[Scoring Margin]], 1, 0)</f>
        <v>0</v>
      </c>
      <c r="AF68" s="5">
        <f>IF(Table3[[#This Row],[Efficiency Difference]]*0.2146 -5 &gt; Table3[[#This Row],[Scoring Margin]], 1, 0)</f>
        <v>0</v>
      </c>
      <c r="AG68" s="5">
        <f>IF(Table3[[#This Row],[Efficiency Difference]]*0.2146 -10 &gt; Table3[[#This Row],[Scoring Margin]], 1, 0)</f>
        <v>0</v>
      </c>
    </row>
    <row r="69" spans="2:33">
      <c r="B69" s="5">
        <v>16.590000000000003</v>
      </c>
      <c r="C69" s="5">
        <v>1</v>
      </c>
      <c r="X69" s="5">
        <v>16.590000000000003</v>
      </c>
      <c r="Y69" s="5">
        <v>1</v>
      </c>
      <c r="Z69" s="5">
        <f>IF(Table3[[#This Row],[Efficiency Difference]]*0.2146 &gt; Table3[[#This Row],[Scoring Margin]], 1, 0)</f>
        <v>1</v>
      </c>
      <c r="AA69" s="5">
        <f>IF(Table3[[#This Row],[Efficiency Difference]]*0.2146 + 7 &gt; Table3[[#This Row],[Scoring Margin]], 1, 0)</f>
        <v>1</v>
      </c>
      <c r="AB69" s="5">
        <f>IF(Table3[[#This Row],[Efficiency Difference]]*0.2146 + 14 &gt; Table3[[#This Row],[Scoring Margin]], 1, 0)</f>
        <v>1</v>
      </c>
      <c r="AC69" s="5">
        <f>IF(Table3[[#This Row],[Efficiency Difference]]*0.2146 + 21 &gt; Table3[[#This Row],[Scoring Margin]], 1, 0)</f>
        <v>1</v>
      </c>
      <c r="AD69" s="5">
        <f>IF(Table3[[#This Row],[Efficiency Difference]]*0.2146 -7 &gt; Table3[[#This Row],[Scoring Margin]], 1, 0)</f>
        <v>0</v>
      </c>
      <c r="AE69" s="5">
        <f>IF(Table3[[#This Row],[Efficiency Difference]]*0.2146 -3 &gt; Table3[[#This Row],[Scoring Margin]], 1, 0)</f>
        <v>0</v>
      </c>
      <c r="AF69" s="5">
        <f>IF(Table3[[#This Row],[Efficiency Difference]]*0.2146 -5 &gt; Table3[[#This Row],[Scoring Margin]], 1, 0)</f>
        <v>0</v>
      </c>
      <c r="AG69" s="5">
        <f>IF(Table3[[#This Row],[Efficiency Difference]]*0.2146 -10 &gt; Table3[[#This Row],[Scoring Margin]], 1, 0)</f>
        <v>0</v>
      </c>
    </row>
    <row r="70" spans="2:33">
      <c r="B70" s="5">
        <v>2.9200000000000159</v>
      </c>
      <c r="C70" s="5">
        <v>5</v>
      </c>
      <c r="X70" s="5">
        <v>2.9200000000000159</v>
      </c>
      <c r="Y70" s="5">
        <v>5</v>
      </c>
      <c r="Z70" s="5">
        <f>IF(Table3[[#This Row],[Efficiency Difference]]*0.2146 &gt; Table3[[#This Row],[Scoring Margin]], 1, 0)</f>
        <v>0</v>
      </c>
      <c r="AA70" s="5">
        <f>IF(Table3[[#This Row],[Efficiency Difference]]*0.2146 + 7 &gt; Table3[[#This Row],[Scoring Margin]], 1, 0)</f>
        <v>1</v>
      </c>
      <c r="AB70" s="5">
        <f>IF(Table3[[#This Row],[Efficiency Difference]]*0.2146 + 14 &gt; Table3[[#This Row],[Scoring Margin]], 1, 0)</f>
        <v>1</v>
      </c>
      <c r="AC70" s="5">
        <f>IF(Table3[[#This Row],[Efficiency Difference]]*0.2146 + 21 &gt; Table3[[#This Row],[Scoring Margin]], 1, 0)</f>
        <v>1</v>
      </c>
      <c r="AD70" s="5">
        <f>IF(Table3[[#This Row],[Efficiency Difference]]*0.2146 -7 &gt; Table3[[#This Row],[Scoring Margin]], 1, 0)</f>
        <v>0</v>
      </c>
      <c r="AE70" s="5">
        <f>IF(Table3[[#This Row],[Efficiency Difference]]*0.2146 -3 &gt; Table3[[#This Row],[Scoring Margin]], 1, 0)</f>
        <v>0</v>
      </c>
      <c r="AF70" s="5">
        <f>IF(Table3[[#This Row],[Efficiency Difference]]*0.2146 -5 &gt; Table3[[#This Row],[Scoring Margin]], 1, 0)</f>
        <v>0</v>
      </c>
      <c r="AG70" s="5">
        <f>IF(Table3[[#This Row],[Efficiency Difference]]*0.2146 -10 &gt; Table3[[#This Row],[Scoring Margin]], 1, 0)</f>
        <v>0</v>
      </c>
    </row>
    <row r="71" spans="2:33">
      <c r="B71" s="5">
        <v>2.9199999999999875</v>
      </c>
      <c r="C71" s="5">
        <v>5</v>
      </c>
      <c r="X71" s="5">
        <v>2.9199999999999875</v>
      </c>
      <c r="Y71" s="5">
        <v>5</v>
      </c>
      <c r="Z71" s="5">
        <f>IF(Table3[[#This Row],[Efficiency Difference]]*0.2146 &gt; Table3[[#This Row],[Scoring Margin]], 1, 0)</f>
        <v>0</v>
      </c>
      <c r="AA71" s="5">
        <f>IF(Table3[[#This Row],[Efficiency Difference]]*0.2146 + 7 &gt; Table3[[#This Row],[Scoring Margin]], 1, 0)</f>
        <v>1</v>
      </c>
      <c r="AB71" s="5">
        <f>IF(Table3[[#This Row],[Efficiency Difference]]*0.2146 + 14 &gt; Table3[[#This Row],[Scoring Margin]], 1, 0)</f>
        <v>1</v>
      </c>
      <c r="AC71" s="5">
        <f>IF(Table3[[#This Row],[Efficiency Difference]]*0.2146 + 21 &gt; Table3[[#This Row],[Scoring Margin]], 1, 0)</f>
        <v>1</v>
      </c>
      <c r="AD71" s="5">
        <f>IF(Table3[[#This Row],[Efficiency Difference]]*0.2146 -7 &gt; Table3[[#This Row],[Scoring Margin]], 1, 0)</f>
        <v>0</v>
      </c>
      <c r="AE71" s="5">
        <f>IF(Table3[[#This Row],[Efficiency Difference]]*0.2146 -3 &gt; Table3[[#This Row],[Scoring Margin]], 1, 0)</f>
        <v>0</v>
      </c>
      <c r="AF71" s="5">
        <f>IF(Table3[[#This Row],[Efficiency Difference]]*0.2146 -5 &gt; Table3[[#This Row],[Scoring Margin]], 1, 0)</f>
        <v>0</v>
      </c>
      <c r="AG71" s="5">
        <f>IF(Table3[[#This Row],[Efficiency Difference]]*0.2146 -10 &gt; Table3[[#This Row],[Scoring Margin]], 1, 0)</f>
        <v>0</v>
      </c>
    </row>
    <row r="72" spans="2:33">
      <c r="B72" s="5">
        <v>92.579999999999984</v>
      </c>
      <c r="C72" s="5">
        <v>10</v>
      </c>
      <c r="X72" s="5">
        <v>92.579999999999984</v>
      </c>
      <c r="Y72" s="5">
        <v>10</v>
      </c>
      <c r="Z72" s="5">
        <f>IF(Table3[[#This Row],[Efficiency Difference]]*0.2146 &gt; Table3[[#This Row],[Scoring Margin]], 1, 0)</f>
        <v>1</v>
      </c>
      <c r="AA72" s="5">
        <f>IF(Table3[[#This Row],[Efficiency Difference]]*0.2146 + 7 &gt; Table3[[#This Row],[Scoring Margin]], 1, 0)</f>
        <v>1</v>
      </c>
      <c r="AB72" s="5">
        <f>IF(Table3[[#This Row],[Efficiency Difference]]*0.2146 + 14 &gt; Table3[[#This Row],[Scoring Margin]], 1, 0)</f>
        <v>1</v>
      </c>
      <c r="AC72" s="5">
        <f>IF(Table3[[#This Row],[Efficiency Difference]]*0.2146 + 21 &gt; Table3[[#This Row],[Scoring Margin]], 1, 0)</f>
        <v>1</v>
      </c>
      <c r="AD72" s="5">
        <f>IF(Table3[[#This Row],[Efficiency Difference]]*0.2146 -7 &gt; Table3[[#This Row],[Scoring Margin]], 1, 0)</f>
        <v>1</v>
      </c>
      <c r="AE72" s="5">
        <f>IF(Table3[[#This Row],[Efficiency Difference]]*0.2146 -3 &gt; Table3[[#This Row],[Scoring Margin]], 1, 0)</f>
        <v>1</v>
      </c>
      <c r="AF72" s="5">
        <f>IF(Table3[[#This Row],[Efficiency Difference]]*0.2146 -5 &gt; Table3[[#This Row],[Scoring Margin]], 1, 0)</f>
        <v>1</v>
      </c>
      <c r="AG72" s="5">
        <f>IF(Table3[[#This Row],[Efficiency Difference]]*0.2146 -10 &gt; Table3[[#This Row],[Scoring Margin]], 1, 0)</f>
        <v>0</v>
      </c>
    </row>
    <row r="73" spans="2:33">
      <c r="B73" s="5">
        <v>92.579999999999984</v>
      </c>
      <c r="C73" s="5">
        <v>10</v>
      </c>
      <c r="X73" s="5">
        <v>92.579999999999984</v>
      </c>
      <c r="Y73" s="5">
        <v>10</v>
      </c>
      <c r="Z73" s="5">
        <f>IF(Table3[[#This Row],[Efficiency Difference]]*0.2146 &gt; Table3[[#This Row],[Scoring Margin]], 1, 0)</f>
        <v>1</v>
      </c>
      <c r="AA73" s="5">
        <f>IF(Table3[[#This Row],[Efficiency Difference]]*0.2146 + 7 &gt; Table3[[#This Row],[Scoring Margin]], 1, 0)</f>
        <v>1</v>
      </c>
      <c r="AB73" s="5">
        <f>IF(Table3[[#This Row],[Efficiency Difference]]*0.2146 + 14 &gt; Table3[[#This Row],[Scoring Margin]], 1, 0)</f>
        <v>1</v>
      </c>
      <c r="AC73" s="5">
        <f>IF(Table3[[#This Row],[Efficiency Difference]]*0.2146 + 21 &gt; Table3[[#This Row],[Scoring Margin]], 1, 0)</f>
        <v>1</v>
      </c>
      <c r="AD73" s="5">
        <f>IF(Table3[[#This Row],[Efficiency Difference]]*0.2146 -7 &gt; Table3[[#This Row],[Scoring Margin]], 1, 0)</f>
        <v>1</v>
      </c>
      <c r="AE73" s="5">
        <f>IF(Table3[[#This Row],[Efficiency Difference]]*0.2146 -3 &gt; Table3[[#This Row],[Scoring Margin]], 1, 0)</f>
        <v>1</v>
      </c>
      <c r="AF73" s="5">
        <f>IF(Table3[[#This Row],[Efficiency Difference]]*0.2146 -5 &gt; Table3[[#This Row],[Scoring Margin]], 1, 0)</f>
        <v>1</v>
      </c>
      <c r="AG73" s="5">
        <f>IF(Table3[[#This Row],[Efficiency Difference]]*0.2146 -10 &gt; Table3[[#This Row],[Scoring Margin]], 1, 0)</f>
        <v>0</v>
      </c>
    </row>
    <row r="74" spans="2:33">
      <c r="B74" s="5">
        <v>91.52000000000001</v>
      </c>
      <c r="C74" s="5">
        <v>30</v>
      </c>
      <c r="X74" s="5">
        <v>91.52000000000001</v>
      </c>
      <c r="Y74" s="5">
        <v>30</v>
      </c>
      <c r="Z74" s="5">
        <f>IF(Table3[[#This Row],[Efficiency Difference]]*0.2146 &gt; Table3[[#This Row],[Scoring Margin]], 1, 0)</f>
        <v>0</v>
      </c>
      <c r="AA74" s="5">
        <f>IF(Table3[[#This Row],[Efficiency Difference]]*0.2146 + 7 &gt; Table3[[#This Row],[Scoring Margin]], 1, 0)</f>
        <v>0</v>
      </c>
      <c r="AB74" s="5">
        <f>IF(Table3[[#This Row],[Efficiency Difference]]*0.2146 + 14 &gt; Table3[[#This Row],[Scoring Margin]], 1, 0)</f>
        <v>1</v>
      </c>
      <c r="AC74" s="5">
        <f>IF(Table3[[#This Row],[Efficiency Difference]]*0.2146 + 21 &gt; Table3[[#This Row],[Scoring Margin]], 1, 0)</f>
        <v>1</v>
      </c>
      <c r="AD74" s="5">
        <f>IF(Table3[[#This Row],[Efficiency Difference]]*0.2146 -7 &gt; Table3[[#This Row],[Scoring Margin]], 1, 0)</f>
        <v>0</v>
      </c>
      <c r="AE74" s="5">
        <f>IF(Table3[[#This Row],[Efficiency Difference]]*0.2146 -3 &gt; Table3[[#This Row],[Scoring Margin]], 1, 0)</f>
        <v>0</v>
      </c>
      <c r="AF74" s="5">
        <f>IF(Table3[[#This Row],[Efficiency Difference]]*0.2146 -5 &gt; Table3[[#This Row],[Scoring Margin]], 1, 0)</f>
        <v>0</v>
      </c>
      <c r="AG74" s="5">
        <f>IF(Table3[[#This Row],[Efficiency Difference]]*0.2146 -10 &gt; Table3[[#This Row],[Scoring Margin]], 1, 0)</f>
        <v>0</v>
      </c>
    </row>
    <row r="75" spans="2:33">
      <c r="B75" s="5">
        <v>91.519999999999982</v>
      </c>
      <c r="C75" s="5">
        <v>30</v>
      </c>
      <c r="X75" s="5">
        <v>91.519999999999982</v>
      </c>
      <c r="Y75" s="5">
        <v>30</v>
      </c>
      <c r="Z75" s="5">
        <f>IF(Table3[[#This Row],[Efficiency Difference]]*0.2146 &gt; Table3[[#This Row],[Scoring Margin]], 1, 0)</f>
        <v>0</v>
      </c>
      <c r="AA75" s="5">
        <f>IF(Table3[[#This Row],[Efficiency Difference]]*0.2146 + 7 &gt; Table3[[#This Row],[Scoring Margin]], 1, 0)</f>
        <v>0</v>
      </c>
      <c r="AB75" s="5">
        <f>IF(Table3[[#This Row],[Efficiency Difference]]*0.2146 + 14 &gt; Table3[[#This Row],[Scoring Margin]], 1, 0)</f>
        <v>1</v>
      </c>
      <c r="AC75" s="5">
        <f>IF(Table3[[#This Row],[Efficiency Difference]]*0.2146 + 21 &gt; Table3[[#This Row],[Scoring Margin]], 1, 0)</f>
        <v>1</v>
      </c>
      <c r="AD75" s="5">
        <f>IF(Table3[[#This Row],[Efficiency Difference]]*0.2146 -7 &gt; Table3[[#This Row],[Scoring Margin]], 1, 0)</f>
        <v>0</v>
      </c>
      <c r="AE75" s="5">
        <f>IF(Table3[[#This Row],[Efficiency Difference]]*0.2146 -3 &gt; Table3[[#This Row],[Scoring Margin]], 1, 0)</f>
        <v>0</v>
      </c>
      <c r="AF75" s="5">
        <f>IF(Table3[[#This Row],[Efficiency Difference]]*0.2146 -5 &gt; Table3[[#This Row],[Scoring Margin]], 1, 0)</f>
        <v>0</v>
      </c>
      <c r="AG75" s="5">
        <f>IF(Table3[[#This Row],[Efficiency Difference]]*0.2146 -10 &gt; Table3[[#This Row],[Scoring Margin]], 1, 0)</f>
        <v>0</v>
      </c>
    </row>
    <row r="76" spans="2:33">
      <c r="B76" s="5">
        <v>5.5900000000000318</v>
      </c>
      <c r="C76" s="5">
        <v>3</v>
      </c>
      <c r="X76" s="5">
        <v>5.5900000000000318</v>
      </c>
      <c r="Y76" s="5">
        <v>3</v>
      </c>
      <c r="Z76" s="5">
        <f>IF(Table3[[#This Row],[Efficiency Difference]]*0.2146 &gt; Table3[[#This Row],[Scoring Margin]], 1, 0)</f>
        <v>0</v>
      </c>
      <c r="AA76" s="5">
        <f>IF(Table3[[#This Row],[Efficiency Difference]]*0.2146 + 7 &gt; Table3[[#This Row],[Scoring Margin]], 1, 0)</f>
        <v>1</v>
      </c>
      <c r="AB76" s="5">
        <f>IF(Table3[[#This Row],[Efficiency Difference]]*0.2146 + 14 &gt; Table3[[#This Row],[Scoring Margin]], 1, 0)</f>
        <v>1</v>
      </c>
      <c r="AC76" s="5">
        <f>IF(Table3[[#This Row],[Efficiency Difference]]*0.2146 + 21 &gt; Table3[[#This Row],[Scoring Margin]], 1, 0)</f>
        <v>1</v>
      </c>
      <c r="AD76" s="5">
        <f>IF(Table3[[#This Row],[Efficiency Difference]]*0.2146 -7 &gt; Table3[[#This Row],[Scoring Margin]], 1, 0)</f>
        <v>0</v>
      </c>
      <c r="AE76" s="5">
        <f>IF(Table3[[#This Row],[Efficiency Difference]]*0.2146 -3 &gt; Table3[[#This Row],[Scoring Margin]], 1, 0)</f>
        <v>0</v>
      </c>
      <c r="AF76" s="5">
        <f>IF(Table3[[#This Row],[Efficiency Difference]]*0.2146 -5 &gt; Table3[[#This Row],[Scoring Margin]], 1, 0)</f>
        <v>0</v>
      </c>
      <c r="AG76" s="5">
        <f>IF(Table3[[#This Row],[Efficiency Difference]]*0.2146 -10 &gt; Table3[[#This Row],[Scoring Margin]], 1, 0)</f>
        <v>0</v>
      </c>
    </row>
    <row r="77" spans="2:33">
      <c r="B77" s="5">
        <v>5.5900000000000318</v>
      </c>
      <c r="C77" s="5">
        <v>3</v>
      </c>
      <c r="X77" s="5">
        <v>5.5900000000000318</v>
      </c>
      <c r="Y77" s="5">
        <v>3</v>
      </c>
      <c r="Z77" s="5">
        <f>IF(Table3[[#This Row],[Efficiency Difference]]*0.2146 &gt; Table3[[#This Row],[Scoring Margin]], 1, 0)</f>
        <v>0</v>
      </c>
      <c r="AA77" s="5">
        <f>IF(Table3[[#This Row],[Efficiency Difference]]*0.2146 + 7 &gt; Table3[[#This Row],[Scoring Margin]], 1, 0)</f>
        <v>1</v>
      </c>
      <c r="AB77" s="5">
        <f>IF(Table3[[#This Row],[Efficiency Difference]]*0.2146 + 14 &gt; Table3[[#This Row],[Scoring Margin]], 1, 0)</f>
        <v>1</v>
      </c>
      <c r="AC77" s="5">
        <f>IF(Table3[[#This Row],[Efficiency Difference]]*0.2146 + 21 &gt; Table3[[#This Row],[Scoring Margin]], 1, 0)</f>
        <v>1</v>
      </c>
      <c r="AD77" s="5">
        <f>IF(Table3[[#This Row],[Efficiency Difference]]*0.2146 -7 &gt; Table3[[#This Row],[Scoring Margin]], 1, 0)</f>
        <v>0</v>
      </c>
      <c r="AE77" s="5">
        <f>IF(Table3[[#This Row],[Efficiency Difference]]*0.2146 -3 &gt; Table3[[#This Row],[Scoring Margin]], 1, 0)</f>
        <v>0</v>
      </c>
      <c r="AF77" s="5">
        <f>IF(Table3[[#This Row],[Efficiency Difference]]*0.2146 -5 &gt; Table3[[#This Row],[Scoring Margin]], 1, 0)</f>
        <v>0</v>
      </c>
      <c r="AG77" s="5">
        <f>IF(Table3[[#This Row],[Efficiency Difference]]*0.2146 -10 &gt; Table3[[#This Row],[Scoring Margin]], 1, 0)</f>
        <v>0</v>
      </c>
    </row>
    <row r="78" spans="2:33">
      <c r="B78" s="5">
        <v>66.199999999999989</v>
      </c>
      <c r="C78" s="5">
        <v>3</v>
      </c>
      <c r="X78" s="5">
        <v>66.199999999999989</v>
      </c>
      <c r="Y78" s="5">
        <v>3</v>
      </c>
      <c r="Z78" s="5">
        <f>IF(Table3[[#This Row],[Efficiency Difference]]*0.2146 &gt; Table3[[#This Row],[Scoring Margin]], 1, 0)</f>
        <v>1</v>
      </c>
      <c r="AA78" s="5">
        <f>IF(Table3[[#This Row],[Efficiency Difference]]*0.2146 + 7 &gt; Table3[[#This Row],[Scoring Margin]], 1, 0)</f>
        <v>1</v>
      </c>
      <c r="AB78" s="5">
        <f>IF(Table3[[#This Row],[Efficiency Difference]]*0.2146 + 14 &gt; Table3[[#This Row],[Scoring Margin]], 1, 0)</f>
        <v>1</v>
      </c>
      <c r="AC78" s="5">
        <f>IF(Table3[[#This Row],[Efficiency Difference]]*0.2146 + 21 &gt; Table3[[#This Row],[Scoring Margin]], 1, 0)</f>
        <v>1</v>
      </c>
      <c r="AD78" s="5">
        <f>IF(Table3[[#This Row],[Efficiency Difference]]*0.2146 -7 &gt; Table3[[#This Row],[Scoring Margin]], 1, 0)</f>
        <v>1</v>
      </c>
      <c r="AE78" s="5">
        <f>IF(Table3[[#This Row],[Efficiency Difference]]*0.2146 -3 &gt; Table3[[#This Row],[Scoring Margin]], 1, 0)</f>
        <v>1</v>
      </c>
      <c r="AF78" s="5">
        <f>IF(Table3[[#This Row],[Efficiency Difference]]*0.2146 -5 &gt; Table3[[#This Row],[Scoring Margin]], 1, 0)</f>
        <v>1</v>
      </c>
      <c r="AG78" s="5">
        <f>IF(Table3[[#This Row],[Efficiency Difference]]*0.2146 -10 &gt; Table3[[#This Row],[Scoring Margin]], 1, 0)</f>
        <v>1</v>
      </c>
    </row>
    <row r="79" spans="2:33">
      <c r="B79" s="5">
        <v>66.199999999999989</v>
      </c>
      <c r="C79" s="5">
        <v>3</v>
      </c>
      <c r="X79" s="5">
        <v>66.199999999999989</v>
      </c>
      <c r="Y79" s="5">
        <v>3</v>
      </c>
      <c r="Z79" s="5">
        <f>IF(Table3[[#This Row],[Efficiency Difference]]*0.2146 &gt; Table3[[#This Row],[Scoring Margin]], 1, 0)</f>
        <v>1</v>
      </c>
      <c r="AA79" s="5">
        <f>IF(Table3[[#This Row],[Efficiency Difference]]*0.2146 + 7 &gt; Table3[[#This Row],[Scoring Margin]], 1, 0)</f>
        <v>1</v>
      </c>
      <c r="AB79" s="5">
        <f>IF(Table3[[#This Row],[Efficiency Difference]]*0.2146 + 14 &gt; Table3[[#This Row],[Scoring Margin]], 1, 0)</f>
        <v>1</v>
      </c>
      <c r="AC79" s="5">
        <f>IF(Table3[[#This Row],[Efficiency Difference]]*0.2146 + 21 &gt; Table3[[#This Row],[Scoring Margin]], 1, 0)</f>
        <v>1</v>
      </c>
      <c r="AD79" s="5">
        <f>IF(Table3[[#This Row],[Efficiency Difference]]*0.2146 -7 &gt; Table3[[#This Row],[Scoring Margin]], 1, 0)</f>
        <v>1</v>
      </c>
      <c r="AE79" s="5">
        <f>IF(Table3[[#This Row],[Efficiency Difference]]*0.2146 -3 &gt; Table3[[#This Row],[Scoring Margin]], 1, 0)</f>
        <v>1</v>
      </c>
      <c r="AF79" s="5">
        <f>IF(Table3[[#This Row],[Efficiency Difference]]*0.2146 -5 &gt; Table3[[#This Row],[Scoring Margin]], 1, 0)</f>
        <v>1</v>
      </c>
      <c r="AG79" s="5">
        <f>IF(Table3[[#This Row],[Efficiency Difference]]*0.2146 -10 &gt; Table3[[#This Row],[Scoring Margin]], 1, 0)</f>
        <v>1</v>
      </c>
    </row>
    <row r="80" spans="2:33">
      <c r="B80" s="5">
        <v>12.340000000000003</v>
      </c>
      <c r="C80" s="5">
        <v>3</v>
      </c>
      <c r="X80" s="5">
        <v>12.340000000000003</v>
      </c>
      <c r="Y80" s="5">
        <v>3</v>
      </c>
      <c r="Z80" s="5">
        <f>IF(Table3[[#This Row],[Efficiency Difference]]*0.2146 &gt; Table3[[#This Row],[Scoring Margin]], 1, 0)</f>
        <v>0</v>
      </c>
      <c r="AA80" s="5">
        <f>IF(Table3[[#This Row],[Efficiency Difference]]*0.2146 + 7 &gt; Table3[[#This Row],[Scoring Margin]], 1, 0)</f>
        <v>1</v>
      </c>
      <c r="AB80" s="5">
        <f>IF(Table3[[#This Row],[Efficiency Difference]]*0.2146 + 14 &gt; Table3[[#This Row],[Scoring Margin]], 1, 0)</f>
        <v>1</v>
      </c>
      <c r="AC80" s="5">
        <f>IF(Table3[[#This Row],[Efficiency Difference]]*0.2146 + 21 &gt; Table3[[#This Row],[Scoring Margin]], 1, 0)</f>
        <v>1</v>
      </c>
      <c r="AD80" s="5">
        <f>IF(Table3[[#This Row],[Efficiency Difference]]*0.2146 -7 &gt; Table3[[#This Row],[Scoring Margin]], 1, 0)</f>
        <v>0</v>
      </c>
      <c r="AE80" s="5">
        <f>IF(Table3[[#This Row],[Efficiency Difference]]*0.2146 -3 &gt; Table3[[#This Row],[Scoring Margin]], 1, 0)</f>
        <v>0</v>
      </c>
      <c r="AF80" s="5">
        <f>IF(Table3[[#This Row],[Efficiency Difference]]*0.2146 -5 &gt; Table3[[#This Row],[Scoring Margin]], 1, 0)</f>
        <v>0</v>
      </c>
      <c r="AG80" s="5">
        <f>IF(Table3[[#This Row],[Efficiency Difference]]*0.2146 -10 &gt; Table3[[#This Row],[Scoring Margin]], 1, 0)</f>
        <v>0</v>
      </c>
    </row>
    <row r="81" spans="2:33">
      <c r="B81" s="5">
        <v>12.340000000000003</v>
      </c>
      <c r="C81" s="5">
        <v>3</v>
      </c>
      <c r="X81" s="5">
        <v>12.340000000000003</v>
      </c>
      <c r="Y81" s="5">
        <v>3</v>
      </c>
      <c r="Z81" s="5">
        <f>IF(Table3[[#This Row],[Efficiency Difference]]*0.2146 &gt; Table3[[#This Row],[Scoring Margin]], 1, 0)</f>
        <v>0</v>
      </c>
      <c r="AA81" s="5">
        <f>IF(Table3[[#This Row],[Efficiency Difference]]*0.2146 + 7 &gt; Table3[[#This Row],[Scoring Margin]], 1, 0)</f>
        <v>1</v>
      </c>
      <c r="AB81" s="5">
        <f>IF(Table3[[#This Row],[Efficiency Difference]]*0.2146 + 14 &gt; Table3[[#This Row],[Scoring Margin]], 1, 0)</f>
        <v>1</v>
      </c>
      <c r="AC81" s="5">
        <f>IF(Table3[[#This Row],[Efficiency Difference]]*0.2146 + 21 &gt; Table3[[#This Row],[Scoring Margin]], 1, 0)</f>
        <v>1</v>
      </c>
      <c r="AD81" s="5">
        <f>IF(Table3[[#This Row],[Efficiency Difference]]*0.2146 -7 &gt; Table3[[#This Row],[Scoring Margin]], 1, 0)</f>
        <v>0</v>
      </c>
      <c r="AE81" s="5">
        <f>IF(Table3[[#This Row],[Efficiency Difference]]*0.2146 -3 &gt; Table3[[#This Row],[Scoring Margin]], 1, 0)</f>
        <v>0</v>
      </c>
      <c r="AF81" s="5">
        <f>IF(Table3[[#This Row],[Efficiency Difference]]*0.2146 -5 &gt; Table3[[#This Row],[Scoring Margin]], 1, 0)</f>
        <v>0</v>
      </c>
      <c r="AG81" s="5">
        <f>IF(Table3[[#This Row],[Efficiency Difference]]*0.2146 -10 &gt; Table3[[#This Row],[Scoring Margin]], 1, 0)</f>
        <v>0</v>
      </c>
    </row>
    <row r="82" spans="2:33">
      <c r="B82" s="5">
        <v>16.810000000000002</v>
      </c>
      <c r="C82" s="5">
        <v>3</v>
      </c>
      <c r="X82" s="5">
        <v>16.810000000000002</v>
      </c>
      <c r="Y82" s="5">
        <v>3</v>
      </c>
      <c r="Z82" s="5">
        <f>IF(Table3[[#This Row],[Efficiency Difference]]*0.2146 &gt; Table3[[#This Row],[Scoring Margin]], 1, 0)</f>
        <v>1</v>
      </c>
      <c r="AA82" s="5">
        <f>IF(Table3[[#This Row],[Efficiency Difference]]*0.2146 + 7 &gt; Table3[[#This Row],[Scoring Margin]], 1, 0)</f>
        <v>1</v>
      </c>
      <c r="AB82" s="5">
        <f>IF(Table3[[#This Row],[Efficiency Difference]]*0.2146 + 14 &gt; Table3[[#This Row],[Scoring Margin]], 1, 0)</f>
        <v>1</v>
      </c>
      <c r="AC82" s="5">
        <f>IF(Table3[[#This Row],[Efficiency Difference]]*0.2146 + 21 &gt; Table3[[#This Row],[Scoring Margin]], 1, 0)</f>
        <v>1</v>
      </c>
      <c r="AD82" s="5">
        <f>IF(Table3[[#This Row],[Efficiency Difference]]*0.2146 -7 &gt; Table3[[#This Row],[Scoring Margin]], 1, 0)</f>
        <v>0</v>
      </c>
      <c r="AE82" s="5">
        <f>IF(Table3[[#This Row],[Efficiency Difference]]*0.2146 -3 &gt; Table3[[#This Row],[Scoring Margin]], 1, 0)</f>
        <v>0</v>
      </c>
      <c r="AF82" s="5">
        <f>IF(Table3[[#This Row],[Efficiency Difference]]*0.2146 -5 &gt; Table3[[#This Row],[Scoring Margin]], 1, 0)</f>
        <v>0</v>
      </c>
      <c r="AG82" s="5">
        <f>IF(Table3[[#This Row],[Efficiency Difference]]*0.2146 -10 &gt; Table3[[#This Row],[Scoring Margin]], 1, 0)</f>
        <v>0</v>
      </c>
    </row>
    <row r="83" spans="2:33">
      <c r="B83" s="5">
        <v>16.810000000000002</v>
      </c>
      <c r="C83" s="5">
        <v>3</v>
      </c>
      <c r="X83" s="5">
        <v>16.810000000000002</v>
      </c>
      <c r="Y83" s="5">
        <v>3</v>
      </c>
      <c r="Z83" s="5">
        <f>IF(Table3[[#This Row],[Efficiency Difference]]*0.2146 &gt; Table3[[#This Row],[Scoring Margin]], 1, 0)</f>
        <v>1</v>
      </c>
      <c r="AA83" s="5">
        <f>IF(Table3[[#This Row],[Efficiency Difference]]*0.2146 + 7 &gt; Table3[[#This Row],[Scoring Margin]], 1, 0)</f>
        <v>1</v>
      </c>
      <c r="AB83" s="5">
        <f>IF(Table3[[#This Row],[Efficiency Difference]]*0.2146 + 14 &gt; Table3[[#This Row],[Scoring Margin]], 1, 0)</f>
        <v>1</v>
      </c>
      <c r="AC83" s="5">
        <f>IF(Table3[[#This Row],[Efficiency Difference]]*0.2146 + 21 &gt; Table3[[#This Row],[Scoring Margin]], 1, 0)</f>
        <v>1</v>
      </c>
      <c r="AD83" s="5">
        <f>IF(Table3[[#This Row],[Efficiency Difference]]*0.2146 -7 &gt; Table3[[#This Row],[Scoring Margin]], 1, 0)</f>
        <v>0</v>
      </c>
      <c r="AE83" s="5">
        <f>IF(Table3[[#This Row],[Efficiency Difference]]*0.2146 -3 &gt; Table3[[#This Row],[Scoring Margin]], 1, 0)</f>
        <v>0</v>
      </c>
      <c r="AF83" s="5">
        <f>IF(Table3[[#This Row],[Efficiency Difference]]*0.2146 -5 &gt; Table3[[#This Row],[Scoring Margin]], 1, 0)</f>
        <v>0</v>
      </c>
      <c r="AG83" s="5">
        <f>IF(Table3[[#This Row],[Efficiency Difference]]*0.2146 -10 &gt; Table3[[#This Row],[Scoring Margin]], 1, 0)</f>
        <v>0</v>
      </c>
    </row>
    <row r="84" spans="2:33">
      <c r="B84" s="5">
        <v>45.990000000000009</v>
      </c>
      <c r="C84" s="5">
        <v>2</v>
      </c>
      <c r="X84" s="5">
        <v>45.990000000000009</v>
      </c>
      <c r="Y84" s="5">
        <v>2</v>
      </c>
      <c r="Z84" s="5">
        <f>IF(Table3[[#This Row],[Efficiency Difference]]*0.2146 &gt; Table3[[#This Row],[Scoring Margin]], 1, 0)</f>
        <v>1</v>
      </c>
      <c r="AA84" s="5">
        <f>IF(Table3[[#This Row],[Efficiency Difference]]*0.2146 + 7 &gt; Table3[[#This Row],[Scoring Margin]], 1, 0)</f>
        <v>1</v>
      </c>
      <c r="AB84" s="5">
        <f>IF(Table3[[#This Row],[Efficiency Difference]]*0.2146 + 14 &gt; Table3[[#This Row],[Scoring Margin]], 1, 0)</f>
        <v>1</v>
      </c>
      <c r="AC84" s="5">
        <f>IF(Table3[[#This Row],[Efficiency Difference]]*0.2146 + 21 &gt; Table3[[#This Row],[Scoring Margin]], 1, 0)</f>
        <v>1</v>
      </c>
      <c r="AD84" s="5">
        <f>IF(Table3[[#This Row],[Efficiency Difference]]*0.2146 -7 &gt; Table3[[#This Row],[Scoring Margin]], 1, 0)</f>
        <v>1</v>
      </c>
      <c r="AE84" s="5">
        <f>IF(Table3[[#This Row],[Efficiency Difference]]*0.2146 -3 &gt; Table3[[#This Row],[Scoring Margin]], 1, 0)</f>
        <v>1</v>
      </c>
      <c r="AF84" s="5">
        <f>IF(Table3[[#This Row],[Efficiency Difference]]*0.2146 -5 &gt; Table3[[#This Row],[Scoring Margin]], 1, 0)</f>
        <v>1</v>
      </c>
      <c r="AG84" s="5">
        <f>IF(Table3[[#This Row],[Efficiency Difference]]*0.2146 -10 &gt; Table3[[#This Row],[Scoring Margin]], 1, 0)</f>
        <v>0</v>
      </c>
    </row>
    <row r="85" spans="2:33">
      <c r="B85" s="5">
        <v>45.990000000000009</v>
      </c>
      <c r="C85" s="5">
        <v>2</v>
      </c>
      <c r="X85" s="5">
        <v>45.990000000000009</v>
      </c>
      <c r="Y85" s="5">
        <v>2</v>
      </c>
      <c r="Z85" s="5">
        <f>IF(Table3[[#This Row],[Efficiency Difference]]*0.2146 &gt; Table3[[#This Row],[Scoring Margin]], 1, 0)</f>
        <v>1</v>
      </c>
      <c r="AA85" s="5">
        <f>IF(Table3[[#This Row],[Efficiency Difference]]*0.2146 + 7 &gt; Table3[[#This Row],[Scoring Margin]], 1, 0)</f>
        <v>1</v>
      </c>
      <c r="AB85" s="5">
        <f>IF(Table3[[#This Row],[Efficiency Difference]]*0.2146 + 14 &gt; Table3[[#This Row],[Scoring Margin]], 1, 0)</f>
        <v>1</v>
      </c>
      <c r="AC85" s="5">
        <f>IF(Table3[[#This Row],[Efficiency Difference]]*0.2146 + 21 &gt; Table3[[#This Row],[Scoring Margin]], 1, 0)</f>
        <v>1</v>
      </c>
      <c r="AD85" s="5">
        <f>IF(Table3[[#This Row],[Efficiency Difference]]*0.2146 -7 &gt; Table3[[#This Row],[Scoring Margin]], 1, 0)</f>
        <v>1</v>
      </c>
      <c r="AE85" s="5">
        <f>IF(Table3[[#This Row],[Efficiency Difference]]*0.2146 -3 &gt; Table3[[#This Row],[Scoring Margin]], 1, 0)</f>
        <v>1</v>
      </c>
      <c r="AF85" s="5">
        <f>IF(Table3[[#This Row],[Efficiency Difference]]*0.2146 -5 &gt; Table3[[#This Row],[Scoring Margin]], 1, 0)</f>
        <v>1</v>
      </c>
      <c r="AG85" s="5">
        <f>IF(Table3[[#This Row],[Efficiency Difference]]*0.2146 -10 &gt; Table3[[#This Row],[Scoring Margin]], 1, 0)</f>
        <v>0</v>
      </c>
    </row>
    <row r="86" spans="2:33">
      <c r="B86" s="5">
        <v>31.849999999999966</v>
      </c>
      <c r="C86" s="5">
        <v>4</v>
      </c>
      <c r="X86" s="5">
        <v>31.849999999999966</v>
      </c>
      <c r="Y86" s="5">
        <v>4</v>
      </c>
      <c r="Z86" s="5">
        <f>IF(Table3[[#This Row],[Efficiency Difference]]*0.2146 &gt; Table3[[#This Row],[Scoring Margin]], 1, 0)</f>
        <v>1</v>
      </c>
      <c r="AA86" s="5">
        <f>IF(Table3[[#This Row],[Efficiency Difference]]*0.2146 + 7 &gt; Table3[[#This Row],[Scoring Margin]], 1, 0)</f>
        <v>1</v>
      </c>
      <c r="AB86" s="5">
        <f>IF(Table3[[#This Row],[Efficiency Difference]]*0.2146 + 14 &gt; Table3[[#This Row],[Scoring Margin]], 1, 0)</f>
        <v>1</v>
      </c>
      <c r="AC86" s="5">
        <f>IF(Table3[[#This Row],[Efficiency Difference]]*0.2146 + 21 &gt; Table3[[#This Row],[Scoring Margin]], 1, 0)</f>
        <v>1</v>
      </c>
      <c r="AD86" s="5">
        <f>IF(Table3[[#This Row],[Efficiency Difference]]*0.2146 -7 &gt; Table3[[#This Row],[Scoring Margin]], 1, 0)</f>
        <v>0</v>
      </c>
      <c r="AE86" s="5">
        <f>IF(Table3[[#This Row],[Efficiency Difference]]*0.2146 -3 &gt; Table3[[#This Row],[Scoring Margin]], 1, 0)</f>
        <v>0</v>
      </c>
      <c r="AF86" s="5">
        <f>IF(Table3[[#This Row],[Efficiency Difference]]*0.2146 -5 &gt; Table3[[#This Row],[Scoring Margin]], 1, 0)</f>
        <v>0</v>
      </c>
      <c r="AG86" s="5">
        <f>IF(Table3[[#This Row],[Efficiency Difference]]*0.2146 -10 &gt; Table3[[#This Row],[Scoring Margin]], 1, 0)</f>
        <v>0</v>
      </c>
    </row>
    <row r="87" spans="2:33">
      <c r="B87" s="5">
        <v>31.849999999999966</v>
      </c>
      <c r="C87" s="5">
        <v>4</v>
      </c>
      <c r="X87" s="5">
        <v>31.849999999999966</v>
      </c>
      <c r="Y87" s="5">
        <v>4</v>
      </c>
      <c r="Z87" s="5">
        <f>IF(Table3[[#This Row],[Efficiency Difference]]*0.2146 &gt; Table3[[#This Row],[Scoring Margin]], 1, 0)</f>
        <v>1</v>
      </c>
      <c r="AA87" s="5">
        <f>IF(Table3[[#This Row],[Efficiency Difference]]*0.2146 + 7 &gt; Table3[[#This Row],[Scoring Margin]], 1, 0)</f>
        <v>1</v>
      </c>
      <c r="AB87" s="5">
        <f>IF(Table3[[#This Row],[Efficiency Difference]]*0.2146 + 14 &gt; Table3[[#This Row],[Scoring Margin]], 1, 0)</f>
        <v>1</v>
      </c>
      <c r="AC87" s="5">
        <f>IF(Table3[[#This Row],[Efficiency Difference]]*0.2146 + 21 &gt; Table3[[#This Row],[Scoring Margin]], 1, 0)</f>
        <v>1</v>
      </c>
      <c r="AD87" s="5">
        <f>IF(Table3[[#This Row],[Efficiency Difference]]*0.2146 -7 &gt; Table3[[#This Row],[Scoring Margin]], 1, 0)</f>
        <v>0</v>
      </c>
      <c r="AE87" s="5">
        <f>IF(Table3[[#This Row],[Efficiency Difference]]*0.2146 -3 &gt; Table3[[#This Row],[Scoring Margin]], 1, 0)</f>
        <v>0</v>
      </c>
      <c r="AF87" s="5">
        <f>IF(Table3[[#This Row],[Efficiency Difference]]*0.2146 -5 &gt; Table3[[#This Row],[Scoring Margin]], 1, 0)</f>
        <v>0</v>
      </c>
      <c r="AG87" s="5">
        <f>IF(Table3[[#This Row],[Efficiency Difference]]*0.2146 -10 &gt; Table3[[#This Row],[Scoring Margin]], 1, 0)</f>
        <v>0</v>
      </c>
    </row>
    <row r="88" spans="2:33">
      <c r="B88" s="5">
        <v>19.660000000000025</v>
      </c>
      <c r="C88" s="5">
        <v>5</v>
      </c>
      <c r="X88" s="5">
        <v>19.660000000000025</v>
      </c>
      <c r="Y88" s="5">
        <v>5</v>
      </c>
      <c r="Z88" s="5">
        <f>IF(Table3[[#This Row],[Efficiency Difference]]*0.2146 &gt; Table3[[#This Row],[Scoring Margin]], 1, 0)</f>
        <v>0</v>
      </c>
      <c r="AA88" s="5">
        <f>IF(Table3[[#This Row],[Efficiency Difference]]*0.2146 + 7 &gt; Table3[[#This Row],[Scoring Margin]], 1, 0)</f>
        <v>1</v>
      </c>
      <c r="AB88" s="5">
        <f>IF(Table3[[#This Row],[Efficiency Difference]]*0.2146 + 14 &gt; Table3[[#This Row],[Scoring Margin]], 1, 0)</f>
        <v>1</v>
      </c>
      <c r="AC88" s="5">
        <f>IF(Table3[[#This Row],[Efficiency Difference]]*0.2146 + 21 &gt; Table3[[#This Row],[Scoring Margin]], 1, 0)</f>
        <v>1</v>
      </c>
      <c r="AD88" s="5">
        <f>IF(Table3[[#This Row],[Efficiency Difference]]*0.2146 -7 &gt; Table3[[#This Row],[Scoring Margin]], 1, 0)</f>
        <v>0</v>
      </c>
      <c r="AE88" s="5">
        <f>IF(Table3[[#This Row],[Efficiency Difference]]*0.2146 -3 &gt; Table3[[#This Row],[Scoring Margin]], 1, 0)</f>
        <v>0</v>
      </c>
      <c r="AF88" s="5">
        <f>IF(Table3[[#This Row],[Efficiency Difference]]*0.2146 -5 &gt; Table3[[#This Row],[Scoring Margin]], 1, 0)</f>
        <v>0</v>
      </c>
      <c r="AG88" s="5">
        <f>IF(Table3[[#This Row],[Efficiency Difference]]*0.2146 -10 &gt; Table3[[#This Row],[Scoring Margin]], 1, 0)</f>
        <v>0</v>
      </c>
    </row>
    <row r="89" spans="2:33">
      <c r="B89" s="5">
        <v>19.660000000000025</v>
      </c>
      <c r="C89" s="5">
        <v>5</v>
      </c>
      <c r="X89" s="5">
        <v>19.660000000000025</v>
      </c>
      <c r="Y89" s="5">
        <v>5</v>
      </c>
      <c r="Z89" s="5">
        <f>IF(Table3[[#This Row],[Efficiency Difference]]*0.2146 &gt; Table3[[#This Row],[Scoring Margin]], 1, 0)</f>
        <v>0</v>
      </c>
      <c r="AA89" s="5">
        <f>IF(Table3[[#This Row],[Efficiency Difference]]*0.2146 + 7 &gt; Table3[[#This Row],[Scoring Margin]], 1, 0)</f>
        <v>1</v>
      </c>
      <c r="AB89" s="5">
        <f>IF(Table3[[#This Row],[Efficiency Difference]]*0.2146 + 14 &gt; Table3[[#This Row],[Scoring Margin]], 1, 0)</f>
        <v>1</v>
      </c>
      <c r="AC89" s="5">
        <f>IF(Table3[[#This Row],[Efficiency Difference]]*0.2146 + 21 &gt; Table3[[#This Row],[Scoring Margin]], 1, 0)</f>
        <v>1</v>
      </c>
      <c r="AD89" s="5">
        <f>IF(Table3[[#This Row],[Efficiency Difference]]*0.2146 -7 &gt; Table3[[#This Row],[Scoring Margin]], 1, 0)</f>
        <v>0</v>
      </c>
      <c r="AE89" s="5">
        <f>IF(Table3[[#This Row],[Efficiency Difference]]*0.2146 -3 &gt; Table3[[#This Row],[Scoring Margin]], 1, 0)</f>
        <v>0</v>
      </c>
      <c r="AF89" s="5">
        <f>IF(Table3[[#This Row],[Efficiency Difference]]*0.2146 -5 &gt; Table3[[#This Row],[Scoring Margin]], 1, 0)</f>
        <v>0</v>
      </c>
      <c r="AG89" s="5">
        <f>IF(Table3[[#This Row],[Efficiency Difference]]*0.2146 -10 &gt; Table3[[#This Row],[Scoring Margin]], 1, 0)</f>
        <v>0</v>
      </c>
    </row>
    <row r="90" spans="2:33">
      <c r="B90" s="5">
        <v>27.29000000000002</v>
      </c>
      <c r="C90" s="5">
        <v>13</v>
      </c>
      <c r="X90" s="5">
        <v>27.29000000000002</v>
      </c>
      <c r="Y90" s="5">
        <v>13</v>
      </c>
      <c r="Z90" s="5">
        <f>IF(Table3[[#This Row],[Efficiency Difference]]*0.2146 &gt; Table3[[#This Row],[Scoring Margin]], 1, 0)</f>
        <v>0</v>
      </c>
      <c r="AA90" s="5">
        <f>IF(Table3[[#This Row],[Efficiency Difference]]*0.2146 + 7 &gt; Table3[[#This Row],[Scoring Margin]], 1, 0)</f>
        <v>0</v>
      </c>
      <c r="AB90" s="5">
        <f>IF(Table3[[#This Row],[Efficiency Difference]]*0.2146 + 14 &gt; Table3[[#This Row],[Scoring Margin]], 1, 0)</f>
        <v>1</v>
      </c>
      <c r="AC90" s="5">
        <f>IF(Table3[[#This Row],[Efficiency Difference]]*0.2146 + 21 &gt; Table3[[#This Row],[Scoring Margin]], 1, 0)</f>
        <v>1</v>
      </c>
      <c r="AD90" s="5">
        <f>IF(Table3[[#This Row],[Efficiency Difference]]*0.2146 -7 &gt; Table3[[#This Row],[Scoring Margin]], 1, 0)</f>
        <v>0</v>
      </c>
      <c r="AE90" s="5">
        <f>IF(Table3[[#This Row],[Efficiency Difference]]*0.2146 -3 &gt; Table3[[#This Row],[Scoring Margin]], 1, 0)</f>
        <v>0</v>
      </c>
      <c r="AF90" s="5">
        <f>IF(Table3[[#This Row],[Efficiency Difference]]*0.2146 -5 &gt; Table3[[#This Row],[Scoring Margin]], 1, 0)</f>
        <v>0</v>
      </c>
      <c r="AG90" s="5">
        <f>IF(Table3[[#This Row],[Efficiency Difference]]*0.2146 -10 &gt; Table3[[#This Row],[Scoring Margin]], 1, 0)</f>
        <v>0</v>
      </c>
    </row>
    <row r="91" spans="2:33">
      <c r="B91" s="5">
        <v>27.29000000000002</v>
      </c>
      <c r="C91" s="5">
        <v>13</v>
      </c>
      <c r="X91" s="5">
        <v>27.29000000000002</v>
      </c>
      <c r="Y91" s="5">
        <v>13</v>
      </c>
      <c r="Z91" s="5">
        <f>IF(Table3[[#This Row],[Efficiency Difference]]*0.2146 &gt; Table3[[#This Row],[Scoring Margin]], 1, 0)</f>
        <v>0</v>
      </c>
      <c r="AA91" s="5">
        <f>IF(Table3[[#This Row],[Efficiency Difference]]*0.2146 + 7 &gt; Table3[[#This Row],[Scoring Margin]], 1, 0)</f>
        <v>0</v>
      </c>
      <c r="AB91" s="5">
        <f>IF(Table3[[#This Row],[Efficiency Difference]]*0.2146 + 14 &gt; Table3[[#This Row],[Scoring Margin]], 1, 0)</f>
        <v>1</v>
      </c>
      <c r="AC91" s="5">
        <f>IF(Table3[[#This Row],[Efficiency Difference]]*0.2146 + 21 &gt; Table3[[#This Row],[Scoring Margin]], 1, 0)</f>
        <v>1</v>
      </c>
      <c r="AD91" s="5">
        <f>IF(Table3[[#This Row],[Efficiency Difference]]*0.2146 -7 &gt; Table3[[#This Row],[Scoring Margin]], 1, 0)</f>
        <v>0</v>
      </c>
      <c r="AE91" s="5">
        <f>IF(Table3[[#This Row],[Efficiency Difference]]*0.2146 -3 &gt; Table3[[#This Row],[Scoring Margin]], 1, 0)</f>
        <v>0</v>
      </c>
      <c r="AF91" s="5">
        <f>IF(Table3[[#This Row],[Efficiency Difference]]*0.2146 -5 &gt; Table3[[#This Row],[Scoring Margin]], 1, 0)</f>
        <v>0</v>
      </c>
      <c r="AG91" s="5">
        <f>IF(Table3[[#This Row],[Efficiency Difference]]*0.2146 -10 &gt; Table3[[#This Row],[Scoring Margin]], 1, 0)</f>
        <v>0</v>
      </c>
    </row>
    <row r="92" spans="2:33">
      <c r="B92" s="5">
        <v>20.099999999999966</v>
      </c>
      <c r="C92" s="5">
        <v>18</v>
      </c>
      <c r="X92" s="5">
        <v>20.099999999999966</v>
      </c>
      <c r="Y92" s="5">
        <v>18</v>
      </c>
      <c r="Z92" s="5">
        <f>IF(Table3[[#This Row],[Efficiency Difference]]*0.2146 &gt; Table3[[#This Row],[Scoring Margin]], 1, 0)</f>
        <v>0</v>
      </c>
      <c r="AA92" s="5">
        <f>IF(Table3[[#This Row],[Efficiency Difference]]*0.2146 + 7 &gt; Table3[[#This Row],[Scoring Margin]], 1, 0)</f>
        <v>0</v>
      </c>
      <c r="AB92" s="5">
        <f>IF(Table3[[#This Row],[Efficiency Difference]]*0.2146 + 14 &gt; Table3[[#This Row],[Scoring Margin]], 1, 0)</f>
        <v>1</v>
      </c>
      <c r="AC92" s="5">
        <f>IF(Table3[[#This Row],[Efficiency Difference]]*0.2146 + 21 &gt; Table3[[#This Row],[Scoring Margin]], 1, 0)</f>
        <v>1</v>
      </c>
      <c r="AD92" s="5">
        <f>IF(Table3[[#This Row],[Efficiency Difference]]*0.2146 -7 &gt; Table3[[#This Row],[Scoring Margin]], 1, 0)</f>
        <v>0</v>
      </c>
      <c r="AE92" s="5">
        <f>IF(Table3[[#This Row],[Efficiency Difference]]*0.2146 -3 &gt; Table3[[#This Row],[Scoring Margin]], 1, 0)</f>
        <v>0</v>
      </c>
      <c r="AF92" s="5">
        <f>IF(Table3[[#This Row],[Efficiency Difference]]*0.2146 -5 &gt; Table3[[#This Row],[Scoring Margin]], 1, 0)</f>
        <v>0</v>
      </c>
      <c r="AG92" s="5">
        <f>IF(Table3[[#This Row],[Efficiency Difference]]*0.2146 -10 &gt; Table3[[#This Row],[Scoring Margin]], 1, 0)</f>
        <v>0</v>
      </c>
    </row>
    <row r="93" spans="2:33">
      <c r="B93" s="5">
        <v>20.099999999999966</v>
      </c>
      <c r="C93" s="5">
        <v>18</v>
      </c>
      <c r="X93" s="5">
        <v>20.099999999999966</v>
      </c>
      <c r="Y93" s="5">
        <v>18</v>
      </c>
      <c r="Z93" s="5">
        <f>IF(Table3[[#This Row],[Efficiency Difference]]*0.2146 &gt; Table3[[#This Row],[Scoring Margin]], 1, 0)</f>
        <v>0</v>
      </c>
      <c r="AA93" s="5">
        <f>IF(Table3[[#This Row],[Efficiency Difference]]*0.2146 + 7 &gt; Table3[[#This Row],[Scoring Margin]], 1, 0)</f>
        <v>0</v>
      </c>
      <c r="AB93" s="5">
        <f>IF(Table3[[#This Row],[Efficiency Difference]]*0.2146 + 14 &gt; Table3[[#This Row],[Scoring Margin]], 1, 0)</f>
        <v>1</v>
      </c>
      <c r="AC93" s="5">
        <f>IF(Table3[[#This Row],[Efficiency Difference]]*0.2146 + 21 &gt; Table3[[#This Row],[Scoring Margin]], 1, 0)</f>
        <v>1</v>
      </c>
      <c r="AD93" s="5">
        <f>IF(Table3[[#This Row],[Efficiency Difference]]*0.2146 -7 &gt; Table3[[#This Row],[Scoring Margin]], 1, 0)</f>
        <v>0</v>
      </c>
      <c r="AE93" s="5">
        <f>IF(Table3[[#This Row],[Efficiency Difference]]*0.2146 -3 &gt; Table3[[#This Row],[Scoring Margin]], 1, 0)</f>
        <v>0</v>
      </c>
      <c r="AF93" s="5">
        <f>IF(Table3[[#This Row],[Efficiency Difference]]*0.2146 -5 &gt; Table3[[#This Row],[Scoring Margin]], 1, 0)</f>
        <v>0</v>
      </c>
      <c r="AG93" s="5">
        <f>IF(Table3[[#This Row],[Efficiency Difference]]*0.2146 -10 &gt; Table3[[#This Row],[Scoring Margin]], 1, 0)</f>
        <v>0</v>
      </c>
    </row>
    <row r="94" spans="2:33">
      <c r="B94" s="5">
        <v>21.490000000000009</v>
      </c>
      <c r="C94" s="5">
        <v>3</v>
      </c>
      <c r="X94" s="5">
        <v>21.490000000000009</v>
      </c>
      <c r="Y94" s="5">
        <v>3</v>
      </c>
      <c r="Z94" s="5">
        <f>IF(Table3[[#This Row],[Efficiency Difference]]*0.2146 &gt; Table3[[#This Row],[Scoring Margin]], 1, 0)</f>
        <v>1</v>
      </c>
      <c r="AA94" s="5">
        <f>IF(Table3[[#This Row],[Efficiency Difference]]*0.2146 + 7 &gt; Table3[[#This Row],[Scoring Margin]], 1, 0)</f>
        <v>1</v>
      </c>
      <c r="AB94" s="5">
        <f>IF(Table3[[#This Row],[Efficiency Difference]]*0.2146 + 14 &gt; Table3[[#This Row],[Scoring Margin]], 1, 0)</f>
        <v>1</v>
      </c>
      <c r="AC94" s="5">
        <f>IF(Table3[[#This Row],[Efficiency Difference]]*0.2146 + 21 &gt; Table3[[#This Row],[Scoring Margin]], 1, 0)</f>
        <v>1</v>
      </c>
      <c r="AD94" s="5">
        <f>IF(Table3[[#This Row],[Efficiency Difference]]*0.2146 -7 &gt; Table3[[#This Row],[Scoring Margin]], 1, 0)</f>
        <v>0</v>
      </c>
      <c r="AE94" s="5">
        <f>IF(Table3[[#This Row],[Efficiency Difference]]*0.2146 -3 &gt; Table3[[#This Row],[Scoring Margin]], 1, 0)</f>
        <v>0</v>
      </c>
      <c r="AF94" s="5">
        <f>IF(Table3[[#This Row],[Efficiency Difference]]*0.2146 -5 &gt; Table3[[#This Row],[Scoring Margin]], 1, 0)</f>
        <v>0</v>
      </c>
      <c r="AG94" s="5">
        <f>IF(Table3[[#This Row],[Efficiency Difference]]*0.2146 -10 &gt; Table3[[#This Row],[Scoring Margin]], 1, 0)</f>
        <v>0</v>
      </c>
    </row>
    <row r="95" spans="2:33">
      <c r="B95" s="5">
        <v>21.490000000000009</v>
      </c>
      <c r="C95" s="5">
        <v>3</v>
      </c>
      <c r="X95" s="5">
        <v>21.490000000000009</v>
      </c>
      <c r="Y95" s="5">
        <v>3</v>
      </c>
      <c r="Z95" s="5">
        <f>IF(Table3[[#This Row],[Efficiency Difference]]*0.2146 &gt; Table3[[#This Row],[Scoring Margin]], 1, 0)</f>
        <v>1</v>
      </c>
      <c r="AA95" s="5">
        <f>IF(Table3[[#This Row],[Efficiency Difference]]*0.2146 + 7 &gt; Table3[[#This Row],[Scoring Margin]], 1, 0)</f>
        <v>1</v>
      </c>
      <c r="AB95" s="5">
        <f>IF(Table3[[#This Row],[Efficiency Difference]]*0.2146 + 14 &gt; Table3[[#This Row],[Scoring Margin]], 1, 0)</f>
        <v>1</v>
      </c>
      <c r="AC95" s="5">
        <f>IF(Table3[[#This Row],[Efficiency Difference]]*0.2146 + 21 &gt; Table3[[#This Row],[Scoring Margin]], 1, 0)</f>
        <v>1</v>
      </c>
      <c r="AD95" s="5">
        <f>IF(Table3[[#This Row],[Efficiency Difference]]*0.2146 -7 &gt; Table3[[#This Row],[Scoring Margin]], 1, 0)</f>
        <v>0</v>
      </c>
      <c r="AE95" s="5">
        <f>IF(Table3[[#This Row],[Efficiency Difference]]*0.2146 -3 &gt; Table3[[#This Row],[Scoring Margin]], 1, 0)</f>
        <v>0</v>
      </c>
      <c r="AF95" s="5">
        <f>IF(Table3[[#This Row],[Efficiency Difference]]*0.2146 -5 &gt; Table3[[#This Row],[Scoring Margin]], 1, 0)</f>
        <v>0</v>
      </c>
      <c r="AG95" s="5">
        <f>IF(Table3[[#This Row],[Efficiency Difference]]*0.2146 -10 &gt; Table3[[#This Row],[Scoring Margin]], 1, 0)</f>
        <v>0</v>
      </c>
    </row>
    <row r="96" spans="2:33">
      <c r="B96" s="5">
        <v>12.289999999999992</v>
      </c>
      <c r="C96" s="5">
        <v>5</v>
      </c>
      <c r="X96" s="5">
        <v>12.289999999999992</v>
      </c>
      <c r="Y96" s="5">
        <v>5</v>
      </c>
      <c r="Z96" s="5">
        <f>IF(Table3[[#This Row],[Efficiency Difference]]*0.2146 &gt; Table3[[#This Row],[Scoring Margin]], 1, 0)</f>
        <v>0</v>
      </c>
      <c r="AA96" s="5">
        <f>IF(Table3[[#This Row],[Efficiency Difference]]*0.2146 + 7 &gt; Table3[[#This Row],[Scoring Margin]], 1, 0)</f>
        <v>1</v>
      </c>
      <c r="AB96" s="5">
        <f>IF(Table3[[#This Row],[Efficiency Difference]]*0.2146 + 14 &gt; Table3[[#This Row],[Scoring Margin]], 1, 0)</f>
        <v>1</v>
      </c>
      <c r="AC96" s="5">
        <f>IF(Table3[[#This Row],[Efficiency Difference]]*0.2146 + 21 &gt; Table3[[#This Row],[Scoring Margin]], 1, 0)</f>
        <v>1</v>
      </c>
      <c r="AD96" s="5">
        <f>IF(Table3[[#This Row],[Efficiency Difference]]*0.2146 -7 &gt; Table3[[#This Row],[Scoring Margin]], 1, 0)</f>
        <v>0</v>
      </c>
      <c r="AE96" s="5">
        <f>IF(Table3[[#This Row],[Efficiency Difference]]*0.2146 -3 &gt; Table3[[#This Row],[Scoring Margin]], 1, 0)</f>
        <v>0</v>
      </c>
      <c r="AF96" s="5">
        <f>IF(Table3[[#This Row],[Efficiency Difference]]*0.2146 -5 &gt; Table3[[#This Row],[Scoring Margin]], 1, 0)</f>
        <v>0</v>
      </c>
      <c r="AG96" s="5">
        <f>IF(Table3[[#This Row],[Efficiency Difference]]*0.2146 -10 &gt; Table3[[#This Row],[Scoring Margin]], 1, 0)</f>
        <v>0</v>
      </c>
    </row>
    <row r="97" spans="2:33">
      <c r="B97" s="5">
        <v>12.289999999999992</v>
      </c>
      <c r="C97" s="5">
        <v>5</v>
      </c>
      <c r="X97" s="5">
        <v>12.289999999999992</v>
      </c>
      <c r="Y97" s="5">
        <v>5</v>
      </c>
      <c r="Z97" s="5">
        <f>IF(Table3[[#This Row],[Efficiency Difference]]*0.2146 &gt; Table3[[#This Row],[Scoring Margin]], 1, 0)</f>
        <v>0</v>
      </c>
      <c r="AA97" s="5">
        <f>IF(Table3[[#This Row],[Efficiency Difference]]*0.2146 + 7 &gt; Table3[[#This Row],[Scoring Margin]], 1, 0)</f>
        <v>1</v>
      </c>
      <c r="AB97" s="5">
        <f>IF(Table3[[#This Row],[Efficiency Difference]]*0.2146 + 14 &gt; Table3[[#This Row],[Scoring Margin]], 1, 0)</f>
        <v>1</v>
      </c>
      <c r="AC97" s="5">
        <f>IF(Table3[[#This Row],[Efficiency Difference]]*0.2146 + 21 &gt; Table3[[#This Row],[Scoring Margin]], 1, 0)</f>
        <v>1</v>
      </c>
      <c r="AD97" s="5">
        <f>IF(Table3[[#This Row],[Efficiency Difference]]*0.2146 -7 &gt; Table3[[#This Row],[Scoring Margin]], 1, 0)</f>
        <v>0</v>
      </c>
      <c r="AE97" s="5">
        <f>IF(Table3[[#This Row],[Efficiency Difference]]*0.2146 -3 &gt; Table3[[#This Row],[Scoring Margin]], 1, 0)</f>
        <v>0</v>
      </c>
      <c r="AF97" s="5">
        <f>IF(Table3[[#This Row],[Efficiency Difference]]*0.2146 -5 &gt; Table3[[#This Row],[Scoring Margin]], 1, 0)</f>
        <v>0</v>
      </c>
      <c r="AG97" s="5">
        <f>IF(Table3[[#This Row],[Efficiency Difference]]*0.2146 -10 &gt; Table3[[#This Row],[Scoring Margin]], 1, 0)</f>
        <v>0</v>
      </c>
    </row>
    <row r="98" spans="2:33">
      <c r="B98" s="5">
        <v>56.349999999999966</v>
      </c>
      <c r="C98" s="5">
        <v>1</v>
      </c>
      <c r="X98" s="5">
        <v>56.349999999999966</v>
      </c>
      <c r="Y98" s="5">
        <v>1</v>
      </c>
      <c r="Z98" s="5">
        <f>IF(Table3[[#This Row],[Efficiency Difference]]*0.2146 &gt; Table3[[#This Row],[Scoring Margin]], 1, 0)</f>
        <v>1</v>
      </c>
      <c r="AA98" s="5">
        <f>IF(Table3[[#This Row],[Efficiency Difference]]*0.2146 + 7 &gt; Table3[[#This Row],[Scoring Margin]], 1, 0)</f>
        <v>1</v>
      </c>
      <c r="AB98" s="5">
        <f>IF(Table3[[#This Row],[Efficiency Difference]]*0.2146 + 14 &gt; Table3[[#This Row],[Scoring Margin]], 1, 0)</f>
        <v>1</v>
      </c>
      <c r="AC98" s="5">
        <f>IF(Table3[[#This Row],[Efficiency Difference]]*0.2146 + 21 &gt; Table3[[#This Row],[Scoring Margin]], 1, 0)</f>
        <v>1</v>
      </c>
      <c r="AD98" s="5">
        <f>IF(Table3[[#This Row],[Efficiency Difference]]*0.2146 -7 &gt; Table3[[#This Row],[Scoring Margin]], 1, 0)</f>
        <v>1</v>
      </c>
      <c r="AE98" s="5">
        <f>IF(Table3[[#This Row],[Efficiency Difference]]*0.2146 -3 &gt; Table3[[#This Row],[Scoring Margin]], 1, 0)</f>
        <v>1</v>
      </c>
      <c r="AF98" s="5">
        <f>IF(Table3[[#This Row],[Efficiency Difference]]*0.2146 -5 &gt; Table3[[#This Row],[Scoring Margin]], 1, 0)</f>
        <v>1</v>
      </c>
      <c r="AG98" s="5">
        <f>IF(Table3[[#This Row],[Efficiency Difference]]*0.2146 -10 &gt; Table3[[#This Row],[Scoring Margin]], 1, 0)</f>
        <v>1</v>
      </c>
    </row>
    <row r="99" spans="2:33">
      <c r="B99" s="5">
        <v>56.349999999999966</v>
      </c>
      <c r="C99" s="5">
        <v>1</v>
      </c>
      <c r="X99" s="5">
        <v>56.349999999999966</v>
      </c>
      <c r="Y99" s="5">
        <v>1</v>
      </c>
      <c r="Z99" s="5">
        <f>IF(Table3[[#This Row],[Efficiency Difference]]*0.2146 &gt; Table3[[#This Row],[Scoring Margin]], 1, 0)</f>
        <v>1</v>
      </c>
      <c r="AA99" s="5">
        <f>IF(Table3[[#This Row],[Efficiency Difference]]*0.2146 + 7 &gt; Table3[[#This Row],[Scoring Margin]], 1, 0)</f>
        <v>1</v>
      </c>
      <c r="AB99" s="5">
        <f>IF(Table3[[#This Row],[Efficiency Difference]]*0.2146 + 14 &gt; Table3[[#This Row],[Scoring Margin]], 1, 0)</f>
        <v>1</v>
      </c>
      <c r="AC99" s="5">
        <f>IF(Table3[[#This Row],[Efficiency Difference]]*0.2146 + 21 &gt; Table3[[#This Row],[Scoring Margin]], 1, 0)</f>
        <v>1</v>
      </c>
      <c r="AD99" s="5">
        <f>IF(Table3[[#This Row],[Efficiency Difference]]*0.2146 -7 &gt; Table3[[#This Row],[Scoring Margin]], 1, 0)</f>
        <v>1</v>
      </c>
      <c r="AE99" s="5">
        <f>IF(Table3[[#This Row],[Efficiency Difference]]*0.2146 -3 &gt; Table3[[#This Row],[Scoring Margin]], 1, 0)</f>
        <v>1</v>
      </c>
      <c r="AF99" s="5">
        <f>IF(Table3[[#This Row],[Efficiency Difference]]*0.2146 -5 &gt; Table3[[#This Row],[Scoring Margin]], 1, 0)</f>
        <v>1</v>
      </c>
      <c r="AG99" s="5">
        <f>IF(Table3[[#This Row],[Efficiency Difference]]*0.2146 -10 &gt; Table3[[#This Row],[Scoring Margin]], 1, 0)</f>
        <v>1</v>
      </c>
    </row>
    <row r="100" spans="2:33">
      <c r="B100" s="5">
        <v>70.650000000000006</v>
      </c>
      <c r="C100" s="5">
        <v>7</v>
      </c>
      <c r="X100" s="5">
        <v>70.650000000000006</v>
      </c>
      <c r="Y100" s="5">
        <v>7</v>
      </c>
      <c r="Z100" s="5">
        <f>IF(Table3[[#This Row],[Efficiency Difference]]*0.2146 &gt; Table3[[#This Row],[Scoring Margin]], 1, 0)</f>
        <v>1</v>
      </c>
      <c r="AA100" s="5">
        <f>IF(Table3[[#This Row],[Efficiency Difference]]*0.2146 + 7 &gt; Table3[[#This Row],[Scoring Margin]], 1, 0)</f>
        <v>1</v>
      </c>
      <c r="AB100" s="5">
        <f>IF(Table3[[#This Row],[Efficiency Difference]]*0.2146 + 14 &gt; Table3[[#This Row],[Scoring Margin]], 1, 0)</f>
        <v>1</v>
      </c>
      <c r="AC100" s="5">
        <f>IF(Table3[[#This Row],[Efficiency Difference]]*0.2146 + 21 &gt; Table3[[#This Row],[Scoring Margin]], 1, 0)</f>
        <v>1</v>
      </c>
      <c r="AD100" s="5">
        <f>IF(Table3[[#This Row],[Efficiency Difference]]*0.2146 -7 &gt; Table3[[#This Row],[Scoring Margin]], 1, 0)</f>
        <v>1</v>
      </c>
      <c r="AE100" s="5">
        <f>IF(Table3[[#This Row],[Efficiency Difference]]*0.2146 -3 &gt; Table3[[#This Row],[Scoring Margin]], 1, 0)</f>
        <v>1</v>
      </c>
      <c r="AF100" s="5">
        <f>IF(Table3[[#This Row],[Efficiency Difference]]*0.2146 -5 &gt; Table3[[#This Row],[Scoring Margin]], 1, 0)</f>
        <v>1</v>
      </c>
      <c r="AG100" s="5">
        <f>IF(Table3[[#This Row],[Efficiency Difference]]*0.2146 -10 &gt; Table3[[#This Row],[Scoring Margin]], 1, 0)</f>
        <v>0</v>
      </c>
    </row>
    <row r="101" spans="2:33">
      <c r="B101" s="5">
        <v>70.649999999999977</v>
      </c>
      <c r="C101" s="5">
        <v>7</v>
      </c>
      <c r="X101" s="5">
        <v>70.649999999999977</v>
      </c>
      <c r="Y101" s="5">
        <v>7</v>
      </c>
      <c r="Z101" s="5">
        <f>IF(Table3[[#This Row],[Efficiency Difference]]*0.2146 &gt; Table3[[#This Row],[Scoring Margin]], 1, 0)</f>
        <v>1</v>
      </c>
      <c r="AA101" s="5">
        <f>IF(Table3[[#This Row],[Efficiency Difference]]*0.2146 + 7 &gt; Table3[[#This Row],[Scoring Margin]], 1, 0)</f>
        <v>1</v>
      </c>
      <c r="AB101" s="5">
        <f>IF(Table3[[#This Row],[Efficiency Difference]]*0.2146 + 14 &gt; Table3[[#This Row],[Scoring Margin]], 1, 0)</f>
        <v>1</v>
      </c>
      <c r="AC101" s="5">
        <f>IF(Table3[[#This Row],[Efficiency Difference]]*0.2146 + 21 &gt; Table3[[#This Row],[Scoring Margin]], 1, 0)</f>
        <v>1</v>
      </c>
      <c r="AD101" s="5">
        <f>IF(Table3[[#This Row],[Efficiency Difference]]*0.2146 -7 &gt; Table3[[#This Row],[Scoring Margin]], 1, 0)</f>
        <v>1</v>
      </c>
      <c r="AE101" s="5">
        <f>IF(Table3[[#This Row],[Efficiency Difference]]*0.2146 -3 &gt; Table3[[#This Row],[Scoring Margin]], 1, 0)</f>
        <v>1</v>
      </c>
      <c r="AF101" s="5">
        <f>IF(Table3[[#This Row],[Efficiency Difference]]*0.2146 -5 &gt; Table3[[#This Row],[Scoring Margin]], 1, 0)</f>
        <v>1</v>
      </c>
      <c r="AG101" s="5">
        <f>IF(Table3[[#This Row],[Efficiency Difference]]*0.2146 -10 &gt; Table3[[#This Row],[Scoring Margin]], 1, 0)</f>
        <v>0</v>
      </c>
    </row>
    <row r="102" spans="2:33">
      <c r="B102" s="5">
        <v>26.299999999999983</v>
      </c>
      <c r="C102" s="5">
        <v>7</v>
      </c>
      <c r="X102" s="5">
        <v>26.299999999999983</v>
      </c>
      <c r="Y102" s="5">
        <v>7</v>
      </c>
      <c r="Z102" s="5">
        <f>IF(Table3[[#This Row],[Efficiency Difference]]*0.2146 &gt; Table3[[#This Row],[Scoring Margin]], 1, 0)</f>
        <v>0</v>
      </c>
      <c r="AA102" s="5">
        <f>IF(Table3[[#This Row],[Efficiency Difference]]*0.2146 + 7 &gt; Table3[[#This Row],[Scoring Margin]], 1, 0)</f>
        <v>1</v>
      </c>
      <c r="AB102" s="5">
        <f>IF(Table3[[#This Row],[Efficiency Difference]]*0.2146 + 14 &gt; Table3[[#This Row],[Scoring Margin]], 1, 0)</f>
        <v>1</v>
      </c>
      <c r="AC102" s="5">
        <f>IF(Table3[[#This Row],[Efficiency Difference]]*0.2146 + 21 &gt; Table3[[#This Row],[Scoring Margin]], 1, 0)</f>
        <v>1</v>
      </c>
      <c r="AD102" s="5">
        <f>IF(Table3[[#This Row],[Efficiency Difference]]*0.2146 -7 &gt; Table3[[#This Row],[Scoring Margin]], 1, 0)</f>
        <v>0</v>
      </c>
      <c r="AE102" s="5">
        <f>IF(Table3[[#This Row],[Efficiency Difference]]*0.2146 -3 &gt; Table3[[#This Row],[Scoring Margin]], 1, 0)</f>
        <v>0</v>
      </c>
      <c r="AF102" s="5">
        <f>IF(Table3[[#This Row],[Efficiency Difference]]*0.2146 -5 &gt; Table3[[#This Row],[Scoring Margin]], 1, 0)</f>
        <v>0</v>
      </c>
      <c r="AG102" s="5">
        <f>IF(Table3[[#This Row],[Efficiency Difference]]*0.2146 -10 &gt; Table3[[#This Row],[Scoring Margin]], 1, 0)</f>
        <v>0</v>
      </c>
    </row>
    <row r="103" spans="2:33">
      <c r="B103" s="5">
        <v>26.299999999999983</v>
      </c>
      <c r="C103" s="5">
        <v>7</v>
      </c>
      <c r="X103" s="5">
        <v>26.299999999999983</v>
      </c>
      <c r="Y103" s="5">
        <v>7</v>
      </c>
      <c r="Z103" s="5">
        <f>IF(Table3[[#This Row],[Efficiency Difference]]*0.2146 &gt; Table3[[#This Row],[Scoring Margin]], 1, 0)</f>
        <v>0</v>
      </c>
      <c r="AA103" s="5">
        <f>IF(Table3[[#This Row],[Efficiency Difference]]*0.2146 + 7 &gt; Table3[[#This Row],[Scoring Margin]], 1, 0)</f>
        <v>1</v>
      </c>
      <c r="AB103" s="5">
        <f>IF(Table3[[#This Row],[Efficiency Difference]]*0.2146 + 14 &gt; Table3[[#This Row],[Scoring Margin]], 1, 0)</f>
        <v>1</v>
      </c>
      <c r="AC103" s="5">
        <f>IF(Table3[[#This Row],[Efficiency Difference]]*0.2146 + 21 &gt; Table3[[#This Row],[Scoring Margin]], 1, 0)</f>
        <v>1</v>
      </c>
      <c r="AD103" s="5">
        <f>IF(Table3[[#This Row],[Efficiency Difference]]*0.2146 -7 &gt; Table3[[#This Row],[Scoring Margin]], 1, 0)</f>
        <v>0</v>
      </c>
      <c r="AE103" s="5">
        <f>IF(Table3[[#This Row],[Efficiency Difference]]*0.2146 -3 &gt; Table3[[#This Row],[Scoring Margin]], 1, 0)</f>
        <v>0</v>
      </c>
      <c r="AF103" s="5">
        <f>IF(Table3[[#This Row],[Efficiency Difference]]*0.2146 -5 &gt; Table3[[#This Row],[Scoring Margin]], 1, 0)</f>
        <v>0</v>
      </c>
      <c r="AG103" s="5">
        <f>IF(Table3[[#This Row],[Efficiency Difference]]*0.2146 -10 &gt; Table3[[#This Row],[Scoring Margin]], 1, 0)</f>
        <v>0</v>
      </c>
    </row>
    <row r="104" spans="2:33">
      <c r="B104" s="5">
        <v>5.25</v>
      </c>
      <c r="C104" s="5">
        <v>2</v>
      </c>
      <c r="X104" s="5">
        <v>5.25</v>
      </c>
      <c r="Y104" s="5">
        <v>2</v>
      </c>
      <c r="Z104" s="5">
        <f>IF(Table3[[#This Row],[Efficiency Difference]]*0.2146 &gt; Table3[[#This Row],[Scoring Margin]], 1, 0)</f>
        <v>0</v>
      </c>
      <c r="AA104" s="5">
        <f>IF(Table3[[#This Row],[Efficiency Difference]]*0.2146 + 7 &gt; Table3[[#This Row],[Scoring Margin]], 1, 0)</f>
        <v>1</v>
      </c>
      <c r="AB104" s="5">
        <f>IF(Table3[[#This Row],[Efficiency Difference]]*0.2146 + 14 &gt; Table3[[#This Row],[Scoring Margin]], 1, 0)</f>
        <v>1</v>
      </c>
      <c r="AC104" s="5">
        <f>IF(Table3[[#This Row],[Efficiency Difference]]*0.2146 + 21 &gt; Table3[[#This Row],[Scoring Margin]], 1, 0)</f>
        <v>1</v>
      </c>
      <c r="AD104" s="5">
        <f>IF(Table3[[#This Row],[Efficiency Difference]]*0.2146 -7 &gt; Table3[[#This Row],[Scoring Margin]], 1, 0)</f>
        <v>0</v>
      </c>
      <c r="AE104" s="5">
        <f>IF(Table3[[#This Row],[Efficiency Difference]]*0.2146 -3 &gt; Table3[[#This Row],[Scoring Margin]], 1, 0)</f>
        <v>0</v>
      </c>
      <c r="AF104" s="5">
        <f>IF(Table3[[#This Row],[Efficiency Difference]]*0.2146 -5 &gt; Table3[[#This Row],[Scoring Margin]], 1, 0)</f>
        <v>0</v>
      </c>
      <c r="AG104" s="5">
        <f>IF(Table3[[#This Row],[Efficiency Difference]]*0.2146 -10 &gt; Table3[[#This Row],[Scoring Margin]], 1, 0)</f>
        <v>0</v>
      </c>
    </row>
    <row r="105" spans="2:33">
      <c r="B105" s="5">
        <v>5.25</v>
      </c>
      <c r="C105" s="5">
        <v>2</v>
      </c>
      <c r="X105" s="5">
        <v>5.25</v>
      </c>
      <c r="Y105" s="5">
        <v>2</v>
      </c>
      <c r="Z105" s="5">
        <f>IF(Table3[[#This Row],[Efficiency Difference]]*0.2146 &gt; Table3[[#This Row],[Scoring Margin]], 1, 0)</f>
        <v>0</v>
      </c>
      <c r="AA105" s="5">
        <f>IF(Table3[[#This Row],[Efficiency Difference]]*0.2146 + 7 &gt; Table3[[#This Row],[Scoring Margin]], 1, 0)</f>
        <v>1</v>
      </c>
      <c r="AB105" s="5">
        <f>IF(Table3[[#This Row],[Efficiency Difference]]*0.2146 + 14 &gt; Table3[[#This Row],[Scoring Margin]], 1, 0)</f>
        <v>1</v>
      </c>
      <c r="AC105" s="5">
        <f>IF(Table3[[#This Row],[Efficiency Difference]]*0.2146 + 21 &gt; Table3[[#This Row],[Scoring Margin]], 1, 0)</f>
        <v>1</v>
      </c>
      <c r="AD105" s="5">
        <f>IF(Table3[[#This Row],[Efficiency Difference]]*0.2146 -7 &gt; Table3[[#This Row],[Scoring Margin]], 1, 0)</f>
        <v>0</v>
      </c>
      <c r="AE105" s="5">
        <f>IF(Table3[[#This Row],[Efficiency Difference]]*0.2146 -3 &gt; Table3[[#This Row],[Scoring Margin]], 1, 0)</f>
        <v>0</v>
      </c>
      <c r="AF105" s="5">
        <f>IF(Table3[[#This Row],[Efficiency Difference]]*0.2146 -5 &gt; Table3[[#This Row],[Scoring Margin]], 1, 0)</f>
        <v>0</v>
      </c>
      <c r="AG105" s="5">
        <f>IF(Table3[[#This Row],[Efficiency Difference]]*0.2146 -10 &gt; Table3[[#This Row],[Scoring Margin]], 1, 0)</f>
        <v>0</v>
      </c>
    </row>
    <row r="106" spans="2:33">
      <c r="B106" s="5">
        <v>45.380000000000024</v>
      </c>
      <c r="C106" s="5">
        <v>4</v>
      </c>
      <c r="X106" s="5">
        <v>45.380000000000024</v>
      </c>
      <c r="Y106" s="5">
        <v>4</v>
      </c>
      <c r="Z106" s="5">
        <f>IF(Table3[[#This Row],[Efficiency Difference]]*0.2146 &gt; Table3[[#This Row],[Scoring Margin]], 1, 0)</f>
        <v>1</v>
      </c>
      <c r="AA106" s="5">
        <f>IF(Table3[[#This Row],[Efficiency Difference]]*0.2146 + 7 &gt; Table3[[#This Row],[Scoring Margin]], 1, 0)</f>
        <v>1</v>
      </c>
      <c r="AB106" s="5">
        <f>IF(Table3[[#This Row],[Efficiency Difference]]*0.2146 + 14 &gt; Table3[[#This Row],[Scoring Margin]], 1, 0)</f>
        <v>1</v>
      </c>
      <c r="AC106" s="5">
        <f>IF(Table3[[#This Row],[Efficiency Difference]]*0.2146 + 21 &gt; Table3[[#This Row],[Scoring Margin]], 1, 0)</f>
        <v>1</v>
      </c>
      <c r="AD106" s="5">
        <f>IF(Table3[[#This Row],[Efficiency Difference]]*0.2146 -7 &gt; Table3[[#This Row],[Scoring Margin]], 1, 0)</f>
        <v>0</v>
      </c>
      <c r="AE106" s="5">
        <f>IF(Table3[[#This Row],[Efficiency Difference]]*0.2146 -3 &gt; Table3[[#This Row],[Scoring Margin]], 1, 0)</f>
        <v>1</v>
      </c>
      <c r="AF106" s="5">
        <f>IF(Table3[[#This Row],[Efficiency Difference]]*0.2146 -5 &gt; Table3[[#This Row],[Scoring Margin]], 1, 0)</f>
        <v>1</v>
      </c>
      <c r="AG106" s="5">
        <f>IF(Table3[[#This Row],[Efficiency Difference]]*0.2146 -10 &gt; Table3[[#This Row],[Scoring Margin]], 1, 0)</f>
        <v>0</v>
      </c>
    </row>
    <row r="107" spans="2:33">
      <c r="B107" s="5">
        <v>45.380000000000024</v>
      </c>
      <c r="C107" s="5">
        <v>4</v>
      </c>
      <c r="X107" s="5">
        <v>45.380000000000024</v>
      </c>
      <c r="Y107" s="5">
        <v>4</v>
      </c>
      <c r="Z107" s="5">
        <f>IF(Table3[[#This Row],[Efficiency Difference]]*0.2146 &gt; Table3[[#This Row],[Scoring Margin]], 1, 0)</f>
        <v>1</v>
      </c>
      <c r="AA107" s="5">
        <f>IF(Table3[[#This Row],[Efficiency Difference]]*0.2146 + 7 &gt; Table3[[#This Row],[Scoring Margin]], 1, 0)</f>
        <v>1</v>
      </c>
      <c r="AB107" s="5">
        <f>IF(Table3[[#This Row],[Efficiency Difference]]*0.2146 + 14 &gt; Table3[[#This Row],[Scoring Margin]], 1, 0)</f>
        <v>1</v>
      </c>
      <c r="AC107" s="5">
        <f>IF(Table3[[#This Row],[Efficiency Difference]]*0.2146 + 21 &gt; Table3[[#This Row],[Scoring Margin]], 1, 0)</f>
        <v>1</v>
      </c>
      <c r="AD107" s="5">
        <f>IF(Table3[[#This Row],[Efficiency Difference]]*0.2146 -7 &gt; Table3[[#This Row],[Scoring Margin]], 1, 0)</f>
        <v>0</v>
      </c>
      <c r="AE107" s="5">
        <f>IF(Table3[[#This Row],[Efficiency Difference]]*0.2146 -3 &gt; Table3[[#This Row],[Scoring Margin]], 1, 0)</f>
        <v>1</v>
      </c>
      <c r="AF107" s="5">
        <f>IF(Table3[[#This Row],[Efficiency Difference]]*0.2146 -5 &gt; Table3[[#This Row],[Scoring Margin]], 1, 0)</f>
        <v>1</v>
      </c>
      <c r="AG107" s="5">
        <f>IF(Table3[[#This Row],[Efficiency Difference]]*0.2146 -10 &gt; Table3[[#This Row],[Scoring Margin]], 1, 0)</f>
        <v>0</v>
      </c>
    </row>
    <row r="108" spans="2:33">
      <c r="B108" s="5">
        <v>28.599999999999994</v>
      </c>
      <c r="C108" s="5">
        <v>26</v>
      </c>
      <c r="X108" s="5">
        <v>28.599999999999994</v>
      </c>
      <c r="Y108" s="5">
        <v>26</v>
      </c>
      <c r="Z108" s="5">
        <f>IF(Table3[[#This Row],[Efficiency Difference]]*0.2146 &gt; Table3[[#This Row],[Scoring Margin]], 1, 0)</f>
        <v>0</v>
      </c>
      <c r="AA108" s="5">
        <f>IF(Table3[[#This Row],[Efficiency Difference]]*0.2146 + 7 &gt; Table3[[#This Row],[Scoring Margin]], 1, 0)</f>
        <v>0</v>
      </c>
      <c r="AB108" s="5">
        <f>IF(Table3[[#This Row],[Efficiency Difference]]*0.2146 + 14 &gt; Table3[[#This Row],[Scoring Margin]], 1, 0)</f>
        <v>0</v>
      </c>
      <c r="AC108" s="5">
        <f>IF(Table3[[#This Row],[Efficiency Difference]]*0.2146 + 21 &gt; Table3[[#This Row],[Scoring Margin]], 1, 0)</f>
        <v>1</v>
      </c>
      <c r="AD108" s="5">
        <f>IF(Table3[[#This Row],[Efficiency Difference]]*0.2146 -7 &gt; Table3[[#This Row],[Scoring Margin]], 1, 0)</f>
        <v>0</v>
      </c>
      <c r="AE108" s="5">
        <f>IF(Table3[[#This Row],[Efficiency Difference]]*0.2146 -3 &gt; Table3[[#This Row],[Scoring Margin]], 1, 0)</f>
        <v>0</v>
      </c>
      <c r="AF108" s="5">
        <f>IF(Table3[[#This Row],[Efficiency Difference]]*0.2146 -5 &gt; Table3[[#This Row],[Scoring Margin]], 1, 0)</f>
        <v>0</v>
      </c>
      <c r="AG108" s="5">
        <f>IF(Table3[[#This Row],[Efficiency Difference]]*0.2146 -10 &gt; Table3[[#This Row],[Scoring Margin]], 1, 0)</f>
        <v>0</v>
      </c>
    </row>
    <row r="109" spans="2:33">
      <c r="B109" s="5">
        <v>28.599999999999994</v>
      </c>
      <c r="C109" s="5">
        <v>26</v>
      </c>
      <c r="X109" s="5">
        <v>28.599999999999994</v>
      </c>
      <c r="Y109" s="5">
        <v>26</v>
      </c>
      <c r="Z109" s="5">
        <f>IF(Table3[[#This Row],[Efficiency Difference]]*0.2146 &gt; Table3[[#This Row],[Scoring Margin]], 1, 0)</f>
        <v>0</v>
      </c>
      <c r="AA109" s="5">
        <f>IF(Table3[[#This Row],[Efficiency Difference]]*0.2146 + 7 &gt; Table3[[#This Row],[Scoring Margin]], 1, 0)</f>
        <v>0</v>
      </c>
      <c r="AB109" s="5">
        <f>IF(Table3[[#This Row],[Efficiency Difference]]*0.2146 + 14 &gt; Table3[[#This Row],[Scoring Margin]], 1, 0)</f>
        <v>0</v>
      </c>
      <c r="AC109" s="5">
        <f>IF(Table3[[#This Row],[Efficiency Difference]]*0.2146 + 21 &gt; Table3[[#This Row],[Scoring Margin]], 1, 0)</f>
        <v>1</v>
      </c>
      <c r="AD109" s="5">
        <f>IF(Table3[[#This Row],[Efficiency Difference]]*0.2146 -7 &gt; Table3[[#This Row],[Scoring Margin]], 1, 0)</f>
        <v>0</v>
      </c>
      <c r="AE109" s="5">
        <f>IF(Table3[[#This Row],[Efficiency Difference]]*0.2146 -3 &gt; Table3[[#This Row],[Scoring Margin]], 1, 0)</f>
        <v>0</v>
      </c>
      <c r="AF109" s="5">
        <f>IF(Table3[[#This Row],[Efficiency Difference]]*0.2146 -5 &gt; Table3[[#This Row],[Scoring Margin]], 1, 0)</f>
        <v>0</v>
      </c>
      <c r="AG109" s="5">
        <f>IF(Table3[[#This Row],[Efficiency Difference]]*0.2146 -10 &gt; Table3[[#This Row],[Scoring Margin]], 1, 0)</f>
        <v>0</v>
      </c>
    </row>
    <row r="110" spans="2:33">
      <c r="B110" s="5">
        <v>12.230000000000018</v>
      </c>
      <c r="C110" s="5">
        <v>12</v>
      </c>
      <c r="X110" s="5">
        <v>12.230000000000018</v>
      </c>
      <c r="Y110" s="5">
        <v>12</v>
      </c>
      <c r="Z110" s="5">
        <f>IF(Table3[[#This Row],[Efficiency Difference]]*0.2146 &gt; Table3[[#This Row],[Scoring Margin]], 1, 0)</f>
        <v>0</v>
      </c>
      <c r="AA110" s="5">
        <f>IF(Table3[[#This Row],[Efficiency Difference]]*0.2146 + 7 &gt; Table3[[#This Row],[Scoring Margin]], 1, 0)</f>
        <v>0</v>
      </c>
      <c r="AB110" s="5">
        <f>IF(Table3[[#This Row],[Efficiency Difference]]*0.2146 + 14 &gt; Table3[[#This Row],[Scoring Margin]], 1, 0)</f>
        <v>1</v>
      </c>
      <c r="AC110" s="5">
        <f>IF(Table3[[#This Row],[Efficiency Difference]]*0.2146 + 21 &gt; Table3[[#This Row],[Scoring Margin]], 1, 0)</f>
        <v>1</v>
      </c>
      <c r="AD110" s="5">
        <f>IF(Table3[[#This Row],[Efficiency Difference]]*0.2146 -7 &gt; Table3[[#This Row],[Scoring Margin]], 1, 0)</f>
        <v>0</v>
      </c>
      <c r="AE110" s="5">
        <f>IF(Table3[[#This Row],[Efficiency Difference]]*0.2146 -3 &gt; Table3[[#This Row],[Scoring Margin]], 1, 0)</f>
        <v>0</v>
      </c>
      <c r="AF110" s="5">
        <f>IF(Table3[[#This Row],[Efficiency Difference]]*0.2146 -5 &gt; Table3[[#This Row],[Scoring Margin]], 1, 0)</f>
        <v>0</v>
      </c>
      <c r="AG110" s="5">
        <f>IF(Table3[[#This Row],[Efficiency Difference]]*0.2146 -10 &gt; Table3[[#This Row],[Scoring Margin]], 1, 0)</f>
        <v>0</v>
      </c>
    </row>
    <row r="111" spans="2:33">
      <c r="B111" s="5">
        <v>12.230000000000018</v>
      </c>
      <c r="C111" s="5">
        <v>12</v>
      </c>
      <c r="X111" s="5">
        <v>12.230000000000018</v>
      </c>
      <c r="Y111" s="5">
        <v>12</v>
      </c>
      <c r="Z111" s="5">
        <f>IF(Table3[[#This Row],[Efficiency Difference]]*0.2146 &gt; Table3[[#This Row],[Scoring Margin]], 1, 0)</f>
        <v>0</v>
      </c>
      <c r="AA111" s="5">
        <f>IF(Table3[[#This Row],[Efficiency Difference]]*0.2146 + 7 &gt; Table3[[#This Row],[Scoring Margin]], 1, 0)</f>
        <v>0</v>
      </c>
      <c r="AB111" s="5">
        <f>IF(Table3[[#This Row],[Efficiency Difference]]*0.2146 + 14 &gt; Table3[[#This Row],[Scoring Margin]], 1, 0)</f>
        <v>1</v>
      </c>
      <c r="AC111" s="5">
        <f>IF(Table3[[#This Row],[Efficiency Difference]]*0.2146 + 21 &gt; Table3[[#This Row],[Scoring Margin]], 1, 0)</f>
        <v>1</v>
      </c>
      <c r="AD111" s="5">
        <f>IF(Table3[[#This Row],[Efficiency Difference]]*0.2146 -7 &gt; Table3[[#This Row],[Scoring Margin]], 1, 0)</f>
        <v>0</v>
      </c>
      <c r="AE111" s="5">
        <f>IF(Table3[[#This Row],[Efficiency Difference]]*0.2146 -3 &gt; Table3[[#This Row],[Scoring Margin]], 1, 0)</f>
        <v>0</v>
      </c>
      <c r="AF111" s="5">
        <f>IF(Table3[[#This Row],[Efficiency Difference]]*0.2146 -5 &gt; Table3[[#This Row],[Scoring Margin]], 1, 0)</f>
        <v>0</v>
      </c>
      <c r="AG111" s="5">
        <f>IF(Table3[[#This Row],[Efficiency Difference]]*0.2146 -10 &gt; Table3[[#This Row],[Scoring Margin]], 1, 0)</f>
        <v>0</v>
      </c>
    </row>
    <row r="112" spans="2:33">
      <c r="B112" s="5">
        <v>64.52000000000001</v>
      </c>
      <c r="C112" s="5">
        <v>10</v>
      </c>
      <c r="X112" s="5">
        <v>64.52000000000001</v>
      </c>
      <c r="Y112" s="5">
        <v>10</v>
      </c>
      <c r="Z112" s="5">
        <f>IF(Table3[[#This Row],[Efficiency Difference]]*0.2146 &gt; Table3[[#This Row],[Scoring Margin]], 1, 0)</f>
        <v>1</v>
      </c>
      <c r="AA112" s="5">
        <f>IF(Table3[[#This Row],[Efficiency Difference]]*0.2146 + 7 &gt; Table3[[#This Row],[Scoring Margin]], 1, 0)</f>
        <v>1</v>
      </c>
      <c r="AB112" s="5">
        <f>IF(Table3[[#This Row],[Efficiency Difference]]*0.2146 + 14 &gt; Table3[[#This Row],[Scoring Margin]], 1, 0)</f>
        <v>1</v>
      </c>
      <c r="AC112" s="5">
        <f>IF(Table3[[#This Row],[Efficiency Difference]]*0.2146 + 21 &gt; Table3[[#This Row],[Scoring Margin]], 1, 0)</f>
        <v>1</v>
      </c>
      <c r="AD112" s="5">
        <f>IF(Table3[[#This Row],[Efficiency Difference]]*0.2146 -7 &gt; Table3[[#This Row],[Scoring Margin]], 1, 0)</f>
        <v>0</v>
      </c>
      <c r="AE112" s="5">
        <f>IF(Table3[[#This Row],[Efficiency Difference]]*0.2146 -3 &gt; Table3[[#This Row],[Scoring Margin]], 1, 0)</f>
        <v>1</v>
      </c>
      <c r="AF112" s="5">
        <f>IF(Table3[[#This Row],[Efficiency Difference]]*0.2146 -5 &gt; Table3[[#This Row],[Scoring Margin]], 1, 0)</f>
        <v>0</v>
      </c>
      <c r="AG112" s="5">
        <f>IF(Table3[[#This Row],[Efficiency Difference]]*0.2146 -10 &gt; Table3[[#This Row],[Scoring Margin]], 1, 0)</f>
        <v>0</v>
      </c>
    </row>
    <row r="113" spans="2:33">
      <c r="B113" s="5">
        <v>64.52000000000001</v>
      </c>
      <c r="C113" s="5">
        <v>10</v>
      </c>
      <c r="X113" s="5">
        <v>64.52000000000001</v>
      </c>
      <c r="Y113" s="5">
        <v>10</v>
      </c>
      <c r="Z113" s="5">
        <f>IF(Table3[[#This Row],[Efficiency Difference]]*0.2146 &gt; Table3[[#This Row],[Scoring Margin]], 1, 0)</f>
        <v>1</v>
      </c>
      <c r="AA113" s="5">
        <f>IF(Table3[[#This Row],[Efficiency Difference]]*0.2146 + 7 &gt; Table3[[#This Row],[Scoring Margin]], 1, 0)</f>
        <v>1</v>
      </c>
      <c r="AB113" s="5">
        <f>IF(Table3[[#This Row],[Efficiency Difference]]*0.2146 + 14 &gt; Table3[[#This Row],[Scoring Margin]], 1, 0)</f>
        <v>1</v>
      </c>
      <c r="AC113" s="5">
        <f>IF(Table3[[#This Row],[Efficiency Difference]]*0.2146 + 21 &gt; Table3[[#This Row],[Scoring Margin]], 1, 0)</f>
        <v>1</v>
      </c>
      <c r="AD113" s="5">
        <f>IF(Table3[[#This Row],[Efficiency Difference]]*0.2146 -7 &gt; Table3[[#This Row],[Scoring Margin]], 1, 0)</f>
        <v>0</v>
      </c>
      <c r="AE113" s="5">
        <f>IF(Table3[[#This Row],[Efficiency Difference]]*0.2146 -3 &gt; Table3[[#This Row],[Scoring Margin]], 1, 0)</f>
        <v>1</v>
      </c>
      <c r="AF113" s="5">
        <f>IF(Table3[[#This Row],[Efficiency Difference]]*0.2146 -5 &gt; Table3[[#This Row],[Scoring Margin]], 1, 0)</f>
        <v>0</v>
      </c>
      <c r="AG113" s="5">
        <f>IF(Table3[[#This Row],[Efficiency Difference]]*0.2146 -10 &gt; Table3[[#This Row],[Scoring Margin]], 1, 0)</f>
        <v>0</v>
      </c>
    </row>
    <row r="114" spans="2:33">
      <c r="B114" s="5">
        <v>64.209999999999951</v>
      </c>
      <c r="C114" s="5">
        <v>17</v>
      </c>
      <c r="X114" s="5">
        <v>64.209999999999951</v>
      </c>
      <c r="Y114" s="5">
        <v>17</v>
      </c>
      <c r="Z114" s="5">
        <f>IF(Table3[[#This Row],[Efficiency Difference]]*0.2146 &gt; Table3[[#This Row],[Scoring Margin]], 1, 0)</f>
        <v>0</v>
      </c>
      <c r="AA114" s="5">
        <f>IF(Table3[[#This Row],[Efficiency Difference]]*0.2146 + 7 &gt; Table3[[#This Row],[Scoring Margin]], 1, 0)</f>
        <v>1</v>
      </c>
      <c r="AB114" s="5">
        <f>IF(Table3[[#This Row],[Efficiency Difference]]*0.2146 + 14 &gt; Table3[[#This Row],[Scoring Margin]], 1, 0)</f>
        <v>1</v>
      </c>
      <c r="AC114" s="5">
        <f>IF(Table3[[#This Row],[Efficiency Difference]]*0.2146 + 21 &gt; Table3[[#This Row],[Scoring Margin]], 1, 0)</f>
        <v>1</v>
      </c>
      <c r="AD114" s="5">
        <f>IF(Table3[[#This Row],[Efficiency Difference]]*0.2146 -7 &gt; Table3[[#This Row],[Scoring Margin]], 1, 0)</f>
        <v>0</v>
      </c>
      <c r="AE114" s="5">
        <f>IF(Table3[[#This Row],[Efficiency Difference]]*0.2146 -3 &gt; Table3[[#This Row],[Scoring Margin]], 1, 0)</f>
        <v>0</v>
      </c>
      <c r="AF114" s="5">
        <f>IF(Table3[[#This Row],[Efficiency Difference]]*0.2146 -5 &gt; Table3[[#This Row],[Scoring Margin]], 1, 0)</f>
        <v>0</v>
      </c>
      <c r="AG114" s="5">
        <f>IF(Table3[[#This Row],[Efficiency Difference]]*0.2146 -10 &gt; Table3[[#This Row],[Scoring Margin]], 1, 0)</f>
        <v>0</v>
      </c>
    </row>
    <row r="115" spans="2:33">
      <c r="B115" s="5">
        <v>64.209999999999965</v>
      </c>
      <c r="C115" s="5">
        <v>17</v>
      </c>
      <c r="X115" s="5">
        <v>64.209999999999965</v>
      </c>
      <c r="Y115" s="5">
        <v>17</v>
      </c>
      <c r="Z115" s="5">
        <f>IF(Table3[[#This Row],[Efficiency Difference]]*0.2146 &gt; Table3[[#This Row],[Scoring Margin]], 1, 0)</f>
        <v>0</v>
      </c>
      <c r="AA115" s="5">
        <f>IF(Table3[[#This Row],[Efficiency Difference]]*0.2146 + 7 &gt; Table3[[#This Row],[Scoring Margin]], 1, 0)</f>
        <v>1</v>
      </c>
      <c r="AB115" s="5">
        <f>IF(Table3[[#This Row],[Efficiency Difference]]*0.2146 + 14 &gt; Table3[[#This Row],[Scoring Margin]], 1, 0)</f>
        <v>1</v>
      </c>
      <c r="AC115" s="5">
        <f>IF(Table3[[#This Row],[Efficiency Difference]]*0.2146 + 21 &gt; Table3[[#This Row],[Scoring Margin]], 1, 0)</f>
        <v>1</v>
      </c>
      <c r="AD115" s="5">
        <f>IF(Table3[[#This Row],[Efficiency Difference]]*0.2146 -7 &gt; Table3[[#This Row],[Scoring Margin]], 1, 0)</f>
        <v>0</v>
      </c>
      <c r="AE115" s="5">
        <f>IF(Table3[[#This Row],[Efficiency Difference]]*0.2146 -3 &gt; Table3[[#This Row],[Scoring Margin]], 1, 0)</f>
        <v>0</v>
      </c>
      <c r="AF115" s="5">
        <f>IF(Table3[[#This Row],[Efficiency Difference]]*0.2146 -5 &gt; Table3[[#This Row],[Scoring Margin]], 1, 0)</f>
        <v>0</v>
      </c>
      <c r="AG115" s="5">
        <f>IF(Table3[[#This Row],[Efficiency Difference]]*0.2146 -10 &gt; Table3[[#This Row],[Scoring Margin]], 1, 0)</f>
        <v>0</v>
      </c>
    </row>
    <row r="116" spans="2:33">
      <c r="B116" s="5">
        <v>75.22999999999999</v>
      </c>
      <c r="C116" s="5">
        <v>7</v>
      </c>
      <c r="X116" s="5">
        <v>75.22999999999999</v>
      </c>
      <c r="Y116" s="5">
        <v>7</v>
      </c>
      <c r="Z116" s="5">
        <f>IF(Table3[[#This Row],[Efficiency Difference]]*0.2146 &gt; Table3[[#This Row],[Scoring Margin]], 1, 0)</f>
        <v>1</v>
      </c>
      <c r="AA116" s="5">
        <f>IF(Table3[[#This Row],[Efficiency Difference]]*0.2146 + 7 &gt; Table3[[#This Row],[Scoring Margin]], 1, 0)</f>
        <v>1</v>
      </c>
      <c r="AB116" s="5">
        <f>IF(Table3[[#This Row],[Efficiency Difference]]*0.2146 + 14 &gt; Table3[[#This Row],[Scoring Margin]], 1, 0)</f>
        <v>1</v>
      </c>
      <c r="AC116" s="5">
        <f>IF(Table3[[#This Row],[Efficiency Difference]]*0.2146 + 21 &gt; Table3[[#This Row],[Scoring Margin]], 1, 0)</f>
        <v>1</v>
      </c>
      <c r="AD116" s="5">
        <f>IF(Table3[[#This Row],[Efficiency Difference]]*0.2146 -7 &gt; Table3[[#This Row],[Scoring Margin]], 1, 0)</f>
        <v>1</v>
      </c>
      <c r="AE116" s="5">
        <f>IF(Table3[[#This Row],[Efficiency Difference]]*0.2146 -3 &gt; Table3[[#This Row],[Scoring Margin]], 1, 0)</f>
        <v>1</v>
      </c>
      <c r="AF116" s="5">
        <f>IF(Table3[[#This Row],[Efficiency Difference]]*0.2146 -5 &gt; Table3[[#This Row],[Scoring Margin]], 1, 0)</f>
        <v>1</v>
      </c>
      <c r="AG116" s="5">
        <f>IF(Table3[[#This Row],[Efficiency Difference]]*0.2146 -10 &gt; Table3[[#This Row],[Scoring Margin]], 1, 0)</f>
        <v>0</v>
      </c>
    </row>
    <row r="117" spans="2:33">
      <c r="B117" s="5">
        <v>75.22999999999999</v>
      </c>
      <c r="C117" s="5">
        <v>7</v>
      </c>
      <c r="X117" s="5">
        <v>75.22999999999999</v>
      </c>
      <c r="Y117" s="5">
        <v>7</v>
      </c>
      <c r="Z117" s="5">
        <f>IF(Table3[[#This Row],[Efficiency Difference]]*0.2146 &gt; Table3[[#This Row],[Scoring Margin]], 1, 0)</f>
        <v>1</v>
      </c>
      <c r="AA117" s="5">
        <f>IF(Table3[[#This Row],[Efficiency Difference]]*0.2146 + 7 &gt; Table3[[#This Row],[Scoring Margin]], 1, 0)</f>
        <v>1</v>
      </c>
      <c r="AB117" s="5">
        <f>IF(Table3[[#This Row],[Efficiency Difference]]*0.2146 + 14 &gt; Table3[[#This Row],[Scoring Margin]], 1, 0)</f>
        <v>1</v>
      </c>
      <c r="AC117" s="5">
        <f>IF(Table3[[#This Row],[Efficiency Difference]]*0.2146 + 21 &gt; Table3[[#This Row],[Scoring Margin]], 1, 0)</f>
        <v>1</v>
      </c>
      <c r="AD117" s="5">
        <f>IF(Table3[[#This Row],[Efficiency Difference]]*0.2146 -7 &gt; Table3[[#This Row],[Scoring Margin]], 1, 0)</f>
        <v>1</v>
      </c>
      <c r="AE117" s="5">
        <f>IF(Table3[[#This Row],[Efficiency Difference]]*0.2146 -3 &gt; Table3[[#This Row],[Scoring Margin]], 1, 0)</f>
        <v>1</v>
      </c>
      <c r="AF117" s="5">
        <f>IF(Table3[[#This Row],[Efficiency Difference]]*0.2146 -5 &gt; Table3[[#This Row],[Scoring Margin]], 1, 0)</f>
        <v>1</v>
      </c>
      <c r="AG117" s="5">
        <f>IF(Table3[[#This Row],[Efficiency Difference]]*0.2146 -10 &gt; Table3[[#This Row],[Scoring Margin]], 1, 0)</f>
        <v>0</v>
      </c>
    </row>
    <row r="118" spans="2:33">
      <c r="B118" s="5">
        <v>72.889999999999986</v>
      </c>
      <c r="C118" s="5">
        <v>3</v>
      </c>
      <c r="X118" s="5">
        <v>72.889999999999986</v>
      </c>
      <c r="Y118" s="5">
        <v>3</v>
      </c>
      <c r="Z118" s="5">
        <f>IF(Table3[[#This Row],[Efficiency Difference]]*0.2146 &gt; Table3[[#This Row],[Scoring Margin]], 1, 0)</f>
        <v>1</v>
      </c>
      <c r="AA118" s="5">
        <f>IF(Table3[[#This Row],[Efficiency Difference]]*0.2146 + 7 &gt; Table3[[#This Row],[Scoring Margin]], 1, 0)</f>
        <v>1</v>
      </c>
      <c r="AB118" s="5">
        <f>IF(Table3[[#This Row],[Efficiency Difference]]*0.2146 + 14 &gt; Table3[[#This Row],[Scoring Margin]], 1, 0)</f>
        <v>1</v>
      </c>
      <c r="AC118" s="5">
        <f>IF(Table3[[#This Row],[Efficiency Difference]]*0.2146 + 21 &gt; Table3[[#This Row],[Scoring Margin]], 1, 0)</f>
        <v>1</v>
      </c>
      <c r="AD118" s="5">
        <f>IF(Table3[[#This Row],[Efficiency Difference]]*0.2146 -7 &gt; Table3[[#This Row],[Scoring Margin]], 1, 0)</f>
        <v>1</v>
      </c>
      <c r="AE118" s="5">
        <f>IF(Table3[[#This Row],[Efficiency Difference]]*0.2146 -3 &gt; Table3[[#This Row],[Scoring Margin]], 1, 0)</f>
        <v>1</v>
      </c>
      <c r="AF118" s="5">
        <f>IF(Table3[[#This Row],[Efficiency Difference]]*0.2146 -5 &gt; Table3[[#This Row],[Scoring Margin]], 1, 0)</f>
        <v>1</v>
      </c>
      <c r="AG118" s="5">
        <f>IF(Table3[[#This Row],[Efficiency Difference]]*0.2146 -10 &gt; Table3[[#This Row],[Scoring Margin]], 1, 0)</f>
        <v>1</v>
      </c>
    </row>
    <row r="119" spans="2:33">
      <c r="B119" s="5">
        <v>72.889999999999986</v>
      </c>
      <c r="C119" s="5">
        <v>3</v>
      </c>
      <c r="X119" s="5">
        <v>72.889999999999986</v>
      </c>
      <c r="Y119" s="5">
        <v>3</v>
      </c>
      <c r="Z119" s="5">
        <f>IF(Table3[[#This Row],[Efficiency Difference]]*0.2146 &gt; Table3[[#This Row],[Scoring Margin]], 1, 0)</f>
        <v>1</v>
      </c>
      <c r="AA119" s="5">
        <f>IF(Table3[[#This Row],[Efficiency Difference]]*0.2146 + 7 &gt; Table3[[#This Row],[Scoring Margin]], 1, 0)</f>
        <v>1</v>
      </c>
      <c r="AB119" s="5">
        <f>IF(Table3[[#This Row],[Efficiency Difference]]*0.2146 + 14 &gt; Table3[[#This Row],[Scoring Margin]], 1, 0)</f>
        <v>1</v>
      </c>
      <c r="AC119" s="5">
        <f>IF(Table3[[#This Row],[Efficiency Difference]]*0.2146 + 21 &gt; Table3[[#This Row],[Scoring Margin]], 1, 0)</f>
        <v>1</v>
      </c>
      <c r="AD119" s="5">
        <f>IF(Table3[[#This Row],[Efficiency Difference]]*0.2146 -7 &gt; Table3[[#This Row],[Scoring Margin]], 1, 0)</f>
        <v>1</v>
      </c>
      <c r="AE119" s="5">
        <f>IF(Table3[[#This Row],[Efficiency Difference]]*0.2146 -3 &gt; Table3[[#This Row],[Scoring Margin]], 1, 0)</f>
        <v>1</v>
      </c>
      <c r="AF119" s="5">
        <f>IF(Table3[[#This Row],[Efficiency Difference]]*0.2146 -5 &gt; Table3[[#This Row],[Scoring Margin]], 1, 0)</f>
        <v>1</v>
      </c>
      <c r="AG119" s="5">
        <f>IF(Table3[[#This Row],[Efficiency Difference]]*0.2146 -10 &gt; Table3[[#This Row],[Scoring Margin]], 1, 0)</f>
        <v>1</v>
      </c>
    </row>
    <row r="120" spans="2:33">
      <c r="B120" s="5">
        <v>66.22999999999999</v>
      </c>
      <c r="C120" s="5">
        <v>7</v>
      </c>
      <c r="X120" s="5">
        <v>66.22999999999999</v>
      </c>
      <c r="Y120" s="5">
        <v>7</v>
      </c>
      <c r="Z120" s="5">
        <f>IF(Table3[[#This Row],[Efficiency Difference]]*0.2146 &gt; Table3[[#This Row],[Scoring Margin]], 1, 0)</f>
        <v>1</v>
      </c>
      <c r="AA120" s="5">
        <f>IF(Table3[[#This Row],[Efficiency Difference]]*0.2146 + 7 &gt; Table3[[#This Row],[Scoring Margin]], 1, 0)</f>
        <v>1</v>
      </c>
      <c r="AB120" s="5">
        <f>IF(Table3[[#This Row],[Efficiency Difference]]*0.2146 + 14 &gt; Table3[[#This Row],[Scoring Margin]], 1, 0)</f>
        <v>1</v>
      </c>
      <c r="AC120" s="5">
        <f>IF(Table3[[#This Row],[Efficiency Difference]]*0.2146 + 21 &gt; Table3[[#This Row],[Scoring Margin]], 1, 0)</f>
        <v>1</v>
      </c>
      <c r="AD120" s="5">
        <f>IF(Table3[[#This Row],[Efficiency Difference]]*0.2146 -7 &gt; Table3[[#This Row],[Scoring Margin]], 1, 0)</f>
        <v>1</v>
      </c>
      <c r="AE120" s="5">
        <f>IF(Table3[[#This Row],[Efficiency Difference]]*0.2146 -3 &gt; Table3[[#This Row],[Scoring Margin]], 1, 0)</f>
        <v>1</v>
      </c>
      <c r="AF120" s="5">
        <f>IF(Table3[[#This Row],[Efficiency Difference]]*0.2146 -5 &gt; Table3[[#This Row],[Scoring Margin]], 1, 0)</f>
        <v>1</v>
      </c>
      <c r="AG120" s="5">
        <f>IF(Table3[[#This Row],[Efficiency Difference]]*0.2146 -10 &gt; Table3[[#This Row],[Scoring Margin]], 1, 0)</f>
        <v>0</v>
      </c>
    </row>
    <row r="121" spans="2:33">
      <c r="B121" s="5">
        <v>66.22999999999999</v>
      </c>
      <c r="C121" s="5">
        <v>7</v>
      </c>
      <c r="X121" s="5">
        <v>66.22999999999999</v>
      </c>
      <c r="Y121" s="5">
        <v>7</v>
      </c>
      <c r="Z121" s="5">
        <f>IF(Table3[[#This Row],[Efficiency Difference]]*0.2146 &gt; Table3[[#This Row],[Scoring Margin]], 1, 0)</f>
        <v>1</v>
      </c>
      <c r="AA121" s="5">
        <f>IF(Table3[[#This Row],[Efficiency Difference]]*0.2146 + 7 &gt; Table3[[#This Row],[Scoring Margin]], 1, 0)</f>
        <v>1</v>
      </c>
      <c r="AB121" s="5">
        <f>IF(Table3[[#This Row],[Efficiency Difference]]*0.2146 + 14 &gt; Table3[[#This Row],[Scoring Margin]], 1, 0)</f>
        <v>1</v>
      </c>
      <c r="AC121" s="5">
        <f>IF(Table3[[#This Row],[Efficiency Difference]]*0.2146 + 21 &gt; Table3[[#This Row],[Scoring Margin]], 1, 0)</f>
        <v>1</v>
      </c>
      <c r="AD121" s="5">
        <f>IF(Table3[[#This Row],[Efficiency Difference]]*0.2146 -7 &gt; Table3[[#This Row],[Scoring Margin]], 1, 0)</f>
        <v>1</v>
      </c>
      <c r="AE121" s="5">
        <f>IF(Table3[[#This Row],[Efficiency Difference]]*0.2146 -3 &gt; Table3[[#This Row],[Scoring Margin]], 1, 0)</f>
        <v>1</v>
      </c>
      <c r="AF121" s="5">
        <f>IF(Table3[[#This Row],[Efficiency Difference]]*0.2146 -5 &gt; Table3[[#This Row],[Scoring Margin]], 1, 0)</f>
        <v>1</v>
      </c>
      <c r="AG121" s="5">
        <f>IF(Table3[[#This Row],[Efficiency Difference]]*0.2146 -10 &gt; Table3[[#This Row],[Scoring Margin]], 1, 0)</f>
        <v>0</v>
      </c>
    </row>
    <row r="122" spans="2:33">
      <c r="B122" s="5">
        <v>55.75</v>
      </c>
      <c r="C122" s="5">
        <v>11</v>
      </c>
      <c r="X122" s="5">
        <v>55.75</v>
      </c>
      <c r="Y122" s="5">
        <v>11</v>
      </c>
      <c r="Z122" s="5">
        <f>IF(Table3[[#This Row],[Efficiency Difference]]*0.2146 &gt; Table3[[#This Row],[Scoring Margin]], 1, 0)</f>
        <v>1</v>
      </c>
      <c r="AA122" s="5">
        <f>IF(Table3[[#This Row],[Efficiency Difference]]*0.2146 + 7 &gt; Table3[[#This Row],[Scoring Margin]], 1, 0)</f>
        <v>1</v>
      </c>
      <c r="AB122" s="5">
        <f>IF(Table3[[#This Row],[Efficiency Difference]]*0.2146 + 14 &gt; Table3[[#This Row],[Scoring Margin]], 1, 0)</f>
        <v>1</v>
      </c>
      <c r="AC122" s="5">
        <f>IF(Table3[[#This Row],[Efficiency Difference]]*0.2146 + 21 &gt; Table3[[#This Row],[Scoring Margin]], 1, 0)</f>
        <v>1</v>
      </c>
      <c r="AD122" s="5">
        <f>IF(Table3[[#This Row],[Efficiency Difference]]*0.2146 -7 &gt; Table3[[#This Row],[Scoring Margin]], 1, 0)</f>
        <v>0</v>
      </c>
      <c r="AE122" s="5">
        <f>IF(Table3[[#This Row],[Efficiency Difference]]*0.2146 -3 &gt; Table3[[#This Row],[Scoring Margin]], 1, 0)</f>
        <v>0</v>
      </c>
      <c r="AF122" s="5">
        <f>IF(Table3[[#This Row],[Efficiency Difference]]*0.2146 -5 &gt; Table3[[#This Row],[Scoring Margin]], 1, 0)</f>
        <v>0</v>
      </c>
      <c r="AG122" s="5">
        <f>IF(Table3[[#This Row],[Efficiency Difference]]*0.2146 -10 &gt; Table3[[#This Row],[Scoring Margin]], 1, 0)</f>
        <v>0</v>
      </c>
    </row>
    <row r="123" spans="2:33">
      <c r="B123" s="5">
        <v>55.75</v>
      </c>
      <c r="C123" s="5">
        <v>11</v>
      </c>
      <c r="X123" s="5">
        <v>55.75</v>
      </c>
      <c r="Y123" s="5">
        <v>11</v>
      </c>
      <c r="Z123" s="5">
        <f>IF(Table3[[#This Row],[Efficiency Difference]]*0.2146 &gt; Table3[[#This Row],[Scoring Margin]], 1, 0)</f>
        <v>1</v>
      </c>
      <c r="AA123" s="5">
        <f>IF(Table3[[#This Row],[Efficiency Difference]]*0.2146 + 7 &gt; Table3[[#This Row],[Scoring Margin]], 1, 0)</f>
        <v>1</v>
      </c>
      <c r="AB123" s="5">
        <f>IF(Table3[[#This Row],[Efficiency Difference]]*0.2146 + 14 &gt; Table3[[#This Row],[Scoring Margin]], 1, 0)</f>
        <v>1</v>
      </c>
      <c r="AC123" s="5">
        <f>IF(Table3[[#This Row],[Efficiency Difference]]*0.2146 + 21 &gt; Table3[[#This Row],[Scoring Margin]], 1, 0)</f>
        <v>1</v>
      </c>
      <c r="AD123" s="5">
        <f>IF(Table3[[#This Row],[Efficiency Difference]]*0.2146 -7 &gt; Table3[[#This Row],[Scoring Margin]], 1, 0)</f>
        <v>0</v>
      </c>
      <c r="AE123" s="5">
        <f>IF(Table3[[#This Row],[Efficiency Difference]]*0.2146 -3 &gt; Table3[[#This Row],[Scoring Margin]], 1, 0)</f>
        <v>0</v>
      </c>
      <c r="AF123" s="5">
        <f>IF(Table3[[#This Row],[Efficiency Difference]]*0.2146 -5 &gt; Table3[[#This Row],[Scoring Margin]], 1, 0)</f>
        <v>0</v>
      </c>
      <c r="AG123" s="5">
        <f>IF(Table3[[#This Row],[Efficiency Difference]]*0.2146 -10 &gt; Table3[[#This Row],[Scoring Margin]], 1, 0)</f>
        <v>0</v>
      </c>
    </row>
    <row r="124" spans="2:33">
      <c r="B124" s="5">
        <v>10.829999999999984</v>
      </c>
      <c r="C124" s="5">
        <v>10</v>
      </c>
      <c r="X124" s="5">
        <v>10.829999999999984</v>
      </c>
      <c r="Y124" s="5">
        <v>10</v>
      </c>
      <c r="Z124" s="5">
        <f>IF(Table3[[#This Row],[Efficiency Difference]]*0.2146 &gt; Table3[[#This Row],[Scoring Margin]], 1, 0)</f>
        <v>0</v>
      </c>
      <c r="AA124" s="5">
        <f>IF(Table3[[#This Row],[Efficiency Difference]]*0.2146 + 7 &gt; Table3[[#This Row],[Scoring Margin]], 1, 0)</f>
        <v>0</v>
      </c>
      <c r="AB124" s="5">
        <f>IF(Table3[[#This Row],[Efficiency Difference]]*0.2146 + 14 &gt; Table3[[#This Row],[Scoring Margin]], 1, 0)</f>
        <v>1</v>
      </c>
      <c r="AC124" s="5">
        <f>IF(Table3[[#This Row],[Efficiency Difference]]*0.2146 + 21 &gt; Table3[[#This Row],[Scoring Margin]], 1, 0)</f>
        <v>1</v>
      </c>
      <c r="AD124" s="5">
        <f>IF(Table3[[#This Row],[Efficiency Difference]]*0.2146 -7 &gt; Table3[[#This Row],[Scoring Margin]], 1, 0)</f>
        <v>0</v>
      </c>
      <c r="AE124" s="5">
        <f>IF(Table3[[#This Row],[Efficiency Difference]]*0.2146 -3 &gt; Table3[[#This Row],[Scoring Margin]], 1, 0)</f>
        <v>0</v>
      </c>
      <c r="AF124" s="5">
        <f>IF(Table3[[#This Row],[Efficiency Difference]]*0.2146 -5 &gt; Table3[[#This Row],[Scoring Margin]], 1, 0)</f>
        <v>0</v>
      </c>
      <c r="AG124" s="5">
        <f>IF(Table3[[#This Row],[Efficiency Difference]]*0.2146 -10 &gt; Table3[[#This Row],[Scoring Margin]], 1, 0)</f>
        <v>0</v>
      </c>
    </row>
    <row r="125" spans="2:33">
      <c r="B125" s="5">
        <v>10.830000000000013</v>
      </c>
      <c r="C125" s="5">
        <v>10</v>
      </c>
      <c r="X125" s="5">
        <v>10.830000000000013</v>
      </c>
      <c r="Y125" s="5">
        <v>10</v>
      </c>
      <c r="Z125" s="5">
        <f>IF(Table3[[#This Row],[Efficiency Difference]]*0.2146 &gt; Table3[[#This Row],[Scoring Margin]], 1, 0)</f>
        <v>0</v>
      </c>
      <c r="AA125" s="5">
        <f>IF(Table3[[#This Row],[Efficiency Difference]]*0.2146 + 7 &gt; Table3[[#This Row],[Scoring Margin]], 1, 0)</f>
        <v>0</v>
      </c>
      <c r="AB125" s="5">
        <f>IF(Table3[[#This Row],[Efficiency Difference]]*0.2146 + 14 &gt; Table3[[#This Row],[Scoring Margin]], 1, 0)</f>
        <v>1</v>
      </c>
      <c r="AC125" s="5">
        <f>IF(Table3[[#This Row],[Efficiency Difference]]*0.2146 + 21 &gt; Table3[[#This Row],[Scoring Margin]], 1, 0)</f>
        <v>1</v>
      </c>
      <c r="AD125" s="5">
        <f>IF(Table3[[#This Row],[Efficiency Difference]]*0.2146 -7 &gt; Table3[[#This Row],[Scoring Margin]], 1, 0)</f>
        <v>0</v>
      </c>
      <c r="AE125" s="5">
        <f>IF(Table3[[#This Row],[Efficiency Difference]]*0.2146 -3 &gt; Table3[[#This Row],[Scoring Margin]], 1, 0)</f>
        <v>0</v>
      </c>
      <c r="AF125" s="5">
        <f>IF(Table3[[#This Row],[Efficiency Difference]]*0.2146 -5 &gt; Table3[[#This Row],[Scoring Margin]], 1, 0)</f>
        <v>0</v>
      </c>
      <c r="AG125" s="5">
        <f>IF(Table3[[#This Row],[Efficiency Difference]]*0.2146 -10 &gt; Table3[[#This Row],[Scoring Margin]], 1, 0)</f>
        <v>0</v>
      </c>
    </row>
    <row r="126" spans="2:33">
      <c r="B126" s="5">
        <v>61.859999999999985</v>
      </c>
      <c r="C126" s="5">
        <v>4</v>
      </c>
      <c r="X126" s="5">
        <v>61.859999999999985</v>
      </c>
      <c r="Y126" s="5">
        <v>4</v>
      </c>
      <c r="Z126" s="5">
        <f>IF(Table3[[#This Row],[Efficiency Difference]]*0.2146 &gt; Table3[[#This Row],[Scoring Margin]], 1, 0)</f>
        <v>1</v>
      </c>
      <c r="AA126" s="5">
        <f>IF(Table3[[#This Row],[Efficiency Difference]]*0.2146 + 7 &gt; Table3[[#This Row],[Scoring Margin]], 1, 0)</f>
        <v>1</v>
      </c>
      <c r="AB126" s="5">
        <f>IF(Table3[[#This Row],[Efficiency Difference]]*0.2146 + 14 &gt; Table3[[#This Row],[Scoring Margin]], 1, 0)</f>
        <v>1</v>
      </c>
      <c r="AC126" s="5">
        <f>IF(Table3[[#This Row],[Efficiency Difference]]*0.2146 + 21 &gt; Table3[[#This Row],[Scoring Margin]], 1, 0)</f>
        <v>1</v>
      </c>
      <c r="AD126" s="5">
        <f>IF(Table3[[#This Row],[Efficiency Difference]]*0.2146 -7 &gt; Table3[[#This Row],[Scoring Margin]], 1, 0)</f>
        <v>1</v>
      </c>
      <c r="AE126" s="5">
        <f>IF(Table3[[#This Row],[Efficiency Difference]]*0.2146 -3 &gt; Table3[[#This Row],[Scoring Margin]], 1, 0)</f>
        <v>1</v>
      </c>
      <c r="AF126" s="5">
        <f>IF(Table3[[#This Row],[Efficiency Difference]]*0.2146 -5 &gt; Table3[[#This Row],[Scoring Margin]], 1, 0)</f>
        <v>1</v>
      </c>
      <c r="AG126" s="5">
        <f>IF(Table3[[#This Row],[Efficiency Difference]]*0.2146 -10 &gt; Table3[[#This Row],[Scoring Margin]], 1, 0)</f>
        <v>0</v>
      </c>
    </row>
    <row r="127" spans="2:33">
      <c r="B127" s="5">
        <v>61.859999999999985</v>
      </c>
      <c r="C127" s="5">
        <v>4</v>
      </c>
      <c r="X127" s="5">
        <v>61.859999999999985</v>
      </c>
      <c r="Y127" s="5">
        <v>4</v>
      </c>
      <c r="Z127" s="5">
        <f>IF(Table3[[#This Row],[Efficiency Difference]]*0.2146 &gt; Table3[[#This Row],[Scoring Margin]], 1, 0)</f>
        <v>1</v>
      </c>
      <c r="AA127" s="5">
        <f>IF(Table3[[#This Row],[Efficiency Difference]]*0.2146 + 7 &gt; Table3[[#This Row],[Scoring Margin]], 1, 0)</f>
        <v>1</v>
      </c>
      <c r="AB127" s="5">
        <f>IF(Table3[[#This Row],[Efficiency Difference]]*0.2146 + 14 &gt; Table3[[#This Row],[Scoring Margin]], 1, 0)</f>
        <v>1</v>
      </c>
      <c r="AC127" s="5">
        <f>IF(Table3[[#This Row],[Efficiency Difference]]*0.2146 + 21 &gt; Table3[[#This Row],[Scoring Margin]], 1, 0)</f>
        <v>1</v>
      </c>
      <c r="AD127" s="5">
        <f>IF(Table3[[#This Row],[Efficiency Difference]]*0.2146 -7 &gt; Table3[[#This Row],[Scoring Margin]], 1, 0)</f>
        <v>1</v>
      </c>
      <c r="AE127" s="5">
        <f>IF(Table3[[#This Row],[Efficiency Difference]]*0.2146 -3 &gt; Table3[[#This Row],[Scoring Margin]], 1, 0)</f>
        <v>1</v>
      </c>
      <c r="AF127" s="5">
        <f>IF(Table3[[#This Row],[Efficiency Difference]]*0.2146 -5 &gt; Table3[[#This Row],[Scoring Margin]], 1, 0)</f>
        <v>1</v>
      </c>
      <c r="AG127" s="5">
        <f>IF(Table3[[#This Row],[Efficiency Difference]]*0.2146 -10 &gt; Table3[[#This Row],[Scoring Margin]], 1, 0)</f>
        <v>0</v>
      </c>
    </row>
    <row r="128" spans="2:33">
      <c r="B128" s="5">
        <v>81.539999999999992</v>
      </c>
      <c r="C128" s="5">
        <v>21</v>
      </c>
      <c r="X128" s="5">
        <v>81.539999999999992</v>
      </c>
      <c r="Y128" s="5">
        <v>21</v>
      </c>
      <c r="Z128" s="5">
        <f>IF(Table3[[#This Row],[Efficiency Difference]]*0.2146 &gt; Table3[[#This Row],[Scoring Margin]], 1, 0)</f>
        <v>0</v>
      </c>
      <c r="AA128" s="5">
        <f>IF(Table3[[#This Row],[Efficiency Difference]]*0.2146 + 7 &gt; Table3[[#This Row],[Scoring Margin]], 1, 0)</f>
        <v>1</v>
      </c>
      <c r="AB128" s="5">
        <f>IF(Table3[[#This Row],[Efficiency Difference]]*0.2146 + 14 &gt; Table3[[#This Row],[Scoring Margin]], 1, 0)</f>
        <v>1</v>
      </c>
      <c r="AC128" s="5">
        <f>IF(Table3[[#This Row],[Efficiency Difference]]*0.2146 + 21 &gt; Table3[[#This Row],[Scoring Margin]], 1, 0)</f>
        <v>1</v>
      </c>
      <c r="AD128" s="5">
        <f>IF(Table3[[#This Row],[Efficiency Difference]]*0.2146 -7 &gt; Table3[[#This Row],[Scoring Margin]], 1, 0)</f>
        <v>0</v>
      </c>
      <c r="AE128" s="5">
        <f>IF(Table3[[#This Row],[Efficiency Difference]]*0.2146 -3 &gt; Table3[[#This Row],[Scoring Margin]], 1, 0)</f>
        <v>0</v>
      </c>
      <c r="AF128" s="5">
        <f>IF(Table3[[#This Row],[Efficiency Difference]]*0.2146 -5 &gt; Table3[[#This Row],[Scoring Margin]], 1, 0)</f>
        <v>0</v>
      </c>
      <c r="AG128" s="5">
        <f>IF(Table3[[#This Row],[Efficiency Difference]]*0.2146 -10 &gt; Table3[[#This Row],[Scoring Margin]], 1, 0)</f>
        <v>0</v>
      </c>
    </row>
    <row r="129" spans="2:33">
      <c r="B129" s="5">
        <v>81.539999999999992</v>
      </c>
      <c r="C129" s="5">
        <v>21</v>
      </c>
      <c r="X129" s="5">
        <v>81.539999999999992</v>
      </c>
      <c r="Y129" s="5">
        <v>21</v>
      </c>
      <c r="Z129" s="5">
        <f>IF(Table3[[#This Row],[Efficiency Difference]]*0.2146 &gt; Table3[[#This Row],[Scoring Margin]], 1, 0)</f>
        <v>0</v>
      </c>
      <c r="AA129" s="5">
        <f>IF(Table3[[#This Row],[Efficiency Difference]]*0.2146 + 7 &gt; Table3[[#This Row],[Scoring Margin]], 1, 0)</f>
        <v>1</v>
      </c>
      <c r="AB129" s="5">
        <f>IF(Table3[[#This Row],[Efficiency Difference]]*0.2146 + 14 &gt; Table3[[#This Row],[Scoring Margin]], 1, 0)</f>
        <v>1</v>
      </c>
      <c r="AC129" s="5">
        <f>IF(Table3[[#This Row],[Efficiency Difference]]*0.2146 + 21 &gt; Table3[[#This Row],[Scoring Margin]], 1, 0)</f>
        <v>1</v>
      </c>
      <c r="AD129" s="5">
        <f>IF(Table3[[#This Row],[Efficiency Difference]]*0.2146 -7 &gt; Table3[[#This Row],[Scoring Margin]], 1, 0)</f>
        <v>0</v>
      </c>
      <c r="AE129" s="5">
        <f>IF(Table3[[#This Row],[Efficiency Difference]]*0.2146 -3 &gt; Table3[[#This Row],[Scoring Margin]], 1, 0)</f>
        <v>0</v>
      </c>
      <c r="AF129" s="5">
        <f>IF(Table3[[#This Row],[Efficiency Difference]]*0.2146 -5 &gt; Table3[[#This Row],[Scoring Margin]], 1, 0)</f>
        <v>0</v>
      </c>
      <c r="AG129" s="5">
        <f>IF(Table3[[#This Row],[Efficiency Difference]]*0.2146 -10 &gt; Table3[[#This Row],[Scoring Margin]], 1, 0)</f>
        <v>0</v>
      </c>
    </row>
    <row r="130" spans="2:33">
      <c r="B130" s="5">
        <v>83.460000000000008</v>
      </c>
      <c r="C130" s="5">
        <v>24</v>
      </c>
      <c r="X130" s="5">
        <v>83.460000000000008</v>
      </c>
      <c r="Y130" s="5">
        <v>24</v>
      </c>
      <c r="Z130" s="5">
        <f>IF(Table3[[#This Row],[Efficiency Difference]]*0.2146 &gt; Table3[[#This Row],[Scoring Margin]], 1, 0)</f>
        <v>0</v>
      </c>
      <c r="AA130" s="5">
        <f>IF(Table3[[#This Row],[Efficiency Difference]]*0.2146 + 7 &gt; Table3[[#This Row],[Scoring Margin]], 1, 0)</f>
        <v>1</v>
      </c>
      <c r="AB130" s="5">
        <f>IF(Table3[[#This Row],[Efficiency Difference]]*0.2146 + 14 &gt; Table3[[#This Row],[Scoring Margin]], 1, 0)</f>
        <v>1</v>
      </c>
      <c r="AC130" s="5">
        <f>IF(Table3[[#This Row],[Efficiency Difference]]*0.2146 + 21 &gt; Table3[[#This Row],[Scoring Margin]], 1, 0)</f>
        <v>1</v>
      </c>
      <c r="AD130" s="5">
        <f>IF(Table3[[#This Row],[Efficiency Difference]]*0.2146 -7 &gt; Table3[[#This Row],[Scoring Margin]], 1, 0)</f>
        <v>0</v>
      </c>
      <c r="AE130" s="5">
        <f>IF(Table3[[#This Row],[Efficiency Difference]]*0.2146 -3 &gt; Table3[[#This Row],[Scoring Margin]], 1, 0)</f>
        <v>0</v>
      </c>
      <c r="AF130" s="5">
        <f>IF(Table3[[#This Row],[Efficiency Difference]]*0.2146 -5 &gt; Table3[[#This Row],[Scoring Margin]], 1, 0)</f>
        <v>0</v>
      </c>
      <c r="AG130" s="5">
        <f>IF(Table3[[#This Row],[Efficiency Difference]]*0.2146 -10 &gt; Table3[[#This Row],[Scoring Margin]], 1, 0)</f>
        <v>0</v>
      </c>
    </row>
    <row r="131" spans="2:33">
      <c r="B131" s="5">
        <v>83.45999999999998</v>
      </c>
      <c r="C131" s="5">
        <v>24</v>
      </c>
      <c r="X131" s="5">
        <v>83.45999999999998</v>
      </c>
      <c r="Y131" s="5">
        <v>24</v>
      </c>
      <c r="Z131" s="5">
        <f>IF(Table3[[#This Row],[Efficiency Difference]]*0.2146 &gt; Table3[[#This Row],[Scoring Margin]], 1, 0)</f>
        <v>0</v>
      </c>
      <c r="AA131" s="5">
        <f>IF(Table3[[#This Row],[Efficiency Difference]]*0.2146 + 7 &gt; Table3[[#This Row],[Scoring Margin]], 1, 0)</f>
        <v>1</v>
      </c>
      <c r="AB131" s="5">
        <f>IF(Table3[[#This Row],[Efficiency Difference]]*0.2146 + 14 &gt; Table3[[#This Row],[Scoring Margin]], 1, 0)</f>
        <v>1</v>
      </c>
      <c r="AC131" s="5">
        <f>IF(Table3[[#This Row],[Efficiency Difference]]*0.2146 + 21 &gt; Table3[[#This Row],[Scoring Margin]], 1, 0)</f>
        <v>1</v>
      </c>
      <c r="AD131" s="5">
        <f>IF(Table3[[#This Row],[Efficiency Difference]]*0.2146 -7 &gt; Table3[[#This Row],[Scoring Margin]], 1, 0)</f>
        <v>0</v>
      </c>
      <c r="AE131" s="5">
        <f>IF(Table3[[#This Row],[Efficiency Difference]]*0.2146 -3 &gt; Table3[[#This Row],[Scoring Margin]], 1, 0)</f>
        <v>0</v>
      </c>
      <c r="AF131" s="5">
        <f>IF(Table3[[#This Row],[Efficiency Difference]]*0.2146 -5 &gt; Table3[[#This Row],[Scoring Margin]], 1, 0)</f>
        <v>0</v>
      </c>
      <c r="AG131" s="5">
        <f>IF(Table3[[#This Row],[Efficiency Difference]]*0.2146 -10 &gt; Table3[[#This Row],[Scoring Margin]], 1, 0)</f>
        <v>0</v>
      </c>
    </row>
    <row r="132" spans="2:33">
      <c r="B132" s="5">
        <v>21.439999999999998</v>
      </c>
      <c r="C132" s="5">
        <v>5</v>
      </c>
      <c r="X132" s="5">
        <v>21.439999999999998</v>
      </c>
      <c r="Y132" s="5">
        <v>5</v>
      </c>
      <c r="Z132" s="5">
        <f>IF(Table3[[#This Row],[Efficiency Difference]]*0.2146 &gt; Table3[[#This Row],[Scoring Margin]], 1, 0)</f>
        <v>0</v>
      </c>
      <c r="AA132" s="5">
        <f>IF(Table3[[#This Row],[Efficiency Difference]]*0.2146 + 7 &gt; Table3[[#This Row],[Scoring Margin]], 1, 0)</f>
        <v>1</v>
      </c>
      <c r="AB132" s="5">
        <f>IF(Table3[[#This Row],[Efficiency Difference]]*0.2146 + 14 &gt; Table3[[#This Row],[Scoring Margin]], 1, 0)</f>
        <v>1</v>
      </c>
      <c r="AC132" s="5">
        <f>IF(Table3[[#This Row],[Efficiency Difference]]*0.2146 + 21 &gt; Table3[[#This Row],[Scoring Margin]], 1, 0)</f>
        <v>1</v>
      </c>
      <c r="AD132" s="5">
        <f>IF(Table3[[#This Row],[Efficiency Difference]]*0.2146 -7 &gt; Table3[[#This Row],[Scoring Margin]], 1, 0)</f>
        <v>0</v>
      </c>
      <c r="AE132" s="5">
        <f>IF(Table3[[#This Row],[Efficiency Difference]]*0.2146 -3 &gt; Table3[[#This Row],[Scoring Margin]], 1, 0)</f>
        <v>0</v>
      </c>
      <c r="AF132" s="5">
        <f>IF(Table3[[#This Row],[Efficiency Difference]]*0.2146 -5 &gt; Table3[[#This Row],[Scoring Margin]], 1, 0)</f>
        <v>0</v>
      </c>
      <c r="AG132" s="5">
        <f>IF(Table3[[#This Row],[Efficiency Difference]]*0.2146 -10 &gt; Table3[[#This Row],[Scoring Margin]], 1, 0)</f>
        <v>0</v>
      </c>
    </row>
    <row r="133" spans="2:33">
      <c r="B133" s="5">
        <v>21.439999999999998</v>
      </c>
      <c r="C133" s="5">
        <v>5</v>
      </c>
      <c r="X133" s="5">
        <v>21.439999999999998</v>
      </c>
      <c r="Y133" s="5">
        <v>5</v>
      </c>
      <c r="Z133" s="5">
        <f>IF(Table3[[#This Row],[Efficiency Difference]]*0.2146 &gt; Table3[[#This Row],[Scoring Margin]], 1, 0)</f>
        <v>0</v>
      </c>
      <c r="AA133" s="5">
        <f>IF(Table3[[#This Row],[Efficiency Difference]]*0.2146 + 7 &gt; Table3[[#This Row],[Scoring Margin]], 1, 0)</f>
        <v>1</v>
      </c>
      <c r="AB133" s="5">
        <f>IF(Table3[[#This Row],[Efficiency Difference]]*0.2146 + 14 &gt; Table3[[#This Row],[Scoring Margin]], 1, 0)</f>
        <v>1</v>
      </c>
      <c r="AC133" s="5">
        <f>IF(Table3[[#This Row],[Efficiency Difference]]*0.2146 + 21 &gt; Table3[[#This Row],[Scoring Margin]], 1, 0)</f>
        <v>1</v>
      </c>
      <c r="AD133" s="5">
        <f>IF(Table3[[#This Row],[Efficiency Difference]]*0.2146 -7 &gt; Table3[[#This Row],[Scoring Margin]], 1, 0)</f>
        <v>0</v>
      </c>
      <c r="AE133" s="5">
        <f>IF(Table3[[#This Row],[Efficiency Difference]]*0.2146 -3 &gt; Table3[[#This Row],[Scoring Margin]], 1, 0)</f>
        <v>0</v>
      </c>
      <c r="AF133" s="5">
        <f>IF(Table3[[#This Row],[Efficiency Difference]]*0.2146 -5 &gt; Table3[[#This Row],[Scoring Margin]], 1, 0)</f>
        <v>0</v>
      </c>
      <c r="AG133" s="5">
        <f>IF(Table3[[#This Row],[Efficiency Difference]]*0.2146 -10 &gt; Table3[[#This Row],[Scoring Margin]], 1, 0)</f>
        <v>0</v>
      </c>
    </row>
    <row r="134" spans="2:33">
      <c r="B134" s="5">
        <v>135.19999999999999</v>
      </c>
      <c r="C134" s="5">
        <v>45</v>
      </c>
      <c r="X134" s="5">
        <v>135.19999999999999</v>
      </c>
      <c r="Y134" s="5">
        <v>45</v>
      </c>
      <c r="Z134" s="5">
        <f>IF(Table3[[#This Row],[Efficiency Difference]]*0.2146 &gt; Table3[[#This Row],[Scoring Margin]], 1, 0)</f>
        <v>0</v>
      </c>
      <c r="AA134" s="5">
        <f>IF(Table3[[#This Row],[Efficiency Difference]]*0.2146 + 7 &gt; Table3[[#This Row],[Scoring Margin]], 1, 0)</f>
        <v>0</v>
      </c>
      <c r="AB134" s="5">
        <f>IF(Table3[[#This Row],[Efficiency Difference]]*0.2146 + 14 &gt; Table3[[#This Row],[Scoring Margin]], 1, 0)</f>
        <v>0</v>
      </c>
      <c r="AC134" s="5">
        <f>IF(Table3[[#This Row],[Efficiency Difference]]*0.2146 + 21 &gt; Table3[[#This Row],[Scoring Margin]], 1, 0)</f>
        <v>1</v>
      </c>
      <c r="AD134" s="5">
        <f>IF(Table3[[#This Row],[Efficiency Difference]]*0.2146 -7 &gt; Table3[[#This Row],[Scoring Margin]], 1, 0)</f>
        <v>0</v>
      </c>
      <c r="AE134" s="5">
        <f>IF(Table3[[#This Row],[Efficiency Difference]]*0.2146 -3 &gt; Table3[[#This Row],[Scoring Margin]], 1, 0)</f>
        <v>0</v>
      </c>
      <c r="AF134" s="5">
        <f>IF(Table3[[#This Row],[Efficiency Difference]]*0.2146 -5 &gt; Table3[[#This Row],[Scoring Margin]], 1, 0)</f>
        <v>0</v>
      </c>
      <c r="AG134" s="5">
        <f>IF(Table3[[#This Row],[Efficiency Difference]]*0.2146 -10 &gt; Table3[[#This Row],[Scoring Margin]], 1, 0)</f>
        <v>0</v>
      </c>
    </row>
    <row r="135" spans="2:33">
      <c r="B135" s="5">
        <v>135.19999999999999</v>
      </c>
      <c r="C135" s="5">
        <v>45</v>
      </c>
      <c r="X135" s="5">
        <v>135.19999999999999</v>
      </c>
      <c r="Y135" s="5">
        <v>45</v>
      </c>
      <c r="Z135" s="5">
        <f>IF(Table3[[#This Row],[Efficiency Difference]]*0.2146 &gt; Table3[[#This Row],[Scoring Margin]], 1, 0)</f>
        <v>0</v>
      </c>
      <c r="AA135" s="5">
        <f>IF(Table3[[#This Row],[Efficiency Difference]]*0.2146 + 7 &gt; Table3[[#This Row],[Scoring Margin]], 1, 0)</f>
        <v>0</v>
      </c>
      <c r="AB135" s="5">
        <f>IF(Table3[[#This Row],[Efficiency Difference]]*0.2146 + 14 &gt; Table3[[#This Row],[Scoring Margin]], 1, 0)</f>
        <v>0</v>
      </c>
      <c r="AC135" s="5">
        <f>IF(Table3[[#This Row],[Efficiency Difference]]*0.2146 + 21 &gt; Table3[[#This Row],[Scoring Margin]], 1, 0)</f>
        <v>1</v>
      </c>
      <c r="AD135" s="5">
        <f>IF(Table3[[#This Row],[Efficiency Difference]]*0.2146 -7 &gt; Table3[[#This Row],[Scoring Margin]], 1, 0)</f>
        <v>0</v>
      </c>
      <c r="AE135" s="5">
        <f>IF(Table3[[#This Row],[Efficiency Difference]]*0.2146 -3 &gt; Table3[[#This Row],[Scoring Margin]], 1, 0)</f>
        <v>0</v>
      </c>
      <c r="AF135" s="5">
        <f>IF(Table3[[#This Row],[Efficiency Difference]]*0.2146 -5 &gt; Table3[[#This Row],[Scoring Margin]], 1, 0)</f>
        <v>0</v>
      </c>
      <c r="AG135" s="5">
        <f>IF(Table3[[#This Row],[Efficiency Difference]]*0.2146 -10 &gt; Table3[[#This Row],[Scoring Margin]], 1, 0)</f>
        <v>0</v>
      </c>
    </row>
    <row r="136" spans="2:33">
      <c r="B136" s="5">
        <v>23.849999999999994</v>
      </c>
      <c r="C136" s="5">
        <v>9</v>
      </c>
      <c r="X136" s="5">
        <v>23.849999999999994</v>
      </c>
      <c r="Y136" s="5">
        <v>9</v>
      </c>
      <c r="Z136" s="5">
        <f>IF(Table3[[#This Row],[Efficiency Difference]]*0.2146 &gt; Table3[[#This Row],[Scoring Margin]], 1, 0)</f>
        <v>0</v>
      </c>
      <c r="AA136" s="5">
        <f>IF(Table3[[#This Row],[Efficiency Difference]]*0.2146 + 7 &gt; Table3[[#This Row],[Scoring Margin]], 1, 0)</f>
        <v>1</v>
      </c>
      <c r="AB136" s="5">
        <f>IF(Table3[[#This Row],[Efficiency Difference]]*0.2146 + 14 &gt; Table3[[#This Row],[Scoring Margin]], 1, 0)</f>
        <v>1</v>
      </c>
      <c r="AC136" s="5">
        <f>IF(Table3[[#This Row],[Efficiency Difference]]*0.2146 + 21 &gt; Table3[[#This Row],[Scoring Margin]], 1, 0)</f>
        <v>1</v>
      </c>
      <c r="AD136" s="5">
        <f>IF(Table3[[#This Row],[Efficiency Difference]]*0.2146 -7 &gt; Table3[[#This Row],[Scoring Margin]], 1, 0)</f>
        <v>0</v>
      </c>
      <c r="AE136" s="5">
        <f>IF(Table3[[#This Row],[Efficiency Difference]]*0.2146 -3 &gt; Table3[[#This Row],[Scoring Margin]], 1, 0)</f>
        <v>0</v>
      </c>
      <c r="AF136" s="5">
        <f>IF(Table3[[#This Row],[Efficiency Difference]]*0.2146 -5 &gt; Table3[[#This Row],[Scoring Margin]], 1, 0)</f>
        <v>0</v>
      </c>
      <c r="AG136" s="5">
        <f>IF(Table3[[#This Row],[Efficiency Difference]]*0.2146 -10 &gt; Table3[[#This Row],[Scoring Margin]], 1, 0)</f>
        <v>0</v>
      </c>
    </row>
    <row r="137" spans="2:33">
      <c r="B137" s="5">
        <v>23.849999999999994</v>
      </c>
      <c r="C137" s="5">
        <v>9</v>
      </c>
      <c r="X137" s="5">
        <v>23.849999999999994</v>
      </c>
      <c r="Y137" s="5">
        <v>9</v>
      </c>
      <c r="Z137" s="5">
        <f>IF(Table3[[#This Row],[Efficiency Difference]]*0.2146 &gt; Table3[[#This Row],[Scoring Margin]], 1, 0)</f>
        <v>0</v>
      </c>
      <c r="AA137" s="5">
        <f>IF(Table3[[#This Row],[Efficiency Difference]]*0.2146 + 7 &gt; Table3[[#This Row],[Scoring Margin]], 1, 0)</f>
        <v>1</v>
      </c>
      <c r="AB137" s="5">
        <f>IF(Table3[[#This Row],[Efficiency Difference]]*0.2146 + 14 &gt; Table3[[#This Row],[Scoring Margin]], 1, 0)</f>
        <v>1</v>
      </c>
      <c r="AC137" s="5">
        <f>IF(Table3[[#This Row],[Efficiency Difference]]*0.2146 + 21 &gt; Table3[[#This Row],[Scoring Margin]], 1, 0)</f>
        <v>1</v>
      </c>
      <c r="AD137" s="5">
        <f>IF(Table3[[#This Row],[Efficiency Difference]]*0.2146 -7 &gt; Table3[[#This Row],[Scoring Margin]], 1, 0)</f>
        <v>0</v>
      </c>
      <c r="AE137" s="5">
        <f>IF(Table3[[#This Row],[Efficiency Difference]]*0.2146 -3 &gt; Table3[[#This Row],[Scoring Margin]], 1, 0)</f>
        <v>0</v>
      </c>
      <c r="AF137" s="5">
        <f>IF(Table3[[#This Row],[Efficiency Difference]]*0.2146 -5 &gt; Table3[[#This Row],[Scoring Margin]], 1, 0)</f>
        <v>0</v>
      </c>
      <c r="AG137" s="5">
        <f>IF(Table3[[#This Row],[Efficiency Difference]]*0.2146 -10 &gt; Table3[[#This Row],[Scoring Margin]], 1, 0)</f>
        <v>0</v>
      </c>
    </row>
    <row r="138" spans="2:33">
      <c r="B138" s="5">
        <v>29.260000000000019</v>
      </c>
      <c r="C138" s="5">
        <v>5</v>
      </c>
      <c r="X138" s="5">
        <v>29.260000000000019</v>
      </c>
      <c r="Y138" s="5">
        <v>5</v>
      </c>
      <c r="Z138" s="5">
        <f>IF(Table3[[#This Row],[Efficiency Difference]]*0.2146 &gt; Table3[[#This Row],[Scoring Margin]], 1, 0)</f>
        <v>1</v>
      </c>
      <c r="AA138" s="5">
        <f>IF(Table3[[#This Row],[Efficiency Difference]]*0.2146 + 7 &gt; Table3[[#This Row],[Scoring Margin]], 1, 0)</f>
        <v>1</v>
      </c>
      <c r="AB138" s="5">
        <f>IF(Table3[[#This Row],[Efficiency Difference]]*0.2146 + 14 &gt; Table3[[#This Row],[Scoring Margin]], 1, 0)</f>
        <v>1</v>
      </c>
      <c r="AC138" s="5">
        <f>IF(Table3[[#This Row],[Efficiency Difference]]*0.2146 + 21 &gt; Table3[[#This Row],[Scoring Margin]], 1, 0)</f>
        <v>1</v>
      </c>
      <c r="AD138" s="5">
        <f>IF(Table3[[#This Row],[Efficiency Difference]]*0.2146 -7 &gt; Table3[[#This Row],[Scoring Margin]], 1, 0)</f>
        <v>0</v>
      </c>
      <c r="AE138" s="5">
        <f>IF(Table3[[#This Row],[Efficiency Difference]]*0.2146 -3 &gt; Table3[[#This Row],[Scoring Margin]], 1, 0)</f>
        <v>0</v>
      </c>
      <c r="AF138" s="5">
        <f>IF(Table3[[#This Row],[Efficiency Difference]]*0.2146 -5 &gt; Table3[[#This Row],[Scoring Margin]], 1, 0)</f>
        <v>0</v>
      </c>
      <c r="AG138" s="5">
        <f>IF(Table3[[#This Row],[Efficiency Difference]]*0.2146 -10 &gt; Table3[[#This Row],[Scoring Margin]], 1, 0)</f>
        <v>0</v>
      </c>
    </row>
    <row r="139" spans="2:33">
      <c r="B139" s="5">
        <v>29.260000000000019</v>
      </c>
      <c r="C139" s="5">
        <v>5</v>
      </c>
      <c r="X139" s="5">
        <v>29.260000000000019</v>
      </c>
      <c r="Y139" s="5">
        <v>5</v>
      </c>
      <c r="Z139" s="5">
        <f>IF(Table3[[#This Row],[Efficiency Difference]]*0.2146 &gt; Table3[[#This Row],[Scoring Margin]], 1, 0)</f>
        <v>1</v>
      </c>
      <c r="AA139" s="5">
        <f>IF(Table3[[#This Row],[Efficiency Difference]]*0.2146 + 7 &gt; Table3[[#This Row],[Scoring Margin]], 1, 0)</f>
        <v>1</v>
      </c>
      <c r="AB139" s="5">
        <f>IF(Table3[[#This Row],[Efficiency Difference]]*0.2146 + 14 &gt; Table3[[#This Row],[Scoring Margin]], 1, 0)</f>
        <v>1</v>
      </c>
      <c r="AC139" s="5">
        <f>IF(Table3[[#This Row],[Efficiency Difference]]*0.2146 + 21 &gt; Table3[[#This Row],[Scoring Margin]], 1, 0)</f>
        <v>1</v>
      </c>
      <c r="AD139" s="5">
        <f>IF(Table3[[#This Row],[Efficiency Difference]]*0.2146 -7 &gt; Table3[[#This Row],[Scoring Margin]], 1, 0)</f>
        <v>0</v>
      </c>
      <c r="AE139" s="5">
        <f>IF(Table3[[#This Row],[Efficiency Difference]]*0.2146 -3 &gt; Table3[[#This Row],[Scoring Margin]], 1, 0)</f>
        <v>0</v>
      </c>
      <c r="AF139" s="5">
        <f>IF(Table3[[#This Row],[Efficiency Difference]]*0.2146 -5 &gt; Table3[[#This Row],[Scoring Margin]], 1, 0)</f>
        <v>0</v>
      </c>
      <c r="AG139" s="5">
        <f>IF(Table3[[#This Row],[Efficiency Difference]]*0.2146 -10 &gt; Table3[[#This Row],[Scoring Margin]], 1, 0)</f>
        <v>0</v>
      </c>
    </row>
    <row r="140" spans="2:33">
      <c r="B140" s="5">
        <v>1.2800000000000296</v>
      </c>
      <c r="C140" s="5">
        <v>11</v>
      </c>
      <c r="X140" s="5">
        <v>1.2800000000000296</v>
      </c>
      <c r="Y140" s="5">
        <v>11</v>
      </c>
      <c r="Z140" s="5">
        <f>IF(Table3[[#This Row],[Efficiency Difference]]*0.2146 &gt; Table3[[#This Row],[Scoring Margin]], 1, 0)</f>
        <v>0</v>
      </c>
      <c r="AA140" s="5">
        <f>IF(Table3[[#This Row],[Efficiency Difference]]*0.2146 + 7 &gt; Table3[[#This Row],[Scoring Margin]], 1, 0)</f>
        <v>0</v>
      </c>
      <c r="AB140" s="5">
        <f>IF(Table3[[#This Row],[Efficiency Difference]]*0.2146 + 14 &gt; Table3[[#This Row],[Scoring Margin]], 1, 0)</f>
        <v>1</v>
      </c>
      <c r="AC140" s="5">
        <f>IF(Table3[[#This Row],[Efficiency Difference]]*0.2146 + 21 &gt; Table3[[#This Row],[Scoring Margin]], 1, 0)</f>
        <v>1</v>
      </c>
      <c r="AD140" s="5">
        <f>IF(Table3[[#This Row],[Efficiency Difference]]*0.2146 -7 &gt; Table3[[#This Row],[Scoring Margin]], 1, 0)</f>
        <v>0</v>
      </c>
      <c r="AE140" s="5">
        <f>IF(Table3[[#This Row],[Efficiency Difference]]*0.2146 -3 &gt; Table3[[#This Row],[Scoring Margin]], 1, 0)</f>
        <v>0</v>
      </c>
      <c r="AF140" s="5">
        <f>IF(Table3[[#This Row],[Efficiency Difference]]*0.2146 -5 &gt; Table3[[#This Row],[Scoring Margin]], 1, 0)</f>
        <v>0</v>
      </c>
      <c r="AG140" s="5">
        <f>IF(Table3[[#This Row],[Efficiency Difference]]*0.2146 -10 &gt; Table3[[#This Row],[Scoring Margin]], 1, 0)</f>
        <v>0</v>
      </c>
    </row>
    <row r="141" spans="2:33">
      <c r="B141" s="5">
        <v>1.2800000000000011</v>
      </c>
      <c r="C141" s="5">
        <v>11</v>
      </c>
      <c r="X141" s="5">
        <v>1.2800000000000011</v>
      </c>
      <c r="Y141" s="5">
        <v>11</v>
      </c>
      <c r="Z141" s="5">
        <f>IF(Table3[[#This Row],[Efficiency Difference]]*0.2146 &gt; Table3[[#This Row],[Scoring Margin]], 1, 0)</f>
        <v>0</v>
      </c>
      <c r="AA141" s="5">
        <f>IF(Table3[[#This Row],[Efficiency Difference]]*0.2146 + 7 &gt; Table3[[#This Row],[Scoring Margin]], 1, 0)</f>
        <v>0</v>
      </c>
      <c r="AB141" s="5">
        <f>IF(Table3[[#This Row],[Efficiency Difference]]*0.2146 + 14 &gt; Table3[[#This Row],[Scoring Margin]], 1, 0)</f>
        <v>1</v>
      </c>
      <c r="AC141" s="5">
        <f>IF(Table3[[#This Row],[Efficiency Difference]]*0.2146 + 21 &gt; Table3[[#This Row],[Scoring Margin]], 1, 0)</f>
        <v>1</v>
      </c>
      <c r="AD141" s="5">
        <f>IF(Table3[[#This Row],[Efficiency Difference]]*0.2146 -7 &gt; Table3[[#This Row],[Scoring Margin]], 1, 0)</f>
        <v>0</v>
      </c>
      <c r="AE141" s="5">
        <f>IF(Table3[[#This Row],[Efficiency Difference]]*0.2146 -3 &gt; Table3[[#This Row],[Scoring Margin]], 1, 0)</f>
        <v>0</v>
      </c>
      <c r="AF141" s="5">
        <f>IF(Table3[[#This Row],[Efficiency Difference]]*0.2146 -5 &gt; Table3[[#This Row],[Scoring Margin]], 1, 0)</f>
        <v>0</v>
      </c>
      <c r="AG141" s="5">
        <f>IF(Table3[[#This Row],[Efficiency Difference]]*0.2146 -10 &gt; Table3[[#This Row],[Scoring Margin]], 1, 0)</f>
        <v>0</v>
      </c>
    </row>
    <row r="142" spans="2:33">
      <c r="B142" s="5">
        <v>110.54999999999998</v>
      </c>
      <c r="C142" s="5">
        <v>11</v>
      </c>
      <c r="X142" s="5">
        <v>110.54999999999998</v>
      </c>
      <c r="Y142" s="5">
        <v>11</v>
      </c>
      <c r="Z142" s="5">
        <f>IF(Table3[[#This Row],[Efficiency Difference]]*0.2146 &gt; Table3[[#This Row],[Scoring Margin]], 1, 0)</f>
        <v>1</v>
      </c>
      <c r="AA142" s="5">
        <f>IF(Table3[[#This Row],[Efficiency Difference]]*0.2146 + 7 &gt; Table3[[#This Row],[Scoring Margin]], 1, 0)</f>
        <v>1</v>
      </c>
      <c r="AB142" s="5">
        <f>IF(Table3[[#This Row],[Efficiency Difference]]*0.2146 + 14 &gt; Table3[[#This Row],[Scoring Margin]], 1, 0)</f>
        <v>1</v>
      </c>
      <c r="AC142" s="5">
        <f>IF(Table3[[#This Row],[Efficiency Difference]]*0.2146 + 21 &gt; Table3[[#This Row],[Scoring Margin]], 1, 0)</f>
        <v>1</v>
      </c>
      <c r="AD142" s="5">
        <f>IF(Table3[[#This Row],[Efficiency Difference]]*0.2146 -7 &gt; Table3[[#This Row],[Scoring Margin]], 1, 0)</f>
        <v>1</v>
      </c>
      <c r="AE142" s="5">
        <f>IF(Table3[[#This Row],[Efficiency Difference]]*0.2146 -3 &gt; Table3[[#This Row],[Scoring Margin]], 1, 0)</f>
        <v>1</v>
      </c>
      <c r="AF142" s="5">
        <f>IF(Table3[[#This Row],[Efficiency Difference]]*0.2146 -5 &gt; Table3[[#This Row],[Scoring Margin]], 1, 0)</f>
        <v>1</v>
      </c>
      <c r="AG142" s="5">
        <f>IF(Table3[[#This Row],[Efficiency Difference]]*0.2146 -10 &gt; Table3[[#This Row],[Scoring Margin]], 1, 0)</f>
        <v>1</v>
      </c>
    </row>
    <row r="143" spans="2:33">
      <c r="B143" s="5">
        <v>110.54999999999998</v>
      </c>
      <c r="C143" s="5">
        <v>11</v>
      </c>
      <c r="X143" s="5">
        <v>110.54999999999998</v>
      </c>
      <c r="Y143" s="5">
        <v>11</v>
      </c>
      <c r="Z143" s="5">
        <f>IF(Table3[[#This Row],[Efficiency Difference]]*0.2146 &gt; Table3[[#This Row],[Scoring Margin]], 1, 0)</f>
        <v>1</v>
      </c>
      <c r="AA143" s="5">
        <f>IF(Table3[[#This Row],[Efficiency Difference]]*0.2146 + 7 &gt; Table3[[#This Row],[Scoring Margin]], 1, 0)</f>
        <v>1</v>
      </c>
      <c r="AB143" s="5">
        <f>IF(Table3[[#This Row],[Efficiency Difference]]*0.2146 + 14 &gt; Table3[[#This Row],[Scoring Margin]], 1, 0)</f>
        <v>1</v>
      </c>
      <c r="AC143" s="5">
        <f>IF(Table3[[#This Row],[Efficiency Difference]]*0.2146 + 21 &gt; Table3[[#This Row],[Scoring Margin]], 1, 0)</f>
        <v>1</v>
      </c>
      <c r="AD143" s="5">
        <f>IF(Table3[[#This Row],[Efficiency Difference]]*0.2146 -7 &gt; Table3[[#This Row],[Scoring Margin]], 1, 0)</f>
        <v>1</v>
      </c>
      <c r="AE143" s="5">
        <f>IF(Table3[[#This Row],[Efficiency Difference]]*0.2146 -3 &gt; Table3[[#This Row],[Scoring Margin]], 1, 0)</f>
        <v>1</v>
      </c>
      <c r="AF143" s="5">
        <f>IF(Table3[[#This Row],[Efficiency Difference]]*0.2146 -5 &gt; Table3[[#This Row],[Scoring Margin]], 1, 0)</f>
        <v>1</v>
      </c>
      <c r="AG143" s="5">
        <f>IF(Table3[[#This Row],[Efficiency Difference]]*0.2146 -10 &gt; Table3[[#This Row],[Scoring Margin]], 1, 0)</f>
        <v>1</v>
      </c>
    </row>
    <row r="144" spans="2:33">
      <c r="B144" s="5">
        <v>27.680000000000007</v>
      </c>
      <c r="C144" s="5">
        <v>14</v>
      </c>
      <c r="X144" s="5">
        <v>27.680000000000007</v>
      </c>
      <c r="Y144" s="5">
        <v>14</v>
      </c>
      <c r="Z144" s="5">
        <f>IF(Table3[[#This Row],[Efficiency Difference]]*0.2146 &gt; Table3[[#This Row],[Scoring Margin]], 1, 0)</f>
        <v>0</v>
      </c>
      <c r="AA144" s="5">
        <f>IF(Table3[[#This Row],[Efficiency Difference]]*0.2146 + 7 &gt; Table3[[#This Row],[Scoring Margin]], 1, 0)</f>
        <v>0</v>
      </c>
      <c r="AB144" s="5">
        <f>IF(Table3[[#This Row],[Efficiency Difference]]*0.2146 + 14 &gt; Table3[[#This Row],[Scoring Margin]], 1, 0)</f>
        <v>1</v>
      </c>
      <c r="AC144" s="5">
        <f>IF(Table3[[#This Row],[Efficiency Difference]]*0.2146 + 21 &gt; Table3[[#This Row],[Scoring Margin]], 1, 0)</f>
        <v>1</v>
      </c>
      <c r="AD144" s="5">
        <f>IF(Table3[[#This Row],[Efficiency Difference]]*0.2146 -7 &gt; Table3[[#This Row],[Scoring Margin]], 1, 0)</f>
        <v>0</v>
      </c>
      <c r="AE144" s="5">
        <f>IF(Table3[[#This Row],[Efficiency Difference]]*0.2146 -3 &gt; Table3[[#This Row],[Scoring Margin]], 1, 0)</f>
        <v>0</v>
      </c>
      <c r="AF144" s="5">
        <f>IF(Table3[[#This Row],[Efficiency Difference]]*0.2146 -5 &gt; Table3[[#This Row],[Scoring Margin]], 1, 0)</f>
        <v>0</v>
      </c>
      <c r="AG144" s="5">
        <f>IF(Table3[[#This Row],[Efficiency Difference]]*0.2146 -10 &gt; Table3[[#This Row],[Scoring Margin]], 1, 0)</f>
        <v>0</v>
      </c>
    </row>
    <row r="145" spans="2:33">
      <c r="B145" s="5">
        <v>27.680000000000007</v>
      </c>
      <c r="C145" s="5">
        <v>14</v>
      </c>
      <c r="X145" s="5">
        <v>27.680000000000007</v>
      </c>
      <c r="Y145" s="5">
        <v>14</v>
      </c>
      <c r="Z145" s="5">
        <f>IF(Table3[[#This Row],[Efficiency Difference]]*0.2146 &gt; Table3[[#This Row],[Scoring Margin]], 1, 0)</f>
        <v>0</v>
      </c>
      <c r="AA145" s="5">
        <f>IF(Table3[[#This Row],[Efficiency Difference]]*0.2146 + 7 &gt; Table3[[#This Row],[Scoring Margin]], 1, 0)</f>
        <v>0</v>
      </c>
      <c r="AB145" s="5">
        <f>IF(Table3[[#This Row],[Efficiency Difference]]*0.2146 + 14 &gt; Table3[[#This Row],[Scoring Margin]], 1, 0)</f>
        <v>1</v>
      </c>
      <c r="AC145" s="5">
        <f>IF(Table3[[#This Row],[Efficiency Difference]]*0.2146 + 21 &gt; Table3[[#This Row],[Scoring Margin]], 1, 0)</f>
        <v>1</v>
      </c>
      <c r="AD145" s="5">
        <f>IF(Table3[[#This Row],[Efficiency Difference]]*0.2146 -7 &gt; Table3[[#This Row],[Scoring Margin]], 1, 0)</f>
        <v>0</v>
      </c>
      <c r="AE145" s="5">
        <f>IF(Table3[[#This Row],[Efficiency Difference]]*0.2146 -3 &gt; Table3[[#This Row],[Scoring Margin]], 1, 0)</f>
        <v>0</v>
      </c>
      <c r="AF145" s="5">
        <f>IF(Table3[[#This Row],[Efficiency Difference]]*0.2146 -5 &gt; Table3[[#This Row],[Scoring Margin]], 1, 0)</f>
        <v>0</v>
      </c>
      <c r="AG145" s="5">
        <f>IF(Table3[[#This Row],[Efficiency Difference]]*0.2146 -10 &gt; Table3[[#This Row],[Scoring Margin]], 1, 0)</f>
        <v>0</v>
      </c>
    </row>
    <row r="146" spans="2:33">
      <c r="B146" s="5">
        <v>50.900000000000006</v>
      </c>
      <c r="C146" s="5">
        <v>6</v>
      </c>
      <c r="X146" s="5">
        <v>50.900000000000006</v>
      </c>
      <c r="Y146" s="5">
        <v>6</v>
      </c>
      <c r="Z146" s="5">
        <f>IF(Table3[[#This Row],[Efficiency Difference]]*0.2146 &gt; Table3[[#This Row],[Scoring Margin]], 1, 0)</f>
        <v>1</v>
      </c>
      <c r="AA146" s="5">
        <f>IF(Table3[[#This Row],[Efficiency Difference]]*0.2146 + 7 &gt; Table3[[#This Row],[Scoring Margin]], 1, 0)</f>
        <v>1</v>
      </c>
      <c r="AB146" s="5">
        <f>IF(Table3[[#This Row],[Efficiency Difference]]*0.2146 + 14 &gt; Table3[[#This Row],[Scoring Margin]], 1, 0)</f>
        <v>1</v>
      </c>
      <c r="AC146" s="5">
        <f>IF(Table3[[#This Row],[Efficiency Difference]]*0.2146 + 21 &gt; Table3[[#This Row],[Scoring Margin]], 1, 0)</f>
        <v>1</v>
      </c>
      <c r="AD146" s="5">
        <f>IF(Table3[[#This Row],[Efficiency Difference]]*0.2146 -7 &gt; Table3[[#This Row],[Scoring Margin]], 1, 0)</f>
        <v>0</v>
      </c>
      <c r="AE146" s="5">
        <f>IF(Table3[[#This Row],[Efficiency Difference]]*0.2146 -3 &gt; Table3[[#This Row],[Scoring Margin]], 1, 0)</f>
        <v>1</v>
      </c>
      <c r="AF146" s="5">
        <f>IF(Table3[[#This Row],[Efficiency Difference]]*0.2146 -5 &gt; Table3[[#This Row],[Scoring Margin]], 1, 0)</f>
        <v>0</v>
      </c>
      <c r="AG146" s="5">
        <f>IF(Table3[[#This Row],[Efficiency Difference]]*0.2146 -10 &gt; Table3[[#This Row],[Scoring Margin]], 1, 0)</f>
        <v>0</v>
      </c>
    </row>
    <row r="147" spans="2:33">
      <c r="B147" s="5">
        <v>50.900000000000006</v>
      </c>
      <c r="C147" s="5">
        <v>6</v>
      </c>
      <c r="X147" s="5">
        <v>50.900000000000006</v>
      </c>
      <c r="Y147" s="5">
        <v>6</v>
      </c>
      <c r="Z147" s="5">
        <f>IF(Table3[[#This Row],[Efficiency Difference]]*0.2146 &gt; Table3[[#This Row],[Scoring Margin]], 1, 0)</f>
        <v>1</v>
      </c>
      <c r="AA147" s="5">
        <f>IF(Table3[[#This Row],[Efficiency Difference]]*0.2146 + 7 &gt; Table3[[#This Row],[Scoring Margin]], 1, 0)</f>
        <v>1</v>
      </c>
      <c r="AB147" s="5">
        <f>IF(Table3[[#This Row],[Efficiency Difference]]*0.2146 + 14 &gt; Table3[[#This Row],[Scoring Margin]], 1, 0)</f>
        <v>1</v>
      </c>
      <c r="AC147" s="5">
        <f>IF(Table3[[#This Row],[Efficiency Difference]]*0.2146 + 21 &gt; Table3[[#This Row],[Scoring Margin]], 1, 0)</f>
        <v>1</v>
      </c>
      <c r="AD147" s="5">
        <f>IF(Table3[[#This Row],[Efficiency Difference]]*0.2146 -7 &gt; Table3[[#This Row],[Scoring Margin]], 1, 0)</f>
        <v>0</v>
      </c>
      <c r="AE147" s="5">
        <f>IF(Table3[[#This Row],[Efficiency Difference]]*0.2146 -3 &gt; Table3[[#This Row],[Scoring Margin]], 1, 0)</f>
        <v>1</v>
      </c>
      <c r="AF147" s="5">
        <f>IF(Table3[[#This Row],[Efficiency Difference]]*0.2146 -5 &gt; Table3[[#This Row],[Scoring Margin]], 1, 0)</f>
        <v>0</v>
      </c>
      <c r="AG147" s="5">
        <f>IF(Table3[[#This Row],[Efficiency Difference]]*0.2146 -10 &gt; Table3[[#This Row],[Scoring Margin]], 1, 0)</f>
        <v>0</v>
      </c>
    </row>
    <row r="148" spans="2:33">
      <c r="B148" s="5">
        <v>35.789999999999992</v>
      </c>
      <c r="C148" s="5">
        <v>10</v>
      </c>
      <c r="X148" s="5">
        <v>35.789999999999992</v>
      </c>
      <c r="Y148" s="5">
        <v>10</v>
      </c>
      <c r="Z148" s="5">
        <f>IF(Table3[[#This Row],[Efficiency Difference]]*0.2146 &gt; Table3[[#This Row],[Scoring Margin]], 1, 0)</f>
        <v>0</v>
      </c>
      <c r="AA148" s="5">
        <f>IF(Table3[[#This Row],[Efficiency Difference]]*0.2146 + 7 &gt; Table3[[#This Row],[Scoring Margin]], 1, 0)</f>
        <v>1</v>
      </c>
      <c r="AB148" s="5">
        <f>IF(Table3[[#This Row],[Efficiency Difference]]*0.2146 + 14 &gt; Table3[[#This Row],[Scoring Margin]], 1, 0)</f>
        <v>1</v>
      </c>
      <c r="AC148" s="5">
        <f>IF(Table3[[#This Row],[Efficiency Difference]]*0.2146 + 21 &gt; Table3[[#This Row],[Scoring Margin]], 1, 0)</f>
        <v>1</v>
      </c>
      <c r="AD148" s="5">
        <f>IF(Table3[[#This Row],[Efficiency Difference]]*0.2146 -7 &gt; Table3[[#This Row],[Scoring Margin]], 1, 0)</f>
        <v>0</v>
      </c>
      <c r="AE148" s="5">
        <f>IF(Table3[[#This Row],[Efficiency Difference]]*0.2146 -3 &gt; Table3[[#This Row],[Scoring Margin]], 1, 0)</f>
        <v>0</v>
      </c>
      <c r="AF148" s="5">
        <f>IF(Table3[[#This Row],[Efficiency Difference]]*0.2146 -5 &gt; Table3[[#This Row],[Scoring Margin]], 1, 0)</f>
        <v>0</v>
      </c>
      <c r="AG148" s="5">
        <f>IF(Table3[[#This Row],[Efficiency Difference]]*0.2146 -10 &gt; Table3[[#This Row],[Scoring Margin]], 1, 0)</f>
        <v>0</v>
      </c>
    </row>
    <row r="149" spans="2:33">
      <c r="B149" s="5">
        <v>35.789999999999992</v>
      </c>
      <c r="C149" s="5">
        <v>10</v>
      </c>
      <c r="X149" s="5">
        <v>35.789999999999992</v>
      </c>
      <c r="Y149" s="5">
        <v>10</v>
      </c>
      <c r="Z149" s="5">
        <f>IF(Table3[[#This Row],[Efficiency Difference]]*0.2146 &gt; Table3[[#This Row],[Scoring Margin]], 1, 0)</f>
        <v>0</v>
      </c>
      <c r="AA149" s="5">
        <f>IF(Table3[[#This Row],[Efficiency Difference]]*0.2146 + 7 &gt; Table3[[#This Row],[Scoring Margin]], 1, 0)</f>
        <v>1</v>
      </c>
      <c r="AB149" s="5">
        <f>IF(Table3[[#This Row],[Efficiency Difference]]*0.2146 + 14 &gt; Table3[[#This Row],[Scoring Margin]], 1, 0)</f>
        <v>1</v>
      </c>
      <c r="AC149" s="5">
        <f>IF(Table3[[#This Row],[Efficiency Difference]]*0.2146 + 21 &gt; Table3[[#This Row],[Scoring Margin]], 1, 0)</f>
        <v>1</v>
      </c>
      <c r="AD149" s="5">
        <f>IF(Table3[[#This Row],[Efficiency Difference]]*0.2146 -7 &gt; Table3[[#This Row],[Scoring Margin]], 1, 0)</f>
        <v>0</v>
      </c>
      <c r="AE149" s="5">
        <f>IF(Table3[[#This Row],[Efficiency Difference]]*0.2146 -3 &gt; Table3[[#This Row],[Scoring Margin]], 1, 0)</f>
        <v>0</v>
      </c>
      <c r="AF149" s="5">
        <f>IF(Table3[[#This Row],[Efficiency Difference]]*0.2146 -5 &gt; Table3[[#This Row],[Scoring Margin]], 1, 0)</f>
        <v>0</v>
      </c>
      <c r="AG149" s="5">
        <f>IF(Table3[[#This Row],[Efficiency Difference]]*0.2146 -10 &gt; Table3[[#This Row],[Scoring Margin]], 1, 0)</f>
        <v>0</v>
      </c>
    </row>
    <row r="150" spans="2:33">
      <c r="B150" s="5">
        <v>16.25</v>
      </c>
      <c r="C150" s="5">
        <v>21</v>
      </c>
      <c r="X150" s="5">
        <v>16.25</v>
      </c>
      <c r="Y150" s="5">
        <v>21</v>
      </c>
      <c r="Z150" s="5">
        <f>IF(Table3[[#This Row],[Efficiency Difference]]*0.2146 &gt; Table3[[#This Row],[Scoring Margin]], 1, 0)</f>
        <v>0</v>
      </c>
      <c r="AA150" s="5">
        <f>IF(Table3[[#This Row],[Efficiency Difference]]*0.2146 + 7 &gt; Table3[[#This Row],[Scoring Margin]], 1, 0)</f>
        <v>0</v>
      </c>
      <c r="AB150" s="5">
        <f>IF(Table3[[#This Row],[Efficiency Difference]]*0.2146 + 14 &gt; Table3[[#This Row],[Scoring Margin]], 1, 0)</f>
        <v>0</v>
      </c>
      <c r="AC150" s="5">
        <f>IF(Table3[[#This Row],[Efficiency Difference]]*0.2146 + 21 &gt; Table3[[#This Row],[Scoring Margin]], 1, 0)</f>
        <v>1</v>
      </c>
      <c r="AD150" s="5">
        <f>IF(Table3[[#This Row],[Efficiency Difference]]*0.2146 -7 &gt; Table3[[#This Row],[Scoring Margin]], 1, 0)</f>
        <v>0</v>
      </c>
      <c r="AE150" s="5">
        <f>IF(Table3[[#This Row],[Efficiency Difference]]*0.2146 -3 &gt; Table3[[#This Row],[Scoring Margin]], 1, 0)</f>
        <v>0</v>
      </c>
      <c r="AF150" s="5">
        <f>IF(Table3[[#This Row],[Efficiency Difference]]*0.2146 -5 &gt; Table3[[#This Row],[Scoring Margin]], 1, 0)</f>
        <v>0</v>
      </c>
      <c r="AG150" s="5">
        <f>IF(Table3[[#This Row],[Efficiency Difference]]*0.2146 -10 &gt; Table3[[#This Row],[Scoring Margin]], 1, 0)</f>
        <v>0</v>
      </c>
    </row>
    <row r="151" spans="2:33">
      <c r="B151" s="5">
        <v>16.25</v>
      </c>
      <c r="C151" s="5">
        <v>21</v>
      </c>
      <c r="X151" s="5">
        <v>16.25</v>
      </c>
      <c r="Y151" s="5">
        <v>21</v>
      </c>
      <c r="Z151" s="5">
        <f>IF(Table3[[#This Row],[Efficiency Difference]]*0.2146 &gt; Table3[[#This Row],[Scoring Margin]], 1, 0)</f>
        <v>0</v>
      </c>
      <c r="AA151" s="5">
        <f>IF(Table3[[#This Row],[Efficiency Difference]]*0.2146 + 7 &gt; Table3[[#This Row],[Scoring Margin]], 1, 0)</f>
        <v>0</v>
      </c>
      <c r="AB151" s="5">
        <f>IF(Table3[[#This Row],[Efficiency Difference]]*0.2146 + 14 &gt; Table3[[#This Row],[Scoring Margin]], 1, 0)</f>
        <v>0</v>
      </c>
      <c r="AC151" s="5">
        <f>IF(Table3[[#This Row],[Efficiency Difference]]*0.2146 + 21 &gt; Table3[[#This Row],[Scoring Margin]], 1, 0)</f>
        <v>1</v>
      </c>
      <c r="AD151" s="5">
        <f>IF(Table3[[#This Row],[Efficiency Difference]]*0.2146 -7 &gt; Table3[[#This Row],[Scoring Margin]], 1, 0)</f>
        <v>0</v>
      </c>
      <c r="AE151" s="5">
        <f>IF(Table3[[#This Row],[Efficiency Difference]]*0.2146 -3 &gt; Table3[[#This Row],[Scoring Margin]], 1, 0)</f>
        <v>0</v>
      </c>
      <c r="AF151" s="5">
        <f>IF(Table3[[#This Row],[Efficiency Difference]]*0.2146 -5 &gt; Table3[[#This Row],[Scoring Margin]], 1, 0)</f>
        <v>0</v>
      </c>
      <c r="AG151" s="5">
        <f>IF(Table3[[#This Row],[Efficiency Difference]]*0.2146 -10 &gt; Table3[[#This Row],[Scoring Margin]], 1, 0)</f>
        <v>0</v>
      </c>
    </row>
    <row r="152" spans="2:33">
      <c r="B152" s="5">
        <v>70.640000000000015</v>
      </c>
      <c r="C152" s="5">
        <v>4</v>
      </c>
      <c r="X152" s="5">
        <v>70.640000000000015</v>
      </c>
      <c r="Y152" s="5">
        <v>4</v>
      </c>
      <c r="Z152" s="5">
        <f>IF(Table3[[#This Row],[Efficiency Difference]]*0.2146 &gt; Table3[[#This Row],[Scoring Margin]], 1, 0)</f>
        <v>1</v>
      </c>
      <c r="AA152" s="5">
        <f>IF(Table3[[#This Row],[Efficiency Difference]]*0.2146 + 7 &gt; Table3[[#This Row],[Scoring Margin]], 1, 0)</f>
        <v>1</v>
      </c>
      <c r="AB152" s="5">
        <f>IF(Table3[[#This Row],[Efficiency Difference]]*0.2146 + 14 &gt; Table3[[#This Row],[Scoring Margin]], 1, 0)</f>
        <v>1</v>
      </c>
      <c r="AC152" s="5">
        <f>IF(Table3[[#This Row],[Efficiency Difference]]*0.2146 + 21 &gt; Table3[[#This Row],[Scoring Margin]], 1, 0)</f>
        <v>1</v>
      </c>
      <c r="AD152" s="5">
        <f>IF(Table3[[#This Row],[Efficiency Difference]]*0.2146 -7 &gt; Table3[[#This Row],[Scoring Margin]], 1, 0)</f>
        <v>1</v>
      </c>
      <c r="AE152" s="5">
        <f>IF(Table3[[#This Row],[Efficiency Difference]]*0.2146 -3 &gt; Table3[[#This Row],[Scoring Margin]], 1, 0)</f>
        <v>1</v>
      </c>
      <c r="AF152" s="5">
        <f>IF(Table3[[#This Row],[Efficiency Difference]]*0.2146 -5 &gt; Table3[[#This Row],[Scoring Margin]], 1, 0)</f>
        <v>1</v>
      </c>
      <c r="AG152" s="5">
        <f>IF(Table3[[#This Row],[Efficiency Difference]]*0.2146 -10 &gt; Table3[[#This Row],[Scoring Margin]], 1, 0)</f>
        <v>1</v>
      </c>
    </row>
    <row r="153" spans="2:33">
      <c r="B153" s="5">
        <v>70.640000000000015</v>
      </c>
      <c r="C153" s="5">
        <v>4</v>
      </c>
      <c r="X153" s="5">
        <v>70.640000000000015</v>
      </c>
      <c r="Y153" s="5">
        <v>4</v>
      </c>
      <c r="Z153" s="5">
        <f>IF(Table3[[#This Row],[Efficiency Difference]]*0.2146 &gt; Table3[[#This Row],[Scoring Margin]], 1, 0)</f>
        <v>1</v>
      </c>
      <c r="AA153" s="5">
        <f>IF(Table3[[#This Row],[Efficiency Difference]]*0.2146 + 7 &gt; Table3[[#This Row],[Scoring Margin]], 1, 0)</f>
        <v>1</v>
      </c>
      <c r="AB153" s="5">
        <f>IF(Table3[[#This Row],[Efficiency Difference]]*0.2146 + 14 &gt; Table3[[#This Row],[Scoring Margin]], 1, 0)</f>
        <v>1</v>
      </c>
      <c r="AC153" s="5">
        <f>IF(Table3[[#This Row],[Efficiency Difference]]*0.2146 + 21 &gt; Table3[[#This Row],[Scoring Margin]], 1, 0)</f>
        <v>1</v>
      </c>
      <c r="AD153" s="5">
        <f>IF(Table3[[#This Row],[Efficiency Difference]]*0.2146 -7 &gt; Table3[[#This Row],[Scoring Margin]], 1, 0)</f>
        <v>1</v>
      </c>
      <c r="AE153" s="5">
        <f>IF(Table3[[#This Row],[Efficiency Difference]]*0.2146 -3 &gt; Table3[[#This Row],[Scoring Margin]], 1, 0)</f>
        <v>1</v>
      </c>
      <c r="AF153" s="5">
        <f>IF(Table3[[#This Row],[Efficiency Difference]]*0.2146 -5 &gt; Table3[[#This Row],[Scoring Margin]], 1, 0)</f>
        <v>1</v>
      </c>
      <c r="AG153" s="5">
        <f>IF(Table3[[#This Row],[Efficiency Difference]]*0.2146 -10 &gt; Table3[[#This Row],[Scoring Margin]], 1, 0)</f>
        <v>1</v>
      </c>
    </row>
    <row r="154" spans="2:33">
      <c r="B154" s="5">
        <v>47.890000000000043</v>
      </c>
      <c r="C154" s="5">
        <v>3</v>
      </c>
      <c r="X154" s="5">
        <v>47.890000000000043</v>
      </c>
      <c r="Y154" s="5">
        <v>3</v>
      </c>
      <c r="Z154" s="5">
        <f>IF(Table3[[#This Row],[Efficiency Difference]]*0.2146 &gt; Table3[[#This Row],[Scoring Margin]], 1, 0)</f>
        <v>1</v>
      </c>
      <c r="AA154" s="5">
        <f>IF(Table3[[#This Row],[Efficiency Difference]]*0.2146 + 7 &gt; Table3[[#This Row],[Scoring Margin]], 1, 0)</f>
        <v>1</v>
      </c>
      <c r="AB154" s="5">
        <f>IF(Table3[[#This Row],[Efficiency Difference]]*0.2146 + 14 &gt; Table3[[#This Row],[Scoring Margin]], 1, 0)</f>
        <v>1</v>
      </c>
      <c r="AC154" s="5">
        <f>IF(Table3[[#This Row],[Efficiency Difference]]*0.2146 + 21 &gt; Table3[[#This Row],[Scoring Margin]], 1, 0)</f>
        <v>1</v>
      </c>
      <c r="AD154" s="5">
        <f>IF(Table3[[#This Row],[Efficiency Difference]]*0.2146 -7 &gt; Table3[[#This Row],[Scoring Margin]], 1, 0)</f>
        <v>1</v>
      </c>
      <c r="AE154" s="5">
        <f>IF(Table3[[#This Row],[Efficiency Difference]]*0.2146 -3 &gt; Table3[[#This Row],[Scoring Margin]], 1, 0)</f>
        <v>1</v>
      </c>
      <c r="AF154" s="5">
        <f>IF(Table3[[#This Row],[Efficiency Difference]]*0.2146 -5 &gt; Table3[[#This Row],[Scoring Margin]], 1, 0)</f>
        <v>1</v>
      </c>
      <c r="AG154" s="5">
        <f>IF(Table3[[#This Row],[Efficiency Difference]]*0.2146 -10 &gt; Table3[[#This Row],[Scoring Margin]], 1, 0)</f>
        <v>0</v>
      </c>
    </row>
    <row r="155" spans="2:33">
      <c r="B155" s="5">
        <v>47.890000000000043</v>
      </c>
      <c r="C155" s="5">
        <v>3</v>
      </c>
      <c r="X155" s="5">
        <v>47.890000000000043</v>
      </c>
      <c r="Y155" s="5">
        <v>3</v>
      </c>
      <c r="Z155" s="5">
        <f>IF(Table3[[#This Row],[Efficiency Difference]]*0.2146 &gt; Table3[[#This Row],[Scoring Margin]], 1, 0)</f>
        <v>1</v>
      </c>
      <c r="AA155" s="5">
        <f>IF(Table3[[#This Row],[Efficiency Difference]]*0.2146 + 7 &gt; Table3[[#This Row],[Scoring Margin]], 1, 0)</f>
        <v>1</v>
      </c>
      <c r="AB155" s="5">
        <f>IF(Table3[[#This Row],[Efficiency Difference]]*0.2146 + 14 &gt; Table3[[#This Row],[Scoring Margin]], 1, 0)</f>
        <v>1</v>
      </c>
      <c r="AC155" s="5">
        <f>IF(Table3[[#This Row],[Efficiency Difference]]*0.2146 + 21 &gt; Table3[[#This Row],[Scoring Margin]], 1, 0)</f>
        <v>1</v>
      </c>
      <c r="AD155" s="5">
        <f>IF(Table3[[#This Row],[Efficiency Difference]]*0.2146 -7 &gt; Table3[[#This Row],[Scoring Margin]], 1, 0)</f>
        <v>1</v>
      </c>
      <c r="AE155" s="5">
        <f>IF(Table3[[#This Row],[Efficiency Difference]]*0.2146 -3 &gt; Table3[[#This Row],[Scoring Margin]], 1, 0)</f>
        <v>1</v>
      </c>
      <c r="AF155" s="5">
        <f>IF(Table3[[#This Row],[Efficiency Difference]]*0.2146 -5 &gt; Table3[[#This Row],[Scoring Margin]], 1, 0)</f>
        <v>1</v>
      </c>
      <c r="AG155" s="5">
        <f>IF(Table3[[#This Row],[Efficiency Difference]]*0.2146 -10 &gt; Table3[[#This Row],[Scoring Margin]], 1, 0)</f>
        <v>0</v>
      </c>
    </row>
    <row r="156" spans="2:33">
      <c r="B156" s="5">
        <v>57.56</v>
      </c>
      <c r="C156" s="5">
        <v>7</v>
      </c>
      <c r="X156" s="5">
        <v>57.56</v>
      </c>
      <c r="Y156" s="5">
        <v>7</v>
      </c>
      <c r="Z156" s="5">
        <f>IF(Table3[[#This Row],[Efficiency Difference]]*0.2146 &gt; Table3[[#This Row],[Scoring Margin]], 1, 0)</f>
        <v>1</v>
      </c>
      <c r="AA156" s="5">
        <f>IF(Table3[[#This Row],[Efficiency Difference]]*0.2146 + 7 &gt; Table3[[#This Row],[Scoring Margin]], 1, 0)</f>
        <v>1</v>
      </c>
      <c r="AB156" s="5">
        <f>IF(Table3[[#This Row],[Efficiency Difference]]*0.2146 + 14 &gt; Table3[[#This Row],[Scoring Margin]], 1, 0)</f>
        <v>1</v>
      </c>
      <c r="AC156" s="5">
        <f>IF(Table3[[#This Row],[Efficiency Difference]]*0.2146 + 21 &gt; Table3[[#This Row],[Scoring Margin]], 1, 0)</f>
        <v>1</v>
      </c>
      <c r="AD156" s="5">
        <f>IF(Table3[[#This Row],[Efficiency Difference]]*0.2146 -7 &gt; Table3[[#This Row],[Scoring Margin]], 1, 0)</f>
        <v>0</v>
      </c>
      <c r="AE156" s="5">
        <f>IF(Table3[[#This Row],[Efficiency Difference]]*0.2146 -3 &gt; Table3[[#This Row],[Scoring Margin]], 1, 0)</f>
        <v>1</v>
      </c>
      <c r="AF156" s="5">
        <f>IF(Table3[[#This Row],[Efficiency Difference]]*0.2146 -5 &gt; Table3[[#This Row],[Scoring Margin]], 1, 0)</f>
        <v>1</v>
      </c>
      <c r="AG156" s="5">
        <f>IF(Table3[[#This Row],[Efficiency Difference]]*0.2146 -10 &gt; Table3[[#This Row],[Scoring Margin]], 1, 0)</f>
        <v>0</v>
      </c>
    </row>
    <row r="157" spans="2:33">
      <c r="B157" s="5">
        <v>57.56</v>
      </c>
      <c r="C157" s="5">
        <v>7</v>
      </c>
      <c r="X157" s="5">
        <v>57.56</v>
      </c>
      <c r="Y157" s="5">
        <v>7</v>
      </c>
      <c r="Z157" s="5">
        <f>IF(Table3[[#This Row],[Efficiency Difference]]*0.2146 &gt; Table3[[#This Row],[Scoring Margin]], 1, 0)</f>
        <v>1</v>
      </c>
      <c r="AA157" s="5">
        <f>IF(Table3[[#This Row],[Efficiency Difference]]*0.2146 + 7 &gt; Table3[[#This Row],[Scoring Margin]], 1, 0)</f>
        <v>1</v>
      </c>
      <c r="AB157" s="5">
        <f>IF(Table3[[#This Row],[Efficiency Difference]]*0.2146 + 14 &gt; Table3[[#This Row],[Scoring Margin]], 1, 0)</f>
        <v>1</v>
      </c>
      <c r="AC157" s="5">
        <f>IF(Table3[[#This Row],[Efficiency Difference]]*0.2146 + 21 &gt; Table3[[#This Row],[Scoring Margin]], 1, 0)</f>
        <v>1</v>
      </c>
      <c r="AD157" s="5">
        <f>IF(Table3[[#This Row],[Efficiency Difference]]*0.2146 -7 &gt; Table3[[#This Row],[Scoring Margin]], 1, 0)</f>
        <v>0</v>
      </c>
      <c r="AE157" s="5">
        <f>IF(Table3[[#This Row],[Efficiency Difference]]*0.2146 -3 &gt; Table3[[#This Row],[Scoring Margin]], 1, 0)</f>
        <v>1</v>
      </c>
      <c r="AF157" s="5">
        <f>IF(Table3[[#This Row],[Efficiency Difference]]*0.2146 -5 &gt; Table3[[#This Row],[Scoring Margin]], 1, 0)</f>
        <v>1</v>
      </c>
      <c r="AG157" s="5">
        <f>IF(Table3[[#This Row],[Efficiency Difference]]*0.2146 -10 &gt; Table3[[#This Row],[Scoring Margin]], 1, 0)</f>
        <v>0</v>
      </c>
    </row>
    <row r="158" spans="2:33">
      <c r="B158" s="5">
        <v>10.060000000000002</v>
      </c>
      <c r="C158" s="5">
        <v>15</v>
      </c>
      <c r="X158" s="5">
        <v>10.060000000000002</v>
      </c>
      <c r="Y158" s="5">
        <v>15</v>
      </c>
      <c r="Z158" s="5">
        <f>IF(Table3[[#This Row],[Efficiency Difference]]*0.2146 &gt; Table3[[#This Row],[Scoring Margin]], 1, 0)</f>
        <v>0</v>
      </c>
      <c r="AA158" s="5">
        <f>IF(Table3[[#This Row],[Efficiency Difference]]*0.2146 + 7 &gt; Table3[[#This Row],[Scoring Margin]], 1, 0)</f>
        <v>0</v>
      </c>
      <c r="AB158" s="5">
        <f>IF(Table3[[#This Row],[Efficiency Difference]]*0.2146 + 14 &gt; Table3[[#This Row],[Scoring Margin]], 1, 0)</f>
        <v>1</v>
      </c>
      <c r="AC158" s="5">
        <f>IF(Table3[[#This Row],[Efficiency Difference]]*0.2146 + 21 &gt; Table3[[#This Row],[Scoring Margin]], 1, 0)</f>
        <v>1</v>
      </c>
      <c r="AD158" s="5">
        <f>IF(Table3[[#This Row],[Efficiency Difference]]*0.2146 -7 &gt; Table3[[#This Row],[Scoring Margin]], 1, 0)</f>
        <v>0</v>
      </c>
      <c r="AE158" s="5">
        <f>IF(Table3[[#This Row],[Efficiency Difference]]*0.2146 -3 &gt; Table3[[#This Row],[Scoring Margin]], 1, 0)</f>
        <v>0</v>
      </c>
      <c r="AF158" s="5">
        <f>IF(Table3[[#This Row],[Efficiency Difference]]*0.2146 -5 &gt; Table3[[#This Row],[Scoring Margin]], 1, 0)</f>
        <v>0</v>
      </c>
      <c r="AG158" s="5">
        <f>IF(Table3[[#This Row],[Efficiency Difference]]*0.2146 -10 &gt; Table3[[#This Row],[Scoring Margin]], 1, 0)</f>
        <v>0</v>
      </c>
    </row>
    <row r="159" spans="2:33">
      <c r="B159" s="5">
        <v>10.060000000000002</v>
      </c>
      <c r="C159" s="5">
        <v>15</v>
      </c>
      <c r="X159" s="5">
        <v>10.060000000000002</v>
      </c>
      <c r="Y159" s="5">
        <v>15</v>
      </c>
      <c r="Z159" s="5">
        <f>IF(Table3[[#This Row],[Efficiency Difference]]*0.2146 &gt; Table3[[#This Row],[Scoring Margin]], 1, 0)</f>
        <v>0</v>
      </c>
      <c r="AA159" s="5">
        <f>IF(Table3[[#This Row],[Efficiency Difference]]*0.2146 + 7 &gt; Table3[[#This Row],[Scoring Margin]], 1, 0)</f>
        <v>0</v>
      </c>
      <c r="AB159" s="5">
        <f>IF(Table3[[#This Row],[Efficiency Difference]]*0.2146 + 14 &gt; Table3[[#This Row],[Scoring Margin]], 1, 0)</f>
        <v>1</v>
      </c>
      <c r="AC159" s="5">
        <f>IF(Table3[[#This Row],[Efficiency Difference]]*0.2146 + 21 &gt; Table3[[#This Row],[Scoring Margin]], 1, 0)</f>
        <v>1</v>
      </c>
      <c r="AD159" s="5">
        <f>IF(Table3[[#This Row],[Efficiency Difference]]*0.2146 -7 &gt; Table3[[#This Row],[Scoring Margin]], 1, 0)</f>
        <v>0</v>
      </c>
      <c r="AE159" s="5">
        <f>IF(Table3[[#This Row],[Efficiency Difference]]*0.2146 -3 &gt; Table3[[#This Row],[Scoring Margin]], 1, 0)</f>
        <v>0</v>
      </c>
      <c r="AF159" s="5">
        <f>IF(Table3[[#This Row],[Efficiency Difference]]*0.2146 -5 &gt; Table3[[#This Row],[Scoring Margin]], 1, 0)</f>
        <v>0</v>
      </c>
      <c r="AG159" s="5">
        <f>IF(Table3[[#This Row],[Efficiency Difference]]*0.2146 -10 &gt; Table3[[#This Row],[Scoring Margin]], 1, 0)</f>
        <v>0</v>
      </c>
    </row>
    <row r="160" spans="2:33">
      <c r="B160" s="5">
        <v>44.409999999999968</v>
      </c>
      <c r="C160" s="5">
        <v>6</v>
      </c>
      <c r="X160" s="5">
        <v>44.409999999999968</v>
      </c>
      <c r="Y160" s="5">
        <v>6</v>
      </c>
      <c r="Z160" s="5">
        <f>IF(Table3[[#This Row],[Efficiency Difference]]*0.2146 &gt; Table3[[#This Row],[Scoring Margin]], 1, 0)</f>
        <v>1</v>
      </c>
      <c r="AA160" s="5">
        <f>IF(Table3[[#This Row],[Efficiency Difference]]*0.2146 + 7 &gt; Table3[[#This Row],[Scoring Margin]], 1, 0)</f>
        <v>1</v>
      </c>
      <c r="AB160" s="5">
        <f>IF(Table3[[#This Row],[Efficiency Difference]]*0.2146 + 14 &gt; Table3[[#This Row],[Scoring Margin]], 1, 0)</f>
        <v>1</v>
      </c>
      <c r="AC160" s="5">
        <f>IF(Table3[[#This Row],[Efficiency Difference]]*0.2146 + 21 &gt; Table3[[#This Row],[Scoring Margin]], 1, 0)</f>
        <v>1</v>
      </c>
      <c r="AD160" s="5">
        <f>IF(Table3[[#This Row],[Efficiency Difference]]*0.2146 -7 &gt; Table3[[#This Row],[Scoring Margin]], 1, 0)</f>
        <v>0</v>
      </c>
      <c r="AE160" s="5">
        <f>IF(Table3[[#This Row],[Efficiency Difference]]*0.2146 -3 &gt; Table3[[#This Row],[Scoring Margin]], 1, 0)</f>
        <v>1</v>
      </c>
      <c r="AF160" s="5">
        <f>IF(Table3[[#This Row],[Efficiency Difference]]*0.2146 -5 &gt; Table3[[#This Row],[Scoring Margin]], 1, 0)</f>
        <v>0</v>
      </c>
      <c r="AG160" s="5">
        <f>IF(Table3[[#This Row],[Efficiency Difference]]*0.2146 -10 &gt; Table3[[#This Row],[Scoring Margin]], 1, 0)</f>
        <v>0</v>
      </c>
    </row>
    <row r="161" spans="2:33">
      <c r="B161" s="5">
        <v>44.409999999999968</v>
      </c>
      <c r="C161" s="5">
        <v>6</v>
      </c>
      <c r="X161" s="5">
        <v>44.409999999999968</v>
      </c>
      <c r="Y161" s="5">
        <v>6</v>
      </c>
      <c r="Z161" s="5">
        <f>IF(Table3[[#This Row],[Efficiency Difference]]*0.2146 &gt; Table3[[#This Row],[Scoring Margin]], 1, 0)</f>
        <v>1</v>
      </c>
      <c r="AA161" s="5">
        <f>IF(Table3[[#This Row],[Efficiency Difference]]*0.2146 + 7 &gt; Table3[[#This Row],[Scoring Margin]], 1, 0)</f>
        <v>1</v>
      </c>
      <c r="AB161" s="5">
        <f>IF(Table3[[#This Row],[Efficiency Difference]]*0.2146 + 14 &gt; Table3[[#This Row],[Scoring Margin]], 1, 0)</f>
        <v>1</v>
      </c>
      <c r="AC161" s="5">
        <f>IF(Table3[[#This Row],[Efficiency Difference]]*0.2146 + 21 &gt; Table3[[#This Row],[Scoring Margin]], 1, 0)</f>
        <v>1</v>
      </c>
      <c r="AD161" s="5">
        <f>IF(Table3[[#This Row],[Efficiency Difference]]*0.2146 -7 &gt; Table3[[#This Row],[Scoring Margin]], 1, 0)</f>
        <v>0</v>
      </c>
      <c r="AE161" s="5">
        <f>IF(Table3[[#This Row],[Efficiency Difference]]*0.2146 -3 &gt; Table3[[#This Row],[Scoring Margin]], 1, 0)</f>
        <v>1</v>
      </c>
      <c r="AF161" s="5">
        <f>IF(Table3[[#This Row],[Efficiency Difference]]*0.2146 -5 &gt; Table3[[#This Row],[Scoring Margin]], 1, 0)</f>
        <v>0</v>
      </c>
      <c r="AG161" s="5">
        <f>IF(Table3[[#This Row],[Efficiency Difference]]*0.2146 -10 &gt; Table3[[#This Row],[Scoring Margin]], 1, 0)</f>
        <v>0</v>
      </c>
    </row>
    <row r="162" spans="2:33">
      <c r="B162" s="5">
        <v>0.16000000000002501</v>
      </c>
      <c r="C162" s="5">
        <v>4</v>
      </c>
      <c r="X162" s="5">
        <v>0.16000000000002501</v>
      </c>
      <c r="Y162" s="5">
        <v>4</v>
      </c>
      <c r="Z162" s="5">
        <f>IF(Table3[[#This Row],[Efficiency Difference]]*0.2146 &gt; Table3[[#This Row],[Scoring Margin]], 1, 0)</f>
        <v>0</v>
      </c>
      <c r="AA162" s="5">
        <f>IF(Table3[[#This Row],[Efficiency Difference]]*0.2146 + 7 &gt; Table3[[#This Row],[Scoring Margin]], 1, 0)</f>
        <v>1</v>
      </c>
      <c r="AB162" s="5">
        <f>IF(Table3[[#This Row],[Efficiency Difference]]*0.2146 + 14 &gt; Table3[[#This Row],[Scoring Margin]], 1, 0)</f>
        <v>1</v>
      </c>
      <c r="AC162" s="5">
        <f>IF(Table3[[#This Row],[Efficiency Difference]]*0.2146 + 21 &gt; Table3[[#This Row],[Scoring Margin]], 1, 0)</f>
        <v>1</v>
      </c>
      <c r="AD162" s="5">
        <f>IF(Table3[[#This Row],[Efficiency Difference]]*0.2146 -7 &gt; Table3[[#This Row],[Scoring Margin]], 1, 0)</f>
        <v>0</v>
      </c>
      <c r="AE162" s="5">
        <f>IF(Table3[[#This Row],[Efficiency Difference]]*0.2146 -3 &gt; Table3[[#This Row],[Scoring Margin]], 1, 0)</f>
        <v>0</v>
      </c>
      <c r="AF162" s="5">
        <f>IF(Table3[[#This Row],[Efficiency Difference]]*0.2146 -5 &gt; Table3[[#This Row],[Scoring Margin]], 1, 0)</f>
        <v>0</v>
      </c>
      <c r="AG162" s="5">
        <f>IF(Table3[[#This Row],[Efficiency Difference]]*0.2146 -10 &gt; Table3[[#This Row],[Scoring Margin]], 1, 0)</f>
        <v>0</v>
      </c>
    </row>
    <row r="163" spans="2:33">
      <c r="B163" s="5">
        <v>0.16000000000002501</v>
      </c>
      <c r="C163" s="5">
        <v>4</v>
      </c>
      <c r="X163" s="5">
        <v>0.16000000000002501</v>
      </c>
      <c r="Y163" s="5">
        <v>4</v>
      </c>
      <c r="Z163" s="5">
        <f>IF(Table3[[#This Row],[Efficiency Difference]]*0.2146 &gt; Table3[[#This Row],[Scoring Margin]], 1, 0)</f>
        <v>0</v>
      </c>
      <c r="AA163" s="5">
        <f>IF(Table3[[#This Row],[Efficiency Difference]]*0.2146 + 7 &gt; Table3[[#This Row],[Scoring Margin]], 1, 0)</f>
        <v>1</v>
      </c>
      <c r="AB163" s="5">
        <f>IF(Table3[[#This Row],[Efficiency Difference]]*0.2146 + 14 &gt; Table3[[#This Row],[Scoring Margin]], 1, 0)</f>
        <v>1</v>
      </c>
      <c r="AC163" s="5">
        <f>IF(Table3[[#This Row],[Efficiency Difference]]*0.2146 + 21 &gt; Table3[[#This Row],[Scoring Margin]], 1, 0)</f>
        <v>1</v>
      </c>
      <c r="AD163" s="5">
        <f>IF(Table3[[#This Row],[Efficiency Difference]]*0.2146 -7 &gt; Table3[[#This Row],[Scoring Margin]], 1, 0)</f>
        <v>0</v>
      </c>
      <c r="AE163" s="5">
        <f>IF(Table3[[#This Row],[Efficiency Difference]]*0.2146 -3 &gt; Table3[[#This Row],[Scoring Margin]], 1, 0)</f>
        <v>0</v>
      </c>
      <c r="AF163" s="5">
        <f>IF(Table3[[#This Row],[Efficiency Difference]]*0.2146 -5 &gt; Table3[[#This Row],[Scoring Margin]], 1, 0)</f>
        <v>0</v>
      </c>
      <c r="AG163" s="5">
        <f>IF(Table3[[#This Row],[Efficiency Difference]]*0.2146 -10 &gt; Table3[[#This Row],[Scoring Margin]], 1, 0)</f>
        <v>0</v>
      </c>
    </row>
    <row r="164" spans="2:33">
      <c r="B164" s="5">
        <v>37.96999999999997</v>
      </c>
      <c r="C164" s="5">
        <v>29</v>
      </c>
      <c r="X164" s="5">
        <v>37.96999999999997</v>
      </c>
      <c r="Y164" s="5">
        <v>29</v>
      </c>
      <c r="Z164" s="5">
        <f>IF(Table3[[#This Row],[Efficiency Difference]]*0.2146 &gt; Table3[[#This Row],[Scoring Margin]], 1, 0)</f>
        <v>0</v>
      </c>
      <c r="AA164" s="5">
        <f>IF(Table3[[#This Row],[Efficiency Difference]]*0.2146 + 7 &gt; Table3[[#This Row],[Scoring Margin]], 1, 0)</f>
        <v>0</v>
      </c>
      <c r="AB164" s="5">
        <f>IF(Table3[[#This Row],[Efficiency Difference]]*0.2146 + 14 &gt; Table3[[#This Row],[Scoring Margin]], 1, 0)</f>
        <v>0</v>
      </c>
      <c r="AC164" s="5">
        <f>IF(Table3[[#This Row],[Efficiency Difference]]*0.2146 + 21 &gt; Table3[[#This Row],[Scoring Margin]], 1, 0)</f>
        <v>1</v>
      </c>
      <c r="AD164" s="5">
        <f>IF(Table3[[#This Row],[Efficiency Difference]]*0.2146 -7 &gt; Table3[[#This Row],[Scoring Margin]], 1, 0)</f>
        <v>0</v>
      </c>
      <c r="AE164" s="5">
        <f>IF(Table3[[#This Row],[Efficiency Difference]]*0.2146 -3 &gt; Table3[[#This Row],[Scoring Margin]], 1, 0)</f>
        <v>0</v>
      </c>
      <c r="AF164" s="5">
        <f>IF(Table3[[#This Row],[Efficiency Difference]]*0.2146 -5 &gt; Table3[[#This Row],[Scoring Margin]], 1, 0)</f>
        <v>0</v>
      </c>
      <c r="AG164" s="5">
        <f>IF(Table3[[#This Row],[Efficiency Difference]]*0.2146 -10 &gt; Table3[[#This Row],[Scoring Margin]], 1, 0)</f>
        <v>0</v>
      </c>
    </row>
    <row r="165" spans="2:33">
      <c r="B165" s="5">
        <v>37.96999999999997</v>
      </c>
      <c r="C165" s="5">
        <v>29</v>
      </c>
      <c r="X165" s="5">
        <v>37.96999999999997</v>
      </c>
      <c r="Y165" s="5">
        <v>29</v>
      </c>
      <c r="Z165" s="5">
        <f>IF(Table3[[#This Row],[Efficiency Difference]]*0.2146 &gt; Table3[[#This Row],[Scoring Margin]], 1, 0)</f>
        <v>0</v>
      </c>
      <c r="AA165" s="5">
        <f>IF(Table3[[#This Row],[Efficiency Difference]]*0.2146 + 7 &gt; Table3[[#This Row],[Scoring Margin]], 1, 0)</f>
        <v>0</v>
      </c>
      <c r="AB165" s="5">
        <f>IF(Table3[[#This Row],[Efficiency Difference]]*0.2146 + 14 &gt; Table3[[#This Row],[Scoring Margin]], 1, 0)</f>
        <v>0</v>
      </c>
      <c r="AC165" s="5">
        <f>IF(Table3[[#This Row],[Efficiency Difference]]*0.2146 + 21 &gt; Table3[[#This Row],[Scoring Margin]], 1, 0)</f>
        <v>1</v>
      </c>
      <c r="AD165" s="5">
        <f>IF(Table3[[#This Row],[Efficiency Difference]]*0.2146 -7 &gt; Table3[[#This Row],[Scoring Margin]], 1, 0)</f>
        <v>0</v>
      </c>
      <c r="AE165" s="5">
        <f>IF(Table3[[#This Row],[Efficiency Difference]]*0.2146 -3 &gt; Table3[[#This Row],[Scoring Margin]], 1, 0)</f>
        <v>0</v>
      </c>
      <c r="AF165" s="5">
        <f>IF(Table3[[#This Row],[Efficiency Difference]]*0.2146 -5 &gt; Table3[[#This Row],[Scoring Margin]], 1, 0)</f>
        <v>0</v>
      </c>
      <c r="AG165" s="5">
        <f>IF(Table3[[#This Row],[Efficiency Difference]]*0.2146 -10 &gt; Table3[[#This Row],[Scoring Margin]], 1, 0)</f>
        <v>0</v>
      </c>
    </row>
    <row r="166" spans="2:33">
      <c r="B166" s="5">
        <v>24.519999999999982</v>
      </c>
      <c r="C166" s="5">
        <v>18</v>
      </c>
      <c r="X166" s="5">
        <v>24.519999999999982</v>
      </c>
      <c r="Y166" s="5">
        <v>18</v>
      </c>
      <c r="Z166" s="5">
        <f>IF(Table3[[#This Row],[Efficiency Difference]]*0.2146 &gt; Table3[[#This Row],[Scoring Margin]], 1, 0)</f>
        <v>0</v>
      </c>
      <c r="AA166" s="5">
        <f>IF(Table3[[#This Row],[Efficiency Difference]]*0.2146 + 7 &gt; Table3[[#This Row],[Scoring Margin]], 1, 0)</f>
        <v>0</v>
      </c>
      <c r="AB166" s="5">
        <f>IF(Table3[[#This Row],[Efficiency Difference]]*0.2146 + 14 &gt; Table3[[#This Row],[Scoring Margin]], 1, 0)</f>
        <v>1</v>
      </c>
      <c r="AC166" s="5">
        <f>IF(Table3[[#This Row],[Efficiency Difference]]*0.2146 + 21 &gt; Table3[[#This Row],[Scoring Margin]], 1, 0)</f>
        <v>1</v>
      </c>
      <c r="AD166" s="5">
        <f>IF(Table3[[#This Row],[Efficiency Difference]]*0.2146 -7 &gt; Table3[[#This Row],[Scoring Margin]], 1, 0)</f>
        <v>0</v>
      </c>
      <c r="AE166" s="5">
        <f>IF(Table3[[#This Row],[Efficiency Difference]]*0.2146 -3 &gt; Table3[[#This Row],[Scoring Margin]], 1, 0)</f>
        <v>0</v>
      </c>
      <c r="AF166" s="5">
        <f>IF(Table3[[#This Row],[Efficiency Difference]]*0.2146 -5 &gt; Table3[[#This Row],[Scoring Margin]], 1, 0)</f>
        <v>0</v>
      </c>
      <c r="AG166" s="5">
        <f>IF(Table3[[#This Row],[Efficiency Difference]]*0.2146 -10 &gt; Table3[[#This Row],[Scoring Margin]], 1, 0)</f>
        <v>0</v>
      </c>
    </row>
    <row r="167" spans="2:33">
      <c r="B167" s="5">
        <v>24.519999999999982</v>
      </c>
      <c r="C167" s="5">
        <v>18</v>
      </c>
      <c r="X167" s="5">
        <v>24.519999999999982</v>
      </c>
      <c r="Y167" s="5">
        <v>18</v>
      </c>
      <c r="Z167" s="5">
        <f>IF(Table3[[#This Row],[Efficiency Difference]]*0.2146 &gt; Table3[[#This Row],[Scoring Margin]], 1, 0)</f>
        <v>0</v>
      </c>
      <c r="AA167" s="5">
        <f>IF(Table3[[#This Row],[Efficiency Difference]]*0.2146 + 7 &gt; Table3[[#This Row],[Scoring Margin]], 1, 0)</f>
        <v>0</v>
      </c>
      <c r="AB167" s="5">
        <f>IF(Table3[[#This Row],[Efficiency Difference]]*0.2146 + 14 &gt; Table3[[#This Row],[Scoring Margin]], 1, 0)</f>
        <v>1</v>
      </c>
      <c r="AC167" s="5">
        <f>IF(Table3[[#This Row],[Efficiency Difference]]*0.2146 + 21 &gt; Table3[[#This Row],[Scoring Margin]], 1, 0)</f>
        <v>1</v>
      </c>
      <c r="AD167" s="5">
        <f>IF(Table3[[#This Row],[Efficiency Difference]]*0.2146 -7 &gt; Table3[[#This Row],[Scoring Margin]], 1, 0)</f>
        <v>0</v>
      </c>
      <c r="AE167" s="5">
        <f>IF(Table3[[#This Row],[Efficiency Difference]]*0.2146 -3 &gt; Table3[[#This Row],[Scoring Margin]], 1, 0)</f>
        <v>0</v>
      </c>
      <c r="AF167" s="5">
        <f>IF(Table3[[#This Row],[Efficiency Difference]]*0.2146 -5 &gt; Table3[[#This Row],[Scoring Margin]], 1, 0)</f>
        <v>0</v>
      </c>
      <c r="AG167" s="5">
        <f>IF(Table3[[#This Row],[Efficiency Difference]]*0.2146 -10 &gt; Table3[[#This Row],[Scoring Margin]], 1, 0)</f>
        <v>0</v>
      </c>
    </row>
    <row r="168" spans="2:33">
      <c r="B168" s="5">
        <v>36.089999999999975</v>
      </c>
      <c r="C168" s="5">
        <v>6</v>
      </c>
      <c r="X168" s="5">
        <v>36.089999999999975</v>
      </c>
      <c r="Y168" s="5">
        <v>6</v>
      </c>
      <c r="Z168" s="5">
        <f>IF(Table3[[#This Row],[Efficiency Difference]]*0.2146 &gt; Table3[[#This Row],[Scoring Margin]], 1, 0)</f>
        <v>1</v>
      </c>
      <c r="AA168" s="5">
        <f>IF(Table3[[#This Row],[Efficiency Difference]]*0.2146 + 7 &gt; Table3[[#This Row],[Scoring Margin]], 1, 0)</f>
        <v>1</v>
      </c>
      <c r="AB168" s="5">
        <f>IF(Table3[[#This Row],[Efficiency Difference]]*0.2146 + 14 &gt; Table3[[#This Row],[Scoring Margin]], 1, 0)</f>
        <v>1</v>
      </c>
      <c r="AC168" s="5">
        <f>IF(Table3[[#This Row],[Efficiency Difference]]*0.2146 + 21 &gt; Table3[[#This Row],[Scoring Margin]], 1, 0)</f>
        <v>1</v>
      </c>
      <c r="AD168" s="5">
        <f>IF(Table3[[#This Row],[Efficiency Difference]]*0.2146 -7 &gt; Table3[[#This Row],[Scoring Margin]], 1, 0)</f>
        <v>0</v>
      </c>
      <c r="AE168" s="5">
        <f>IF(Table3[[#This Row],[Efficiency Difference]]*0.2146 -3 &gt; Table3[[#This Row],[Scoring Margin]], 1, 0)</f>
        <v>0</v>
      </c>
      <c r="AF168" s="5">
        <f>IF(Table3[[#This Row],[Efficiency Difference]]*0.2146 -5 &gt; Table3[[#This Row],[Scoring Margin]], 1, 0)</f>
        <v>0</v>
      </c>
      <c r="AG168" s="5">
        <f>IF(Table3[[#This Row],[Efficiency Difference]]*0.2146 -10 &gt; Table3[[#This Row],[Scoring Margin]], 1, 0)</f>
        <v>0</v>
      </c>
    </row>
    <row r="169" spans="2:33">
      <c r="B169" s="5">
        <v>36.090000000000003</v>
      </c>
      <c r="C169" s="5">
        <v>6</v>
      </c>
      <c r="X169" s="5">
        <v>36.090000000000003</v>
      </c>
      <c r="Y169" s="5">
        <v>6</v>
      </c>
      <c r="Z169" s="5">
        <f>IF(Table3[[#This Row],[Efficiency Difference]]*0.2146 &gt; Table3[[#This Row],[Scoring Margin]], 1, 0)</f>
        <v>1</v>
      </c>
      <c r="AA169" s="5">
        <f>IF(Table3[[#This Row],[Efficiency Difference]]*0.2146 + 7 &gt; Table3[[#This Row],[Scoring Margin]], 1, 0)</f>
        <v>1</v>
      </c>
      <c r="AB169" s="5">
        <f>IF(Table3[[#This Row],[Efficiency Difference]]*0.2146 + 14 &gt; Table3[[#This Row],[Scoring Margin]], 1, 0)</f>
        <v>1</v>
      </c>
      <c r="AC169" s="5">
        <f>IF(Table3[[#This Row],[Efficiency Difference]]*0.2146 + 21 &gt; Table3[[#This Row],[Scoring Margin]], 1, 0)</f>
        <v>1</v>
      </c>
      <c r="AD169" s="5">
        <f>IF(Table3[[#This Row],[Efficiency Difference]]*0.2146 -7 &gt; Table3[[#This Row],[Scoring Margin]], 1, 0)</f>
        <v>0</v>
      </c>
      <c r="AE169" s="5">
        <f>IF(Table3[[#This Row],[Efficiency Difference]]*0.2146 -3 &gt; Table3[[#This Row],[Scoring Margin]], 1, 0)</f>
        <v>0</v>
      </c>
      <c r="AF169" s="5">
        <f>IF(Table3[[#This Row],[Efficiency Difference]]*0.2146 -5 &gt; Table3[[#This Row],[Scoring Margin]], 1, 0)</f>
        <v>0</v>
      </c>
      <c r="AG169" s="5">
        <f>IF(Table3[[#This Row],[Efficiency Difference]]*0.2146 -10 &gt; Table3[[#This Row],[Scoring Margin]], 1, 0)</f>
        <v>0</v>
      </c>
    </row>
    <row r="170" spans="2:33">
      <c r="B170" s="5">
        <v>22.78000000000003</v>
      </c>
      <c r="C170" s="5">
        <v>3</v>
      </c>
      <c r="X170" s="5">
        <v>22.78000000000003</v>
      </c>
      <c r="Y170" s="5">
        <v>3</v>
      </c>
      <c r="Z170" s="5">
        <f>IF(Table3[[#This Row],[Efficiency Difference]]*0.2146 &gt; Table3[[#This Row],[Scoring Margin]], 1, 0)</f>
        <v>1</v>
      </c>
      <c r="AA170" s="5">
        <f>IF(Table3[[#This Row],[Efficiency Difference]]*0.2146 + 7 &gt; Table3[[#This Row],[Scoring Margin]], 1, 0)</f>
        <v>1</v>
      </c>
      <c r="AB170" s="5">
        <f>IF(Table3[[#This Row],[Efficiency Difference]]*0.2146 + 14 &gt; Table3[[#This Row],[Scoring Margin]], 1, 0)</f>
        <v>1</v>
      </c>
      <c r="AC170" s="5">
        <f>IF(Table3[[#This Row],[Efficiency Difference]]*0.2146 + 21 &gt; Table3[[#This Row],[Scoring Margin]], 1, 0)</f>
        <v>1</v>
      </c>
      <c r="AD170" s="5">
        <f>IF(Table3[[#This Row],[Efficiency Difference]]*0.2146 -7 &gt; Table3[[#This Row],[Scoring Margin]], 1, 0)</f>
        <v>0</v>
      </c>
      <c r="AE170" s="5">
        <f>IF(Table3[[#This Row],[Efficiency Difference]]*0.2146 -3 &gt; Table3[[#This Row],[Scoring Margin]], 1, 0)</f>
        <v>0</v>
      </c>
      <c r="AF170" s="5">
        <f>IF(Table3[[#This Row],[Efficiency Difference]]*0.2146 -5 &gt; Table3[[#This Row],[Scoring Margin]], 1, 0)</f>
        <v>0</v>
      </c>
      <c r="AG170" s="5">
        <f>IF(Table3[[#This Row],[Efficiency Difference]]*0.2146 -10 &gt; Table3[[#This Row],[Scoring Margin]], 1, 0)</f>
        <v>0</v>
      </c>
    </row>
    <row r="171" spans="2:33">
      <c r="B171" s="5">
        <v>22.779999999999987</v>
      </c>
      <c r="C171" s="5">
        <v>3</v>
      </c>
      <c r="X171" s="5">
        <v>22.779999999999987</v>
      </c>
      <c r="Y171" s="5">
        <v>3</v>
      </c>
      <c r="Z171" s="5">
        <f>IF(Table3[[#This Row],[Efficiency Difference]]*0.2146 &gt; Table3[[#This Row],[Scoring Margin]], 1, 0)</f>
        <v>1</v>
      </c>
      <c r="AA171" s="5">
        <f>IF(Table3[[#This Row],[Efficiency Difference]]*0.2146 + 7 &gt; Table3[[#This Row],[Scoring Margin]], 1, 0)</f>
        <v>1</v>
      </c>
      <c r="AB171" s="5">
        <f>IF(Table3[[#This Row],[Efficiency Difference]]*0.2146 + 14 &gt; Table3[[#This Row],[Scoring Margin]], 1, 0)</f>
        <v>1</v>
      </c>
      <c r="AC171" s="5">
        <f>IF(Table3[[#This Row],[Efficiency Difference]]*0.2146 + 21 &gt; Table3[[#This Row],[Scoring Margin]], 1, 0)</f>
        <v>1</v>
      </c>
      <c r="AD171" s="5">
        <f>IF(Table3[[#This Row],[Efficiency Difference]]*0.2146 -7 &gt; Table3[[#This Row],[Scoring Margin]], 1, 0)</f>
        <v>0</v>
      </c>
      <c r="AE171" s="5">
        <f>IF(Table3[[#This Row],[Efficiency Difference]]*0.2146 -3 &gt; Table3[[#This Row],[Scoring Margin]], 1, 0)</f>
        <v>0</v>
      </c>
      <c r="AF171" s="5">
        <f>IF(Table3[[#This Row],[Efficiency Difference]]*0.2146 -5 &gt; Table3[[#This Row],[Scoring Margin]], 1, 0)</f>
        <v>0</v>
      </c>
      <c r="AG171" s="5">
        <f>IF(Table3[[#This Row],[Efficiency Difference]]*0.2146 -10 &gt; Table3[[#This Row],[Scoring Margin]], 1, 0)</f>
        <v>0</v>
      </c>
    </row>
    <row r="172" spans="2:33">
      <c r="B172" s="5">
        <v>7.6300000000000239</v>
      </c>
      <c r="C172" s="5">
        <v>7</v>
      </c>
      <c r="X172" s="5">
        <v>7.6300000000000239</v>
      </c>
      <c r="Y172" s="5">
        <v>7</v>
      </c>
      <c r="Z172" s="5">
        <f>IF(Table3[[#This Row],[Efficiency Difference]]*0.2146 &gt; Table3[[#This Row],[Scoring Margin]], 1, 0)</f>
        <v>0</v>
      </c>
      <c r="AA172" s="5">
        <f>IF(Table3[[#This Row],[Efficiency Difference]]*0.2146 + 7 &gt; Table3[[#This Row],[Scoring Margin]], 1, 0)</f>
        <v>1</v>
      </c>
      <c r="AB172" s="5">
        <f>IF(Table3[[#This Row],[Efficiency Difference]]*0.2146 + 14 &gt; Table3[[#This Row],[Scoring Margin]], 1, 0)</f>
        <v>1</v>
      </c>
      <c r="AC172" s="5">
        <f>IF(Table3[[#This Row],[Efficiency Difference]]*0.2146 + 21 &gt; Table3[[#This Row],[Scoring Margin]], 1, 0)</f>
        <v>1</v>
      </c>
      <c r="AD172" s="5">
        <f>IF(Table3[[#This Row],[Efficiency Difference]]*0.2146 -7 &gt; Table3[[#This Row],[Scoring Margin]], 1, 0)</f>
        <v>0</v>
      </c>
      <c r="AE172" s="5">
        <f>IF(Table3[[#This Row],[Efficiency Difference]]*0.2146 -3 &gt; Table3[[#This Row],[Scoring Margin]], 1, 0)</f>
        <v>0</v>
      </c>
      <c r="AF172" s="5">
        <f>IF(Table3[[#This Row],[Efficiency Difference]]*0.2146 -5 &gt; Table3[[#This Row],[Scoring Margin]], 1, 0)</f>
        <v>0</v>
      </c>
      <c r="AG172" s="5">
        <f>IF(Table3[[#This Row],[Efficiency Difference]]*0.2146 -10 &gt; Table3[[#This Row],[Scoring Margin]], 1, 0)</f>
        <v>0</v>
      </c>
    </row>
    <row r="173" spans="2:33">
      <c r="B173" s="5">
        <v>7.6300000000000239</v>
      </c>
      <c r="C173" s="5">
        <v>7</v>
      </c>
      <c r="X173" s="5">
        <v>7.6300000000000239</v>
      </c>
      <c r="Y173" s="5">
        <v>7</v>
      </c>
      <c r="Z173" s="5">
        <f>IF(Table3[[#This Row],[Efficiency Difference]]*0.2146 &gt; Table3[[#This Row],[Scoring Margin]], 1, 0)</f>
        <v>0</v>
      </c>
      <c r="AA173" s="5">
        <f>IF(Table3[[#This Row],[Efficiency Difference]]*0.2146 + 7 &gt; Table3[[#This Row],[Scoring Margin]], 1, 0)</f>
        <v>1</v>
      </c>
      <c r="AB173" s="5">
        <f>IF(Table3[[#This Row],[Efficiency Difference]]*0.2146 + 14 &gt; Table3[[#This Row],[Scoring Margin]], 1, 0)</f>
        <v>1</v>
      </c>
      <c r="AC173" s="5">
        <f>IF(Table3[[#This Row],[Efficiency Difference]]*0.2146 + 21 &gt; Table3[[#This Row],[Scoring Margin]], 1, 0)</f>
        <v>1</v>
      </c>
      <c r="AD173" s="5">
        <f>IF(Table3[[#This Row],[Efficiency Difference]]*0.2146 -7 &gt; Table3[[#This Row],[Scoring Margin]], 1, 0)</f>
        <v>0</v>
      </c>
      <c r="AE173" s="5">
        <f>IF(Table3[[#This Row],[Efficiency Difference]]*0.2146 -3 &gt; Table3[[#This Row],[Scoring Margin]], 1, 0)</f>
        <v>0</v>
      </c>
      <c r="AF173" s="5">
        <f>IF(Table3[[#This Row],[Efficiency Difference]]*0.2146 -5 &gt; Table3[[#This Row],[Scoring Margin]], 1, 0)</f>
        <v>0</v>
      </c>
      <c r="AG173" s="5">
        <f>IF(Table3[[#This Row],[Efficiency Difference]]*0.2146 -10 &gt; Table3[[#This Row],[Scoring Margin]], 1, 0)</f>
        <v>0</v>
      </c>
    </row>
    <row r="174" spans="2:33">
      <c r="B174" s="5">
        <v>90.520000000000039</v>
      </c>
      <c r="C174" s="5">
        <v>13</v>
      </c>
      <c r="X174" s="5">
        <v>90.520000000000039</v>
      </c>
      <c r="Y174" s="5">
        <v>13</v>
      </c>
      <c r="Z174" s="5">
        <f>IF(Table3[[#This Row],[Efficiency Difference]]*0.2146 &gt; Table3[[#This Row],[Scoring Margin]], 1, 0)</f>
        <v>1</v>
      </c>
      <c r="AA174" s="5">
        <f>IF(Table3[[#This Row],[Efficiency Difference]]*0.2146 + 7 &gt; Table3[[#This Row],[Scoring Margin]], 1, 0)</f>
        <v>1</v>
      </c>
      <c r="AB174" s="5">
        <f>IF(Table3[[#This Row],[Efficiency Difference]]*0.2146 + 14 &gt; Table3[[#This Row],[Scoring Margin]], 1, 0)</f>
        <v>1</v>
      </c>
      <c r="AC174" s="5">
        <f>IF(Table3[[#This Row],[Efficiency Difference]]*0.2146 + 21 &gt; Table3[[#This Row],[Scoring Margin]], 1, 0)</f>
        <v>1</v>
      </c>
      <c r="AD174" s="5">
        <f>IF(Table3[[#This Row],[Efficiency Difference]]*0.2146 -7 &gt; Table3[[#This Row],[Scoring Margin]], 1, 0)</f>
        <v>0</v>
      </c>
      <c r="AE174" s="5">
        <f>IF(Table3[[#This Row],[Efficiency Difference]]*0.2146 -3 &gt; Table3[[#This Row],[Scoring Margin]], 1, 0)</f>
        <v>1</v>
      </c>
      <c r="AF174" s="5">
        <f>IF(Table3[[#This Row],[Efficiency Difference]]*0.2146 -5 &gt; Table3[[#This Row],[Scoring Margin]], 1, 0)</f>
        <v>1</v>
      </c>
      <c r="AG174" s="5">
        <f>IF(Table3[[#This Row],[Efficiency Difference]]*0.2146 -10 &gt; Table3[[#This Row],[Scoring Margin]], 1, 0)</f>
        <v>0</v>
      </c>
    </row>
    <row r="175" spans="2:33">
      <c r="B175" s="5">
        <v>90.520000000000039</v>
      </c>
      <c r="C175" s="5">
        <v>13</v>
      </c>
      <c r="X175" s="5">
        <v>90.520000000000039</v>
      </c>
      <c r="Y175" s="5">
        <v>13</v>
      </c>
      <c r="Z175" s="5">
        <f>IF(Table3[[#This Row],[Efficiency Difference]]*0.2146 &gt; Table3[[#This Row],[Scoring Margin]], 1, 0)</f>
        <v>1</v>
      </c>
      <c r="AA175" s="5">
        <f>IF(Table3[[#This Row],[Efficiency Difference]]*0.2146 + 7 &gt; Table3[[#This Row],[Scoring Margin]], 1, 0)</f>
        <v>1</v>
      </c>
      <c r="AB175" s="5">
        <f>IF(Table3[[#This Row],[Efficiency Difference]]*0.2146 + 14 &gt; Table3[[#This Row],[Scoring Margin]], 1, 0)</f>
        <v>1</v>
      </c>
      <c r="AC175" s="5">
        <f>IF(Table3[[#This Row],[Efficiency Difference]]*0.2146 + 21 &gt; Table3[[#This Row],[Scoring Margin]], 1, 0)</f>
        <v>1</v>
      </c>
      <c r="AD175" s="5">
        <f>IF(Table3[[#This Row],[Efficiency Difference]]*0.2146 -7 &gt; Table3[[#This Row],[Scoring Margin]], 1, 0)</f>
        <v>0</v>
      </c>
      <c r="AE175" s="5">
        <f>IF(Table3[[#This Row],[Efficiency Difference]]*0.2146 -3 &gt; Table3[[#This Row],[Scoring Margin]], 1, 0)</f>
        <v>1</v>
      </c>
      <c r="AF175" s="5">
        <f>IF(Table3[[#This Row],[Efficiency Difference]]*0.2146 -5 &gt; Table3[[#This Row],[Scoring Margin]], 1, 0)</f>
        <v>1</v>
      </c>
      <c r="AG175" s="5">
        <f>IF(Table3[[#This Row],[Efficiency Difference]]*0.2146 -10 &gt; Table3[[#This Row],[Scoring Margin]], 1, 0)</f>
        <v>0</v>
      </c>
    </row>
    <row r="176" spans="2:33">
      <c r="B176" s="5">
        <v>19.199999999999989</v>
      </c>
      <c r="C176" s="5">
        <v>3</v>
      </c>
      <c r="X176" s="5">
        <v>19.199999999999989</v>
      </c>
      <c r="Y176" s="5">
        <v>3</v>
      </c>
      <c r="Z176" s="5">
        <f>IF(Table3[[#This Row],[Efficiency Difference]]*0.2146 &gt; Table3[[#This Row],[Scoring Margin]], 1, 0)</f>
        <v>1</v>
      </c>
      <c r="AA176" s="5">
        <f>IF(Table3[[#This Row],[Efficiency Difference]]*0.2146 + 7 &gt; Table3[[#This Row],[Scoring Margin]], 1, 0)</f>
        <v>1</v>
      </c>
      <c r="AB176" s="5">
        <f>IF(Table3[[#This Row],[Efficiency Difference]]*0.2146 + 14 &gt; Table3[[#This Row],[Scoring Margin]], 1, 0)</f>
        <v>1</v>
      </c>
      <c r="AC176" s="5">
        <f>IF(Table3[[#This Row],[Efficiency Difference]]*0.2146 + 21 &gt; Table3[[#This Row],[Scoring Margin]], 1, 0)</f>
        <v>1</v>
      </c>
      <c r="AD176" s="5">
        <f>IF(Table3[[#This Row],[Efficiency Difference]]*0.2146 -7 &gt; Table3[[#This Row],[Scoring Margin]], 1, 0)</f>
        <v>0</v>
      </c>
      <c r="AE176" s="5">
        <f>IF(Table3[[#This Row],[Efficiency Difference]]*0.2146 -3 &gt; Table3[[#This Row],[Scoring Margin]], 1, 0)</f>
        <v>0</v>
      </c>
      <c r="AF176" s="5">
        <f>IF(Table3[[#This Row],[Efficiency Difference]]*0.2146 -5 &gt; Table3[[#This Row],[Scoring Margin]], 1, 0)</f>
        <v>0</v>
      </c>
      <c r="AG176" s="5">
        <f>IF(Table3[[#This Row],[Efficiency Difference]]*0.2146 -10 &gt; Table3[[#This Row],[Scoring Margin]], 1, 0)</f>
        <v>0</v>
      </c>
    </row>
    <row r="177" spans="2:33">
      <c r="B177" s="5">
        <v>19.19999999999996</v>
      </c>
      <c r="C177" s="5">
        <v>3</v>
      </c>
      <c r="X177" s="5">
        <v>19.19999999999996</v>
      </c>
      <c r="Y177" s="5">
        <v>3</v>
      </c>
      <c r="Z177" s="5">
        <f>IF(Table3[[#This Row],[Efficiency Difference]]*0.2146 &gt; Table3[[#This Row],[Scoring Margin]], 1, 0)</f>
        <v>1</v>
      </c>
      <c r="AA177" s="5">
        <f>IF(Table3[[#This Row],[Efficiency Difference]]*0.2146 + 7 &gt; Table3[[#This Row],[Scoring Margin]], 1, 0)</f>
        <v>1</v>
      </c>
      <c r="AB177" s="5">
        <f>IF(Table3[[#This Row],[Efficiency Difference]]*0.2146 + 14 &gt; Table3[[#This Row],[Scoring Margin]], 1, 0)</f>
        <v>1</v>
      </c>
      <c r="AC177" s="5">
        <f>IF(Table3[[#This Row],[Efficiency Difference]]*0.2146 + 21 &gt; Table3[[#This Row],[Scoring Margin]], 1, 0)</f>
        <v>1</v>
      </c>
      <c r="AD177" s="5">
        <f>IF(Table3[[#This Row],[Efficiency Difference]]*0.2146 -7 &gt; Table3[[#This Row],[Scoring Margin]], 1, 0)</f>
        <v>0</v>
      </c>
      <c r="AE177" s="5">
        <f>IF(Table3[[#This Row],[Efficiency Difference]]*0.2146 -3 &gt; Table3[[#This Row],[Scoring Margin]], 1, 0)</f>
        <v>0</v>
      </c>
      <c r="AF177" s="5">
        <f>IF(Table3[[#This Row],[Efficiency Difference]]*0.2146 -5 &gt; Table3[[#This Row],[Scoring Margin]], 1, 0)</f>
        <v>0</v>
      </c>
      <c r="AG177" s="5">
        <f>IF(Table3[[#This Row],[Efficiency Difference]]*0.2146 -10 &gt; Table3[[#This Row],[Scoring Margin]], 1, 0)</f>
        <v>0</v>
      </c>
    </row>
    <row r="178" spans="2:33">
      <c r="B178" s="5">
        <v>144.86999999999998</v>
      </c>
      <c r="C178" s="5">
        <v>34</v>
      </c>
      <c r="X178" s="5">
        <v>144.86999999999998</v>
      </c>
      <c r="Y178" s="5">
        <v>34</v>
      </c>
      <c r="Z178" s="5">
        <f>IF(Table3[[#This Row],[Efficiency Difference]]*0.2146 &gt; Table3[[#This Row],[Scoring Margin]], 1, 0)</f>
        <v>0</v>
      </c>
      <c r="AA178" s="5">
        <f>IF(Table3[[#This Row],[Efficiency Difference]]*0.2146 + 7 &gt; Table3[[#This Row],[Scoring Margin]], 1, 0)</f>
        <v>1</v>
      </c>
      <c r="AB178" s="5">
        <f>IF(Table3[[#This Row],[Efficiency Difference]]*0.2146 + 14 &gt; Table3[[#This Row],[Scoring Margin]], 1, 0)</f>
        <v>1</v>
      </c>
      <c r="AC178" s="5">
        <f>IF(Table3[[#This Row],[Efficiency Difference]]*0.2146 + 21 &gt; Table3[[#This Row],[Scoring Margin]], 1, 0)</f>
        <v>1</v>
      </c>
      <c r="AD178" s="5">
        <f>IF(Table3[[#This Row],[Efficiency Difference]]*0.2146 -7 &gt; Table3[[#This Row],[Scoring Margin]], 1, 0)</f>
        <v>0</v>
      </c>
      <c r="AE178" s="5">
        <f>IF(Table3[[#This Row],[Efficiency Difference]]*0.2146 -3 &gt; Table3[[#This Row],[Scoring Margin]], 1, 0)</f>
        <v>0</v>
      </c>
      <c r="AF178" s="5">
        <f>IF(Table3[[#This Row],[Efficiency Difference]]*0.2146 -5 &gt; Table3[[#This Row],[Scoring Margin]], 1, 0)</f>
        <v>0</v>
      </c>
      <c r="AG178" s="5">
        <f>IF(Table3[[#This Row],[Efficiency Difference]]*0.2146 -10 &gt; Table3[[#This Row],[Scoring Margin]], 1, 0)</f>
        <v>0</v>
      </c>
    </row>
    <row r="179" spans="2:33">
      <c r="B179" s="5">
        <v>144.87</v>
      </c>
      <c r="C179" s="5">
        <v>34</v>
      </c>
      <c r="X179" s="5">
        <v>144.87</v>
      </c>
      <c r="Y179" s="5">
        <v>34</v>
      </c>
      <c r="Z179" s="5">
        <f>IF(Table3[[#This Row],[Efficiency Difference]]*0.2146 &gt; Table3[[#This Row],[Scoring Margin]], 1, 0)</f>
        <v>0</v>
      </c>
      <c r="AA179" s="5">
        <f>IF(Table3[[#This Row],[Efficiency Difference]]*0.2146 + 7 &gt; Table3[[#This Row],[Scoring Margin]], 1, 0)</f>
        <v>1</v>
      </c>
      <c r="AB179" s="5">
        <f>IF(Table3[[#This Row],[Efficiency Difference]]*0.2146 + 14 &gt; Table3[[#This Row],[Scoring Margin]], 1, 0)</f>
        <v>1</v>
      </c>
      <c r="AC179" s="5">
        <f>IF(Table3[[#This Row],[Efficiency Difference]]*0.2146 + 21 &gt; Table3[[#This Row],[Scoring Margin]], 1, 0)</f>
        <v>1</v>
      </c>
      <c r="AD179" s="5">
        <f>IF(Table3[[#This Row],[Efficiency Difference]]*0.2146 -7 &gt; Table3[[#This Row],[Scoring Margin]], 1, 0)</f>
        <v>0</v>
      </c>
      <c r="AE179" s="5">
        <f>IF(Table3[[#This Row],[Efficiency Difference]]*0.2146 -3 &gt; Table3[[#This Row],[Scoring Margin]], 1, 0)</f>
        <v>0</v>
      </c>
      <c r="AF179" s="5">
        <f>IF(Table3[[#This Row],[Efficiency Difference]]*0.2146 -5 &gt; Table3[[#This Row],[Scoring Margin]], 1, 0)</f>
        <v>0</v>
      </c>
      <c r="AG179" s="5">
        <f>IF(Table3[[#This Row],[Efficiency Difference]]*0.2146 -10 &gt; Table3[[#This Row],[Scoring Margin]], 1, 0)</f>
        <v>0</v>
      </c>
    </row>
    <row r="180" spans="2:33">
      <c r="B180" s="5">
        <v>11.899999999999977</v>
      </c>
      <c r="C180" s="5">
        <v>12</v>
      </c>
      <c r="X180" s="5">
        <v>11.899999999999977</v>
      </c>
      <c r="Y180" s="5">
        <v>12</v>
      </c>
      <c r="Z180" s="5">
        <f>IF(Table3[[#This Row],[Efficiency Difference]]*0.2146 &gt; Table3[[#This Row],[Scoring Margin]], 1, 0)</f>
        <v>0</v>
      </c>
      <c r="AA180" s="5">
        <f>IF(Table3[[#This Row],[Efficiency Difference]]*0.2146 + 7 &gt; Table3[[#This Row],[Scoring Margin]], 1, 0)</f>
        <v>0</v>
      </c>
      <c r="AB180" s="5">
        <f>IF(Table3[[#This Row],[Efficiency Difference]]*0.2146 + 14 &gt; Table3[[#This Row],[Scoring Margin]], 1, 0)</f>
        <v>1</v>
      </c>
      <c r="AC180" s="5">
        <f>IF(Table3[[#This Row],[Efficiency Difference]]*0.2146 + 21 &gt; Table3[[#This Row],[Scoring Margin]], 1, 0)</f>
        <v>1</v>
      </c>
      <c r="AD180" s="5">
        <f>IF(Table3[[#This Row],[Efficiency Difference]]*0.2146 -7 &gt; Table3[[#This Row],[Scoring Margin]], 1, 0)</f>
        <v>0</v>
      </c>
      <c r="AE180" s="5">
        <f>IF(Table3[[#This Row],[Efficiency Difference]]*0.2146 -3 &gt; Table3[[#This Row],[Scoring Margin]], 1, 0)</f>
        <v>0</v>
      </c>
      <c r="AF180" s="5">
        <f>IF(Table3[[#This Row],[Efficiency Difference]]*0.2146 -5 &gt; Table3[[#This Row],[Scoring Margin]], 1, 0)</f>
        <v>0</v>
      </c>
      <c r="AG180" s="5">
        <f>IF(Table3[[#This Row],[Efficiency Difference]]*0.2146 -10 &gt; Table3[[#This Row],[Scoring Margin]], 1, 0)</f>
        <v>0</v>
      </c>
    </row>
    <row r="181" spans="2:33">
      <c r="B181" s="5">
        <v>11.899999999999977</v>
      </c>
      <c r="C181" s="5">
        <v>12</v>
      </c>
      <c r="X181" s="5">
        <v>11.899999999999977</v>
      </c>
      <c r="Y181" s="5">
        <v>12</v>
      </c>
      <c r="Z181" s="5">
        <f>IF(Table3[[#This Row],[Efficiency Difference]]*0.2146 &gt; Table3[[#This Row],[Scoring Margin]], 1, 0)</f>
        <v>0</v>
      </c>
      <c r="AA181" s="5">
        <f>IF(Table3[[#This Row],[Efficiency Difference]]*0.2146 + 7 &gt; Table3[[#This Row],[Scoring Margin]], 1, 0)</f>
        <v>0</v>
      </c>
      <c r="AB181" s="5">
        <f>IF(Table3[[#This Row],[Efficiency Difference]]*0.2146 + 14 &gt; Table3[[#This Row],[Scoring Margin]], 1, 0)</f>
        <v>1</v>
      </c>
      <c r="AC181" s="5">
        <f>IF(Table3[[#This Row],[Efficiency Difference]]*0.2146 + 21 &gt; Table3[[#This Row],[Scoring Margin]], 1, 0)</f>
        <v>1</v>
      </c>
      <c r="AD181" s="5">
        <f>IF(Table3[[#This Row],[Efficiency Difference]]*0.2146 -7 &gt; Table3[[#This Row],[Scoring Margin]], 1, 0)</f>
        <v>0</v>
      </c>
      <c r="AE181" s="5">
        <f>IF(Table3[[#This Row],[Efficiency Difference]]*0.2146 -3 &gt; Table3[[#This Row],[Scoring Margin]], 1, 0)</f>
        <v>0</v>
      </c>
      <c r="AF181" s="5">
        <f>IF(Table3[[#This Row],[Efficiency Difference]]*0.2146 -5 &gt; Table3[[#This Row],[Scoring Margin]], 1, 0)</f>
        <v>0</v>
      </c>
      <c r="AG181" s="5">
        <f>IF(Table3[[#This Row],[Efficiency Difference]]*0.2146 -10 &gt; Table3[[#This Row],[Scoring Margin]], 1, 0)</f>
        <v>0</v>
      </c>
    </row>
    <row r="182" spans="2:33">
      <c r="B182" s="5">
        <v>0.99000000000000909</v>
      </c>
      <c r="C182" s="5">
        <v>28</v>
      </c>
      <c r="X182" s="5">
        <v>0.99000000000000909</v>
      </c>
      <c r="Y182" s="5">
        <v>28</v>
      </c>
      <c r="Z182" s="5">
        <f>IF(Table3[[#This Row],[Efficiency Difference]]*0.2146 &gt; Table3[[#This Row],[Scoring Margin]], 1, 0)</f>
        <v>0</v>
      </c>
      <c r="AA182" s="5">
        <f>IF(Table3[[#This Row],[Efficiency Difference]]*0.2146 + 7 &gt; Table3[[#This Row],[Scoring Margin]], 1, 0)</f>
        <v>0</v>
      </c>
      <c r="AB182" s="5">
        <f>IF(Table3[[#This Row],[Efficiency Difference]]*0.2146 + 14 &gt; Table3[[#This Row],[Scoring Margin]], 1, 0)</f>
        <v>0</v>
      </c>
      <c r="AC182" s="5">
        <f>IF(Table3[[#This Row],[Efficiency Difference]]*0.2146 + 21 &gt; Table3[[#This Row],[Scoring Margin]], 1, 0)</f>
        <v>0</v>
      </c>
      <c r="AD182" s="5">
        <f>IF(Table3[[#This Row],[Efficiency Difference]]*0.2146 -7 &gt; Table3[[#This Row],[Scoring Margin]], 1, 0)</f>
        <v>0</v>
      </c>
      <c r="AE182" s="5">
        <f>IF(Table3[[#This Row],[Efficiency Difference]]*0.2146 -3 &gt; Table3[[#This Row],[Scoring Margin]], 1, 0)</f>
        <v>0</v>
      </c>
      <c r="AF182" s="5">
        <f>IF(Table3[[#This Row],[Efficiency Difference]]*0.2146 -5 &gt; Table3[[#This Row],[Scoring Margin]], 1, 0)</f>
        <v>0</v>
      </c>
      <c r="AG182" s="5">
        <f>IF(Table3[[#This Row],[Efficiency Difference]]*0.2146 -10 &gt; Table3[[#This Row],[Scoring Margin]], 1, 0)</f>
        <v>0</v>
      </c>
    </row>
    <row r="183" spans="2:33">
      <c r="B183" s="5">
        <v>0.99000000000000909</v>
      </c>
      <c r="C183" s="5">
        <v>28</v>
      </c>
      <c r="X183" s="5">
        <v>0.99000000000000909</v>
      </c>
      <c r="Y183" s="5">
        <v>28</v>
      </c>
      <c r="Z183" s="5">
        <f>IF(Table3[[#This Row],[Efficiency Difference]]*0.2146 &gt; Table3[[#This Row],[Scoring Margin]], 1, 0)</f>
        <v>0</v>
      </c>
      <c r="AA183" s="5">
        <f>IF(Table3[[#This Row],[Efficiency Difference]]*0.2146 + 7 &gt; Table3[[#This Row],[Scoring Margin]], 1, 0)</f>
        <v>0</v>
      </c>
      <c r="AB183" s="5">
        <f>IF(Table3[[#This Row],[Efficiency Difference]]*0.2146 + 14 &gt; Table3[[#This Row],[Scoring Margin]], 1, 0)</f>
        <v>0</v>
      </c>
      <c r="AC183" s="5">
        <f>IF(Table3[[#This Row],[Efficiency Difference]]*0.2146 + 21 &gt; Table3[[#This Row],[Scoring Margin]], 1, 0)</f>
        <v>0</v>
      </c>
      <c r="AD183" s="5">
        <f>IF(Table3[[#This Row],[Efficiency Difference]]*0.2146 -7 &gt; Table3[[#This Row],[Scoring Margin]], 1, 0)</f>
        <v>0</v>
      </c>
      <c r="AE183" s="5">
        <f>IF(Table3[[#This Row],[Efficiency Difference]]*0.2146 -3 &gt; Table3[[#This Row],[Scoring Margin]], 1, 0)</f>
        <v>0</v>
      </c>
      <c r="AF183" s="5">
        <f>IF(Table3[[#This Row],[Efficiency Difference]]*0.2146 -5 &gt; Table3[[#This Row],[Scoring Margin]], 1, 0)</f>
        <v>0</v>
      </c>
      <c r="AG183" s="5">
        <f>IF(Table3[[#This Row],[Efficiency Difference]]*0.2146 -10 &gt; Table3[[#This Row],[Scoring Margin]], 1, 0)</f>
        <v>0</v>
      </c>
    </row>
    <row r="184" spans="2:33">
      <c r="B184" s="5">
        <v>4.7500000000000284</v>
      </c>
      <c r="C184" s="5">
        <v>6</v>
      </c>
      <c r="X184" s="5">
        <v>4.7500000000000284</v>
      </c>
      <c r="Y184" s="5">
        <v>6</v>
      </c>
      <c r="Z184" s="5">
        <f>IF(Table3[[#This Row],[Efficiency Difference]]*0.2146 &gt; Table3[[#This Row],[Scoring Margin]], 1, 0)</f>
        <v>0</v>
      </c>
      <c r="AA184" s="5">
        <f>IF(Table3[[#This Row],[Efficiency Difference]]*0.2146 + 7 &gt; Table3[[#This Row],[Scoring Margin]], 1, 0)</f>
        <v>1</v>
      </c>
      <c r="AB184" s="5">
        <f>IF(Table3[[#This Row],[Efficiency Difference]]*0.2146 + 14 &gt; Table3[[#This Row],[Scoring Margin]], 1, 0)</f>
        <v>1</v>
      </c>
      <c r="AC184" s="5">
        <f>IF(Table3[[#This Row],[Efficiency Difference]]*0.2146 + 21 &gt; Table3[[#This Row],[Scoring Margin]], 1, 0)</f>
        <v>1</v>
      </c>
      <c r="AD184" s="5">
        <f>IF(Table3[[#This Row],[Efficiency Difference]]*0.2146 -7 &gt; Table3[[#This Row],[Scoring Margin]], 1, 0)</f>
        <v>0</v>
      </c>
      <c r="AE184" s="5">
        <f>IF(Table3[[#This Row],[Efficiency Difference]]*0.2146 -3 &gt; Table3[[#This Row],[Scoring Margin]], 1, 0)</f>
        <v>0</v>
      </c>
      <c r="AF184" s="5">
        <f>IF(Table3[[#This Row],[Efficiency Difference]]*0.2146 -5 &gt; Table3[[#This Row],[Scoring Margin]], 1, 0)</f>
        <v>0</v>
      </c>
      <c r="AG184" s="5">
        <f>IF(Table3[[#This Row],[Efficiency Difference]]*0.2146 -10 &gt; Table3[[#This Row],[Scoring Margin]], 1, 0)</f>
        <v>0</v>
      </c>
    </row>
    <row r="185" spans="2:33">
      <c r="B185" s="5">
        <v>4.7500000000000284</v>
      </c>
      <c r="C185" s="5">
        <v>6</v>
      </c>
      <c r="X185" s="5">
        <v>4.7500000000000284</v>
      </c>
      <c r="Y185" s="5">
        <v>6</v>
      </c>
      <c r="Z185" s="5">
        <f>IF(Table3[[#This Row],[Efficiency Difference]]*0.2146 &gt; Table3[[#This Row],[Scoring Margin]], 1, 0)</f>
        <v>0</v>
      </c>
      <c r="AA185" s="5">
        <f>IF(Table3[[#This Row],[Efficiency Difference]]*0.2146 + 7 &gt; Table3[[#This Row],[Scoring Margin]], 1, 0)</f>
        <v>1</v>
      </c>
      <c r="AB185" s="5">
        <f>IF(Table3[[#This Row],[Efficiency Difference]]*0.2146 + 14 &gt; Table3[[#This Row],[Scoring Margin]], 1, 0)</f>
        <v>1</v>
      </c>
      <c r="AC185" s="5">
        <f>IF(Table3[[#This Row],[Efficiency Difference]]*0.2146 + 21 &gt; Table3[[#This Row],[Scoring Margin]], 1, 0)</f>
        <v>1</v>
      </c>
      <c r="AD185" s="5">
        <f>IF(Table3[[#This Row],[Efficiency Difference]]*0.2146 -7 &gt; Table3[[#This Row],[Scoring Margin]], 1, 0)</f>
        <v>0</v>
      </c>
      <c r="AE185" s="5">
        <f>IF(Table3[[#This Row],[Efficiency Difference]]*0.2146 -3 &gt; Table3[[#This Row],[Scoring Margin]], 1, 0)</f>
        <v>0</v>
      </c>
      <c r="AF185" s="5">
        <f>IF(Table3[[#This Row],[Efficiency Difference]]*0.2146 -5 &gt; Table3[[#This Row],[Scoring Margin]], 1, 0)</f>
        <v>0</v>
      </c>
      <c r="AG185" s="5">
        <f>IF(Table3[[#This Row],[Efficiency Difference]]*0.2146 -10 &gt; Table3[[#This Row],[Scoring Margin]], 1, 0)</f>
        <v>0</v>
      </c>
    </row>
    <row r="186" spans="2:33">
      <c r="B186" s="5">
        <v>151.82000000000002</v>
      </c>
      <c r="C186" s="5">
        <v>27</v>
      </c>
      <c r="X186" s="5">
        <v>151.82000000000002</v>
      </c>
      <c r="Y186" s="5">
        <v>27</v>
      </c>
      <c r="Z186" s="5">
        <f>IF(Table3[[#This Row],[Efficiency Difference]]*0.2146 &gt; Table3[[#This Row],[Scoring Margin]], 1, 0)</f>
        <v>1</v>
      </c>
      <c r="AA186" s="5">
        <f>IF(Table3[[#This Row],[Efficiency Difference]]*0.2146 + 7 &gt; Table3[[#This Row],[Scoring Margin]], 1, 0)</f>
        <v>1</v>
      </c>
      <c r="AB186" s="5">
        <f>IF(Table3[[#This Row],[Efficiency Difference]]*0.2146 + 14 &gt; Table3[[#This Row],[Scoring Margin]], 1, 0)</f>
        <v>1</v>
      </c>
      <c r="AC186" s="5">
        <f>IF(Table3[[#This Row],[Efficiency Difference]]*0.2146 + 21 &gt; Table3[[#This Row],[Scoring Margin]], 1, 0)</f>
        <v>1</v>
      </c>
      <c r="AD186" s="5">
        <f>IF(Table3[[#This Row],[Efficiency Difference]]*0.2146 -7 &gt; Table3[[#This Row],[Scoring Margin]], 1, 0)</f>
        <v>0</v>
      </c>
      <c r="AE186" s="5">
        <f>IF(Table3[[#This Row],[Efficiency Difference]]*0.2146 -3 &gt; Table3[[#This Row],[Scoring Margin]], 1, 0)</f>
        <v>1</v>
      </c>
      <c r="AF186" s="5">
        <f>IF(Table3[[#This Row],[Efficiency Difference]]*0.2146 -5 &gt; Table3[[#This Row],[Scoring Margin]], 1, 0)</f>
        <v>1</v>
      </c>
      <c r="AG186" s="5">
        <f>IF(Table3[[#This Row],[Efficiency Difference]]*0.2146 -10 &gt; Table3[[#This Row],[Scoring Margin]], 1, 0)</f>
        <v>0</v>
      </c>
    </row>
    <row r="187" spans="2:33">
      <c r="B187" s="5">
        <v>151.82000000000002</v>
      </c>
      <c r="C187" s="5">
        <v>27</v>
      </c>
      <c r="X187" s="5">
        <v>151.82000000000002</v>
      </c>
      <c r="Y187" s="5">
        <v>27</v>
      </c>
      <c r="Z187" s="5">
        <f>IF(Table3[[#This Row],[Efficiency Difference]]*0.2146 &gt; Table3[[#This Row],[Scoring Margin]], 1, 0)</f>
        <v>1</v>
      </c>
      <c r="AA187" s="5">
        <f>IF(Table3[[#This Row],[Efficiency Difference]]*0.2146 + 7 &gt; Table3[[#This Row],[Scoring Margin]], 1, 0)</f>
        <v>1</v>
      </c>
      <c r="AB187" s="5">
        <f>IF(Table3[[#This Row],[Efficiency Difference]]*0.2146 + 14 &gt; Table3[[#This Row],[Scoring Margin]], 1, 0)</f>
        <v>1</v>
      </c>
      <c r="AC187" s="5">
        <f>IF(Table3[[#This Row],[Efficiency Difference]]*0.2146 + 21 &gt; Table3[[#This Row],[Scoring Margin]], 1, 0)</f>
        <v>1</v>
      </c>
      <c r="AD187" s="5">
        <f>IF(Table3[[#This Row],[Efficiency Difference]]*0.2146 -7 &gt; Table3[[#This Row],[Scoring Margin]], 1, 0)</f>
        <v>0</v>
      </c>
      <c r="AE187" s="5">
        <f>IF(Table3[[#This Row],[Efficiency Difference]]*0.2146 -3 &gt; Table3[[#This Row],[Scoring Margin]], 1, 0)</f>
        <v>1</v>
      </c>
      <c r="AF187" s="5">
        <f>IF(Table3[[#This Row],[Efficiency Difference]]*0.2146 -5 &gt; Table3[[#This Row],[Scoring Margin]], 1, 0)</f>
        <v>1</v>
      </c>
      <c r="AG187" s="5">
        <f>IF(Table3[[#This Row],[Efficiency Difference]]*0.2146 -10 &gt; Table3[[#This Row],[Scoring Margin]], 1, 0)</f>
        <v>0</v>
      </c>
    </row>
    <row r="188" spans="2:33">
      <c r="B188" s="5">
        <v>110.23999999999998</v>
      </c>
      <c r="C188" s="5">
        <v>55</v>
      </c>
      <c r="X188" s="5">
        <v>110.23999999999998</v>
      </c>
      <c r="Y188" s="5">
        <v>55</v>
      </c>
      <c r="Z188" s="5">
        <f>IF(Table3[[#This Row],[Efficiency Difference]]*0.2146 &gt; Table3[[#This Row],[Scoring Margin]], 1, 0)</f>
        <v>0</v>
      </c>
      <c r="AA188" s="5">
        <f>IF(Table3[[#This Row],[Efficiency Difference]]*0.2146 + 7 &gt; Table3[[#This Row],[Scoring Margin]], 1, 0)</f>
        <v>0</v>
      </c>
      <c r="AB188" s="5">
        <f>IF(Table3[[#This Row],[Efficiency Difference]]*0.2146 + 14 &gt; Table3[[#This Row],[Scoring Margin]], 1, 0)</f>
        <v>0</v>
      </c>
      <c r="AC188" s="5">
        <f>IF(Table3[[#This Row],[Efficiency Difference]]*0.2146 + 21 &gt; Table3[[#This Row],[Scoring Margin]], 1, 0)</f>
        <v>0</v>
      </c>
      <c r="AD188" s="5">
        <f>IF(Table3[[#This Row],[Efficiency Difference]]*0.2146 -7 &gt; Table3[[#This Row],[Scoring Margin]], 1, 0)</f>
        <v>0</v>
      </c>
      <c r="AE188" s="5">
        <f>IF(Table3[[#This Row],[Efficiency Difference]]*0.2146 -3 &gt; Table3[[#This Row],[Scoring Margin]], 1, 0)</f>
        <v>0</v>
      </c>
      <c r="AF188" s="5">
        <f>IF(Table3[[#This Row],[Efficiency Difference]]*0.2146 -5 &gt; Table3[[#This Row],[Scoring Margin]], 1, 0)</f>
        <v>0</v>
      </c>
      <c r="AG188" s="5">
        <f>IF(Table3[[#This Row],[Efficiency Difference]]*0.2146 -10 &gt; Table3[[#This Row],[Scoring Margin]], 1, 0)</f>
        <v>0</v>
      </c>
    </row>
    <row r="189" spans="2:33">
      <c r="B189" s="5">
        <v>110.23999999999998</v>
      </c>
      <c r="C189" s="5">
        <v>55</v>
      </c>
      <c r="X189" s="5">
        <v>110.23999999999998</v>
      </c>
      <c r="Y189" s="5">
        <v>55</v>
      </c>
      <c r="Z189" s="5">
        <f>IF(Table3[[#This Row],[Efficiency Difference]]*0.2146 &gt; Table3[[#This Row],[Scoring Margin]], 1, 0)</f>
        <v>0</v>
      </c>
      <c r="AA189" s="5">
        <f>IF(Table3[[#This Row],[Efficiency Difference]]*0.2146 + 7 &gt; Table3[[#This Row],[Scoring Margin]], 1, 0)</f>
        <v>0</v>
      </c>
      <c r="AB189" s="5">
        <f>IF(Table3[[#This Row],[Efficiency Difference]]*0.2146 + 14 &gt; Table3[[#This Row],[Scoring Margin]], 1, 0)</f>
        <v>0</v>
      </c>
      <c r="AC189" s="5">
        <f>IF(Table3[[#This Row],[Efficiency Difference]]*0.2146 + 21 &gt; Table3[[#This Row],[Scoring Margin]], 1, 0)</f>
        <v>0</v>
      </c>
      <c r="AD189" s="5">
        <f>IF(Table3[[#This Row],[Efficiency Difference]]*0.2146 -7 &gt; Table3[[#This Row],[Scoring Margin]], 1, 0)</f>
        <v>0</v>
      </c>
      <c r="AE189" s="5">
        <f>IF(Table3[[#This Row],[Efficiency Difference]]*0.2146 -3 &gt; Table3[[#This Row],[Scoring Margin]], 1, 0)</f>
        <v>0</v>
      </c>
      <c r="AF189" s="5">
        <f>IF(Table3[[#This Row],[Efficiency Difference]]*0.2146 -5 &gt; Table3[[#This Row],[Scoring Margin]], 1, 0)</f>
        <v>0</v>
      </c>
      <c r="AG189" s="5">
        <f>IF(Table3[[#This Row],[Efficiency Difference]]*0.2146 -10 &gt; Table3[[#This Row],[Scoring Margin]], 1, 0)</f>
        <v>0</v>
      </c>
    </row>
    <row r="190" spans="2:33">
      <c r="B190" s="5"/>
      <c r="C190" s="5"/>
    </row>
    <row r="191" spans="2:33">
      <c r="Z191" s="1">
        <f>AVERAGE(Table3[Below y=0.2146x])</f>
        <v>0.43617021276595747</v>
      </c>
      <c r="AA191" s="1">
        <f>AVERAGE(Table3[Below y=0.2146x + 7])</f>
        <v>0.75531914893617025</v>
      </c>
      <c r="AB191" s="1">
        <f>AVERAGE(Table3["+14"])</f>
        <v>0.8936170212765957</v>
      </c>
      <c r="AC191" s="1">
        <f>AVERAGE(Table3["+21"])</f>
        <v>0.95744680851063835</v>
      </c>
      <c r="AD191" s="1">
        <f>AVERAGE(Table3["-7"])</f>
        <v>0.15957446808510639</v>
      </c>
      <c r="AE191" s="1">
        <f>AVERAGE(Table3["-3"])</f>
        <v>0.26595744680851063</v>
      </c>
      <c r="AF191" s="1">
        <f>AVERAGE(Table3["-5"])</f>
        <v>0.23404255319148937</v>
      </c>
      <c r="AG191" s="1">
        <f>AVERAGE(Table3["-10"])</f>
        <v>8.5106382978723402E-2</v>
      </c>
    </row>
    <row r="205" spans="2:3">
      <c r="B205" s="5"/>
      <c r="C205" s="5"/>
    </row>
    <row r="206" spans="2:3">
      <c r="B206" s="5"/>
      <c r="C206" s="5"/>
    </row>
    <row r="207" spans="2:3">
      <c r="B207" s="5"/>
      <c r="C207" s="5"/>
    </row>
    <row r="208" spans="2:3">
      <c r="B208" s="5"/>
      <c r="C208" s="5"/>
    </row>
    <row r="209" spans="2:3">
      <c r="B209" s="5"/>
      <c r="C209" s="5"/>
    </row>
    <row r="210" spans="2:3">
      <c r="B210" s="5"/>
      <c r="C210" s="5"/>
    </row>
    <row r="211" spans="2:3">
      <c r="B211" s="5"/>
      <c r="C211" s="5"/>
    </row>
    <row r="212" spans="2:3">
      <c r="B212" s="5"/>
      <c r="C212" s="5"/>
    </row>
    <row r="213" spans="2:3">
      <c r="B213" s="5"/>
      <c r="C213" s="5"/>
    </row>
    <row r="214" spans="2:3">
      <c r="B214" s="5"/>
      <c r="C214" s="5"/>
    </row>
    <row r="215" spans="2:3">
      <c r="B215" s="5"/>
      <c r="C215" s="5"/>
    </row>
    <row r="216" spans="2:3">
      <c r="B216" s="5"/>
      <c r="C216" s="5"/>
    </row>
    <row r="217" spans="2:3">
      <c r="B217" s="5"/>
      <c r="C217" s="5"/>
    </row>
    <row r="218" spans="2:3">
      <c r="B218" s="5"/>
      <c r="C218" s="5"/>
    </row>
    <row r="219" spans="2:3">
      <c r="B219" s="5"/>
      <c r="C219" s="5"/>
    </row>
    <row r="220" spans="2:3">
      <c r="B220" s="5"/>
      <c r="C220" s="5"/>
    </row>
    <row r="221" spans="2:3">
      <c r="B221" s="5"/>
      <c r="C221" s="5"/>
    </row>
    <row r="222" spans="2:3">
      <c r="B222" s="5"/>
      <c r="C222" s="5"/>
    </row>
    <row r="223" spans="2:3">
      <c r="B223" s="5"/>
      <c r="C223" s="5"/>
    </row>
    <row r="224" spans="2:3">
      <c r="B224" s="5"/>
      <c r="C224" s="5"/>
    </row>
    <row r="225" spans="2:3">
      <c r="B225" s="5"/>
      <c r="C225" s="5"/>
    </row>
    <row r="226" spans="2:3">
      <c r="B226" s="5"/>
      <c r="C226" s="5"/>
    </row>
    <row r="227" spans="2:3">
      <c r="B227" s="5"/>
      <c r="C227" s="5"/>
    </row>
    <row r="228" spans="2:3">
      <c r="B228" s="5"/>
      <c r="C228" s="5"/>
    </row>
    <row r="229" spans="2:3">
      <c r="B229" s="5"/>
      <c r="C229" s="5"/>
    </row>
    <row r="230" spans="2:3">
      <c r="B230" s="5"/>
      <c r="C230" s="5"/>
    </row>
    <row r="231" spans="2:3">
      <c r="B231" s="5"/>
      <c r="C231" s="5"/>
    </row>
    <row r="232" spans="2:3">
      <c r="B232" s="5"/>
      <c r="C232" s="5"/>
    </row>
    <row r="233" spans="2:3">
      <c r="B233" s="5"/>
      <c r="C233" s="5"/>
    </row>
    <row r="234" spans="2:3">
      <c r="B234" s="5"/>
      <c r="C234" s="5"/>
    </row>
    <row r="235" spans="2:3">
      <c r="B235" s="5"/>
      <c r="C235" s="5"/>
    </row>
    <row r="236" spans="2:3">
      <c r="B236" s="5"/>
      <c r="C236" s="5"/>
    </row>
    <row r="237" spans="2:3">
      <c r="B237" s="5"/>
      <c r="C237" s="5"/>
    </row>
    <row r="238" spans="2:3">
      <c r="B238" s="5"/>
      <c r="C238" s="5"/>
    </row>
    <row r="239" spans="2:3">
      <c r="B239" s="5"/>
      <c r="C239" s="5"/>
    </row>
    <row r="240" spans="2:3">
      <c r="B240" s="5"/>
      <c r="C240" s="5"/>
    </row>
    <row r="241" spans="2:3">
      <c r="B241" s="5"/>
      <c r="C241" s="5"/>
    </row>
    <row r="242" spans="2:3">
      <c r="B242" s="5"/>
      <c r="C242" s="5"/>
    </row>
    <row r="243" spans="2:3">
      <c r="B243" s="5"/>
      <c r="C243" s="5"/>
    </row>
    <row r="244" spans="2:3">
      <c r="B244" s="5"/>
      <c r="C244" s="5"/>
    </row>
    <row r="245" spans="2:3">
      <c r="B245" s="5"/>
      <c r="C245" s="5"/>
    </row>
    <row r="246" spans="2:3">
      <c r="B246" s="5"/>
      <c r="C246" s="5"/>
    </row>
    <row r="247" spans="2:3">
      <c r="B247" s="5"/>
      <c r="C247" s="5"/>
    </row>
    <row r="248" spans="2:3">
      <c r="B248" s="5"/>
      <c r="C248" s="5"/>
    </row>
    <row r="249" spans="2:3">
      <c r="B249" s="5"/>
      <c r="C249" s="5"/>
    </row>
    <row r="250" spans="2:3">
      <c r="B250" s="5"/>
      <c r="C250" s="5"/>
    </row>
    <row r="251" spans="2:3">
      <c r="B251" s="5"/>
      <c r="C251" s="5"/>
    </row>
    <row r="252" spans="2:3">
      <c r="B252" s="5"/>
      <c r="C252" s="5"/>
    </row>
    <row r="253" spans="2:3">
      <c r="B253" s="5"/>
      <c r="C253" s="5"/>
    </row>
    <row r="254" spans="2:3">
      <c r="B254" s="5"/>
      <c r="C254" s="5"/>
    </row>
    <row r="255" spans="2:3">
      <c r="B255" s="5"/>
      <c r="C255" s="5"/>
    </row>
    <row r="256" spans="2:3">
      <c r="B256" s="5"/>
      <c r="C256" s="5"/>
    </row>
    <row r="257" spans="2:3">
      <c r="B257" s="5"/>
      <c r="C257" s="5"/>
    </row>
    <row r="258" spans="2:3">
      <c r="B258" s="5"/>
      <c r="C258" s="5"/>
    </row>
    <row r="259" spans="2:3">
      <c r="B259" s="5"/>
      <c r="C259" s="5"/>
    </row>
    <row r="260" spans="2:3">
      <c r="B260" s="5"/>
      <c r="C260" s="5"/>
    </row>
    <row r="261" spans="2:3">
      <c r="B261" s="5"/>
      <c r="C261" s="5"/>
    </row>
    <row r="262" spans="2:3">
      <c r="B262" s="5"/>
      <c r="C262" s="5"/>
    </row>
    <row r="263" spans="2:3">
      <c r="B263" s="5"/>
      <c r="C263" s="5"/>
    </row>
    <row r="264" spans="2:3">
      <c r="B264" s="5"/>
      <c r="C264" s="5"/>
    </row>
    <row r="265" spans="2:3">
      <c r="B265" s="5"/>
      <c r="C265" s="5"/>
    </row>
    <row r="266" spans="2:3">
      <c r="B266" s="5"/>
      <c r="C266" s="5"/>
    </row>
    <row r="267" spans="2:3">
      <c r="B267" s="5"/>
      <c r="C267" s="5"/>
    </row>
    <row r="268" spans="2:3">
      <c r="B268" s="5"/>
      <c r="C268" s="5"/>
    </row>
    <row r="269" spans="2:3">
      <c r="B269" s="5"/>
      <c r="C269" s="5"/>
    </row>
    <row r="270" spans="2:3">
      <c r="B270" s="5"/>
      <c r="C270" s="5"/>
    </row>
    <row r="271" spans="2:3">
      <c r="B271" s="5"/>
      <c r="C271" s="5"/>
    </row>
    <row r="272" spans="2:3">
      <c r="B272" s="5"/>
      <c r="C272" s="5"/>
    </row>
    <row r="273" spans="2:3">
      <c r="B273" s="5"/>
      <c r="C273" s="5"/>
    </row>
    <row r="274" spans="2:3">
      <c r="B274" s="5"/>
      <c r="C274" s="5"/>
    </row>
    <row r="275" spans="2:3">
      <c r="B275" s="5"/>
      <c r="C275" s="5"/>
    </row>
    <row r="276" spans="2:3">
      <c r="B276" s="5"/>
      <c r="C276" s="5"/>
    </row>
    <row r="277" spans="2:3">
      <c r="B277" s="5"/>
      <c r="C277" s="5"/>
    </row>
    <row r="278" spans="2:3">
      <c r="B278" s="5"/>
      <c r="C278" s="5"/>
    </row>
    <row r="279" spans="2:3">
      <c r="B279" s="5"/>
      <c r="C279" s="5"/>
    </row>
    <row r="280" spans="2:3">
      <c r="B280" s="5"/>
      <c r="C280" s="5"/>
    </row>
    <row r="281" spans="2:3">
      <c r="B281" s="5"/>
      <c r="C281" s="5"/>
    </row>
    <row r="282" spans="2:3">
      <c r="B282" s="5"/>
      <c r="C282" s="5"/>
    </row>
    <row r="283" spans="2:3">
      <c r="B283" s="5"/>
      <c r="C283" s="5"/>
    </row>
    <row r="284" spans="2:3">
      <c r="B284" s="5"/>
      <c r="C284" s="5"/>
    </row>
    <row r="285" spans="2:3">
      <c r="B285" s="5"/>
      <c r="C285" s="5"/>
    </row>
    <row r="286" spans="2:3">
      <c r="B286" s="5"/>
      <c r="C286" s="5"/>
    </row>
    <row r="287" spans="2:3">
      <c r="B287" s="5"/>
      <c r="C287" s="5"/>
    </row>
    <row r="288" spans="2:3">
      <c r="B288" s="5"/>
      <c r="C288" s="5"/>
    </row>
    <row r="289" spans="2:3">
      <c r="B289" s="5"/>
      <c r="C289" s="5"/>
    </row>
    <row r="290" spans="2:3">
      <c r="B290" s="5"/>
      <c r="C290" s="5"/>
    </row>
    <row r="291" spans="2:3">
      <c r="B291" s="5"/>
      <c r="C291" s="5"/>
    </row>
    <row r="292" spans="2:3">
      <c r="B292" s="5"/>
      <c r="C292" s="5"/>
    </row>
    <row r="293" spans="2:3">
      <c r="B293" s="5"/>
      <c r="C293" s="5"/>
    </row>
    <row r="294" spans="2:3">
      <c r="B294" s="5"/>
      <c r="C294" s="5"/>
    </row>
    <row r="295" spans="2:3">
      <c r="B295" s="5"/>
      <c r="C295" s="5"/>
    </row>
    <row r="296" spans="2:3">
      <c r="B296" s="5"/>
      <c r="C296" s="5"/>
    </row>
    <row r="297" spans="2:3">
      <c r="B297" s="5"/>
      <c r="C297" s="5"/>
    </row>
    <row r="298" spans="2:3">
      <c r="B298" s="5"/>
      <c r="C298" s="5"/>
    </row>
    <row r="299" spans="2:3">
      <c r="B299" s="5"/>
      <c r="C299" s="5"/>
    </row>
    <row r="300" spans="2:3">
      <c r="B300" s="5"/>
      <c r="C300" s="5"/>
    </row>
    <row r="301" spans="2:3">
      <c r="B301" s="5"/>
      <c r="C301" s="5"/>
    </row>
    <row r="302" spans="2:3">
      <c r="B302" s="5"/>
      <c r="C302" s="5"/>
    </row>
    <row r="303" spans="2:3">
      <c r="B303" s="5"/>
      <c r="C303" s="5"/>
    </row>
    <row r="304" spans="2:3">
      <c r="B304" s="5"/>
      <c r="C304" s="5"/>
    </row>
    <row r="305" spans="2:3">
      <c r="B305" s="5"/>
      <c r="C305" s="5"/>
    </row>
    <row r="306" spans="2:3">
      <c r="B306" s="5"/>
      <c r="C306" s="5"/>
    </row>
    <row r="307" spans="2:3">
      <c r="B307" s="5"/>
      <c r="C307" s="5"/>
    </row>
    <row r="308" spans="2:3">
      <c r="B308" s="5"/>
      <c r="C308" s="5"/>
    </row>
    <row r="309" spans="2:3">
      <c r="B309" s="5"/>
      <c r="C309" s="5"/>
    </row>
    <row r="310" spans="2:3">
      <c r="B310" s="5"/>
      <c r="C310" s="5"/>
    </row>
    <row r="311" spans="2:3">
      <c r="B311" s="5"/>
      <c r="C311" s="5"/>
    </row>
    <row r="312" spans="2:3">
      <c r="B312" s="5"/>
      <c r="C312" s="5"/>
    </row>
    <row r="313" spans="2:3">
      <c r="B313" s="5"/>
      <c r="C313" s="5"/>
    </row>
    <row r="314" spans="2:3">
      <c r="B314" s="5"/>
      <c r="C314" s="5"/>
    </row>
    <row r="315" spans="2:3">
      <c r="B315" s="5"/>
      <c r="C315" s="5"/>
    </row>
    <row r="316" spans="2:3">
      <c r="B316" s="5"/>
      <c r="C316" s="5"/>
    </row>
    <row r="317" spans="2:3">
      <c r="B317" s="5"/>
      <c r="C317" s="5"/>
    </row>
    <row r="318" spans="2:3">
      <c r="B318" s="5"/>
      <c r="C318" s="5"/>
    </row>
    <row r="319" spans="2:3">
      <c r="B319" s="5"/>
      <c r="C319" s="5"/>
    </row>
    <row r="320" spans="2:3">
      <c r="B320" s="5"/>
      <c r="C320" s="5"/>
    </row>
    <row r="321" spans="2:3">
      <c r="B321" s="5"/>
      <c r="C321" s="5"/>
    </row>
    <row r="322" spans="2:3">
      <c r="B322" s="5"/>
      <c r="C322" s="5"/>
    </row>
    <row r="323" spans="2:3">
      <c r="B323" s="5"/>
      <c r="C323" s="5"/>
    </row>
    <row r="324" spans="2:3">
      <c r="B324" s="5"/>
      <c r="C324" s="5"/>
    </row>
    <row r="325" spans="2:3">
      <c r="B325" s="5"/>
      <c r="C325" s="5"/>
    </row>
    <row r="326" spans="2:3">
      <c r="B326" s="5"/>
      <c r="C326" s="5"/>
    </row>
    <row r="327" spans="2:3">
      <c r="B327" s="5"/>
      <c r="C327" s="5"/>
    </row>
    <row r="328" spans="2:3">
      <c r="B328" s="5"/>
      <c r="C328" s="5"/>
    </row>
    <row r="329" spans="2:3">
      <c r="B329" s="5"/>
      <c r="C329" s="5"/>
    </row>
    <row r="330" spans="2:3">
      <c r="B330" s="5"/>
      <c r="C330" s="5"/>
    </row>
    <row r="331" spans="2:3">
      <c r="B331" s="5"/>
      <c r="C331" s="5"/>
    </row>
    <row r="332" spans="2:3">
      <c r="B332" s="5"/>
      <c r="C332" s="5"/>
    </row>
    <row r="333" spans="2:3">
      <c r="B333" s="5"/>
      <c r="C333" s="5"/>
    </row>
    <row r="334" spans="2:3">
      <c r="B334" s="5"/>
      <c r="C334" s="5"/>
    </row>
    <row r="335" spans="2:3">
      <c r="B335" s="5"/>
      <c r="C335" s="5"/>
    </row>
    <row r="336" spans="2:3">
      <c r="B336" s="5"/>
      <c r="C336" s="5"/>
    </row>
    <row r="337" spans="2:3">
      <c r="B337" s="5"/>
      <c r="C337" s="5"/>
    </row>
    <row r="338" spans="2:3">
      <c r="B338" s="5"/>
      <c r="C338" s="5"/>
    </row>
    <row r="339" spans="2:3">
      <c r="B339" s="5"/>
      <c r="C339" s="5"/>
    </row>
    <row r="340" spans="2:3">
      <c r="B340" s="5"/>
      <c r="C340" s="5"/>
    </row>
    <row r="341" spans="2:3">
      <c r="B341" s="5"/>
      <c r="C341" s="5"/>
    </row>
    <row r="342" spans="2:3">
      <c r="B342" s="5"/>
      <c r="C342" s="5"/>
    </row>
    <row r="343" spans="2:3">
      <c r="B343" s="5"/>
      <c r="C343" s="5"/>
    </row>
    <row r="344" spans="2:3">
      <c r="B344" s="5"/>
      <c r="C344" s="5"/>
    </row>
    <row r="345" spans="2:3">
      <c r="B345" s="5"/>
      <c r="C345" s="5"/>
    </row>
    <row r="346" spans="2:3">
      <c r="B346" s="5"/>
      <c r="C346" s="5"/>
    </row>
    <row r="347" spans="2:3">
      <c r="B347" s="5"/>
      <c r="C347" s="5"/>
    </row>
    <row r="348" spans="2:3">
      <c r="B348" s="5"/>
      <c r="C348" s="5"/>
    </row>
    <row r="349" spans="2:3">
      <c r="B349" s="5"/>
      <c r="C349" s="5"/>
    </row>
    <row r="350" spans="2:3">
      <c r="B350" s="5"/>
      <c r="C350" s="5"/>
    </row>
    <row r="351" spans="2:3">
      <c r="B351" s="5"/>
      <c r="C351" s="5"/>
    </row>
    <row r="352" spans="2:3">
      <c r="B352" s="5"/>
      <c r="C352" s="5"/>
    </row>
    <row r="353" spans="2:3">
      <c r="B353" s="5"/>
      <c r="C353" s="5"/>
    </row>
    <row r="354" spans="2:3">
      <c r="B354" s="5"/>
      <c r="C354" s="5"/>
    </row>
    <row r="355" spans="2:3">
      <c r="B355" s="5"/>
      <c r="C355" s="5"/>
    </row>
    <row r="356" spans="2:3">
      <c r="B356" s="5"/>
      <c r="C356" s="5"/>
    </row>
    <row r="357" spans="2:3">
      <c r="B357" s="5"/>
      <c r="C357" s="5"/>
    </row>
    <row r="358" spans="2:3">
      <c r="B358" s="5"/>
      <c r="C358" s="5"/>
    </row>
    <row r="359" spans="2:3">
      <c r="B359" s="5"/>
      <c r="C359" s="5"/>
    </row>
    <row r="360" spans="2:3">
      <c r="B360" s="5"/>
      <c r="C360" s="5"/>
    </row>
    <row r="361" spans="2:3">
      <c r="B361" s="5"/>
      <c r="C361" s="5"/>
    </row>
    <row r="362" spans="2:3">
      <c r="B362" s="5"/>
      <c r="C362" s="5"/>
    </row>
    <row r="363" spans="2:3">
      <c r="B363" s="5"/>
      <c r="C363" s="5"/>
    </row>
    <row r="364" spans="2:3">
      <c r="B364" s="5"/>
      <c r="C364" s="5"/>
    </row>
    <row r="365" spans="2:3">
      <c r="B365" s="5"/>
      <c r="C365" s="5"/>
    </row>
    <row r="366" spans="2:3">
      <c r="B366" s="5"/>
      <c r="C366" s="5"/>
    </row>
    <row r="367" spans="2:3">
      <c r="B367" s="5"/>
      <c r="C367" s="5"/>
    </row>
    <row r="368" spans="2:3">
      <c r="B368" s="5"/>
      <c r="C368" s="5"/>
    </row>
    <row r="369" spans="2:3">
      <c r="B369" s="5"/>
      <c r="C369" s="5"/>
    </row>
    <row r="370" spans="2:3">
      <c r="B370" s="5"/>
      <c r="C370" s="5"/>
    </row>
    <row r="371" spans="2:3">
      <c r="B371" s="5"/>
      <c r="C371" s="5"/>
    </row>
    <row r="372" spans="2:3">
      <c r="B372" s="5"/>
      <c r="C372" s="5"/>
    </row>
    <row r="373" spans="2:3">
      <c r="B373" s="5"/>
      <c r="C373" s="5"/>
    </row>
    <row r="374" spans="2:3">
      <c r="B374" s="5"/>
      <c r="C374" s="5"/>
    </row>
    <row r="375" spans="2:3">
      <c r="B375" s="5"/>
      <c r="C375" s="5"/>
    </row>
    <row r="376" spans="2:3">
      <c r="B376" s="5"/>
      <c r="C376" s="5"/>
    </row>
    <row r="377" spans="2:3">
      <c r="B377" s="5"/>
      <c r="C377" s="5"/>
    </row>
    <row r="378" spans="2:3">
      <c r="B378" s="5"/>
      <c r="C378" s="5"/>
    </row>
    <row r="379" spans="2:3">
      <c r="B379" s="5"/>
      <c r="C379" s="5"/>
    </row>
    <row r="380" spans="2:3">
      <c r="B380" s="5"/>
      <c r="C380" s="5"/>
    </row>
    <row r="381" spans="2:3">
      <c r="B381" s="5"/>
      <c r="C381" s="5"/>
    </row>
    <row r="382" spans="2:3">
      <c r="B382" s="5"/>
      <c r="C382" s="5"/>
    </row>
    <row r="383" spans="2:3">
      <c r="B383" s="5"/>
      <c r="C383" s="5"/>
    </row>
    <row r="384" spans="2:3">
      <c r="B384" s="5"/>
      <c r="C384" s="5"/>
    </row>
    <row r="385" spans="2:3">
      <c r="B385" s="5"/>
      <c r="C385" s="5"/>
    </row>
    <row r="386" spans="2:3">
      <c r="B386" s="5"/>
      <c r="C386" s="5"/>
    </row>
    <row r="387" spans="2:3">
      <c r="B387" s="5"/>
      <c r="C387" s="5"/>
    </row>
    <row r="388" spans="2:3">
      <c r="B388" s="5"/>
      <c r="C388" s="5"/>
    </row>
    <row r="389" spans="2:3">
      <c r="B389" s="5"/>
      <c r="C389" s="5"/>
    </row>
    <row r="390" spans="2:3">
      <c r="B390" s="5"/>
      <c r="C390" s="5"/>
    </row>
    <row r="391" spans="2:3">
      <c r="B391" s="5"/>
      <c r="C391" s="5"/>
    </row>
    <row r="392" spans="2:3">
      <c r="B392" s="5"/>
      <c r="C392" s="5"/>
    </row>
    <row r="393" spans="2:3">
      <c r="B393" s="5"/>
      <c r="C393" s="5"/>
    </row>
    <row r="394" spans="2:3">
      <c r="B394" s="5"/>
      <c r="C394" s="5"/>
    </row>
    <row r="395" spans="2:3">
      <c r="B395" s="5"/>
      <c r="C395" s="5"/>
    </row>
    <row r="396" spans="2:3">
      <c r="B396" s="5"/>
      <c r="C396" s="5"/>
    </row>
    <row r="397" spans="2:3">
      <c r="B397" s="5"/>
      <c r="C397" s="5"/>
    </row>
    <row r="398" spans="2:3">
      <c r="B398" s="5"/>
      <c r="C398" s="5"/>
    </row>
    <row r="399" spans="2:3">
      <c r="B399" s="5"/>
      <c r="C399" s="5"/>
    </row>
    <row r="400" spans="2:3">
      <c r="B400" s="5"/>
      <c r="C400" s="5"/>
    </row>
    <row r="401" spans="2:3">
      <c r="B401" s="5"/>
      <c r="C401" s="5"/>
    </row>
    <row r="402" spans="2:3">
      <c r="B402" s="5"/>
      <c r="C402" s="5"/>
    </row>
    <row r="403" spans="2:3">
      <c r="B403" s="5"/>
      <c r="C403" s="5"/>
    </row>
    <row r="404" spans="2:3">
      <c r="B404" s="5"/>
      <c r="C404" s="5"/>
    </row>
    <row r="405" spans="2:3">
      <c r="B405" s="5"/>
      <c r="C405" s="5"/>
    </row>
    <row r="406" spans="2:3">
      <c r="B406" s="5"/>
      <c r="C406" s="5"/>
    </row>
    <row r="407" spans="2:3">
      <c r="B407" s="5"/>
      <c r="C407" s="5"/>
    </row>
    <row r="408" spans="2:3">
      <c r="B408" s="5"/>
      <c r="C408" s="5"/>
    </row>
    <row r="409" spans="2:3">
      <c r="B409" s="5"/>
      <c r="C409" s="5"/>
    </row>
    <row r="410" spans="2:3">
      <c r="B410" s="5"/>
      <c r="C410" s="5"/>
    </row>
    <row r="411" spans="2:3">
      <c r="B411" s="5"/>
      <c r="C411" s="5"/>
    </row>
    <row r="412" spans="2:3">
      <c r="B412" s="5"/>
      <c r="C412" s="5"/>
    </row>
    <row r="413" spans="2:3">
      <c r="B413" s="5"/>
      <c r="C413" s="5"/>
    </row>
    <row r="414" spans="2:3">
      <c r="B414" s="5"/>
      <c r="C414" s="5"/>
    </row>
    <row r="415" spans="2:3">
      <c r="B415" s="5"/>
      <c r="C415" s="5"/>
    </row>
    <row r="416" spans="2:3">
      <c r="B416" s="5"/>
      <c r="C416" s="5"/>
    </row>
    <row r="417" spans="2:3">
      <c r="B417" s="5"/>
      <c r="C417" s="5"/>
    </row>
    <row r="418" spans="2:3">
      <c r="B418" s="5"/>
      <c r="C418" s="5"/>
    </row>
    <row r="419" spans="2:3">
      <c r="B419" s="5"/>
      <c r="C419" s="5"/>
    </row>
    <row r="420" spans="2:3">
      <c r="B420" s="5"/>
      <c r="C420" s="5"/>
    </row>
    <row r="421" spans="2:3">
      <c r="B421" s="5"/>
      <c r="C421" s="5"/>
    </row>
    <row r="422" spans="2:3">
      <c r="B422" s="5"/>
      <c r="C422" s="5"/>
    </row>
    <row r="423" spans="2:3">
      <c r="B423" s="5"/>
      <c r="C423" s="5"/>
    </row>
    <row r="424" spans="2:3">
      <c r="B424" s="5"/>
      <c r="C424" s="5"/>
    </row>
    <row r="425" spans="2:3">
      <c r="B425" s="5"/>
      <c r="C425" s="5"/>
    </row>
    <row r="426" spans="2:3">
      <c r="B426" s="5"/>
      <c r="C426" s="5"/>
    </row>
    <row r="427" spans="2:3">
      <c r="B427" s="5"/>
      <c r="C427" s="5"/>
    </row>
    <row r="428" spans="2:3">
      <c r="B428" s="5"/>
      <c r="C428" s="5"/>
    </row>
    <row r="429" spans="2:3">
      <c r="B429" s="5"/>
      <c r="C429" s="5"/>
    </row>
    <row r="430" spans="2:3">
      <c r="B430" s="5"/>
      <c r="C430" s="5"/>
    </row>
    <row r="431" spans="2:3">
      <c r="B431" s="5"/>
      <c r="C431" s="5"/>
    </row>
    <row r="432" spans="2:3">
      <c r="B432" s="5"/>
      <c r="C432" s="5"/>
    </row>
    <row r="433" spans="2:3">
      <c r="B433" s="5"/>
      <c r="C433" s="5"/>
    </row>
    <row r="434" spans="2:3">
      <c r="B434" s="5"/>
      <c r="C434" s="5"/>
    </row>
    <row r="435" spans="2:3">
      <c r="B435" s="5"/>
      <c r="C435" s="5"/>
    </row>
    <row r="436" spans="2:3">
      <c r="B436" s="5"/>
      <c r="C436" s="5"/>
    </row>
    <row r="437" spans="2:3">
      <c r="B437" s="5"/>
      <c r="C437" s="5"/>
    </row>
    <row r="438" spans="2:3">
      <c r="B438" s="5"/>
      <c r="C438" s="5"/>
    </row>
    <row r="439" spans="2:3">
      <c r="B439" s="5"/>
      <c r="C439" s="5"/>
    </row>
    <row r="440" spans="2:3">
      <c r="B440" s="5"/>
      <c r="C440" s="5"/>
    </row>
    <row r="441" spans="2:3">
      <c r="B441" s="5"/>
      <c r="C441" s="5"/>
    </row>
    <row r="442" spans="2:3">
      <c r="B442" s="5"/>
      <c r="C442" s="5"/>
    </row>
    <row r="443" spans="2:3">
      <c r="B443" s="5"/>
      <c r="C443" s="5"/>
    </row>
    <row r="444" spans="2:3">
      <c r="B444" s="5"/>
      <c r="C444" s="5"/>
    </row>
    <row r="445" spans="2:3">
      <c r="B445" s="5"/>
      <c r="C445" s="5"/>
    </row>
    <row r="446" spans="2:3">
      <c r="B446" s="5"/>
      <c r="C446" s="5"/>
    </row>
    <row r="447" spans="2:3">
      <c r="B447" s="5"/>
      <c r="C447" s="5"/>
    </row>
    <row r="448" spans="2:3">
      <c r="B448" s="5"/>
      <c r="C448" s="5"/>
    </row>
    <row r="449" spans="2:3">
      <c r="B449" s="5"/>
      <c r="C449" s="5"/>
    </row>
    <row r="450" spans="2:3">
      <c r="B450" s="5"/>
      <c r="C450" s="5"/>
    </row>
    <row r="451" spans="2:3">
      <c r="B451" s="5"/>
      <c r="C451" s="5"/>
    </row>
    <row r="452" spans="2:3">
      <c r="B452" s="5"/>
      <c r="C452" s="5"/>
    </row>
    <row r="453" spans="2:3">
      <c r="B453" s="5"/>
      <c r="C453" s="5"/>
    </row>
    <row r="454" spans="2:3">
      <c r="B454" s="5"/>
      <c r="C454" s="5"/>
    </row>
    <row r="455" spans="2:3">
      <c r="B455" s="5"/>
      <c r="C455" s="5"/>
    </row>
    <row r="456" spans="2:3">
      <c r="B456" s="5"/>
      <c r="C456" s="5"/>
    </row>
    <row r="457" spans="2:3">
      <c r="B457" s="5"/>
      <c r="C457" s="5"/>
    </row>
    <row r="458" spans="2:3">
      <c r="B458" s="5"/>
      <c r="C458" s="5"/>
    </row>
    <row r="459" spans="2:3">
      <c r="B459" s="5"/>
      <c r="C459" s="5"/>
    </row>
    <row r="460" spans="2:3">
      <c r="B460" s="5"/>
      <c r="C460" s="5"/>
    </row>
    <row r="461" spans="2:3">
      <c r="B461" s="5"/>
      <c r="C461" s="5"/>
    </row>
    <row r="462" spans="2:3">
      <c r="B462" s="5"/>
      <c r="C462" s="5"/>
    </row>
    <row r="463" spans="2:3">
      <c r="B463" s="5"/>
      <c r="C463" s="5"/>
    </row>
    <row r="464" spans="2:3">
      <c r="B464" s="5"/>
      <c r="C464" s="5"/>
    </row>
    <row r="465" spans="2:3">
      <c r="B465" s="5"/>
      <c r="C465" s="5"/>
    </row>
    <row r="466" spans="2:3">
      <c r="B466" s="5"/>
      <c r="C466" s="5"/>
    </row>
    <row r="467" spans="2:3">
      <c r="B467" s="5"/>
      <c r="C467" s="5"/>
    </row>
    <row r="468" spans="2:3">
      <c r="B468" s="5"/>
      <c r="C468" s="5"/>
    </row>
    <row r="469" spans="2:3">
      <c r="B469" s="5"/>
      <c r="C469" s="5"/>
    </row>
    <row r="470" spans="2:3">
      <c r="B470" s="5"/>
      <c r="C470" s="5"/>
    </row>
    <row r="471" spans="2:3">
      <c r="B471" s="5"/>
      <c r="C471" s="5"/>
    </row>
    <row r="472" spans="2:3">
      <c r="B472" s="5"/>
      <c r="C472" s="5"/>
    </row>
    <row r="473" spans="2:3">
      <c r="B473" s="5"/>
      <c r="C473" s="5"/>
    </row>
    <row r="474" spans="2:3">
      <c r="B474" s="5"/>
      <c r="C474" s="5"/>
    </row>
    <row r="475" spans="2:3">
      <c r="B475" s="5"/>
      <c r="C475" s="5"/>
    </row>
    <row r="476" spans="2:3">
      <c r="B476" s="5"/>
      <c r="C476" s="5"/>
    </row>
    <row r="477" spans="2:3">
      <c r="B477" s="5"/>
      <c r="C477" s="5"/>
    </row>
    <row r="478" spans="2:3">
      <c r="B478" s="5"/>
      <c r="C478" s="5"/>
    </row>
    <row r="479" spans="2:3">
      <c r="B479" s="5"/>
      <c r="C479" s="5"/>
    </row>
    <row r="480" spans="2:3">
      <c r="B480" s="5"/>
      <c r="C480" s="5"/>
    </row>
    <row r="481" spans="2:3">
      <c r="B481" s="5"/>
      <c r="C481" s="5"/>
    </row>
    <row r="482" spans="2:3">
      <c r="B482" s="5"/>
      <c r="C482" s="5"/>
    </row>
    <row r="483" spans="2:3">
      <c r="B483" s="5"/>
      <c r="C483" s="5"/>
    </row>
    <row r="484" spans="2:3">
      <c r="B484" s="5"/>
      <c r="C484" s="5"/>
    </row>
    <row r="485" spans="2:3">
      <c r="B485" s="5"/>
      <c r="C485" s="5"/>
    </row>
    <row r="486" spans="2:3">
      <c r="B486" s="5"/>
      <c r="C486" s="5"/>
    </row>
    <row r="487" spans="2:3">
      <c r="B487" s="5"/>
      <c r="C487" s="5"/>
    </row>
    <row r="488" spans="2:3">
      <c r="B488" s="5"/>
      <c r="C488" s="5"/>
    </row>
    <row r="489" spans="2:3">
      <c r="B489" s="5"/>
      <c r="C489" s="5"/>
    </row>
    <row r="490" spans="2:3">
      <c r="B490" s="5"/>
      <c r="C490" s="5"/>
    </row>
    <row r="491" spans="2:3">
      <c r="B491" s="5"/>
      <c r="C491" s="5"/>
    </row>
    <row r="492" spans="2:3">
      <c r="B492" s="5"/>
      <c r="C492" s="5"/>
    </row>
    <row r="493" spans="2:3">
      <c r="B493" s="5"/>
      <c r="C493" s="5"/>
    </row>
    <row r="494" spans="2:3">
      <c r="B494" s="5"/>
      <c r="C494" s="5"/>
    </row>
    <row r="495" spans="2:3">
      <c r="B495" s="5"/>
      <c r="C495" s="5"/>
    </row>
    <row r="496" spans="2:3">
      <c r="B496" s="5"/>
      <c r="C496" s="5"/>
    </row>
    <row r="497" spans="2:3">
      <c r="B497" s="5"/>
      <c r="C497" s="5"/>
    </row>
    <row r="498" spans="2:3">
      <c r="B498" s="5"/>
      <c r="C498" s="5"/>
    </row>
    <row r="499" spans="2:3">
      <c r="B499" s="5"/>
      <c r="C499" s="5"/>
    </row>
    <row r="500" spans="2:3">
      <c r="B500" s="5"/>
      <c r="C500" s="5"/>
    </row>
    <row r="501" spans="2:3">
      <c r="B501" s="5"/>
      <c r="C501" s="5"/>
    </row>
    <row r="502" spans="2:3">
      <c r="B502" s="5"/>
      <c r="C502" s="5"/>
    </row>
    <row r="503" spans="2:3">
      <c r="B503" s="5"/>
      <c r="C503" s="5"/>
    </row>
    <row r="504" spans="2:3">
      <c r="B504" s="5"/>
      <c r="C504" s="5"/>
    </row>
    <row r="505" spans="2:3">
      <c r="B505" s="5"/>
      <c r="C505" s="5"/>
    </row>
    <row r="506" spans="2:3">
      <c r="B506" s="5"/>
      <c r="C506" s="5"/>
    </row>
    <row r="507" spans="2:3">
      <c r="B507" s="5"/>
      <c r="C507" s="5"/>
    </row>
    <row r="508" spans="2:3">
      <c r="B508" s="5"/>
      <c r="C508" s="5"/>
    </row>
    <row r="509" spans="2:3">
      <c r="B509" s="5"/>
      <c r="C509" s="5"/>
    </row>
    <row r="510" spans="2:3">
      <c r="B510" s="5"/>
      <c r="C510" s="5"/>
    </row>
    <row r="511" spans="2:3">
      <c r="B511" s="5"/>
      <c r="C511" s="5"/>
    </row>
    <row r="512" spans="2:3">
      <c r="B512" s="5"/>
      <c r="C512" s="5"/>
    </row>
    <row r="513" spans="2:3">
      <c r="B513" s="5"/>
      <c r="C513" s="5"/>
    </row>
    <row r="514" spans="2:3">
      <c r="B514" s="5"/>
      <c r="C514" s="5"/>
    </row>
    <row r="515" spans="2:3">
      <c r="B515" s="5"/>
      <c r="C515" s="5"/>
    </row>
    <row r="516" spans="2:3">
      <c r="B516" s="5"/>
      <c r="C516" s="5"/>
    </row>
    <row r="517" spans="2:3">
      <c r="B517" s="5"/>
      <c r="C517" s="5"/>
    </row>
    <row r="518" spans="2:3">
      <c r="B518" s="5"/>
      <c r="C518" s="5"/>
    </row>
    <row r="519" spans="2:3">
      <c r="B519" s="5"/>
      <c r="C519" s="5"/>
    </row>
    <row r="520" spans="2:3">
      <c r="B520" s="5"/>
      <c r="C520" s="5"/>
    </row>
    <row r="521" spans="2:3">
      <c r="B521" s="5"/>
      <c r="C521" s="5"/>
    </row>
    <row r="522" spans="2:3">
      <c r="B522" s="5"/>
      <c r="C522" s="5"/>
    </row>
    <row r="523" spans="2:3">
      <c r="B523" s="5"/>
      <c r="C523" s="5"/>
    </row>
    <row r="524" spans="2:3">
      <c r="B524" s="5"/>
      <c r="C524" s="5"/>
    </row>
    <row r="525" spans="2:3">
      <c r="B525" s="5"/>
      <c r="C525" s="5"/>
    </row>
    <row r="526" spans="2:3">
      <c r="B526" s="5"/>
      <c r="C526" s="5"/>
    </row>
    <row r="527" spans="2:3">
      <c r="B527" s="5"/>
      <c r="C527" s="5"/>
    </row>
    <row r="528" spans="2:3">
      <c r="B528" s="5"/>
      <c r="C528" s="5"/>
    </row>
    <row r="529" spans="2:3">
      <c r="B529" s="5"/>
      <c r="C529" s="5"/>
    </row>
    <row r="530" spans="2:3">
      <c r="B530" s="5"/>
      <c r="C530" s="5"/>
    </row>
    <row r="531" spans="2:3">
      <c r="B531" s="5"/>
      <c r="C531" s="5"/>
    </row>
    <row r="532" spans="2:3">
      <c r="B532" s="5"/>
      <c r="C532" s="5"/>
    </row>
    <row r="533" spans="2:3">
      <c r="B533" s="5"/>
      <c r="C533" s="5"/>
    </row>
    <row r="534" spans="2:3">
      <c r="B534" s="5"/>
      <c r="C534" s="5"/>
    </row>
    <row r="535" spans="2:3">
      <c r="B535" s="5"/>
      <c r="C535" s="5"/>
    </row>
    <row r="536" spans="2:3">
      <c r="B536" s="5"/>
      <c r="C536" s="5"/>
    </row>
    <row r="537" spans="2:3">
      <c r="B537" s="5"/>
      <c r="C537" s="5"/>
    </row>
    <row r="538" spans="2:3">
      <c r="B538" s="5"/>
      <c r="C538" s="5"/>
    </row>
    <row r="539" spans="2:3">
      <c r="B539" s="5"/>
      <c r="C539" s="5"/>
    </row>
    <row r="540" spans="2:3">
      <c r="B540" s="5"/>
      <c r="C540" s="5"/>
    </row>
    <row r="541" spans="2:3">
      <c r="B541" s="5"/>
      <c r="C541" s="5"/>
    </row>
    <row r="542" spans="2:3">
      <c r="B542" s="5"/>
      <c r="C542" s="5"/>
    </row>
    <row r="543" spans="2:3">
      <c r="B543" s="5"/>
      <c r="C543" s="5"/>
    </row>
    <row r="544" spans="2:3">
      <c r="B544" s="5"/>
      <c r="C544" s="5"/>
    </row>
    <row r="545" spans="2:3">
      <c r="B545" s="5"/>
      <c r="C545" s="5"/>
    </row>
    <row r="546" spans="2:3">
      <c r="B546" s="5"/>
      <c r="C546" s="5"/>
    </row>
    <row r="547" spans="2:3">
      <c r="B547" s="5"/>
      <c r="C547" s="5"/>
    </row>
    <row r="548" spans="2:3">
      <c r="B548" s="5"/>
      <c r="C548" s="5"/>
    </row>
    <row r="549" spans="2:3">
      <c r="B549" s="5"/>
      <c r="C549" s="5"/>
    </row>
    <row r="550" spans="2:3">
      <c r="B550" s="5"/>
      <c r="C550" s="5"/>
    </row>
    <row r="551" spans="2:3">
      <c r="B551" s="5"/>
      <c r="C551" s="5"/>
    </row>
    <row r="552" spans="2:3">
      <c r="B552" s="5"/>
      <c r="C552" s="5"/>
    </row>
    <row r="553" spans="2:3">
      <c r="B553" s="5"/>
      <c r="C553" s="5"/>
    </row>
    <row r="554" spans="2:3">
      <c r="B554" s="5"/>
      <c r="C554" s="5"/>
    </row>
    <row r="555" spans="2:3">
      <c r="B555" s="5"/>
      <c r="C555" s="5"/>
    </row>
    <row r="556" spans="2:3">
      <c r="B556" s="5"/>
      <c r="C556" s="5"/>
    </row>
    <row r="557" spans="2:3">
      <c r="B557" s="5"/>
      <c r="C557" s="5"/>
    </row>
    <row r="558" spans="2:3">
      <c r="B558" s="5"/>
      <c r="C558" s="5"/>
    </row>
    <row r="559" spans="2:3">
      <c r="B559" s="5"/>
      <c r="C559" s="5"/>
    </row>
    <row r="560" spans="2:3">
      <c r="B560" s="5"/>
      <c r="C560" s="5"/>
    </row>
    <row r="561" spans="2:3">
      <c r="B561" s="5"/>
      <c r="C561" s="5"/>
    </row>
    <row r="562" spans="2:3">
      <c r="B562" s="5"/>
      <c r="C562" s="5"/>
    </row>
    <row r="563" spans="2:3">
      <c r="B563" s="5"/>
      <c r="C563" s="5"/>
    </row>
    <row r="564" spans="2:3">
      <c r="B564" s="5"/>
      <c r="C564" s="5"/>
    </row>
    <row r="565" spans="2:3">
      <c r="B565" s="5"/>
      <c r="C565" s="5"/>
    </row>
    <row r="566" spans="2:3">
      <c r="B566" s="5"/>
      <c r="C566" s="5"/>
    </row>
    <row r="567" spans="2:3">
      <c r="B567" s="5"/>
      <c r="C567" s="5"/>
    </row>
    <row r="568" spans="2:3">
      <c r="B568" s="5"/>
      <c r="C568" s="5"/>
    </row>
    <row r="569" spans="2:3">
      <c r="B569" s="5"/>
      <c r="C569" s="5"/>
    </row>
    <row r="570" spans="2:3">
      <c r="B570" s="5"/>
      <c r="C570" s="5"/>
    </row>
    <row r="571" spans="2:3">
      <c r="B571" s="5"/>
      <c r="C571" s="5"/>
    </row>
    <row r="572" spans="2:3">
      <c r="B572" s="5"/>
      <c r="C572" s="5"/>
    </row>
    <row r="573" spans="2:3">
      <c r="B573" s="5"/>
      <c r="C573" s="5"/>
    </row>
    <row r="574" spans="2:3">
      <c r="B574" s="5"/>
      <c r="C574" s="5"/>
    </row>
    <row r="575" spans="2:3">
      <c r="B575" s="5"/>
      <c r="C575" s="5"/>
    </row>
    <row r="576" spans="2:3">
      <c r="B576" s="5"/>
      <c r="C576" s="5"/>
    </row>
    <row r="577" spans="2:3">
      <c r="B577" s="5"/>
      <c r="C577" s="5"/>
    </row>
    <row r="578" spans="2:3">
      <c r="B578" s="5"/>
      <c r="C578" s="5"/>
    </row>
    <row r="579" spans="2:3">
      <c r="B579" s="5"/>
      <c r="C579" s="5"/>
    </row>
    <row r="580" spans="2:3">
      <c r="B580" s="5"/>
      <c r="C580" s="5"/>
    </row>
    <row r="581" spans="2:3">
      <c r="B581" s="5"/>
      <c r="C581" s="5"/>
    </row>
    <row r="582" spans="2:3">
      <c r="B582" s="5"/>
      <c r="C582" s="5"/>
    </row>
    <row r="583" spans="2:3">
      <c r="B583" s="5"/>
      <c r="C583" s="5"/>
    </row>
    <row r="584" spans="2:3">
      <c r="B584" s="5"/>
      <c r="C584" s="5"/>
    </row>
    <row r="585" spans="2:3">
      <c r="B585" s="5"/>
      <c r="C585" s="5"/>
    </row>
    <row r="586" spans="2:3">
      <c r="B586" s="5"/>
      <c r="C586" s="5"/>
    </row>
    <row r="587" spans="2:3">
      <c r="B587" s="5"/>
      <c r="C587" s="5"/>
    </row>
    <row r="588" spans="2:3">
      <c r="B588" s="5"/>
      <c r="C588" s="5"/>
    </row>
    <row r="589" spans="2:3">
      <c r="B589" s="5"/>
      <c r="C589" s="5"/>
    </row>
    <row r="590" spans="2:3">
      <c r="B590" s="5"/>
      <c r="C590" s="5"/>
    </row>
    <row r="591" spans="2:3">
      <c r="B591" s="5"/>
      <c r="C591" s="5"/>
    </row>
    <row r="592" spans="2:3">
      <c r="B592" s="5"/>
      <c r="C592" s="5"/>
    </row>
    <row r="593" spans="2:3">
      <c r="B593" s="5"/>
      <c r="C593" s="5"/>
    </row>
    <row r="594" spans="2:3">
      <c r="B594" s="5"/>
      <c r="C594" s="5"/>
    </row>
    <row r="595" spans="2:3">
      <c r="B595" s="5"/>
      <c r="C595" s="5"/>
    </row>
    <row r="596" spans="2:3">
      <c r="B596" s="5"/>
      <c r="C596" s="5"/>
    </row>
    <row r="597" spans="2:3">
      <c r="B597" s="5"/>
      <c r="C597" s="5"/>
    </row>
    <row r="598" spans="2:3">
      <c r="B598" s="5"/>
      <c r="C598" s="5"/>
    </row>
    <row r="599" spans="2:3">
      <c r="B599" s="5"/>
      <c r="C599" s="5"/>
    </row>
    <row r="600" spans="2:3">
      <c r="B600" s="5"/>
      <c r="C600" s="5"/>
    </row>
    <row r="601" spans="2:3">
      <c r="B601" s="5"/>
      <c r="C601" s="5"/>
    </row>
    <row r="602" spans="2:3">
      <c r="B602" s="5"/>
      <c r="C602" s="5"/>
    </row>
    <row r="603" spans="2:3">
      <c r="B603" s="5"/>
      <c r="C603" s="5"/>
    </row>
    <row r="604" spans="2:3">
      <c r="B604" s="5"/>
      <c r="C604" s="5"/>
    </row>
    <row r="605" spans="2:3">
      <c r="B605" s="5"/>
      <c r="C605" s="5"/>
    </row>
    <row r="606" spans="2:3">
      <c r="B606" s="5"/>
      <c r="C606" s="5"/>
    </row>
    <row r="607" spans="2:3">
      <c r="B607" s="5"/>
      <c r="C607" s="5"/>
    </row>
    <row r="608" spans="2:3">
      <c r="B608" s="5"/>
      <c r="C608" s="5"/>
    </row>
    <row r="609" spans="2:3">
      <c r="B609" s="5"/>
      <c r="C609" s="5"/>
    </row>
    <row r="610" spans="2:3">
      <c r="B610" s="5"/>
      <c r="C610" s="5"/>
    </row>
    <row r="611" spans="2:3">
      <c r="B611" s="5"/>
      <c r="C611" s="5"/>
    </row>
    <row r="612" spans="2:3">
      <c r="B612" s="5"/>
      <c r="C612" s="5"/>
    </row>
    <row r="613" spans="2:3">
      <c r="B613" s="5"/>
      <c r="C613" s="5"/>
    </row>
    <row r="614" spans="2:3">
      <c r="B614" s="5"/>
      <c r="C614" s="5"/>
    </row>
    <row r="615" spans="2:3">
      <c r="B615" s="5"/>
      <c r="C615" s="5"/>
    </row>
    <row r="616" spans="2:3">
      <c r="B616" s="5"/>
      <c r="C616" s="5"/>
    </row>
    <row r="617" spans="2:3">
      <c r="B617" s="5"/>
      <c r="C617" s="5"/>
    </row>
    <row r="618" spans="2:3">
      <c r="B618" s="5"/>
      <c r="C618" s="5"/>
    </row>
    <row r="619" spans="2:3">
      <c r="B619" s="5"/>
      <c r="C619" s="5"/>
    </row>
    <row r="620" spans="2:3">
      <c r="B620" s="5"/>
      <c r="C620" s="5"/>
    </row>
    <row r="621" spans="2:3">
      <c r="B621" s="5"/>
      <c r="C621" s="5"/>
    </row>
    <row r="622" spans="2:3">
      <c r="B622" s="5"/>
      <c r="C622" s="5"/>
    </row>
    <row r="623" spans="2:3">
      <c r="B623" s="5"/>
      <c r="C623" s="5"/>
    </row>
    <row r="624" spans="2:3">
      <c r="B624" s="5"/>
      <c r="C624" s="5"/>
    </row>
    <row r="625" spans="2:3">
      <c r="B625" s="5"/>
      <c r="C625" s="5"/>
    </row>
    <row r="626" spans="2:3">
      <c r="B626" s="5"/>
      <c r="C626" s="5"/>
    </row>
    <row r="627" spans="2:3">
      <c r="B627" s="5"/>
      <c r="C627" s="5"/>
    </row>
    <row r="628" spans="2:3">
      <c r="B628" s="5"/>
      <c r="C628" s="5"/>
    </row>
    <row r="629" spans="2:3">
      <c r="B629" s="5"/>
      <c r="C629" s="5"/>
    </row>
    <row r="630" spans="2:3">
      <c r="B630" s="5"/>
      <c r="C630" s="5"/>
    </row>
    <row r="631" spans="2:3">
      <c r="B631" s="5"/>
      <c r="C631" s="5"/>
    </row>
    <row r="632" spans="2:3">
      <c r="B632" s="5"/>
      <c r="C632" s="5"/>
    </row>
    <row r="633" spans="2:3">
      <c r="B633" s="5"/>
      <c r="C633" s="5"/>
    </row>
    <row r="634" spans="2:3">
      <c r="B634" s="5"/>
      <c r="C634" s="5"/>
    </row>
    <row r="635" spans="2:3">
      <c r="B635" s="5"/>
      <c r="C635" s="5"/>
    </row>
    <row r="636" spans="2:3">
      <c r="B636" s="5"/>
      <c r="C636" s="5"/>
    </row>
    <row r="637" spans="2:3">
      <c r="B637" s="5"/>
      <c r="C637" s="5"/>
    </row>
    <row r="638" spans="2:3">
      <c r="B638" s="5"/>
      <c r="C638" s="5"/>
    </row>
    <row r="639" spans="2:3">
      <c r="B639" s="5"/>
      <c r="C639" s="5"/>
    </row>
    <row r="640" spans="2:3">
      <c r="B640" s="5"/>
      <c r="C640" s="5"/>
    </row>
    <row r="641" spans="2:3">
      <c r="B641" s="5"/>
      <c r="C641" s="5"/>
    </row>
    <row r="642" spans="2:3">
      <c r="B642" s="5"/>
      <c r="C642" s="5"/>
    </row>
    <row r="643" spans="2:3">
      <c r="B643" s="5"/>
      <c r="C643" s="5"/>
    </row>
    <row r="644" spans="2:3">
      <c r="B644" s="5"/>
      <c r="C644" s="5"/>
    </row>
    <row r="645" spans="2:3">
      <c r="B645" s="5"/>
      <c r="C645" s="5"/>
    </row>
    <row r="646" spans="2:3">
      <c r="B646" s="5"/>
      <c r="C646" s="5"/>
    </row>
    <row r="647" spans="2:3">
      <c r="B647" s="5"/>
      <c r="C647" s="5"/>
    </row>
    <row r="648" spans="2:3">
      <c r="B648" s="5"/>
      <c r="C648" s="5"/>
    </row>
    <row r="649" spans="2:3">
      <c r="B649" s="5"/>
      <c r="C649" s="5"/>
    </row>
    <row r="650" spans="2:3">
      <c r="B650" s="5"/>
      <c r="C650" s="5"/>
    </row>
    <row r="651" spans="2:3">
      <c r="B651" s="5"/>
      <c r="C651" s="5"/>
    </row>
    <row r="652" spans="2:3">
      <c r="B652" s="5"/>
      <c r="C652" s="5"/>
    </row>
    <row r="653" spans="2:3">
      <c r="B653" s="5"/>
      <c r="C653" s="5"/>
    </row>
    <row r="654" spans="2:3">
      <c r="B654" s="5"/>
      <c r="C654" s="5"/>
    </row>
    <row r="655" spans="2:3">
      <c r="B655" s="5"/>
      <c r="C655" s="5"/>
    </row>
    <row r="656" spans="2:3">
      <c r="B656" s="5"/>
      <c r="C656" s="5"/>
    </row>
    <row r="657" spans="2:3">
      <c r="B657" s="5"/>
      <c r="C657" s="5"/>
    </row>
    <row r="658" spans="2:3">
      <c r="B658" s="5"/>
      <c r="C658" s="5"/>
    </row>
    <row r="659" spans="2:3">
      <c r="B659" s="5"/>
      <c r="C659" s="5"/>
    </row>
    <row r="660" spans="2:3">
      <c r="B660" s="5"/>
      <c r="C660" s="5"/>
    </row>
    <row r="661" spans="2:3">
      <c r="B661" s="5"/>
      <c r="C661" s="5"/>
    </row>
    <row r="662" spans="2:3">
      <c r="B662" s="5"/>
      <c r="C662" s="5"/>
    </row>
    <row r="663" spans="2:3">
      <c r="B663" s="5"/>
      <c r="C663" s="5"/>
    </row>
    <row r="664" spans="2:3">
      <c r="B664" s="5"/>
      <c r="C664" s="5"/>
    </row>
    <row r="665" spans="2:3">
      <c r="B665" s="5"/>
      <c r="C665" s="5"/>
    </row>
    <row r="666" spans="2:3">
      <c r="B666" s="5"/>
      <c r="C666" s="5"/>
    </row>
    <row r="667" spans="2:3">
      <c r="B667" s="5"/>
      <c r="C667" s="5"/>
    </row>
    <row r="668" spans="2:3">
      <c r="B668" s="5"/>
      <c r="C668" s="5"/>
    </row>
    <row r="669" spans="2:3">
      <c r="B669" s="5"/>
      <c r="C669" s="5"/>
    </row>
    <row r="670" spans="2:3">
      <c r="B670" s="5"/>
      <c r="C670" s="5"/>
    </row>
    <row r="671" spans="2:3">
      <c r="B671" s="5"/>
      <c r="C671" s="5"/>
    </row>
    <row r="672" spans="2:3">
      <c r="B672" s="5"/>
      <c r="C672" s="5"/>
    </row>
    <row r="673" spans="2:3">
      <c r="B673" s="5"/>
      <c r="C673" s="5"/>
    </row>
    <row r="674" spans="2:3">
      <c r="B674" s="5"/>
      <c r="C674" s="5"/>
    </row>
    <row r="675" spans="2:3">
      <c r="B675" s="5"/>
      <c r="C675" s="5"/>
    </row>
    <row r="676" spans="2:3">
      <c r="B676" s="5"/>
      <c r="C676" s="5"/>
    </row>
    <row r="677" spans="2:3">
      <c r="B677" s="5"/>
      <c r="C677" s="5"/>
    </row>
    <row r="678" spans="2:3">
      <c r="B678" s="5"/>
      <c r="C678" s="5"/>
    </row>
    <row r="679" spans="2:3">
      <c r="B679" s="5"/>
      <c r="C679" s="5"/>
    </row>
    <row r="680" spans="2:3">
      <c r="B680" s="5"/>
      <c r="C680" s="5"/>
    </row>
    <row r="681" spans="2:3">
      <c r="B681" s="5"/>
      <c r="C681" s="5"/>
    </row>
    <row r="682" spans="2:3">
      <c r="B682" s="5"/>
      <c r="C682" s="5"/>
    </row>
    <row r="683" spans="2:3">
      <c r="B683" s="5"/>
      <c r="C683" s="5"/>
    </row>
    <row r="684" spans="2:3">
      <c r="B684" s="5"/>
      <c r="C684" s="5"/>
    </row>
    <row r="685" spans="2:3">
      <c r="B685" s="5"/>
      <c r="C685" s="5"/>
    </row>
    <row r="686" spans="2:3">
      <c r="B686" s="5"/>
      <c r="C686" s="5"/>
    </row>
    <row r="687" spans="2:3">
      <c r="B687" s="5"/>
      <c r="C687" s="5"/>
    </row>
    <row r="688" spans="2:3">
      <c r="B688" s="5"/>
      <c r="C688" s="5"/>
    </row>
    <row r="689" spans="2:3">
      <c r="B689" s="5"/>
      <c r="C689" s="5"/>
    </row>
    <row r="690" spans="2:3">
      <c r="B690" s="5"/>
      <c r="C690" s="5"/>
    </row>
    <row r="691" spans="2:3">
      <c r="B691" s="5"/>
      <c r="C691" s="5"/>
    </row>
    <row r="692" spans="2:3">
      <c r="B692" s="5"/>
      <c r="C692" s="5"/>
    </row>
    <row r="693" spans="2:3">
      <c r="B693" s="5"/>
      <c r="C693" s="5"/>
    </row>
    <row r="694" spans="2:3">
      <c r="B694" s="5"/>
      <c r="C694" s="5"/>
    </row>
    <row r="695" spans="2:3">
      <c r="B695" s="5"/>
      <c r="C695" s="5"/>
    </row>
    <row r="696" spans="2:3">
      <c r="B696" s="5"/>
      <c r="C696" s="5"/>
    </row>
    <row r="697" spans="2:3">
      <c r="B697" s="5"/>
      <c r="C697" s="5"/>
    </row>
    <row r="698" spans="2:3">
      <c r="B698" s="5"/>
      <c r="C698" s="5"/>
    </row>
    <row r="699" spans="2:3">
      <c r="B699" s="5"/>
      <c r="C699" s="5"/>
    </row>
    <row r="700" spans="2:3">
      <c r="B700" s="5"/>
      <c r="C700" s="5"/>
    </row>
    <row r="701" spans="2:3">
      <c r="B701" s="5"/>
      <c r="C701" s="5"/>
    </row>
    <row r="702" spans="2:3">
      <c r="B702" s="5"/>
      <c r="C702" s="5"/>
    </row>
    <row r="703" spans="2:3">
      <c r="B703" s="5"/>
      <c r="C703" s="5"/>
    </row>
    <row r="704" spans="2:3">
      <c r="B704" s="5"/>
      <c r="C704" s="5"/>
    </row>
    <row r="705" spans="2:3">
      <c r="B705" s="5"/>
      <c r="C705" s="5"/>
    </row>
    <row r="706" spans="2:3">
      <c r="B706" s="5"/>
      <c r="C706" s="5"/>
    </row>
    <row r="707" spans="2:3">
      <c r="B707" s="5"/>
      <c r="C707" s="5"/>
    </row>
    <row r="708" spans="2:3">
      <c r="B708" s="5"/>
      <c r="C708" s="5"/>
    </row>
    <row r="709" spans="2:3">
      <c r="B709" s="5"/>
      <c r="C709" s="5"/>
    </row>
    <row r="710" spans="2:3">
      <c r="B710" s="5"/>
      <c r="C710" s="5"/>
    </row>
    <row r="711" spans="2:3">
      <c r="B711" s="5"/>
      <c r="C711" s="5"/>
    </row>
    <row r="712" spans="2:3">
      <c r="B712" s="5"/>
      <c r="C712" s="5"/>
    </row>
    <row r="713" spans="2:3">
      <c r="B713" s="5"/>
      <c r="C713" s="5"/>
    </row>
    <row r="714" spans="2:3">
      <c r="B714" s="5"/>
      <c r="C714" s="5"/>
    </row>
    <row r="715" spans="2:3">
      <c r="B715" s="5"/>
      <c r="C715" s="5"/>
    </row>
    <row r="716" spans="2:3">
      <c r="B716" s="5"/>
      <c r="C716" s="5"/>
    </row>
    <row r="717" spans="2:3">
      <c r="B717" s="5"/>
      <c r="C717" s="5"/>
    </row>
    <row r="718" spans="2:3">
      <c r="B718" s="5"/>
      <c r="C718" s="5"/>
    </row>
    <row r="719" spans="2:3">
      <c r="B719" s="5"/>
      <c r="C719" s="5"/>
    </row>
    <row r="720" spans="2:3">
      <c r="B720" s="5"/>
      <c r="C720" s="5"/>
    </row>
    <row r="721" spans="2:3">
      <c r="B721" s="5"/>
      <c r="C721" s="5"/>
    </row>
    <row r="722" spans="2:3">
      <c r="B722" s="5"/>
      <c r="C722" s="5"/>
    </row>
    <row r="723" spans="2:3">
      <c r="B723" s="5"/>
      <c r="C723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Stats</vt:lpstr>
      <vt:lpstr>Game Logs</vt:lpstr>
      <vt:lpstr>Game Comparison Form</vt:lpstr>
      <vt:lpstr>Efficiency Math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Hodge</dc:creator>
  <cp:lastModifiedBy>Nate</cp:lastModifiedBy>
  <dcterms:created xsi:type="dcterms:W3CDTF">2011-10-21T20:14:40Z</dcterms:created>
  <dcterms:modified xsi:type="dcterms:W3CDTF">2011-10-31T22:35:15Z</dcterms:modified>
</cp:coreProperties>
</file>