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Excel Project 1\Project 1\"/>
    </mc:Choice>
  </mc:AlternateContent>
  <xr:revisionPtr revIDLastSave="0" documentId="8_{FF17E2CF-AA3D-402E-B908-C9455072F9F6}" xr6:coauthVersionLast="47" xr6:coauthVersionMax="47" xr10:uidLastSave="{00000000-0000-0000-0000-000000000000}"/>
  <bookViews>
    <workbookView xWindow="-108" yWindow="-108" windowWidth="23256" windowHeight="12456" tabRatio="785" xr2:uid="{26D4546B-D2A1-4444-8EAF-A6228F96F0C1}"/>
  </bookViews>
  <sheets>
    <sheet name="Data" sheetId="1" r:id="rId1"/>
    <sheet name="India Staff" sheetId="2" r:id="rId2"/>
    <sheet name="all data" sheetId="3" r:id="rId3"/>
    <sheet name="Analysis" sheetId="4" r:id="rId4"/>
    <sheet name="Employee analysis" sheetId="5" r:id="rId5"/>
    <sheet name="Information finder" sheetId="6" r:id="rId6"/>
    <sheet name="Male vs Female analysis" sheetId="7" r:id="rId7"/>
    <sheet name="Salary analysis" sheetId="9" r:id="rId8"/>
    <sheet name="Salary VS rating,Department" sheetId="10" r:id="rId9"/>
    <sheet name="People analysis" sheetId="11" r:id="rId10"/>
    <sheet name="Final report Card" sheetId="12" r:id="rId11"/>
  </sheets>
  <externalReferences>
    <externalReference r:id="rId12"/>
  </externalReferences>
  <definedNames>
    <definedName name="_xlnm._FilterDatabase" localSheetId="0" hidden="1">Data!$C$4:$I$104</definedName>
    <definedName name="_xlnm._FilterDatabase" localSheetId="1" hidden="1">'India Staff'!$B$2:$H$115</definedName>
    <definedName name="_xlchart.v1.0" hidden="1">'Salary analysis'!$X$7</definedName>
    <definedName name="_xlchart.v1.1" hidden="1">'Salary analysis'!$X$7</definedName>
    <definedName name="_xlchart.v1.2" hidden="1">'all data'!$F$2:$F$185</definedName>
    <definedName name="_xlchart.v1.3" hidden="1">'Salary analysis'!$D$8</definedName>
    <definedName name="_xlchart.v1.4" hidden="1">'Salary analysis'!$D$8</definedName>
    <definedName name="_xlchart.v1.5" hidden="1">'all data'!$A$2:$H$185</definedName>
    <definedName name="_xlchart.v1.6" hidden="1">'all data'!$F$2:$F$185</definedName>
    <definedName name="_xlchart.v1.7" hidden="1">'all data'!$I$2:$I$185</definedName>
    <definedName name="_xlchart.v1.8" hidden="1">'all data'!$J$2:$J$185</definedName>
    <definedName name="_xlcn.WorksheetConnection_blankdatafile.xlsxstaff1" hidden="1">staff[]</definedName>
    <definedName name="ExternalData_1" localSheetId="2" hidden="1">'all data'!$A$1:$H$185</definedName>
    <definedName name="Slicer_Country">#N/A</definedName>
    <definedName name="Slicer_Country1">#N/A</definedName>
    <definedName name="Slicer_Country2">#N/A</definedName>
    <definedName name="Slicer_Department">#N/A</definedName>
  </definedNames>
  <calcPr calcId="191029"/>
  <pivotCaches>
    <pivotCache cacheId="145" r:id="rId13"/>
    <pivotCache cacheId="81" r:id="rId14"/>
    <pivotCache cacheId="136"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12" l="1"/>
  <c r="L6" i="12"/>
  <c r="R6" i="12"/>
  <c r="H6" i="12"/>
  <c r="E6" i="12"/>
  <c r="B6" i="12"/>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3" i="3"/>
  <c r="K4" i="3"/>
  <c r="K5" i="3"/>
  <c r="K6" i="3"/>
  <c r="K7" i="3"/>
  <c r="K8" i="3"/>
  <c r="K9" i="3"/>
  <c r="K10" i="3"/>
  <c r="K11" i="3"/>
  <c r="K12" i="3"/>
  <c r="K13" i="3"/>
  <c r="K14" i="3"/>
  <c r="K15" i="3"/>
  <c r="K16" i="3"/>
  <c r="K2" i="3"/>
  <c r="C5" i="6"/>
  <c r="J17" i="5"/>
  <c r="J16" i="5"/>
  <c r="J15" i="5"/>
  <c r="J14" i="5"/>
  <c r="J13" i="5"/>
  <c r="J12" i="5"/>
  <c r="J11" i="5"/>
  <c r="J10" i="5"/>
  <c r="I2" i="3"/>
  <c r="J2" i="3" s="1"/>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8" i="5"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J185" i="3" s="1"/>
  <c r="D21" i="4"/>
  <c r="D7" i="4"/>
  <c r="E5" i="4"/>
  <c r="D5" i="4"/>
  <c r="E4" i="4"/>
  <c r="D4" i="4"/>
  <c r="D3" i="4"/>
  <c r="J125" i="3" l="1"/>
  <c r="D8" i="4"/>
  <c r="D22" i="4"/>
  <c r="B12" i="6" a="1"/>
  <c r="B12" i="6" s="1"/>
  <c r="C10" i="5" a="1"/>
  <c r="C10" i="5" s="1"/>
  <c r="D6" i="4"/>
  <c r="D12" i="4" a="1"/>
  <c r="D14" i="4" l="1"/>
  <c r="D12" i="4"/>
  <c r="M12" i="6" a="1"/>
  <c r="M12"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3ADF17-5973-468B-8497-28ED87A771D2}" keepAlive="1" name="Query - india" description="Connection to the 'india' query in the workbook." type="5" refreshedVersion="0" background="1">
    <dbPr connection="Provider=Microsoft.Mashup.OleDb.1;Data Source=$Workbook$;Location=india;Extended Properties=&quot;&quot;" command="SELECT * FROM [india]"/>
  </connection>
  <connection id="2" xr16:uid="{FCA2F9D7-B466-45B3-9667-FC38F50B14D9}" keepAlive="1" name="Query - newz" description="Connection to the 'newz' query in the workbook." type="5" refreshedVersion="8" background="1" saveData="1">
    <dbPr connection="Provider=Microsoft.Mashup.OleDb.1;Data Source=$Workbook$;Location=newz;Extended Properties=&quot;&quot;" command="SELECT * FROM [newz]"/>
  </connection>
  <connection id="3" xr16:uid="{9AE39A6E-7BE3-47E5-AD92-9B46D991E03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9E6C4E87-E19A-491E-AE20-36B2B829EF26}"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<sst xmlns="http://schemas.openxmlformats.org/spreadsheetml/2006/main" count="1926" uniqueCount="260">
  <si>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</si>
  <si>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</si>
  <si>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</si>
  <si>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</si>
  <si>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</si>
  <si>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</si>
  <si>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</si>
  <si>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</si>
  <si>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</si>
  <si>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</si>
  <si>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</si>
  <si>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</si>
  <si>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</si>
  <si>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</si>
  <si>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</si>
  <si>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</si>
  <si>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</si>
  <si>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</si>
  <si>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</si>
  <si>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</si>
  <si>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</si>
  <si>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</si>
  <si>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</si>
  <si>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</si>
  <si>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</si>
  <si>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</si>
  <si>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</si>
  <si>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</si>
  <si>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</si>
  <si>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</si>
  <si>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</si>
  <si>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</si>
  <si>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</si>
  <si>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</si>
  <si>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</si>
  <si>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</si>
  <si>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</si>
  <si>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</si>
  <si>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</si>
  <si>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</si>
  <si>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</si>
  <si>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</si>
  <si>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</si>
  <si>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</si>
  <si>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</si>
  <si>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</si>
  <si>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</si>
  <si>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</si>
  <si>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</si>
  <si>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</si>
  <si>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</si>
  <si>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</si>
  <si>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</si>
  <si>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</si>
  <si>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</si>
  <si>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</si>
  <si>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</si>
  <si>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</si>
  <si>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</si>
  <si>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</si>
  <si>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</si>
  <si>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</si>
  <si>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</si>
  <si>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</si>
  <si>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</si>
  <si>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</si>
  <si>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</si>
  <si>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</si>
  <si>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</si>
  <si>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</si>
  <si>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</si>
  <si>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</si>
  <si>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</si>
  <si>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</si>
  <si>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</si>
  <si>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</si>
  <si>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</si>
  <si>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</si>
  <si>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</si>
  <si>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</si>
  <si>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</si>
  <si>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</si>
  <si>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</si>
  <si>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</si>
  <si>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</si>
  <si>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</si>
  <si>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</si>
  <si>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</si>
  <si>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</si>
  <si>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</si>
  <si>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</si>
  <si>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</si>
  <si>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</si>
  <si>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</si>
  <si>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</si>
  <si>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</si>
  <si>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</si>
  <si>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</si>
  <si>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</si>
  <si>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</si>
  <si>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</si>
  <si>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</si>
  <si>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</si>
  <si>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</si>
  <si>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</si>
  <si>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</si>
  <si>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</si>
  <si>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</si>
  <si>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</si>
  <si>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</si>
  <si>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</si>
  <si>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</si>
  <si>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</si>
  <si>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</si>
  <si>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</si>
  <si>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</si>
  <si>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</si>
  <si>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</si>
  <si>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</si>
  <si>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</si>
  <si>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</si>
  <si>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</si>
  <si>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</si>
  <si>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</si>
  <si>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</si>
  <si>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</si>
  <si>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</si>
  <si>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</si>
  <si>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</si>
  <si>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</si>
  <si>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</si>
  <si>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</si>
  <si>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</si>
  <si>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</si>
  <si>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</si>
  <si>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</si>
  <si>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</si>
  <si>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</si>
  <si>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</si>
  <si>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</si>
  <si>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</si>
  <si>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</si>
  <si>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</si>
  <si>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</si>
  <si>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</si>
  <si>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</si>
  <si>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</si>
  <si>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</si>
  <si>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</si>
  <si>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</si>
  <si>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</si>
  <si>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</si>
  <si>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</si>
  <si>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</si>
  <si>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</si>
  <si>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</si>
  <si>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</si>
  <si>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</si>
  <si>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</si>
  <si>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</si>
  <si>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</si>
  <si>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</si>
  <si>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</si>
  <si>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</si>
  <si>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</si>
  <si>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</si>
  <si>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</si>
  <si>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</si>
  <si>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</si>
  <si>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</si>
  <si>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</si>
  <si>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</si>
  <si>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</si>
  <si>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</si>
  <si>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</si>
  <si>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</si>
  <si>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</si>
  <si>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</si>
  <si>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</si>
  <si>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</si>
  <si>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</si>
  <si>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</si>
  <si>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</si>
  <si>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</si>
  <si>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</si>
  <si>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</si>
  <si>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</si>
  <si>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</si>
  <si>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</si>
  <si>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</si>
  <si>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</si>
  <si>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</si>
  <si>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</si>
  <si>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</si>
  <si>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</si>
  <si>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</si>
  <si>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</si>
  <si>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</si>
  <si>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</si>
  <si>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</si>
  <si>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</si>
  <si>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</si>
  <si>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 xml:space="preserve"> </t>
  </si>
  <si>
    <t>Country</t>
  </si>
  <si>
    <t>Newz</t>
  </si>
  <si>
    <t>others</t>
  </si>
  <si>
    <t>Ind</t>
  </si>
  <si>
    <t>Count of employees</t>
  </si>
  <si>
    <t>Average salary</t>
  </si>
  <si>
    <t>Average Age</t>
  </si>
  <si>
    <t>Average Tenure</t>
  </si>
  <si>
    <t>Tenure</t>
  </si>
  <si>
    <t>Female count</t>
  </si>
  <si>
    <t>Femal Ratio</t>
  </si>
  <si>
    <t>Count of Employee who have more then $90000</t>
  </si>
  <si>
    <t>Select count(salary) from a where salary&gt;90000</t>
  </si>
  <si>
    <t>% of Employee who have more then $90000</t>
  </si>
  <si>
    <t>Using SQL</t>
  </si>
  <si>
    <t>Using Excel</t>
  </si>
  <si>
    <t>sabari</t>
  </si>
  <si>
    <t>null</t>
  </si>
  <si>
    <t>Vlookup</t>
  </si>
  <si>
    <t>Xlookup</t>
  </si>
  <si>
    <t>Date of Joined</t>
  </si>
  <si>
    <t>Using Excel formula</t>
  </si>
  <si>
    <t>Using SQL formula</t>
  </si>
  <si>
    <t>SELECT * FROM a WHERE Department = 'Sales'</t>
  </si>
  <si>
    <t>no of people</t>
  </si>
  <si>
    <t>Row Labels</t>
  </si>
  <si>
    <t>Grand Total</t>
  </si>
  <si>
    <t>Column Labels</t>
  </si>
  <si>
    <t>Sum of Salary</t>
  </si>
  <si>
    <t>Count of Name</t>
  </si>
  <si>
    <t>Average of Age</t>
  </si>
  <si>
    <t>Values</t>
  </si>
  <si>
    <t xml:space="preserve"> Bonus</t>
  </si>
  <si>
    <t>Average of Salary</t>
  </si>
  <si>
    <t>Salary Vs Rating</t>
  </si>
  <si>
    <t>Salary Vs Department</t>
  </si>
  <si>
    <t>Rating2</t>
  </si>
  <si>
    <t>2020</t>
  </si>
  <si>
    <t>May</t>
  </si>
  <si>
    <t>Jun</t>
  </si>
  <si>
    <t>Jul</t>
  </si>
  <si>
    <t>Aug</t>
  </si>
  <si>
    <t>Sep</t>
  </si>
  <si>
    <t>Oct</t>
  </si>
  <si>
    <t>Nov</t>
  </si>
  <si>
    <t>Dec</t>
  </si>
  <si>
    <t>2021</t>
  </si>
  <si>
    <t>Jan</t>
  </si>
  <si>
    <t>Feb</t>
  </si>
  <si>
    <t>Mar</t>
  </si>
  <si>
    <t>Apr</t>
  </si>
  <si>
    <t>2022</t>
  </si>
  <si>
    <t>2023</t>
  </si>
  <si>
    <t>People count</t>
  </si>
  <si>
    <t>Female Ratio</t>
  </si>
  <si>
    <t>Average Salary</t>
  </si>
  <si>
    <t>Deparment wise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</si>
</sst>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2" x14ac:knownFonts="1">
    <font>
      <sz val="11"/>
      <color theme="1"/>
      <name val="Calibri"/>
      <family val="2"/>
      <scheme val="minor"/>
    </font>
    <font>
      <sz val="11"/>
      <color theme="4"/>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7" tint="-0.249977111117893"/>
        <bgColor indexed="64"/>
      </patternFill>
    </fill>
    <fill>
      <patternFill patternType="solid">
        <fgColor rgb="FF00B0F0"/>
        <bgColor indexed="64"/>
      </patternFill>
    </fill>
    <fill>
      <patternFill patternType="solid">
        <fgColor rgb="FFFFFF00"/>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5" fontId="0" fillId="0" borderId="0" xfId="0" applyNumberFormat="1"/>
    <xf numFmtId="8" fontId="0" fillId="0" borderId="0" xfId="0" applyNumberFormat="1"/>
    <xf numFmtId="2" fontId="0" fillId="0" borderId="0" xfId="0" applyNumberFormat="1"/>
    <xf numFmtId="9" fontId="0" fillId="0" borderId="0" xfId="0" applyNumberFormat="1"/>
    <xf numFmtId="0" fontId="0" fillId="2" borderId="0" xfId="0" applyFill="1"/>
    <xf numFmtId="9" fontId="0" fillId="2" borderId="0" xfId="0" applyNumberFormat="1" applyFill="1"/>
    <xf numFmtId="0" fontId="0" fillId="3" borderId="0" xfId="0" applyFill="1"/>
    <xf numFmtId="0" fontId="0" fillId="0" borderId="1" xfId="0" applyBorder="1"/>
    <xf numFmtId="0" fontId="0" fillId="0" borderId="2" xfId="0" applyBorder="1"/>
    <xf numFmtId="0" fontId="0" fillId="0" borderId="2" xfId="0" applyBorder="1" applyAlignment="1">
      <alignment horizontal="center" vertical="center"/>
    </xf>
    <xf numFmtId="15" fontId="0" fillId="0" borderId="2" xfId="0" applyNumberFormat="1" applyBorder="1" applyAlignment="1">
      <alignment horizontal="center" vertical="center"/>
    </xf>
    <xf numFmtId="8" fontId="0" fillId="0" borderId="2" xfId="0" applyNumberFormat="1" applyBorder="1" applyAlignment="1">
      <alignment horizontal="center" vertical="center"/>
    </xf>
    <xf numFmtId="0" fontId="0" fillId="0" borderId="2" xfId="0" applyBorder="1" applyAlignment="1">
      <alignment horizontal="center"/>
    </xf>
    <xf numFmtId="15" fontId="0" fillId="0" borderId="2" xfId="0" applyNumberFormat="1" applyBorder="1" applyAlignment="1">
      <alignment horizontal="center"/>
    </xf>
    <xf numFmtId="8" fontId="0" fillId="0" borderId="2" xfId="0" applyNumberFormat="1" applyBorder="1" applyAlignment="1">
      <alignment horizontal="center"/>
    </xf>
    <xf numFmtId="14" fontId="0" fillId="0" borderId="0" xfId="0" applyNumberFormat="1"/>
    <xf numFmtId="164" fontId="0" fillId="0" borderId="0" xfId="0" applyNumberFormat="1"/>
    <xf numFmtId="0" fontId="0" fillId="3" borderId="0" xfId="0" applyFill="1" applyAlignment="1">
      <alignment horizontal="center" vertical="center"/>
    </xf>
    <xf numFmtId="0" fontId="0" fillId="3"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center" vertical="center"/>
    </xf>
    <xf numFmtId="0" fontId="0" fillId="4" borderId="0" xfId="0" applyFill="1" applyAlignment="1">
      <alignment horizontal="center" vertical="center"/>
    </xf>
    <xf numFmtId="0" fontId="0" fillId="0" borderId="2" xfId="0" applyBorder="1" applyAlignment="1">
      <alignment horizontal="left"/>
    </xf>
    <xf numFmtId="0" fontId="0" fillId="0" borderId="0" xfId="0" applyAlignment="1">
      <alignment horizontal="center"/>
    </xf>
    <xf numFmtId="0" fontId="1" fillId="5" borderId="0" xfId="0" applyFont="1" applyFill="1" applyAlignment="1">
      <alignment horizontal="center" vertical="center"/>
    </xf>
    <xf numFmtId="9" fontId="0" fillId="0" borderId="0" xfId="0" applyNumberFormat="1" applyAlignment="1">
      <alignment horizontal="center" vertical="center"/>
    </xf>
    <xf numFmtId="8" fontId="0" fillId="0" borderId="0" xfId="0" applyNumberFormat="1" applyAlignment="1">
      <alignment horizontal="center" vertical="center"/>
    </xf>
  </cellXfs>
  <cellStyles count="1">
    <cellStyle name="Normal" xfId="0" builtinId="0"/>
  </cellStyles>
  <dxfs count="16">
    <dxf>
      <numFmt numFmtId="12" formatCode="&quot;₹&quot;\ #,##0.00;[Red]&quot;₹&quot;\ \-#,##0.00"/>
    </dxf>
    <dxf>
      <numFmt numFmtId="12" formatCode="&quot;₹&quot;\ #,##0.00;[Red]&quot;₹&quot;\ \-#,##0.00"/>
    </dxf>
    <dxf>
      <numFmt numFmtId="0" formatCode="General"/>
    </dxf>
    <dxf>
      <numFmt numFmtId="164" formatCode="&quot;₹&quot;\ #,##0.00"/>
    </dxf>
    <dxf>
      <numFmt numFmtId="2" formatCode="0.00"/>
    </dxf>
    <dxf>
      <numFmt numFmtId="0" formatCode="General"/>
    </dxf>
    <dxf>
      <numFmt numFmtId="164" formatCode="&quot;₹&quot;\ #,##0.00"/>
    </dxf>
    <dxf>
      <numFmt numFmtId="19" formatCode="dd/mm/yyyy"/>
    </dxf>
    <dxf>
      <numFmt numFmtId="0" formatCode="General"/>
    </dxf>
    <dxf>
      <numFmt numFmtId="0" formatCode="General"/>
    </dxf>
    <dxf>
      <numFmt numFmtId="0" formatCode="General"/>
    </dxf>
    <dxf>
      <numFmt numFmtId="12" formatCode="&quot;₹&quot;\ #,##0.00;[Red]&quot;₹&quot;\ \-#,##0.00"/>
    </dxf>
    <dxf>
      <numFmt numFmtId="12" formatCode="&quot;₹&quot;\ #,##0.00;[Red]&quot;₹&quot;\ \-#,##0.00"/>
    </dxf>
    <dxf>
      <numFmt numFmtId="2" formatCode="0.00"/>
    </dxf>
    <dxf>
      <numFmt numFmtId="12" formatCode="&quot;₹&quot;\ #,##0.00;[Red]&quot;₹&quot;\ \-#,##0.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Scatter</a:t>
            </a:r>
            <a:r>
              <a:rPr lang="en-IN" baseline="0"/>
              <a:t> chart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data'!$K$1</c:f>
              <c:strCache>
                <c:ptCount val="1"/>
                <c:pt idx="0">
                  <c:v>Rating2</c:v>
                </c:pt>
              </c:strCache>
            </c:strRef>
          </c:tx>
          <c:spPr>
            <a:ln w="19050" cap="rnd">
              <a:noFill/>
              <a:round/>
            </a:ln>
            <a:effectLst/>
          </c:spPr>
          <c:marker>
            <c:symbol val="circle"/>
            <c:size val="5"/>
            <c:spPr>
              <a:solidFill>
                <a:schemeClr val="accent1"/>
              </a:solidFill>
              <a:ln w="9525">
                <a:solidFill>
                  <a:schemeClr val="accent1"/>
                </a:solidFill>
              </a:ln>
              <a:effectLst/>
            </c:spPr>
          </c:marker>
          <c:xVal>
            <c:numRef>
              <c:f>'all data'!$F$2:$F$210</c:f>
              <c:numCache>
                <c:formatCode>"₹"\ #,##0.00</c:formatCode>
                <c:ptCount val="209"/>
                <c:pt idx="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pt idx="183">
                  <c:v>79570</c:v>
                </c:pt>
              </c:numCache>
            </c:numRef>
          </c:xVal>
          <c:yVal>
            <c:numRef>
              <c:f>'all data'!$K$2:$K$210</c:f>
              <c:numCache>
                <c:formatCode>General</c:formatCode>
                <c:ptCount val="209"/>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pt idx="183">
                  <c:v>3</c:v>
                </c:pt>
              </c:numCache>
            </c:numRef>
          </c:yVal>
          <c:smooth val="0"/>
          <c:extLst>
            <c:ext xmlns:c16="http://schemas.microsoft.com/office/drawing/2014/chart" uri="{C3380CC4-5D6E-409C-BE32-E72D297353CC}">
              <c16:uniqueId val="{00000000-D646-4AE7-BC13-58B405BD3385}"/>
            </c:ext>
          </c:extLst>
        </c:ser>
        <c:dLbls>
          <c:showLegendKey val="0"/>
          <c:showVal val="0"/>
          <c:showCatName val="0"/>
          <c:showSerName val="0"/>
          <c:showPercent val="0"/>
          <c:showBubbleSize val="0"/>
        </c:dLbls>
        <c:axId val="2065834816"/>
        <c:axId val="2065833376"/>
      </c:scatterChart>
      <c:valAx>
        <c:axId val="20658348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833376"/>
        <c:crosses val="autoZero"/>
        <c:crossBetween val="midCat"/>
      </c:valAx>
      <c:valAx>
        <c:axId val="206583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834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40">
      <a:fgClr>
        <a:schemeClr val="accent4">
          <a:lumMod val="20000"/>
          <a:lumOff val="80000"/>
        </a:schemeClr>
      </a:fgClr>
      <a:bgClr>
        <a:srgbClr val="FFC000"/>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analysis.xlsx]People analysis!PivotTable8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'People analysis'!$E$3</c:f>
              <c:strCache>
                <c:ptCount val="1"/>
                <c:pt idx="0">
                  <c:v>Total</c:v>
                </c:pt>
              </c:strCache>
            </c:strRef>
          </c:tx>
          <c:spPr>
            <a:ln w="28575" cap="rnd">
              <a:solidFill>
                <a:schemeClr val="accent1"/>
              </a:solidFill>
              <a:round/>
            </a:ln>
            <a:effectLst/>
          </c:spPr>
          <c:marker>
            <c:symbol val="none"/>
          </c:marker>
          <c:cat>
            <c:multiLvlStrRef>
              <c:f>'People analysis'!$D$4:$D$40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'People analysis'!$E$4:$E$40</c:f>
              <c:numCache>
                <c:formatCode>General</c:formatCode>
                <c:ptCount val="32"/>
                <c:pt idx="0">
                  <c:v>4</c:v>
                </c:pt>
                <c:pt idx="1">
                  <c:v>5</c:v>
                </c:pt>
                <c:pt idx="2">
                  <c:v>10</c:v>
                </c:pt>
                <c:pt idx="3">
                  <c:v>13</c:v>
                </c:pt>
                <c:pt idx="4">
                  <c:v>19</c:v>
                </c:pt>
                <c:pt idx="5">
                  <c:v>25</c:v>
                </c:pt>
                <c:pt idx="6">
                  <c:v>31</c:v>
                </c:pt>
                <c:pt idx="7">
                  <c:v>38</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651A-40EB-AFE7-AF4804A026DE}"/>
            </c:ext>
          </c:extLst>
        </c:ser>
        <c:dLbls>
          <c:showLegendKey val="0"/>
          <c:showVal val="0"/>
          <c:showCatName val="0"/>
          <c:showSerName val="0"/>
          <c:showPercent val="0"/>
          <c:showBubbleSize val="0"/>
        </c:dLbls>
        <c:smooth val="0"/>
        <c:axId val="15341248"/>
        <c:axId val="15341728"/>
      </c:lineChart>
      <c:catAx>
        <c:axId val="1534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728"/>
        <c:crosses val="autoZero"/>
        <c:auto val="1"/>
        <c:lblAlgn val="ctr"/>
        <c:lblOffset val="100"/>
        <c:noMultiLvlLbl val="0"/>
      </c:catAx>
      <c:valAx>
        <c:axId val="15341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analysis.xlsx]Male vs Female analysis!PivotTable9</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'Male vs Female analysis'!$G$14</c:f>
              <c:strCache>
                <c:ptCount val="1"/>
                <c:pt idx="0">
                  <c:v>Total</c:v>
                </c:pt>
              </c:strCache>
            </c:strRef>
          </c:tx>
          <c:spPr>
            <a:solidFill>
              <a:schemeClr val="accent2">
                <a:lumMod val="75000"/>
              </a:schemeClr>
            </a:solidFill>
            <a:ln>
              <a:noFill/>
            </a:ln>
            <a:effectLst/>
          </c:spPr>
          <c:invertIfNegative val="0"/>
          <c:cat>
            <c:strRef>
              <c:f>'Male vs Female analysis'!$F$15:$F$20</c:f>
              <c:strCache>
                <c:ptCount val="5"/>
                <c:pt idx="0">
                  <c:v>Finance</c:v>
                </c:pt>
                <c:pt idx="1">
                  <c:v>HR</c:v>
                </c:pt>
                <c:pt idx="2">
                  <c:v>Procurement</c:v>
                </c:pt>
                <c:pt idx="3">
                  <c:v>Sales</c:v>
                </c:pt>
                <c:pt idx="4">
                  <c:v>Website</c:v>
                </c:pt>
              </c:strCache>
            </c:strRef>
          </c:cat>
          <c:val>
            <c:numRef>
              <c:f>'Male vs Female analysis'!$G$15:$G$20</c:f>
              <c:numCache>
                <c:formatCode>"₹"#,##0.00_);[Red]\("₹"#,##0.00\)</c:formatCode>
                <c:ptCount val="5"/>
                <c:pt idx="0">
                  <c:v>72472.631578947374</c:v>
                </c:pt>
                <c:pt idx="1">
                  <c:v>89650</c:v>
                </c:pt>
                <c:pt idx="2">
                  <c:v>82345</c:v>
                </c:pt>
                <c:pt idx="3">
                  <c:v>67866.428571428565</c:v>
                </c:pt>
                <c:pt idx="4">
                  <c:v>78782.857142857145</c:v>
                </c:pt>
              </c:numCache>
            </c:numRef>
          </c:val>
          <c:extLst>
            <c:ext xmlns:c16="http://schemas.microsoft.com/office/drawing/2014/chart" uri="{C3380CC4-5D6E-409C-BE32-E72D297353CC}">
              <c16:uniqueId val="{00000000-E7AD-42BC-B6A6-EB62A35C12FD}"/>
            </c:ext>
          </c:extLst>
        </c:ser>
        <c:dLbls>
          <c:showLegendKey val="0"/>
          <c:showVal val="0"/>
          <c:showCatName val="0"/>
          <c:showSerName val="0"/>
          <c:showPercent val="0"/>
          <c:showBubbleSize val="0"/>
        </c:dLbls>
        <c:gapWidth val="182"/>
        <c:axId val="1926899136"/>
        <c:axId val="47699216"/>
      </c:barChart>
      <c:catAx>
        <c:axId val="192689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99216"/>
        <c:crosses val="autoZero"/>
        <c:auto val="1"/>
        <c:lblAlgn val="ctr"/>
        <c:lblOffset val="100"/>
        <c:noMultiLvlLbl val="0"/>
      </c:catAx>
      <c:valAx>
        <c:axId val="476992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89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analysis.xlsx]Male vs Female analysis!PivotTable13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'Male vs Female analysis'!$G$35</c:f>
              <c:strCache>
                <c:ptCount val="1"/>
                <c:pt idx="0">
                  <c:v>Total</c:v>
                </c:pt>
              </c:strCache>
            </c:strRef>
          </c:tx>
          <c:spPr>
            <a:solidFill>
              <a:schemeClr val="accent1"/>
            </a:solidFill>
            <a:ln>
              <a:noFill/>
            </a:ln>
            <a:effectLst/>
          </c:spPr>
          <c:invertIfNegative val="0"/>
          <c:cat>
            <c:strRef>
              <c:f>'Male vs Female analysis'!$F$36:$F$41</c:f>
              <c:strCache>
                <c:ptCount val="5"/>
                <c:pt idx="0">
                  <c:v>Finance</c:v>
                </c:pt>
                <c:pt idx="1">
                  <c:v>HR</c:v>
                </c:pt>
                <c:pt idx="2">
                  <c:v>Procurement</c:v>
                </c:pt>
                <c:pt idx="3">
                  <c:v>Sales</c:v>
                </c:pt>
                <c:pt idx="4">
                  <c:v>Website</c:v>
                </c:pt>
              </c:strCache>
            </c:strRef>
          </c:cat>
          <c:val>
            <c:numRef>
              <c:f>'Male vs Female analysis'!$G$36:$G$41</c:f>
              <c:numCache>
                <c:formatCode>"₹"#,##0.00_);[Red]\("₹"#,##0.00\)</c:formatCode>
                <c:ptCount val="5"/>
                <c:pt idx="0">
                  <c:v>72472.631578947374</c:v>
                </c:pt>
                <c:pt idx="1">
                  <c:v>89650</c:v>
                </c:pt>
                <c:pt idx="2">
                  <c:v>81222.592592592599</c:v>
                </c:pt>
                <c:pt idx="3">
                  <c:v>67866.428571428565</c:v>
                </c:pt>
                <c:pt idx="4">
                  <c:v>78753.703703703708</c:v>
                </c:pt>
              </c:numCache>
            </c:numRef>
          </c:val>
          <c:extLst>
            <c:ext xmlns:c16="http://schemas.microsoft.com/office/drawing/2014/chart" uri="{C3380CC4-5D6E-409C-BE32-E72D297353CC}">
              <c16:uniqueId val="{00000000-AAA4-4C9A-94C2-C74222F856B1}"/>
            </c:ext>
          </c:extLst>
        </c:ser>
        <c:dLbls>
          <c:showLegendKey val="0"/>
          <c:showVal val="0"/>
          <c:showCatName val="0"/>
          <c:showSerName val="0"/>
          <c:showPercent val="0"/>
          <c:showBubbleSize val="0"/>
        </c:dLbls>
        <c:gapWidth val="182"/>
        <c:axId val="15393136"/>
        <c:axId val="15393616"/>
      </c:barChart>
      <c:catAx>
        <c:axId val="1539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3616"/>
        <c:crosses val="autoZero"/>
        <c:auto val="1"/>
        <c:lblAlgn val="ctr"/>
        <c:lblOffset val="100"/>
        <c:noMultiLvlLbl val="0"/>
      </c:catAx>
      <c:valAx>
        <c:axId val="153936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Salaryby 10k</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79C7715D-CA69-4C11-BF1B-D9122B22D8FE}">
          <cx:dataId val="0"/>
          <cx:layoutPr>
            <cx:binning intervalClosed="r" underflow="40000">
              <cx:binSize val="10000"/>
            </cx:binning>
          </cx:layoutPr>
        </cx:series>
      </cx:plotAreaRegion>
      <cx:axis id="0">
        <cx:catScaling gapWidth="0"/>
        <cx:tickLabels/>
      </cx:axis>
      <cx:axis id="1">
        <cx:valScaling/>
        <cx:majorGridlines/>
        <cx:tickLabels/>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box spread box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box spread box</a:t>
          </a:r>
        </a:p>
      </cx:txPr>
    </cx:title>
    <cx:plotArea>
      <cx:plotAreaRegion>
        <cx:series layoutId="boxWhisker" uniqueId="{CDF1D6EE-8435-46F6-8334-2DABB5DBC823}">
          <cx:dataId val="0"/>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9</xdr:col>
      <xdr:colOff>632460</xdr:colOff>
      <xdr:row>3</xdr:row>
      <xdr:rowOff>38100</xdr:rowOff>
    </xdr:from>
    <xdr:to>
      <xdr:col>12</xdr:col>
      <xdr:colOff>289560</xdr:colOff>
      <xdr:row>16</xdr:row>
      <xdr:rowOff>127635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D9F944DB-00B0-1F40-2225-DC408C7F2FE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122920" y="58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289560</xdr:colOff>
      <xdr:row>2</xdr:row>
      <xdr:rowOff>175260</xdr:rowOff>
    </xdr:from>
    <xdr:to>
      <xdr:col>14</xdr:col>
      <xdr:colOff>670560</xdr:colOff>
      <xdr:row>16</xdr:row>
      <xdr:rowOff>81915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8B07A97A-96F9-1303-80EE-CAC37A0DFFA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951720" y="541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281940</xdr:colOff>
      <xdr:row>13</xdr:row>
      <xdr:rowOff>129540</xdr:rowOff>
    </xdr:from>
    <xdr:to>
      <xdr:col>9</xdr:col>
      <xdr:colOff>662940</xdr:colOff>
      <xdr:row>27</xdr:row>
      <xdr:rowOff>36195</xdr:rowOff>
    </xdr:to>
    <mc:AlternateContent xmlns:mc="http://schemas.openxmlformats.org/markup-compatibility/2006">
      <mc:Choice xmlns:a14="http://schemas.microsoft.com/office/drawing/2010/main" Requires="a14">
        <xdr:graphicFrame macro="">
          <xdr:nvGraphicFramePr>
            <xdr:cNvPr id="4" name="Country 1">
              <a:extLst>
                <a:ext uri="{FF2B5EF4-FFF2-40B4-BE49-F238E27FC236}">
                  <a16:creationId xmlns:a16="http://schemas.microsoft.com/office/drawing/2014/main" id="{CA8E278B-E393-838E-DD4E-3CE4172974B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324600" y="2506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312420</xdr:colOff>
      <xdr:row>33</xdr:row>
      <xdr:rowOff>15240</xdr:rowOff>
    </xdr:from>
    <xdr:to>
      <xdr:col>9</xdr:col>
      <xdr:colOff>693420</xdr:colOff>
      <xdr:row>46</xdr:row>
      <xdr:rowOff>104775</xdr:rowOff>
    </xdr:to>
    <mc:AlternateContent xmlns:mc="http://schemas.openxmlformats.org/markup-compatibility/2006">
      <mc:Choice xmlns:a14="http://schemas.microsoft.com/office/drawing/2010/main" Requires="a14">
        <xdr:graphicFrame macro="">
          <xdr:nvGraphicFramePr>
            <xdr:cNvPr id="7" name="Country 2">
              <a:extLst>
                <a:ext uri="{FF2B5EF4-FFF2-40B4-BE49-F238E27FC236}">
                  <a16:creationId xmlns:a16="http://schemas.microsoft.com/office/drawing/2014/main" id="{DC5F2459-F4CD-DDB2-ABFD-DF14EC006B7E}"/>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6355080" y="6050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205740</xdr:colOff>
      <xdr:row>2</xdr:row>
      <xdr:rowOff>22860</xdr:rowOff>
    </xdr:from>
    <xdr:to>
      <xdr:col>20</xdr:col>
      <xdr:colOff>327660</xdr:colOff>
      <xdr:row>21</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78592F8-A6C2-625E-AEDC-F5B56BD100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388620"/>
              <a:ext cx="9265920" cy="34937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0</xdr:colOff>
      <xdr:row>5</xdr:row>
      <xdr:rowOff>163830</xdr:rowOff>
    </xdr:from>
    <xdr:to>
      <xdr:col>35</xdr:col>
      <xdr:colOff>22860</xdr:colOff>
      <xdr:row>25</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9B2C3EB-13FC-3063-44B8-D7DD1C3DDC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020800" y="1078230"/>
              <a:ext cx="7338060" cy="3661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571500</xdr:colOff>
      <xdr:row>14</xdr:row>
      <xdr:rowOff>175260</xdr:rowOff>
    </xdr:from>
    <xdr:to>
      <xdr:col>10</xdr:col>
      <xdr:colOff>518160</xdr:colOff>
      <xdr:row>29</xdr:row>
      <xdr:rowOff>175260</xdr:rowOff>
    </xdr:to>
    <xdr:graphicFrame macro="">
      <xdr:nvGraphicFramePr>
        <xdr:cNvPr id="2" name="Chart 1">
          <a:extLst>
            <a:ext uri="{FF2B5EF4-FFF2-40B4-BE49-F238E27FC236}">
              <a16:creationId xmlns:a16="http://schemas.microsoft.com/office/drawing/2014/main" id="{4A95EEB3-AE40-4640-921E-0274D0EDA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480060</xdr:colOff>
      <xdr:row>5</xdr:row>
      <xdr:rowOff>137160</xdr:rowOff>
    </xdr:from>
    <xdr:to>
      <xdr:col>27</xdr:col>
      <xdr:colOff>361950</xdr:colOff>
      <xdr:row>20</xdr:row>
      <xdr:rowOff>9525</xdr:rowOff>
    </xdr:to>
    <xdr:graphicFrame macro="">
      <xdr:nvGraphicFramePr>
        <xdr:cNvPr id="2" name="Chart 1">
          <a:extLst>
            <a:ext uri="{FF2B5EF4-FFF2-40B4-BE49-F238E27FC236}">
              <a16:creationId xmlns:a16="http://schemas.microsoft.com/office/drawing/2014/main" id="{7755929A-0E49-150E-93F1-BA73259CA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0</xdr:colOff>
      <xdr:row>11</xdr:row>
      <xdr:rowOff>0</xdr:rowOff>
    </xdr:from>
    <xdr:to>
      <xdr:col>17</xdr:col>
      <xdr:colOff>624840</xdr:colOff>
      <xdr:row>26</xdr:row>
      <xdr:rowOff>0</xdr:rowOff>
    </xdr:to>
    <xdr:graphicFrame macro="">
      <xdr:nvGraphicFramePr>
        <xdr:cNvPr id="2" name="Chart 1">
          <a:extLst>
            <a:ext uri="{FF2B5EF4-FFF2-40B4-BE49-F238E27FC236}">
              <a16:creationId xmlns:a16="http://schemas.microsoft.com/office/drawing/2014/main" id="{B346EE03-37DD-409B-8A94-8E8B5C668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11</xdr:row>
      <xdr:rowOff>0</xdr:rowOff>
    </xdr:from>
    <xdr:to>
      <xdr:col>8</xdr:col>
      <xdr:colOff>525780</xdr:colOff>
      <xdr:row>26</xdr:row>
      <xdr:rowOff>0</xdr:rowOff>
    </xdr:to>
    <xdr:graphicFrame macro="">
      <xdr:nvGraphicFramePr>
        <xdr:cNvPr id="3" name="Chart 2">
          <a:extLst>
            <a:ext uri="{FF2B5EF4-FFF2-40B4-BE49-F238E27FC236}">
              <a16:creationId xmlns:a16="http://schemas.microsoft.com/office/drawing/2014/main" id="{FF66DC6D-17D0-491B-BD6D-1780A960F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selv\AppData\Roaming\Microsoft\Excel\XLSTART\xlwings.xlam" TargetMode="External"/><Relationship Id="rId1" Type="http://schemas.microsoft.com/office/2006/relationships/xlExternalLinkPath/xlStartup" Target="xlwing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sql"/>
    </definedNames>
    <sheetDataSet>
      <sheetData sheetId="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KUMAR S" refreshedDate="45436.383915972219" createdVersion="8" refreshedVersion="8" minRefreshableVersion="3" recordCount="184" xr:uid="{99B685A7-855E-42E6-A9FF-E9F160A25B4A}">
  <cacheSource type="worksheet">
    <worksheetSource name="staff"/>
  </cacheSource>
  <cacheFields count="9">
    <cacheField name="Name" numFmtId="0">
      <sharedItems/>
    </cacheField>
    <cacheField name="Gender" numFmtId="0">
      <sharedItems count="3">
        <s v="Male"/>
        <s v="Female"/>
        <s v="others"/>
      </sharedItems>
    </cacheField>
    <cacheField name="Department" numFmtId="0">
      <sharedItems count="5">
        <s v="Sales"/>
        <s v="Procurement"/>
        <s v="Finance"/>
        <s v="Website"/>
        <s v="HR"/>
      </sharedItems>
    </cacheField>
    <cacheField name="Age" numFmtId="0">
      <sharedItems containsSemiMixedTypes="0" containsString="0" containsNumber="1" containsInteger="1" minValue="19" maxValue="46" count="25">
        <n v="22"/>
        <n v="46"/>
        <n v="28"/>
        <n v="37"/>
        <n v="32"/>
        <n v="30"/>
        <n v="33"/>
        <n v="24"/>
        <n v="27"/>
        <n v="29"/>
        <n v="25"/>
        <n v="20"/>
        <n v="40"/>
        <n v="21"/>
        <n v="31"/>
        <n v="34"/>
        <n v="42"/>
        <n v="36"/>
        <n v="19"/>
        <n v="38"/>
        <n v="43"/>
        <n v="26"/>
        <n v="23"/>
        <n v="35"/>
        <n v="44"/>
      </sharedItems>
    </cacheField>
    <cacheField name="Date Joined" numFmtId="14">
      <sharedItems containsSemiMixedTypes="0" containsNonDate="0" containsDate="1" containsString="0" minDate="2020-05-07T00:00:00" maxDate="2023-04-30T00:00:00"/>
    </cacheField>
    <cacheField name="Salary" numFmtId="164">
      <sharedItems containsSemiMixedTypes="0" containsString="0" containsNumber="1" containsInteger="1" minValue="33920" maxValue="119110" count="90">
        <n v="112780"/>
        <n v="70610"/>
        <n v="53240"/>
        <n v="115440"/>
        <n v="53540"/>
        <n v="112570"/>
        <n v="48530"/>
        <n v="62780"/>
        <n v="53870"/>
        <n v="119110"/>
        <n v="112110"/>
        <n v="65700"/>
        <n v="69070"/>
        <n v="107700"/>
        <n v="43840"/>
        <n v="99750"/>
        <n v="37920"/>
        <n v="57090"/>
        <n v="41980"/>
        <n v="75880"/>
        <n v="58940"/>
        <n v="67910"/>
        <n v="58100"/>
        <n v="48980"/>
        <n v="64000"/>
        <n v="75000"/>
        <n v="87620"/>
        <n v="34980"/>
        <n v="75970"/>
        <n v="60130"/>
        <n v="75480"/>
        <n v="115920"/>
        <n v="78540"/>
        <n v="109190"/>
        <n v="49630"/>
        <n v="99970"/>
        <n v="96140"/>
        <n v="103550"/>
        <n v="48950"/>
        <n v="52610"/>
        <n v="78390"/>
        <n v="86570"/>
        <n v="83750"/>
        <n v="92450"/>
        <n v="112650"/>
        <n v="79570"/>
        <n v="68900"/>
        <n v="80700"/>
        <n v="58960"/>
        <n v="118840"/>
        <n v="48170"/>
        <n v="45510"/>
        <n v="114890"/>
        <n v="69710"/>
        <n v="71380"/>
        <n v="109160"/>
        <n v="113280"/>
        <n v="69120"/>
        <n v="118100"/>
        <n v="76900"/>
        <n v="114870"/>
        <n v="91310"/>
        <n v="104770"/>
        <n v="54970"/>
        <n v="90700"/>
        <n v="56870"/>
        <n v="92700"/>
        <n v="65920"/>
        <n v="47360"/>
        <n v="60570"/>
        <n v="104120"/>
        <n v="88050"/>
        <n v="100420"/>
        <n v="114180"/>
        <n v="33920"/>
        <n v="106460"/>
        <n v="40400"/>
        <n v="91650"/>
        <n v="36040"/>
        <n v="104410"/>
        <n v="96800"/>
        <n v="85000"/>
        <n v="43510"/>
        <n v="59430"/>
        <n v="65360"/>
        <n v="41570"/>
        <n v="75280"/>
        <n v="74550"/>
        <n v="67950"/>
        <n v="70270"/>
      </sharedItems>
    </cacheField>
    <cacheField name="Rating" numFmtId="0">
      <sharedItems count="5">
        <s v="Above average"/>
        <s v="Average"/>
        <s v="Poor"/>
        <s v="Exceptional"/>
        <s v="Very poor"/>
      </sharedItems>
    </cacheField>
    <cacheField name="Country" numFmtId="0">
      <sharedItems count="2">
        <s v="Newz"/>
        <s v="Ind"/>
      </sharedItems>
    </cacheField>
    <cacheField name="Tenure" numFmtId="2">
      <sharedItems containsSemiMixedTypes="0" containsString="0" containsNumber="1" minValue="1.0712328767123287" maxValue="4.0493150684931507"/>
    </cacheField>
  </cacheFields>
  <extLst>
    <ext xmlns:x14="http://schemas.microsoft.com/office/spreadsheetml/2009/9/main" uri="{725AE2AE-9491-48be-B2B4-4EB974FC3084}">
      <x14:pivotCacheDefinition pivotCacheId="11412869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LVAKUMAR S" refreshedDate="45436.428058564816" backgroundQuery="1" createdVersion="8" refreshedVersion="8" minRefreshableVersion="3" recordCount="0" supportSubquery="1" supportAdvancedDrill="1" xr:uid="{172D7169-88DE-4687-B4F6-971E5DFFE439}">
  <cacheSource type="external" connectionId="3"/>
  <cacheFields count="3">
    <cacheField name="[staff].[Department].[Department]" caption="Department" numFmtId="0" hierarchy="2" level="1">
      <sharedItems count="5">
        <s v="Finance"/>
        <s v="HR"/>
        <s v="Procurement"/>
        <s v="Sales"/>
        <s v="Website"/>
      </sharedItems>
    </cacheField>
    <cacheField name="[Measures].[Count of Name]" caption="Count of Name" numFmtId="0" hierarchy="17" level="32767"/>
    <cacheField name="[Measures].[Average of Salary]" caption="Average of Salary" numFmtId="0" hierarchy="18" level="32767"/>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Date Joined (Quarter)]" caption="Count of Date Joined (Quarter)"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ELVAKUMAR S" refreshedDate="45436.432747569444" backgroundQuery="1" createdVersion="8" refreshedVersion="8" minRefreshableVersion="3" recordCount="0" supportSubquery="1" supportAdvancedDrill="1" xr:uid="{28B8A7E0-50EF-4D19-904A-9BF65F78D3C7}">
  <cacheSource type="external" connectionId="3"/>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7" level="32767"/>
  </cacheFields>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Count of Date Joined (Quarter)]" caption="Count of Date Joined (Quarter)"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
  <r>
    <s v="Lindy Guillet"/>
    <x v="0"/>
    <x v="0"/>
    <x v="0"/>
    <d v="2021-09-07T00:00:00"/>
    <x v="0"/>
    <x v="0"/>
    <x v="0"/>
    <n v="2.7123287671232879"/>
  </r>
  <r>
    <s v="Ambros Murthwaite"/>
    <x v="0"/>
    <x v="1"/>
    <x v="1"/>
    <d v="2022-07-16T00:00:00"/>
    <x v="1"/>
    <x v="1"/>
    <x v="0"/>
    <n v="1.8575342465753424"/>
  </r>
  <r>
    <s v="Tatum Hush"/>
    <x v="1"/>
    <x v="0"/>
    <x v="2"/>
    <d v="2021-06-10T00:00:00"/>
    <x v="2"/>
    <x v="1"/>
    <x v="0"/>
    <n v="2.956164383561644"/>
  </r>
  <r>
    <s v="Benny Karolovsky"/>
    <x v="2"/>
    <x v="2"/>
    <x v="3"/>
    <d v="2020-11-11T00:00:00"/>
    <x v="3"/>
    <x v="2"/>
    <x v="0"/>
    <n v="3.5342465753424657"/>
  </r>
  <r>
    <s v="Hoyt D'Alesco"/>
    <x v="0"/>
    <x v="0"/>
    <x v="4"/>
    <d v="2021-09-26T00:00:00"/>
    <x v="4"/>
    <x v="1"/>
    <x v="0"/>
    <n v="2.6602739726027398"/>
  </r>
  <r>
    <s v="Halimeda Kuscha"/>
    <x v="1"/>
    <x v="1"/>
    <x v="5"/>
    <d v="2022-10-27T00:00:00"/>
    <x v="5"/>
    <x v="1"/>
    <x v="0"/>
    <n v="1.5753424657534247"/>
  </r>
  <r>
    <s v="Erin Androsik"/>
    <x v="0"/>
    <x v="1"/>
    <x v="6"/>
    <d v="2022-05-20T00:00:00"/>
    <x v="6"/>
    <x v="0"/>
    <x v="0"/>
    <n v="2.0136986301369864"/>
  </r>
  <r>
    <s v="Vic Radolf"/>
    <x v="1"/>
    <x v="3"/>
    <x v="7"/>
    <d v="2020-11-13T00:00:00"/>
    <x v="7"/>
    <x v="1"/>
    <x v="0"/>
    <n v="3.5287671232876714"/>
  </r>
  <r>
    <s v="William Reeveley"/>
    <x v="0"/>
    <x v="3"/>
    <x v="6"/>
    <d v="2021-11-09T00:00:00"/>
    <x v="8"/>
    <x v="1"/>
    <x v="0"/>
    <n v="2.5397260273972604"/>
  </r>
  <r>
    <s v="Ewart Laphorn"/>
    <x v="1"/>
    <x v="4"/>
    <x v="8"/>
    <d v="2020-10-18T00:00:00"/>
    <x v="9"/>
    <x v="1"/>
    <x v="0"/>
    <n v="3.6"/>
  </r>
  <r>
    <s v="Bev Lashley"/>
    <x v="0"/>
    <x v="3"/>
    <x v="9"/>
    <d v="2020-12-15T00:00:00"/>
    <x v="10"/>
    <x v="2"/>
    <x v="0"/>
    <n v="3.441095890410959"/>
  </r>
  <r>
    <s v="Kath Bletsoe"/>
    <x v="0"/>
    <x v="0"/>
    <x v="10"/>
    <d v="2021-07-06T00:00:00"/>
    <x v="11"/>
    <x v="1"/>
    <x v="0"/>
    <n v="2.8849315068493149"/>
  </r>
  <r>
    <s v="Murry Dryburgh"/>
    <x v="0"/>
    <x v="3"/>
    <x v="3"/>
    <d v="2022-05-20T00:00:00"/>
    <x v="12"/>
    <x v="1"/>
    <x v="0"/>
    <n v="2.0136986301369864"/>
  </r>
  <r>
    <s v="Kaine Padly"/>
    <x v="0"/>
    <x v="3"/>
    <x v="11"/>
    <d v="2021-09-20T00:00:00"/>
    <x v="13"/>
    <x v="1"/>
    <x v="0"/>
    <n v="2.6767123287671235"/>
  </r>
  <r>
    <s v="Kassi Jonson"/>
    <x v="1"/>
    <x v="3"/>
    <x v="4"/>
    <d v="2021-06-07T00:00:00"/>
    <x v="14"/>
    <x v="0"/>
    <x v="0"/>
    <n v="2.9643835616438357"/>
  </r>
  <r>
    <s v="Simon Kembery"/>
    <x v="0"/>
    <x v="1"/>
    <x v="12"/>
    <d v="2021-03-08T00:00:00"/>
    <x v="15"/>
    <x v="1"/>
    <x v="0"/>
    <n v="3.2136986301369861"/>
  </r>
  <r>
    <s v="Orton Livick"/>
    <x v="0"/>
    <x v="1"/>
    <x v="13"/>
    <d v="2020-09-30T00:00:00"/>
    <x v="16"/>
    <x v="1"/>
    <x v="0"/>
    <n v="3.6493150684931508"/>
  </r>
  <r>
    <s v="Kelci Walkden"/>
    <x v="0"/>
    <x v="1"/>
    <x v="13"/>
    <d v="2022-07-20T00:00:00"/>
    <x v="17"/>
    <x v="1"/>
    <x v="0"/>
    <n v="1.8465753424657534"/>
  </r>
  <r>
    <s v="Dotty Strutley"/>
    <x v="1"/>
    <x v="3"/>
    <x v="14"/>
    <d v="2020-11-10T00:00:00"/>
    <x v="18"/>
    <x v="1"/>
    <x v="0"/>
    <n v="3.536986301369863"/>
  </r>
  <r>
    <s v="Shari McNee"/>
    <x v="0"/>
    <x v="4"/>
    <x v="13"/>
    <d v="2021-02-15T00:00:00"/>
    <x v="19"/>
    <x v="1"/>
    <x v="0"/>
    <n v="3.2712328767123289"/>
  </r>
  <r>
    <s v="Oby Sorrel"/>
    <x v="1"/>
    <x v="2"/>
    <x v="15"/>
    <d v="2022-04-02T00:00:00"/>
    <x v="20"/>
    <x v="1"/>
    <x v="0"/>
    <n v="2.1452054794520548"/>
  </r>
  <r>
    <s v="Husein Augar"/>
    <x v="1"/>
    <x v="2"/>
    <x v="5"/>
    <d v="2021-07-12T00:00:00"/>
    <x v="21"/>
    <x v="2"/>
    <x v="0"/>
    <n v="2.8684931506849316"/>
  </r>
  <r>
    <s v="Brien Boise"/>
    <x v="1"/>
    <x v="3"/>
    <x v="14"/>
    <d v="2022-04-12T00:00:00"/>
    <x v="22"/>
    <x v="1"/>
    <x v="0"/>
    <n v="2.117808219178082"/>
  </r>
  <r>
    <s v="Esmaria Denecamp"/>
    <x v="0"/>
    <x v="2"/>
    <x v="8"/>
    <d v="2022-01-06T00:00:00"/>
    <x v="23"/>
    <x v="1"/>
    <x v="0"/>
    <n v="2.3808219178082193"/>
  </r>
  <r>
    <s v="Curtice Advani"/>
    <x v="2"/>
    <x v="2"/>
    <x v="5"/>
    <d v="2022-02-05T00:00:00"/>
    <x v="24"/>
    <x v="1"/>
    <x v="0"/>
    <n v="2.2986301369863016"/>
  </r>
  <r>
    <s v="Barr Faughny"/>
    <x v="1"/>
    <x v="1"/>
    <x v="16"/>
    <d v="2022-08-06T00:00:00"/>
    <x v="25"/>
    <x v="3"/>
    <x v="0"/>
    <n v="1.8"/>
  </r>
  <r>
    <s v="Merrilee Plenty"/>
    <x v="1"/>
    <x v="3"/>
    <x v="12"/>
    <d v="2021-05-21T00:00:00"/>
    <x v="26"/>
    <x v="1"/>
    <x v="0"/>
    <n v="3.010958904109589"/>
  </r>
  <r>
    <s v="Niall Selesnick"/>
    <x v="1"/>
    <x v="3"/>
    <x v="9"/>
    <d v="2020-07-11T00:00:00"/>
    <x v="27"/>
    <x v="1"/>
    <x v="0"/>
    <n v="3.871232876712329"/>
  </r>
  <r>
    <s v="Beverie Moffet"/>
    <x v="1"/>
    <x v="2"/>
    <x v="2"/>
    <d v="2020-12-20T00:00:00"/>
    <x v="28"/>
    <x v="1"/>
    <x v="0"/>
    <n v="3.4273972602739726"/>
  </r>
  <r>
    <s v="Jehu Rudeforth"/>
    <x v="1"/>
    <x v="2"/>
    <x v="15"/>
    <d v="2022-02-20T00:00:00"/>
    <x v="29"/>
    <x v="1"/>
    <x v="0"/>
    <n v="2.2575342465753425"/>
  </r>
  <r>
    <s v="Camilla Castle"/>
    <x v="1"/>
    <x v="3"/>
    <x v="6"/>
    <d v="2021-06-27T00:00:00"/>
    <x v="30"/>
    <x v="4"/>
    <x v="0"/>
    <n v="2.9095890410958902"/>
  </r>
  <r>
    <s v="Roddy Speechley"/>
    <x v="0"/>
    <x v="1"/>
    <x v="6"/>
    <d v="2020-11-29T00:00:00"/>
    <x v="31"/>
    <x v="1"/>
    <x v="0"/>
    <n v="3.484931506849315"/>
  </r>
  <r>
    <s v="Gray Seamon"/>
    <x v="1"/>
    <x v="0"/>
    <x v="17"/>
    <d v="2021-10-25T00:00:00"/>
    <x v="32"/>
    <x v="1"/>
    <x v="0"/>
    <n v="2.580821917808219"/>
  </r>
  <r>
    <s v="Madelene Upcott"/>
    <x v="0"/>
    <x v="1"/>
    <x v="10"/>
    <d v="2022-06-14T00:00:00"/>
    <x v="33"/>
    <x v="0"/>
    <x v="0"/>
    <n v="1.9452054794520548"/>
  </r>
  <r>
    <s v="Violante Courtonne"/>
    <x v="1"/>
    <x v="0"/>
    <x v="15"/>
    <d v="2022-06-09T00:00:00"/>
    <x v="34"/>
    <x v="2"/>
    <x v="0"/>
    <n v="1.9589041095890412"/>
  </r>
  <r>
    <s v="Bernie Gorges"/>
    <x v="1"/>
    <x v="1"/>
    <x v="2"/>
    <d v="2022-03-10T00:00:00"/>
    <x v="35"/>
    <x v="1"/>
    <x v="0"/>
    <n v="2.2082191780821918"/>
  </r>
  <r>
    <s v="Torrance Collier"/>
    <x v="1"/>
    <x v="3"/>
    <x v="6"/>
    <d v="2020-12-25T00:00:00"/>
    <x v="36"/>
    <x v="1"/>
    <x v="0"/>
    <n v="3.4136986301369863"/>
  </r>
  <r>
    <s v="Dyna Doucette"/>
    <x v="0"/>
    <x v="1"/>
    <x v="14"/>
    <d v="2022-06-12T00:00:00"/>
    <x v="37"/>
    <x v="1"/>
    <x v="0"/>
    <n v="1.9506849315068493"/>
  </r>
  <r>
    <s v="Gunar Cockshoot"/>
    <x v="0"/>
    <x v="3"/>
    <x v="14"/>
    <d v="2021-11-11T00:00:00"/>
    <x v="38"/>
    <x v="1"/>
    <x v="0"/>
    <n v="2.5342465753424657"/>
  </r>
  <r>
    <s v="Kaye Crocroft"/>
    <x v="0"/>
    <x v="2"/>
    <x v="7"/>
    <d v="2021-08-28T00:00:00"/>
    <x v="39"/>
    <x v="2"/>
    <x v="0"/>
    <n v="2.7397260273972601"/>
  </r>
  <r>
    <s v="Allene Gobbet"/>
    <x v="1"/>
    <x v="1"/>
    <x v="17"/>
    <d v="2021-11-29T00:00:00"/>
    <x v="40"/>
    <x v="1"/>
    <x v="0"/>
    <n v="2.484931506849315"/>
  </r>
  <r>
    <s v="Sibyl Dunkirk"/>
    <x v="1"/>
    <x v="2"/>
    <x v="6"/>
    <d v="2022-09-05T00:00:00"/>
    <x v="41"/>
    <x v="1"/>
    <x v="0"/>
    <n v="1.7178082191780821"/>
  </r>
  <r>
    <s v="Agnes Collicott"/>
    <x v="1"/>
    <x v="3"/>
    <x v="8"/>
    <d v="2022-05-05T00:00:00"/>
    <x v="42"/>
    <x v="1"/>
    <x v="0"/>
    <n v="2.0547945205479454"/>
  </r>
  <r>
    <s v="Leilah Yesinin"/>
    <x v="1"/>
    <x v="2"/>
    <x v="15"/>
    <d v="2021-09-06T00:00:00"/>
    <x v="43"/>
    <x v="1"/>
    <x v="0"/>
    <n v="2.7150684931506848"/>
  </r>
  <r>
    <s v="Mollie Hanway"/>
    <x v="0"/>
    <x v="3"/>
    <x v="11"/>
    <d v="2020-12-18T00:00:00"/>
    <x v="44"/>
    <x v="1"/>
    <x v="0"/>
    <n v="3.4328767123287673"/>
  </r>
  <r>
    <s v="Kellsie Waby"/>
    <x v="0"/>
    <x v="1"/>
    <x v="11"/>
    <d v="2022-07-02T00:00:00"/>
    <x v="45"/>
    <x v="1"/>
    <x v="0"/>
    <n v="1.8958904109589041"/>
  </r>
  <r>
    <s v="Hyacinthie Braybrooke"/>
    <x v="1"/>
    <x v="0"/>
    <x v="11"/>
    <d v="2021-12-07T00:00:00"/>
    <x v="46"/>
    <x v="2"/>
    <x v="0"/>
    <n v="2.463013698630137"/>
  </r>
  <r>
    <s v="Van Tuxwell"/>
    <x v="1"/>
    <x v="3"/>
    <x v="10"/>
    <d v="2022-05-13T00:00:00"/>
    <x v="47"/>
    <x v="0"/>
    <x v="0"/>
    <n v="2.032876712328767"/>
  </r>
  <r>
    <s v="Lilyan Klimpt"/>
    <x v="0"/>
    <x v="1"/>
    <x v="18"/>
    <d v="2021-03-22T00:00:00"/>
    <x v="48"/>
    <x v="1"/>
    <x v="0"/>
    <n v="3.1753424657534248"/>
  </r>
  <r>
    <s v="Tawnya Tickel"/>
    <x v="0"/>
    <x v="3"/>
    <x v="17"/>
    <d v="2020-07-07T00:00:00"/>
    <x v="49"/>
    <x v="1"/>
    <x v="0"/>
    <n v="3.882191780821918"/>
  </r>
  <r>
    <s v="Jan Morforth"/>
    <x v="0"/>
    <x v="2"/>
    <x v="2"/>
    <d v="2020-07-29T00:00:00"/>
    <x v="50"/>
    <x v="0"/>
    <x v="0"/>
    <n v="3.8219178082191783"/>
  </r>
  <r>
    <s v="Florinda Crace"/>
    <x v="1"/>
    <x v="4"/>
    <x v="4"/>
    <d v="2021-07-23T00:00:00"/>
    <x v="51"/>
    <x v="1"/>
    <x v="0"/>
    <n v="2.8383561643835615"/>
  </r>
  <r>
    <s v="Tracy Renad"/>
    <x v="1"/>
    <x v="1"/>
    <x v="17"/>
    <d v="2020-09-11T00:00:00"/>
    <x v="52"/>
    <x v="1"/>
    <x v="0"/>
    <n v="3.7013698630136984"/>
  </r>
  <r>
    <s v="Myer McCory"/>
    <x v="0"/>
    <x v="3"/>
    <x v="5"/>
    <d v="2022-10-16T00:00:00"/>
    <x v="53"/>
    <x v="1"/>
    <x v="0"/>
    <n v="1.6054794520547946"/>
  </r>
  <r>
    <s v="Bennie Pepis"/>
    <x v="0"/>
    <x v="2"/>
    <x v="17"/>
    <d v="2021-05-17T00:00:00"/>
    <x v="54"/>
    <x v="1"/>
    <x v="0"/>
    <n v="3.021917808219178"/>
  </r>
  <r>
    <s v="Rafaelita Blaksland"/>
    <x v="1"/>
    <x v="0"/>
    <x v="19"/>
    <d v="2021-06-30T00:00:00"/>
    <x v="55"/>
    <x v="3"/>
    <x v="0"/>
    <n v="2.9013698630136986"/>
  </r>
  <r>
    <s v="Mahalia Larcher"/>
    <x v="0"/>
    <x v="1"/>
    <x v="8"/>
    <d v="2022-02-17T00:00:00"/>
    <x v="56"/>
    <x v="4"/>
    <x v="0"/>
    <n v="2.2657534246575342"/>
  </r>
  <r>
    <s v="Andria Kimpton"/>
    <x v="0"/>
    <x v="3"/>
    <x v="5"/>
    <d v="2021-03-18T00:00:00"/>
    <x v="57"/>
    <x v="1"/>
    <x v="0"/>
    <n v="3.1863013698630138"/>
  </r>
  <r>
    <s v="Valentia Etteridge"/>
    <x v="1"/>
    <x v="4"/>
    <x v="3"/>
    <d v="2021-09-12T00:00:00"/>
    <x v="58"/>
    <x v="1"/>
    <x v="0"/>
    <n v="2.6986301369863015"/>
  </r>
  <r>
    <s v="Virginia McConville"/>
    <x v="1"/>
    <x v="1"/>
    <x v="0"/>
    <d v="2021-09-11T00:00:00"/>
    <x v="59"/>
    <x v="0"/>
    <x v="0"/>
    <n v="2.7013698630136984"/>
  </r>
  <r>
    <s v="Wilone O'Kielt"/>
    <x v="1"/>
    <x v="3"/>
    <x v="20"/>
    <d v="2023-04-29T00:00:00"/>
    <x v="60"/>
    <x v="1"/>
    <x v="0"/>
    <n v="1.0712328767123287"/>
  </r>
  <r>
    <s v="Madge McCloughen"/>
    <x v="2"/>
    <x v="3"/>
    <x v="4"/>
    <d v="2022-08-01T00:00:00"/>
    <x v="61"/>
    <x v="1"/>
    <x v="0"/>
    <n v="1.8136986301369864"/>
  </r>
  <r>
    <s v="Janene Hairsine"/>
    <x v="1"/>
    <x v="1"/>
    <x v="2"/>
    <d v="2021-10-17T00:00:00"/>
    <x v="62"/>
    <x v="1"/>
    <x v="0"/>
    <n v="2.6027397260273974"/>
  </r>
  <r>
    <s v="Alta Kaszper"/>
    <x v="0"/>
    <x v="0"/>
    <x v="8"/>
    <d v="2020-10-30T00:00:00"/>
    <x v="63"/>
    <x v="1"/>
    <x v="0"/>
    <n v="3.5671232876712327"/>
  </r>
  <r>
    <s v="Dennison Crosswaite"/>
    <x v="2"/>
    <x v="3"/>
    <x v="21"/>
    <d v="2021-03-16T00:00:00"/>
    <x v="64"/>
    <x v="0"/>
    <x v="0"/>
    <n v="3.1917808219178081"/>
  </r>
  <r>
    <s v="Oran Buxcy"/>
    <x v="1"/>
    <x v="0"/>
    <x v="19"/>
    <d v="2021-05-13T00:00:00"/>
    <x v="65"/>
    <x v="0"/>
    <x v="0"/>
    <n v="3.032876712328767"/>
  </r>
  <r>
    <s v="Hinda Label"/>
    <x v="1"/>
    <x v="0"/>
    <x v="10"/>
    <d v="2021-01-09T00:00:00"/>
    <x v="66"/>
    <x v="1"/>
    <x v="0"/>
    <n v="3.3726027397260272"/>
  </r>
  <r>
    <s v="Marney O'Breen"/>
    <x v="1"/>
    <x v="2"/>
    <x v="13"/>
    <d v="2021-05-01T00:00:00"/>
    <x v="67"/>
    <x v="1"/>
    <x v="0"/>
    <n v="3.0657534246575344"/>
  </r>
  <r>
    <s v="Dell Molloy"/>
    <x v="0"/>
    <x v="1"/>
    <x v="21"/>
    <d v="2021-01-29T00:00:00"/>
    <x v="68"/>
    <x v="1"/>
    <x v="0"/>
    <n v="3.3178082191780822"/>
  </r>
  <r>
    <s v="Mallorie Waber"/>
    <x v="0"/>
    <x v="1"/>
    <x v="5"/>
    <d v="2022-04-15T00:00:00"/>
    <x v="69"/>
    <x v="1"/>
    <x v="0"/>
    <n v="2.1095890410958904"/>
  </r>
  <r>
    <s v="Cherlyn Barter"/>
    <x v="1"/>
    <x v="1"/>
    <x v="2"/>
    <d v="2022-03-29T00:00:00"/>
    <x v="70"/>
    <x v="1"/>
    <x v="0"/>
    <n v="2.1561643835616437"/>
  </r>
  <r>
    <s v="Ches Bonnell"/>
    <x v="0"/>
    <x v="3"/>
    <x v="3"/>
    <d v="2021-05-22T00:00:00"/>
    <x v="71"/>
    <x v="2"/>
    <x v="0"/>
    <n v="3.0082191780821916"/>
  </r>
  <r>
    <s v="Collin Jagson"/>
    <x v="0"/>
    <x v="3"/>
    <x v="7"/>
    <d v="2022-05-05T00:00:00"/>
    <x v="72"/>
    <x v="1"/>
    <x v="0"/>
    <n v="2.0547945205479454"/>
  </r>
  <r>
    <s v="Hogan Iles"/>
    <x v="1"/>
    <x v="1"/>
    <x v="5"/>
    <d v="2022-10-16T00:00:00"/>
    <x v="73"/>
    <x v="1"/>
    <x v="0"/>
    <n v="1.6054794520547946"/>
  </r>
  <r>
    <s v="Gretchen Callow"/>
    <x v="1"/>
    <x v="3"/>
    <x v="13"/>
    <d v="2022-04-27T00:00:00"/>
    <x v="74"/>
    <x v="1"/>
    <x v="0"/>
    <n v="2.0767123287671234"/>
  </r>
  <r>
    <s v="Kissiah Maydway"/>
    <x v="0"/>
    <x v="1"/>
    <x v="22"/>
    <d v="2021-09-01T00:00:00"/>
    <x v="75"/>
    <x v="1"/>
    <x v="0"/>
    <n v="2.7287671232876711"/>
  </r>
  <r>
    <s v="Archibald Filliskirk"/>
    <x v="0"/>
    <x v="1"/>
    <x v="23"/>
    <d v="2022-06-15T00:00:00"/>
    <x v="76"/>
    <x v="1"/>
    <x v="0"/>
    <n v="1.9424657534246574"/>
  </r>
  <r>
    <s v="Enoch Dowrey"/>
    <x v="0"/>
    <x v="2"/>
    <x v="8"/>
    <d v="2021-02-09T00:00:00"/>
    <x v="77"/>
    <x v="0"/>
    <x v="0"/>
    <n v="3.2876712328767121"/>
  </r>
  <r>
    <s v="Bili Sizey"/>
    <x v="0"/>
    <x v="0"/>
    <x v="20"/>
    <d v="2022-02-28T00:00:00"/>
    <x v="78"/>
    <x v="1"/>
    <x v="0"/>
    <n v="2.2356164383561645"/>
  </r>
  <r>
    <s v="Caro Chappel"/>
    <x v="1"/>
    <x v="3"/>
    <x v="12"/>
    <d v="2021-07-04T00:00:00"/>
    <x v="79"/>
    <x v="1"/>
    <x v="0"/>
    <n v="2.8904109589041096"/>
  </r>
  <r>
    <s v="Constantino Espley"/>
    <x v="0"/>
    <x v="2"/>
    <x v="5"/>
    <d v="2022-02-14T00:00:00"/>
    <x v="80"/>
    <x v="1"/>
    <x v="0"/>
    <n v="2.2739726027397262"/>
  </r>
  <r>
    <s v="Karlen McCaffrey"/>
    <x v="1"/>
    <x v="2"/>
    <x v="15"/>
    <d v="2021-09-20T00:00:00"/>
    <x v="81"/>
    <x v="1"/>
    <x v="0"/>
    <n v="2.6767123287671235"/>
  </r>
  <r>
    <s v="Drusy MacCombe"/>
    <x v="0"/>
    <x v="0"/>
    <x v="2"/>
    <d v="2022-09-16T00:00:00"/>
    <x v="82"/>
    <x v="4"/>
    <x v="0"/>
    <n v="1.6876712328767123"/>
  </r>
  <r>
    <s v="My Hanscome"/>
    <x v="0"/>
    <x v="2"/>
    <x v="6"/>
    <d v="2021-02-16T00:00:00"/>
    <x v="83"/>
    <x v="1"/>
    <x v="0"/>
    <n v="3.2684931506849315"/>
  </r>
  <r>
    <s v="Teressa Udden"/>
    <x v="1"/>
    <x v="2"/>
    <x v="6"/>
    <d v="2020-08-24T00:00:00"/>
    <x v="84"/>
    <x v="1"/>
    <x v="0"/>
    <n v="3.7506849315068491"/>
  </r>
  <r>
    <s v="Crissie Cordel"/>
    <x v="1"/>
    <x v="1"/>
    <x v="4"/>
    <d v="2022-02-19T00:00:00"/>
    <x v="85"/>
    <x v="1"/>
    <x v="0"/>
    <n v="2.2602739726027399"/>
  </r>
  <r>
    <s v="Elia Cockton"/>
    <x v="1"/>
    <x v="3"/>
    <x v="6"/>
    <d v="2021-04-26T00:00:00"/>
    <x v="86"/>
    <x v="1"/>
    <x v="0"/>
    <n v="3.0794520547945203"/>
  </r>
  <r>
    <s v="Gigi Bohling"/>
    <x v="0"/>
    <x v="0"/>
    <x v="6"/>
    <d v="2021-07-08T00:00:00"/>
    <x v="87"/>
    <x v="1"/>
    <x v="0"/>
    <n v="2.8794520547945206"/>
  </r>
  <r>
    <s v="Ebonee Roxburgh"/>
    <x v="0"/>
    <x v="1"/>
    <x v="5"/>
    <d v="2022-05-20T00:00:00"/>
    <x v="88"/>
    <x v="1"/>
    <x v="0"/>
    <n v="2.0136986301369864"/>
  </r>
  <r>
    <s v="Shayne Stegel"/>
    <x v="0"/>
    <x v="2"/>
    <x v="16"/>
    <d v="2022-06-19T00:00:00"/>
    <x v="89"/>
    <x v="2"/>
    <x v="0"/>
    <n v="1.9315068493150684"/>
  </r>
  <r>
    <s v="Zach Polon"/>
    <x v="0"/>
    <x v="1"/>
    <x v="21"/>
    <d v="2021-08-03T00:00:00"/>
    <x v="4"/>
    <x v="1"/>
    <x v="0"/>
    <n v="2.8082191780821919"/>
  </r>
  <r>
    <s v="Deepali Charan"/>
    <x v="0"/>
    <x v="3"/>
    <x v="11"/>
    <d v="2020-10-18T00:00:00"/>
    <x v="44"/>
    <x v="1"/>
    <x v="1"/>
    <n v="3.6"/>
  </r>
  <r>
    <s v="Yagna Sujeev"/>
    <x v="1"/>
    <x v="3"/>
    <x v="4"/>
    <d v="2021-04-07T00:00:00"/>
    <x v="14"/>
    <x v="0"/>
    <x v="1"/>
    <n v="3.1315068493150684"/>
  </r>
  <r>
    <s v="Satyendra Venkatadri"/>
    <x v="0"/>
    <x v="1"/>
    <x v="14"/>
    <d v="2022-04-12T00:00:00"/>
    <x v="37"/>
    <x v="1"/>
    <x v="1"/>
    <n v="2.117808219178082"/>
  </r>
  <r>
    <s v="Madhavdas Buhpathi"/>
    <x v="1"/>
    <x v="4"/>
    <x v="4"/>
    <d v="2021-05-23T00:00:00"/>
    <x v="51"/>
    <x v="1"/>
    <x v="1"/>
    <n v="3.0054794520547947"/>
  </r>
  <r>
    <s v="Sahila Chandrasekhar"/>
    <x v="2"/>
    <x v="2"/>
    <x v="3"/>
    <d v="2020-09-11T00:00:00"/>
    <x v="3"/>
    <x v="2"/>
    <x v="1"/>
    <n v="3.7013698630136984"/>
  </r>
  <r>
    <s v="Mirium Seemantini Shivakumar"/>
    <x v="1"/>
    <x v="0"/>
    <x v="19"/>
    <d v="2021-03-13T00:00:00"/>
    <x v="65"/>
    <x v="0"/>
    <x v="1"/>
    <n v="3.2"/>
  </r>
  <r>
    <s v="Purnendu Vijayarangan"/>
    <x v="1"/>
    <x v="0"/>
    <x v="10"/>
    <d v="2020-11-09T00:00:00"/>
    <x v="66"/>
    <x v="1"/>
    <x v="1"/>
    <n v="3.5397260273972604"/>
  </r>
  <r>
    <s v="Rukma Vinita"/>
    <x v="2"/>
    <x v="3"/>
    <x v="4"/>
    <d v="2022-06-01T00:00:00"/>
    <x v="61"/>
    <x v="1"/>
    <x v="1"/>
    <n v="1.9808219178082191"/>
  </r>
  <r>
    <s v="Yauvani Tarpa"/>
    <x v="0"/>
    <x v="0"/>
    <x v="6"/>
    <d v="2021-05-08T00:00:00"/>
    <x v="87"/>
    <x v="1"/>
    <x v="1"/>
    <n v="3.0465753424657533"/>
  </r>
  <r>
    <s v="Damayanti Thangavadivelu"/>
    <x v="0"/>
    <x v="1"/>
    <x v="10"/>
    <d v="2022-04-14T00:00:00"/>
    <x v="33"/>
    <x v="0"/>
    <x v="1"/>
    <n v="2.1123287671232878"/>
  </r>
  <r>
    <s v="Manjusri Ruchi"/>
    <x v="1"/>
    <x v="3"/>
    <x v="12"/>
    <d v="2021-05-04T00:00:00"/>
    <x v="79"/>
    <x v="1"/>
    <x v="1"/>
    <n v="3.0575342465753423"/>
  </r>
  <r>
    <s v="Mithil Nadkarni"/>
    <x v="0"/>
    <x v="2"/>
    <x v="5"/>
    <d v="2021-12-14T00:00:00"/>
    <x v="80"/>
    <x v="1"/>
    <x v="1"/>
    <n v="2.4438356164383563"/>
  </r>
  <r>
    <s v="Ardhendu Abhichandra Jayakar"/>
    <x v="0"/>
    <x v="2"/>
    <x v="2"/>
    <d v="2020-05-29T00:00:00"/>
    <x v="50"/>
    <x v="0"/>
    <x v="1"/>
    <n v="3.989041095890411"/>
  </r>
  <r>
    <s v="Akbar Sorabhjee"/>
    <x v="0"/>
    <x v="1"/>
    <x v="13"/>
    <d v="2020-07-30T00:00:00"/>
    <x v="16"/>
    <x v="1"/>
    <x v="1"/>
    <n v="3.8191780821917809"/>
  </r>
  <r>
    <s v="Bandhula Sathyanna"/>
    <x v="0"/>
    <x v="1"/>
    <x v="15"/>
    <d v="2022-03-22T00:00:00"/>
    <x v="44"/>
    <x v="1"/>
    <x v="1"/>
    <n v="2.1753424657534248"/>
  </r>
  <r>
    <s v="Daruka Ghazali"/>
    <x v="1"/>
    <x v="0"/>
    <x v="15"/>
    <d v="2022-04-09T00:00:00"/>
    <x v="34"/>
    <x v="2"/>
    <x v="1"/>
    <n v="2.1260273972602741"/>
  </r>
  <r>
    <s v="Heer Pennathur"/>
    <x v="0"/>
    <x v="3"/>
    <x v="17"/>
    <d v="2020-05-07T00:00:00"/>
    <x v="49"/>
    <x v="1"/>
    <x v="1"/>
    <n v="4.0493150684931507"/>
  </r>
  <r>
    <s v="Shekhar Eswara"/>
    <x v="0"/>
    <x v="3"/>
    <x v="5"/>
    <d v="2022-08-16T00:00:00"/>
    <x v="53"/>
    <x v="1"/>
    <x v="1"/>
    <n v="1.7726027397260273"/>
  </r>
  <r>
    <s v="Udyan Lanka"/>
    <x v="0"/>
    <x v="1"/>
    <x v="11"/>
    <d v="2022-05-02T00:00:00"/>
    <x v="45"/>
    <x v="1"/>
    <x v="1"/>
    <n v="2.0630136986301371"/>
  </r>
  <r>
    <s v="Shreela Ramasubraman"/>
    <x v="1"/>
    <x v="1"/>
    <x v="0"/>
    <d v="2021-07-11T00:00:00"/>
    <x v="59"/>
    <x v="0"/>
    <x v="1"/>
    <n v="2.871232876712329"/>
  </r>
  <r>
    <s v="Sanchali Shirish"/>
    <x v="0"/>
    <x v="0"/>
    <x v="8"/>
    <d v="2020-08-30T00:00:00"/>
    <x v="63"/>
    <x v="1"/>
    <x v="1"/>
    <n v="3.7342465753424658"/>
  </r>
  <r>
    <s v="Gangadutt Ragha"/>
    <x v="0"/>
    <x v="3"/>
    <x v="3"/>
    <d v="2021-03-22T00:00:00"/>
    <x v="71"/>
    <x v="2"/>
    <x v="1"/>
    <n v="3.1753424657534248"/>
  </r>
  <r>
    <s v="Waheeda Vasuman"/>
    <x v="0"/>
    <x v="0"/>
    <x v="20"/>
    <d v="2021-12-28T00:00:00"/>
    <x v="78"/>
    <x v="1"/>
    <x v="1"/>
    <n v="2.4054794520547946"/>
  </r>
  <r>
    <s v="Nanak Sapna"/>
    <x v="1"/>
    <x v="1"/>
    <x v="16"/>
    <d v="2022-06-06T00:00:00"/>
    <x v="25"/>
    <x v="3"/>
    <x v="1"/>
    <n v="1.9671232876712328"/>
  </r>
  <r>
    <s v="Shobhana Samuel"/>
    <x v="0"/>
    <x v="1"/>
    <x v="23"/>
    <d v="2022-04-15T00:00:00"/>
    <x v="76"/>
    <x v="1"/>
    <x v="1"/>
    <n v="2.1095890410958904"/>
  </r>
  <r>
    <s v="Amlankusum Rajabhushan"/>
    <x v="0"/>
    <x v="3"/>
    <x v="7"/>
    <d v="2022-03-05T00:00:00"/>
    <x v="72"/>
    <x v="1"/>
    <x v="1"/>
    <n v="2.2219178082191782"/>
  </r>
  <r>
    <s v="Pratigya Rema"/>
    <x v="1"/>
    <x v="3"/>
    <x v="14"/>
    <d v="2022-02-12T00:00:00"/>
    <x v="22"/>
    <x v="1"/>
    <x v="1"/>
    <n v="2.2794520547945205"/>
  </r>
  <r>
    <s v="Ramnath Ravuri"/>
    <x v="1"/>
    <x v="3"/>
    <x v="24"/>
    <d v="2023-02-28T00:00:00"/>
    <x v="60"/>
    <x v="1"/>
    <x v="1"/>
    <n v="1.2356164383561643"/>
  </r>
  <r>
    <s v="Prerana Nishita"/>
    <x v="1"/>
    <x v="1"/>
    <x v="4"/>
    <d v="2021-12-19T00:00:00"/>
    <x v="85"/>
    <x v="1"/>
    <x v="1"/>
    <n v="2.43013698630137"/>
  </r>
  <r>
    <s v="Makshi Vinutha"/>
    <x v="1"/>
    <x v="1"/>
    <x v="5"/>
    <d v="2022-08-27T00:00:00"/>
    <x v="5"/>
    <x v="1"/>
    <x v="1"/>
    <n v="1.7424657534246575"/>
  </r>
  <r>
    <s v="Shiuli Sapna"/>
    <x v="0"/>
    <x v="1"/>
    <x v="21"/>
    <d v="2020-11-29T00:00:00"/>
    <x v="68"/>
    <x v="1"/>
    <x v="1"/>
    <n v="3.484931506849315"/>
  </r>
  <r>
    <s v="Agrata Rajarama"/>
    <x v="1"/>
    <x v="2"/>
    <x v="13"/>
    <d v="2021-03-01T00:00:00"/>
    <x v="67"/>
    <x v="1"/>
    <x v="1"/>
    <n v="3.2328767123287672"/>
  </r>
  <r>
    <s v="Vasu Nandin"/>
    <x v="1"/>
    <x v="1"/>
    <x v="2"/>
    <d v="2022-01-10T00:00:00"/>
    <x v="35"/>
    <x v="1"/>
    <x v="1"/>
    <n v="2.3698630136986303"/>
  </r>
  <r>
    <s v="Bhuvan Pals"/>
    <x v="1"/>
    <x v="3"/>
    <x v="10"/>
    <d v="2022-03-13T00:00:00"/>
    <x v="47"/>
    <x v="0"/>
    <x v="1"/>
    <n v="2.2000000000000002"/>
  </r>
  <r>
    <s v="Gumwant Veera"/>
    <x v="0"/>
    <x v="2"/>
    <x v="7"/>
    <d v="2021-06-28T00:00:00"/>
    <x v="39"/>
    <x v="2"/>
    <x v="1"/>
    <n v="2.9068493150684933"/>
  </r>
  <r>
    <s v="Narois Motiwala"/>
    <x v="0"/>
    <x v="3"/>
    <x v="9"/>
    <d v="2020-10-15T00:00:00"/>
    <x v="10"/>
    <x v="2"/>
    <x v="1"/>
    <n v="3.6082191780821917"/>
  </r>
  <r>
    <s v="Anjushri Chandiramani"/>
    <x v="1"/>
    <x v="4"/>
    <x v="8"/>
    <d v="2020-08-18T00:00:00"/>
    <x v="9"/>
    <x v="1"/>
    <x v="1"/>
    <n v="3.7671232876712328"/>
  </r>
  <r>
    <s v="Krishnakanta Vellanki"/>
    <x v="0"/>
    <x v="0"/>
    <x v="0"/>
    <d v="2021-07-07T00:00:00"/>
    <x v="0"/>
    <x v="0"/>
    <x v="1"/>
    <n v="2.882191780821918"/>
  </r>
  <r>
    <s v="Dhruv Manjunath"/>
    <x v="1"/>
    <x v="1"/>
    <x v="17"/>
    <d v="2020-07-11T00:00:00"/>
    <x v="52"/>
    <x v="1"/>
    <x v="1"/>
    <n v="3.871232876712329"/>
  </r>
  <r>
    <s v="Vanmala Shriharsha"/>
    <x v="0"/>
    <x v="2"/>
    <x v="8"/>
    <d v="2021-11-06T00:00:00"/>
    <x v="23"/>
    <x v="1"/>
    <x v="1"/>
    <n v="2.547945205479452"/>
  </r>
  <r>
    <s v="Sameer Shashank Sapra"/>
    <x v="0"/>
    <x v="4"/>
    <x v="13"/>
    <d v="2020-12-15T00:00:00"/>
    <x v="19"/>
    <x v="1"/>
    <x v="1"/>
    <n v="3.441095890410959"/>
  </r>
  <r>
    <s v="Anumati Shyamari Meherhomji"/>
    <x v="1"/>
    <x v="0"/>
    <x v="2"/>
    <d v="2021-04-10T00:00:00"/>
    <x v="2"/>
    <x v="1"/>
    <x v="1"/>
    <n v="3.1232876712328768"/>
  </r>
  <r>
    <s v="Tarala Vishaal"/>
    <x v="1"/>
    <x v="2"/>
    <x v="15"/>
    <d v="2021-07-20T00:00:00"/>
    <x v="81"/>
    <x v="1"/>
    <x v="1"/>
    <n v="2.8465753424657536"/>
  </r>
  <r>
    <s v="Shubhra Potla"/>
    <x v="1"/>
    <x v="3"/>
    <x v="13"/>
    <d v="2022-02-27T00:00:00"/>
    <x v="74"/>
    <x v="1"/>
    <x v="1"/>
    <n v="2.2383561643835614"/>
  </r>
  <r>
    <s v="Hemavati Muthiah"/>
    <x v="1"/>
    <x v="3"/>
    <x v="6"/>
    <d v="2021-02-26T00:00:00"/>
    <x v="86"/>
    <x v="1"/>
    <x v="1"/>
    <n v="3.2410958904109588"/>
  </r>
  <r>
    <s v="Krittika Gaekwad"/>
    <x v="1"/>
    <x v="2"/>
    <x v="15"/>
    <d v="2022-02-02T00:00:00"/>
    <x v="20"/>
    <x v="1"/>
    <x v="1"/>
    <n v="2.3068493150684932"/>
  </r>
  <r>
    <s v="Shevantilal Muppala"/>
    <x v="1"/>
    <x v="1"/>
    <x v="2"/>
    <d v="2021-08-17T00:00:00"/>
    <x v="62"/>
    <x v="1"/>
    <x v="1"/>
    <n v="2.7698630136986302"/>
  </r>
  <r>
    <s v="Shattesh Utpat"/>
    <x v="0"/>
    <x v="1"/>
    <x v="13"/>
    <d v="2022-05-20T00:00:00"/>
    <x v="17"/>
    <x v="1"/>
    <x v="1"/>
    <n v="2.0136986301369864"/>
  </r>
  <r>
    <s v="Kamalakshi Mukundan"/>
    <x v="0"/>
    <x v="2"/>
    <x v="8"/>
    <d v="2020-12-09T00:00:00"/>
    <x v="77"/>
    <x v="0"/>
    <x v="1"/>
    <n v="3.4575342465753423"/>
  </r>
  <r>
    <s v="Chandana Sannidhi Surnilla"/>
    <x v="0"/>
    <x v="2"/>
    <x v="16"/>
    <d v="2022-04-19T00:00:00"/>
    <x v="89"/>
    <x v="2"/>
    <x v="1"/>
    <n v="2.0986301369863014"/>
  </r>
  <r>
    <s v="Indu Varada Sumedh"/>
    <x v="1"/>
    <x v="2"/>
    <x v="2"/>
    <d v="2020-10-20T00:00:00"/>
    <x v="28"/>
    <x v="1"/>
    <x v="1"/>
    <n v="3.5945205479452054"/>
  </r>
  <r>
    <s v="Karuna Pashupathy"/>
    <x v="2"/>
    <x v="3"/>
    <x v="8"/>
    <d v="2021-01-16T00:00:00"/>
    <x v="64"/>
    <x v="0"/>
    <x v="1"/>
    <n v="3.3534246575342466"/>
  </r>
  <r>
    <s v="Mardav Ramaswami"/>
    <x v="0"/>
    <x v="1"/>
    <x v="5"/>
    <d v="2022-02-15T00:00:00"/>
    <x v="69"/>
    <x v="1"/>
    <x v="1"/>
    <n v="2.2712328767123289"/>
  </r>
  <r>
    <s v="Sarayu Ragunathan"/>
    <x v="0"/>
    <x v="1"/>
    <x v="6"/>
    <d v="2020-09-29T00:00:00"/>
    <x v="31"/>
    <x v="1"/>
    <x v="1"/>
    <n v="3.6520547945205482"/>
  </r>
  <r>
    <s v="Kevalkumar Solanki"/>
    <x v="1"/>
    <x v="2"/>
    <x v="6"/>
    <d v="2020-06-24T00:00:00"/>
    <x v="84"/>
    <x v="1"/>
    <x v="1"/>
    <n v="3.9178082191780823"/>
  </r>
  <r>
    <s v="Upendra Swati"/>
    <x v="2"/>
    <x v="2"/>
    <x v="5"/>
    <d v="2021-12-05T00:00:00"/>
    <x v="24"/>
    <x v="1"/>
    <x v="1"/>
    <n v="2.4684931506849317"/>
  </r>
  <r>
    <s v="Deepit Ranjana"/>
    <x v="1"/>
    <x v="2"/>
    <x v="15"/>
    <d v="2021-07-06T00:00:00"/>
    <x v="43"/>
    <x v="1"/>
    <x v="1"/>
    <n v="2.8849315068493149"/>
  </r>
  <r>
    <s v="Amal Nimesh"/>
    <x v="0"/>
    <x v="3"/>
    <x v="14"/>
    <d v="2021-09-11T00:00:00"/>
    <x v="38"/>
    <x v="1"/>
    <x v="1"/>
    <n v="2.7013698630136984"/>
  </r>
  <r>
    <s v="Kunja Prashanta Vibha"/>
    <x v="1"/>
    <x v="3"/>
    <x v="8"/>
    <d v="2022-03-05T00:00:00"/>
    <x v="42"/>
    <x v="1"/>
    <x v="1"/>
    <n v="2.2219178082191782"/>
  </r>
  <r>
    <s v="Godavari Veena"/>
    <x v="1"/>
    <x v="3"/>
    <x v="12"/>
    <d v="2021-03-21T00:00:00"/>
    <x v="26"/>
    <x v="1"/>
    <x v="1"/>
    <n v="3.1780821917808217"/>
  </r>
  <r>
    <s v="Devasree Fullara Saurin"/>
    <x v="1"/>
    <x v="0"/>
    <x v="11"/>
    <d v="2021-10-07T00:00:00"/>
    <x v="46"/>
    <x v="2"/>
    <x v="1"/>
    <n v="2.6301369863013697"/>
  </r>
  <r>
    <s v="Geena Raghavanpillai"/>
    <x v="0"/>
    <x v="0"/>
    <x v="4"/>
    <d v="2021-07-26T00:00:00"/>
    <x v="4"/>
    <x v="1"/>
    <x v="1"/>
    <n v="2.8301369863013699"/>
  </r>
  <r>
    <s v="Rupak Mehra"/>
    <x v="0"/>
    <x v="0"/>
    <x v="2"/>
    <d v="2022-07-16T00:00:00"/>
    <x v="82"/>
    <x v="4"/>
    <x v="1"/>
    <n v="1.8575342465753424"/>
  </r>
  <r>
    <s v="Sawini Chandan"/>
    <x v="1"/>
    <x v="0"/>
    <x v="19"/>
    <d v="2021-04-30T00:00:00"/>
    <x v="55"/>
    <x v="3"/>
    <x v="1"/>
    <n v="3.0684931506849313"/>
  </r>
  <r>
    <s v="Baruna Ogale"/>
    <x v="0"/>
    <x v="1"/>
    <x v="12"/>
    <d v="2021-01-08T00:00:00"/>
    <x v="15"/>
    <x v="1"/>
    <x v="1"/>
    <n v="3.3753424657534246"/>
  </r>
  <r>
    <s v="Jagajeet Viraj"/>
    <x v="1"/>
    <x v="3"/>
    <x v="14"/>
    <d v="2020-09-10T00:00:00"/>
    <x v="18"/>
    <x v="1"/>
    <x v="1"/>
    <n v="3.7041095890410958"/>
  </r>
  <r>
    <s v="Kulbhushan Moorthy"/>
    <x v="0"/>
    <x v="2"/>
    <x v="17"/>
    <d v="2021-03-17T00:00:00"/>
    <x v="54"/>
    <x v="1"/>
    <x v="1"/>
    <n v="3.1890410958904107"/>
  </r>
  <r>
    <s v="Ilesh Dasgupta"/>
    <x v="0"/>
    <x v="1"/>
    <x v="8"/>
    <d v="2021-12-17T00:00:00"/>
    <x v="56"/>
    <x v="4"/>
    <x v="1"/>
    <n v="2.4356164383561643"/>
  </r>
  <r>
    <s v="Madhumati Gazala Soumitra"/>
    <x v="1"/>
    <x v="2"/>
    <x v="6"/>
    <d v="2022-07-05T00:00:00"/>
    <x v="41"/>
    <x v="1"/>
    <x v="1"/>
    <n v="1.8876712328767122"/>
  </r>
  <r>
    <s v="Chitrasen Laul"/>
    <x v="0"/>
    <x v="1"/>
    <x v="21"/>
    <d v="2021-06-03T00:00:00"/>
    <x v="4"/>
    <x v="1"/>
    <x v="1"/>
    <n v="2.9753424657534246"/>
  </r>
  <r>
    <s v="Jaishree Atasi Yavatkar"/>
    <x v="0"/>
    <x v="3"/>
    <x v="3"/>
    <d v="2022-03-20T00:00:00"/>
    <x v="12"/>
    <x v="1"/>
    <x v="1"/>
    <n v="2.1808219178082191"/>
  </r>
  <r>
    <s v="Kantimoy Pritish"/>
    <x v="1"/>
    <x v="2"/>
    <x v="5"/>
    <d v="2021-05-12T00:00:00"/>
    <x v="21"/>
    <x v="2"/>
    <x v="1"/>
    <n v="3.0356164383561643"/>
  </r>
  <r>
    <s v="Rameshwari Chikodi"/>
    <x v="0"/>
    <x v="3"/>
    <x v="5"/>
    <d v="2021-01-18T00:00:00"/>
    <x v="57"/>
    <x v="1"/>
    <x v="1"/>
    <n v="3.3479452054794518"/>
  </r>
  <r>
    <s v="Lalit Kothari"/>
    <x v="1"/>
    <x v="2"/>
    <x v="15"/>
    <d v="2021-12-20T00:00:00"/>
    <x v="29"/>
    <x v="1"/>
    <x v="1"/>
    <n v="2.4273972602739726"/>
  </r>
  <r>
    <s v="Sahas Sanabhi Shrikant"/>
    <x v="0"/>
    <x v="1"/>
    <x v="22"/>
    <d v="2021-07-01T00:00:00"/>
    <x v="75"/>
    <x v="1"/>
    <x v="1"/>
    <n v="2.8986301369863012"/>
  </r>
  <r>
    <s v="Kaishori Harathi Kateel"/>
    <x v="1"/>
    <x v="4"/>
    <x v="3"/>
    <d v="2021-07-12T00:00:00"/>
    <x v="58"/>
    <x v="1"/>
    <x v="1"/>
    <n v="2.8684931506849316"/>
  </r>
  <r>
    <s v="Rushil Kripa"/>
    <x v="1"/>
    <x v="1"/>
    <x v="17"/>
    <d v="2021-09-29T00:00:00"/>
    <x v="40"/>
    <x v="1"/>
    <x v="1"/>
    <n v="2.6520547945205482"/>
  </r>
  <r>
    <s v="Sarojini Naueshwara"/>
    <x v="1"/>
    <x v="1"/>
    <x v="5"/>
    <d v="2022-08-16T00:00:00"/>
    <x v="73"/>
    <x v="1"/>
    <x v="1"/>
    <n v="1.7726027397260273"/>
  </r>
  <r>
    <s v="Sartaj Probal"/>
    <x v="1"/>
    <x v="1"/>
    <x v="2"/>
    <d v="2022-01-29T00:00:00"/>
    <x v="70"/>
    <x v="1"/>
    <x v="1"/>
    <n v="2.3178082191780822"/>
  </r>
  <r>
    <s v="Mahindra Sreedharan"/>
    <x v="0"/>
    <x v="1"/>
    <x v="5"/>
    <d v="2022-03-20T00:00:00"/>
    <x v="88"/>
    <x v="1"/>
    <x v="1"/>
    <n v="2.1808219178082191"/>
  </r>
  <r>
    <s v="Suchira Bhanupriya Tapti"/>
    <x v="1"/>
    <x v="3"/>
    <x v="9"/>
    <d v="2020-05-11T00:00:00"/>
    <x v="27"/>
    <x v="1"/>
    <x v="1"/>
    <n v="4.0383561643835613"/>
  </r>
  <r>
    <s v="Fullara Sushanti Mokate"/>
    <x v="1"/>
    <x v="3"/>
    <x v="7"/>
    <d v="2020-09-13T00:00:00"/>
    <x v="7"/>
    <x v="1"/>
    <x v="1"/>
    <n v="3.6958904109589041"/>
  </r>
  <r>
    <s v="Hridaynath Tendulkar"/>
    <x v="0"/>
    <x v="3"/>
    <x v="11"/>
    <d v="2021-07-20T00:00:00"/>
    <x v="13"/>
    <x v="1"/>
    <x v="1"/>
    <n v="2.8465753424657536"/>
  </r>
  <r>
    <s v="Abhaya Priyavardhan"/>
    <x v="0"/>
    <x v="0"/>
    <x v="10"/>
    <d v="2021-05-06T00:00:00"/>
    <x v="11"/>
    <x v="1"/>
    <x v="1"/>
    <n v="3.0520547945205481"/>
  </r>
  <r>
    <s v="Ayog Chakrabarti"/>
    <x v="1"/>
    <x v="3"/>
    <x v="6"/>
    <d v="2021-04-27T00:00:00"/>
    <x v="30"/>
    <x v="4"/>
    <x v="1"/>
    <n v="3.0767123287671234"/>
  </r>
  <r>
    <s v="Pragya Nilufar"/>
    <x v="0"/>
    <x v="3"/>
    <x v="6"/>
    <d v="2021-09-09T00:00:00"/>
    <x v="8"/>
    <x v="1"/>
    <x v="1"/>
    <n v="2.7068493150684931"/>
  </r>
  <r>
    <s v="Shulabh Qutub Sundaramoorthy"/>
    <x v="1"/>
    <x v="0"/>
    <x v="17"/>
    <d v="2021-08-25T00:00:00"/>
    <x v="32"/>
    <x v="1"/>
    <x v="1"/>
    <n v="2.7479452054794522"/>
  </r>
  <r>
    <s v="Vinanti Choudhari"/>
    <x v="0"/>
    <x v="1"/>
    <x v="18"/>
    <d v="2021-01-22T00:00:00"/>
    <x v="48"/>
    <x v="1"/>
    <x v="1"/>
    <n v="3.3369863013698629"/>
  </r>
  <r>
    <s v="Ranajay Kailashnath Richa"/>
    <x v="0"/>
    <x v="1"/>
    <x v="1"/>
    <d v="2022-05-16T00:00:00"/>
    <x v="1"/>
    <x v="1"/>
    <x v="1"/>
    <n v="2.0246575342465754"/>
  </r>
  <r>
    <s v="Asija Pothireddy"/>
    <x v="0"/>
    <x v="2"/>
    <x v="6"/>
    <d v="2020-12-16T00:00:00"/>
    <x v="83"/>
    <x v="1"/>
    <x v="1"/>
    <n v="3.4383561643835616"/>
  </r>
  <r>
    <s v="Piyali Mahanthapa"/>
    <x v="0"/>
    <x v="1"/>
    <x v="6"/>
    <d v="2022-03-20T00:00:00"/>
    <x v="6"/>
    <x v="0"/>
    <x v="1"/>
    <n v="2.1808219178082191"/>
  </r>
  <r>
    <s v="Sukhdev Nageshwar"/>
    <x v="1"/>
    <x v="3"/>
    <x v="6"/>
    <d v="2020-10-25T00:00:00"/>
    <x v="36"/>
    <x v="1"/>
    <x v="1"/>
    <n v="3.580821917808219"/>
  </r>
  <r>
    <s v="sabari"/>
    <x v="0"/>
    <x v="3"/>
    <x v="11"/>
    <d v="2020-05-07T00:00:00"/>
    <x v="45"/>
    <x v="1"/>
    <x v="1"/>
    <n v="4.04931506849315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3BAB7-1327-4FEA-B6E8-46A07BB36CEE}" name="PivotTable13"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F35:G41" firstHeaderRow="1" firstDataRow="1" firstDataCol="1"/>
  <pivotFields count="9">
    <pivotField showAll="0"/>
    <pivotField showAll="0"/>
    <pivotField axis="axisRow" showAll="0">
      <items count="6">
        <item x="2"/>
        <item x="4"/>
        <item x="1"/>
        <item x="0"/>
        <item x="3"/>
        <item t="default"/>
      </items>
    </pivotField>
    <pivotField showAll="0"/>
    <pivotField numFmtId="14" showAll="0"/>
    <pivotField dataField="1" numFmtId="164" showAll="0"/>
    <pivotField showAll="0"/>
    <pivotField showAll="0">
      <items count="3">
        <item h="1" x="1"/>
        <item x="0"/>
        <item t="default"/>
      </items>
    </pivotField>
    <pivotField numFmtId="2" showAll="0"/>
  </pivotFields>
  <rowFields count="1">
    <field x="2"/>
  </rowFields>
  <rowItems count="6">
    <i>
      <x/>
    </i>
    <i>
      <x v="1"/>
    </i>
    <i>
      <x v="2"/>
    </i>
    <i>
      <x v="3"/>
    </i>
    <i>
      <x v="4"/>
    </i>
    <i t="grand">
      <x/>
    </i>
  </rowItems>
  <colItems count="1">
    <i/>
  </colItems>
  <dataFields count="1">
    <dataField name="Average of Salary" fld="5" subtotal="average" baseField="2" baseItem="0" numFmtId="8"/>
  </dataFields>
  <formats count="1">
    <format dxfId="1">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7D670F-17CD-4CFD-B6F0-24A8EA714C2D}" name="PivotTable9"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14:G20" firstHeaderRow="1" firstDataRow="1" firstDataCol="1"/>
  <pivotFields count="9">
    <pivotField showAll="0"/>
    <pivotField showAll="0"/>
    <pivotField axis="axisRow" showAll="0">
      <items count="6">
        <item x="2"/>
        <item x="4"/>
        <item x="1"/>
        <item x="0"/>
        <item x="3"/>
        <item t="default"/>
      </items>
    </pivotField>
    <pivotField showAll="0"/>
    <pivotField numFmtId="14" showAll="0"/>
    <pivotField dataField="1" numFmtId="164" showAll="0">
      <items count="91">
        <item x="74"/>
        <item x="27"/>
        <item x="78"/>
        <item x="16"/>
        <item x="76"/>
        <item x="85"/>
        <item x="18"/>
        <item x="82"/>
        <item x="14"/>
        <item x="51"/>
        <item x="68"/>
        <item x="50"/>
        <item x="6"/>
        <item x="38"/>
        <item x="23"/>
        <item x="34"/>
        <item x="39"/>
        <item x="2"/>
        <item x="4"/>
        <item x="8"/>
        <item x="63"/>
        <item x="65"/>
        <item x="17"/>
        <item x="22"/>
        <item x="20"/>
        <item x="48"/>
        <item x="83"/>
        <item x="29"/>
        <item x="69"/>
        <item x="7"/>
        <item x="24"/>
        <item x="84"/>
        <item x="11"/>
        <item x="67"/>
        <item x="21"/>
        <item x="88"/>
        <item x="46"/>
        <item x="12"/>
        <item x="57"/>
        <item x="53"/>
        <item x="89"/>
        <item x="1"/>
        <item x="54"/>
        <item x="87"/>
        <item x="25"/>
        <item x="86"/>
        <item x="30"/>
        <item x="19"/>
        <item x="28"/>
        <item x="59"/>
        <item x="40"/>
        <item x="32"/>
        <item x="45"/>
        <item x="47"/>
        <item x="42"/>
        <item x="81"/>
        <item x="41"/>
        <item x="26"/>
        <item x="71"/>
        <item x="64"/>
        <item x="61"/>
        <item x="77"/>
        <item x="43"/>
        <item x="66"/>
        <item x="36"/>
        <item x="80"/>
        <item x="15"/>
        <item x="35"/>
        <item x="72"/>
        <item x="37"/>
        <item x="70"/>
        <item x="79"/>
        <item x="62"/>
        <item x="75"/>
        <item x="13"/>
        <item x="55"/>
        <item x="33"/>
        <item x="10"/>
        <item x="5"/>
        <item x="44"/>
        <item x="0"/>
        <item x="56"/>
        <item x="73"/>
        <item x="60"/>
        <item x="52"/>
        <item x="3"/>
        <item x="31"/>
        <item x="58"/>
        <item x="49"/>
        <item x="9"/>
        <item t="default"/>
      </items>
    </pivotField>
    <pivotField showAll="0"/>
    <pivotField showAll="0">
      <items count="3">
        <item x="1"/>
        <item h="1" x="0"/>
        <item t="default"/>
      </items>
    </pivotField>
    <pivotField numFmtId="2" showAll="0"/>
  </pivotFields>
  <rowFields count="1">
    <field x="2"/>
  </rowFields>
  <rowItems count="6">
    <i>
      <x/>
    </i>
    <i>
      <x v="1"/>
    </i>
    <i>
      <x v="2"/>
    </i>
    <i>
      <x v="3"/>
    </i>
    <i>
      <x v="4"/>
    </i>
    <i t="grand">
      <x/>
    </i>
  </rowItems>
  <colItems count="1">
    <i/>
  </colItems>
  <dataFields count="1">
    <dataField name="Average of Salary" fld="5" subtotal="average" baseField="2" baseItem="0" numFmtId="8"/>
  </dataFields>
  <formats count="1">
    <format dxfId="0">
      <pivotArea outline="0" collapsedLevelsAreSubtotals="1" fieldPosition="0"/>
    </format>
  </formats>
  <chartFormats count="1">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A2A2D3-D035-42EB-A6F6-E7145B497B13}" name="PivotTable3" cacheId="14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F4:I8" firstHeaderRow="1" firstDataRow="2" firstDataCol="1"/>
  <pivotFields count="9">
    <pivotField dataField="1" showAll="0"/>
    <pivotField axis="axisCol" showAll="0">
      <items count="4">
        <item x="1"/>
        <item x="0"/>
        <item h="1" x="2"/>
        <item t="default"/>
      </items>
    </pivotField>
    <pivotField showAll="0">
      <items count="6">
        <item x="2"/>
        <item x="4"/>
        <item x="1"/>
        <item x="0"/>
        <item x="3"/>
        <item t="default"/>
      </items>
    </pivotField>
    <pivotField dataField="1" showAll="0">
      <items count="26">
        <item x="18"/>
        <item x="11"/>
        <item x="13"/>
        <item x="0"/>
        <item x="22"/>
        <item x="7"/>
        <item x="10"/>
        <item x="21"/>
        <item x="8"/>
        <item x="2"/>
        <item x="9"/>
        <item x="5"/>
        <item x="14"/>
        <item x="4"/>
        <item x="6"/>
        <item x="15"/>
        <item x="23"/>
        <item x="17"/>
        <item x="3"/>
        <item x="19"/>
        <item x="12"/>
        <item x="16"/>
        <item x="20"/>
        <item x="24"/>
        <item x="1"/>
        <item t="default"/>
      </items>
    </pivotField>
    <pivotField numFmtId="14" showAll="0"/>
    <pivotField dataField="1" numFmtId="164" showAll="0">
      <items count="91">
        <item x="74"/>
        <item x="27"/>
        <item x="78"/>
        <item x="16"/>
        <item x="76"/>
        <item x="85"/>
        <item x="18"/>
        <item x="82"/>
        <item x="14"/>
        <item x="51"/>
        <item x="68"/>
        <item x="50"/>
        <item x="6"/>
        <item x="38"/>
        <item x="23"/>
        <item x="34"/>
        <item x="39"/>
        <item x="2"/>
        <item x="4"/>
        <item x="8"/>
        <item x="63"/>
        <item x="65"/>
        <item x="17"/>
        <item x="22"/>
        <item x="20"/>
        <item x="48"/>
        <item x="83"/>
        <item x="29"/>
        <item x="69"/>
        <item x="7"/>
        <item x="24"/>
        <item x="84"/>
        <item x="11"/>
        <item x="67"/>
        <item x="21"/>
        <item x="88"/>
        <item x="46"/>
        <item x="12"/>
        <item x="57"/>
        <item x="53"/>
        <item x="89"/>
        <item x="1"/>
        <item x="54"/>
        <item x="87"/>
        <item x="25"/>
        <item x="86"/>
        <item x="30"/>
        <item x="19"/>
        <item x="28"/>
        <item x="59"/>
        <item x="40"/>
        <item x="32"/>
        <item x="45"/>
        <item x="47"/>
        <item x="42"/>
        <item x="81"/>
        <item x="41"/>
        <item x="26"/>
        <item x="71"/>
        <item x="64"/>
        <item x="61"/>
        <item x="77"/>
        <item x="43"/>
        <item x="66"/>
        <item x="36"/>
        <item x="80"/>
        <item x="15"/>
        <item x="35"/>
        <item x="72"/>
        <item x="37"/>
        <item x="70"/>
        <item x="79"/>
        <item x="62"/>
        <item x="75"/>
        <item x="13"/>
        <item x="55"/>
        <item x="33"/>
        <item x="10"/>
        <item x="5"/>
        <item x="44"/>
        <item x="0"/>
        <item x="56"/>
        <item x="73"/>
        <item x="60"/>
        <item x="52"/>
        <item x="3"/>
        <item x="31"/>
        <item x="58"/>
        <item x="49"/>
        <item x="9"/>
        <item t="default"/>
      </items>
    </pivotField>
    <pivotField showAll="0"/>
    <pivotField showAll="0">
      <items count="3">
        <item x="1"/>
        <item h="1" x="0"/>
        <item t="default"/>
      </items>
    </pivotField>
    <pivotField numFmtId="2" showAll="0"/>
  </pivotFields>
  <rowFields count="1">
    <field x="-2"/>
  </rowFields>
  <rowItems count="3">
    <i>
      <x/>
    </i>
    <i i="1">
      <x v="1"/>
    </i>
    <i i="2">
      <x v="2"/>
    </i>
  </rowItems>
  <colFields count="1">
    <field x="1"/>
  </colFields>
  <colItems count="3">
    <i>
      <x/>
    </i>
    <i>
      <x v="1"/>
    </i>
    <i t="grand">
      <x/>
    </i>
  </colItems>
  <dataFields count="3">
    <dataField name="Count of Name" fld="0" subtotal="count" baseField="0" baseItem="0"/>
    <dataField name="Average of Age" fld="3" subtotal="average" baseField="0" baseItem="0"/>
    <dataField name="Sum of Salary" fld="5" baseField="0" baseItem="0" numFmtId="8"/>
  </dataFields>
  <formats count="2">
    <format dxfId="14">
      <pivotArea outline="0" collapsedLevelsAreSubtotals="1" fieldPosition="0">
        <references count="1">
          <reference field="4294967294" count="1" selected="0">
            <x v="2"/>
          </reference>
        </references>
      </pivotArea>
    </format>
    <format dxfId="13">
      <pivotArea collapsedLevelsAreSubtotals="1"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5711F8-3EEF-4517-870E-03F21731DA4F}" name="PivotTable7"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I12" firstHeaderRow="0" firstDataRow="1" firstDataCol="1"/>
  <pivotFields count="3">
    <pivotField axis="axisRow" allDrilled="1" subtotalTop="0" showAll="0" defaultSubtotal="0" defaultAttributeDrillState="1">
      <items count="5">
        <item x="1"/>
        <item x="0"/>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1">
    <format dxfId="12">
      <pivotArea collapsedLevelsAreSubtotals="1" fieldPosition="0">
        <references count="2">
          <reference field="4294967294" count="1" selected="0">
            <x v="1"/>
          </reference>
          <reference field="0" count="0"/>
        </references>
      </pivotArea>
    </format>
  </format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EE2DB3-AC03-4E8B-B781-712870BCA8B9}" name="PivotTable5"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D12" firstHeaderRow="0" firstDataRow="1" firstDataCol="1"/>
  <pivotFields count="9">
    <pivotField dataField="1" showAll="0"/>
    <pivotField showAll="0"/>
    <pivotField showAll="0"/>
    <pivotField showAll="0"/>
    <pivotField numFmtId="14" showAll="0"/>
    <pivotField dataField="1" numFmtId="164" showAll="0"/>
    <pivotField axis="axisRow" showAll="0">
      <items count="6">
        <item x="3"/>
        <item x="0"/>
        <item x="1"/>
        <item x="2"/>
        <item x="4"/>
        <item t="default"/>
      </items>
    </pivotField>
    <pivotField showAll="0"/>
    <pivotField numFmtId="2" showAll="0"/>
  </pivotFields>
  <rowFields count="1">
    <field x="6"/>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5" subtotal="average" baseField="0" baseItem="0" numFmtId="8"/>
  </dataFields>
  <formats count="1">
    <format dxfId="11">
      <pivotArea outline="0" collapsedLevelsAreSubtotals="1" fieldPosition="0">
        <references count="1">
          <reference field="4294967294" count="1" selected="0">
            <x v="1"/>
          </reference>
        </references>
      </pivotArea>
    </format>
  </formats>
  <conditionalFormats count="1">
    <conditionalFormat scope="data" priority="2">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ECF91B-623B-416C-8D8D-9F7D7565DB57}" name="PivotTable8"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3" format="0"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BD3A3AF-7AB1-4CD3-AF24-830F2FBEFD5E}"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F90365D-5CA7-4049-8F4B-437F55622327}" sourceName="Department">
  <pivotTables>
    <pivotTable tabId="7" name="PivotTable3"/>
  </pivotTables>
  <data>
    <tabular pivotCacheId="1141286901">
      <items count="5">
        <i x="2" s="1"/>
        <i x="4"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287111E-557F-4737-A603-941F4BFBCB5D}" sourceName="Country">
  <pivotTables>
    <pivotTable tabId="7" name="PivotTable3"/>
  </pivotTables>
  <data>
    <tabular pivotCacheId="1141286901">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AE8CA0A9-0CBA-4F3A-8A37-C785B2D79043}" sourceName="Country">
  <pivotTables>
    <pivotTable tabId="7" name="PivotTable9"/>
  </pivotTables>
  <data>
    <tabular pivotCacheId="1141286901">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D6EF404E-3DE3-45EA-9F8C-17D7976C66E4}" sourceName="Country">
  <pivotTables>
    <pivotTable tabId="7" name="PivotTable13"/>
  </pivotTables>
  <data>
    <tabular pivotCacheId="1141286901">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31FED3F-E88C-4B02-B617-E79E0B6E745C}" cache="Slicer_Department" caption="Department" rowHeight="234950"/>
  <slicer name="Country" xr10:uid="{1EAD248A-A183-46BF-ACBF-4CC1E9644E07}" cache="Slicer_Country" caption="Country" rowHeight="234950"/>
  <slicer name="Country 1" xr10:uid="{9D10265B-EB51-4BED-8871-2102519C1FEF}" cache="Slicer_Country1" caption="Country" rowHeight="234950"/>
  <slicer name="Country 2" xr10:uid="{AB68EC79-3660-4E88-BB58-11044DAE5070}" cache="Slicer_Country2" caption="Country"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EDB352-387A-4A8E-BFE8-F6CD0144F9E6}" name="newz" displayName="newz" ref="C4:I104" totalsRowShown="0">
  <autoFilter ref="C4:I104" xr:uid="{FFEDB352-387A-4A8E-BFE8-F6CD0144F9E6}"/>
  <tableColumns count="7">
    <tableColumn id="1" xr3:uid="{A66E784C-7F25-47FB-A5F4-337CDB07EED4}" name="Name"/>
    <tableColumn id="2" xr3:uid="{42BBF4BD-4584-4492-B1ED-CE233C60BADD}" name="Gender"/>
    <tableColumn id="3" xr3:uid="{5DF949EB-3431-45EB-B90F-8083BB8F51B2}" name="Department"/>
    <tableColumn id="4" xr3:uid="{0DA8A433-DACF-41B2-9884-582BFF91AC7F}" name="Age"/>
    <tableColumn id="5" xr3:uid="{755FF368-33AE-423B-9D27-6481929169AF}" name="Date Joined"/>
    <tableColumn id="6" xr3:uid="{BD06B7CA-49B3-4920-83D7-0F470A59D291}" name="Salary"/>
    <tableColumn id="7" xr3:uid="{92815E77-C372-425C-90FC-B1644B45014C}"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88E5DA-6769-40DB-9A2C-FBC85D6E0F55}" name="india" displayName="india" ref="B2:H115" totalsRowShown="0">
  <autoFilter ref="B2:H115" xr:uid="{0F88E5DA-6769-40DB-9A2C-FBC85D6E0F55}"/>
  <tableColumns count="7">
    <tableColumn id="1" xr3:uid="{2CA09C12-2FDC-4E9B-8D08-6B3A831B01CB}" name="Name"/>
    <tableColumn id="2" xr3:uid="{ED6F0A45-FCBB-4146-AC01-D2EC40265978}" name="Gender"/>
    <tableColumn id="3" xr3:uid="{33568857-1E98-4F30-9D77-EAE0032D57EC}" name="Age"/>
    <tableColumn id="4" xr3:uid="{E8AF717D-52C9-4940-A450-188D80796DB5}" name="Rating"/>
    <tableColumn id="5" xr3:uid="{59701B25-0047-4DB4-A464-DBDDFE817759}" name="Date Joined" dataDxfId="15"/>
    <tableColumn id="6" xr3:uid="{D8094356-2415-41DF-A70F-D7305730C1BC}" name="Department"/>
    <tableColumn id="7" xr3:uid="{EA494E3F-C2C6-4EA2-9F04-6E239894B944}" name="Salary"/>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1A050F-7EB2-44D2-9F14-2256FFC072F4}" name="staff" displayName="staff" ref="A1:K185" tableType="queryTable" totalsRowShown="0">
  <autoFilter ref="A1:K185" xr:uid="{D11A050F-7EB2-44D2-9F14-2256FFC072F4}"/>
  <tableColumns count="11">
    <tableColumn id="1" xr3:uid="{0D9F2B30-CC14-4B12-8603-6EF4B0E75D6C}" uniqueName="1" name="Name" queryTableFieldId="1" dataDxfId="10"/>
    <tableColumn id="2" xr3:uid="{3AB7876B-4823-44D4-AB17-0C54896CB548}" uniqueName="2" name="Gender" queryTableFieldId="2" dataDxfId="9"/>
    <tableColumn id="3" xr3:uid="{FEA4E721-202D-4B2F-8709-6B82A6F1C773}" uniqueName="3" name="Department" queryTableFieldId="3" dataDxfId="8"/>
    <tableColumn id="4" xr3:uid="{AF2EF640-EA86-46A0-8542-5B7E3AD37166}" uniqueName="4" name="Age" queryTableFieldId="4"/>
    <tableColumn id="5" xr3:uid="{A63BFDFC-81AC-41BD-BDB8-DF026BFB3E4A}" uniqueName="5" name="Date Joined" queryTableFieldId="5" dataDxfId="7"/>
    <tableColumn id="6" xr3:uid="{D81DE46B-17A3-4400-8610-BEEE4ECD48DC}" uniqueName="6" name="Salary" queryTableFieldId="6" dataDxfId="6"/>
    <tableColumn id="7" xr3:uid="{3FC9B529-55E2-4F93-8689-56459D33634F}" uniqueName="7" name="Rating" queryTableFieldId="7" dataDxfId="5"/>
    <tableColumn id="8" xr3:uid="{3400F396-4A05-4FB2-A39D-62AB6134E40C}" uniqueName="8" name="Country" queryTableFieldId="8"/>
    <tableColumn id="9" xr3:uid="{6B63FBDC-4A33-4523-B4B9-E5A744118AF0}" uniqueName="9" name="Tenure" queryTableFieldId="9" dataDxfId="4">
      <calculatedColumnFormula>(TODAY()-staff[[#This Row],[Date Joined]])/365</calculatedColumnFormula>
    </tableColumn>
    <tableColumn id="10" xr3:uid="{10384ED6-73EF-4298-88E7-C20F43206EC4}" uniqueName="10" name=" Bonus" queryTableFieldId="10" dataDxfId="3">
      <calculatedColumnFormula>ROUNDUP(IF(staff[[#This Row],[Tenure]]&gt;2,3%,2%)*staff[[#This Row],[Salary]],0)</calculatedColumnFormula>
    </tableColumn>
    <tableColumn id="11" xr3:uid="{FF74E1A6-2057-4694-9873-9367A035AD8F}" uniqueName="11" name="Rating2" queryTableFieldId="11" dataDxfId="2">
      <calculatedColumnFormula>_xlfn.XLOOKUP(staff[[#This Row],[Salary]],N3:N7,O3:O7)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4:I104"/>
  <sheetViews>
    <sheetView showGridLines="0" tabSelected="1" workbookViewId="0">
      <selection activeCell="K9" sqref="K9"/>
    </sheetView>
  </sheetViews>
  <sheetFormatPr defaultRowHeight="14.4" x14ac:dyDescent="0.3"/>
  <cols>
    <col min="1" max="1" width="1.6640625" customWidth="1"/>
    <col min="2" max="2" width="3.6640625" customWidth="1"/>
    <col min="3" max="3" width="19.6640625" bestFit="1" customWidth="1"/>
    <col min="4" max="4" width="9.33203125" bestFit="1" customWidth="1"/>
    <col min="5" max="5" width="13.33203125" bestFit="1" customWidth="1"/>
    <col min="6" max="6" width="6.44140625" bestFit="1" customWidth="1"/>
    <col min="7" max="7" width="13" bestFit="1" customWidth="1"/>
    <col min="8" max="8" width="8.33203125" bestFit="1" customWidth="1"/>
    <col min="9" max="9" width="13.109375" bestFit="1" customWidth="1"/>
  </cols>
  <sheetData>
    <row r="4" spans="3:9" x14ac:dyDescent="0.3">
      <c r="C4" t="s">
        <v>0</v>
      </c>
      <c r="D4" t="s">
        <v>1</v>
      </c>
      <c r="E4" t="s">
        <v>2</v>
      </c>
      <c r="F4" t="s">
        <v>3</v>
      </c>
      <c r="G4" s="1" t="s">
        <v>4</v>
      </c>
      <c r="H4" t="s">
        <v>5</v>
      </c>
      <c r="I4" t="s">
        <v>6</v>
      </c>
    </row>
    <row r="5" spans="3:9" x14ac:dyDescent="0.3">
      <c r="C5" t="s">
        <v>58</v>
      </c>
      <c r="D5" t="s">
        <v>15</v>
      </c>
      <c r="E5" t="s">
        <v>19</v>
      </c>
      <c r="F5">
        <v>22</v>
      </c>
      <c r="G5" s="1">
        <v>44446</v>
      </c>
      <c r="H5">
        <v>112780</v>
      </c>
      <c r="I5" t="s">
        <v>13</v>
      </c>
    </row>
    <row r="6" spans="3:9" x14ac:dyDescent="0.3">
      <c r="C6" t="s">
        <v>70</v>
      </c>
      <c r="D6" t="s">
        <v>15</v>
      </c>
      <c r="E6" t="s">
        <v>9</v>
      </c>
      <c r="F6">
        <v>46</v>
      </c>
      <c r="G6" s="1">
        <v>44758</v>
      </c>
      <c r="H6">
        <v>70610</v>
      </c>
      <c r="I6" t="s">
        <v>16</v>
      </c>
    </row>
    <row r="7" spans="3:9" x14ac:dyDescent="0.3">
      <c r="C7" t="s">
        <v>75</v>
      </c>
      <c r="D7" t="s">
        <v>8</v>
      </c>
      <c r="E7" t="s">
        <v>19</v>
      </c>
      <c r="F7">
        <v>28</v>
      </c>
      <c r="G7" s="1">
        <v>44357</v>
      </c>
      <c r="H7">
        <v>53240</v>
      </c>
      <c r="I7" t="s">
        <v>16</v>
      </c>
    </row>
    <row r="8" spans="3:9" x14ac:dyDescent="0.3">
      <c r="C8" t="s">
        <v>49</v>
      </c>
      <c r="E8" t="s">
        <v>21</v>
      </c>
      <c r="F8">
        <v>37</v>
      </c>
      <c r="G8" s="1">
        <v>44146</v>
      </c>
      <c r="H8">
        <v>115440</v>
      </c>
      <c r="I8" t="s">
        <v>24</v>
      </c>
    </row>
    <row r="9" spans="3:9" x14ac:dyDescent="0.3">
      <c r="C9" t="s">
        <v>65</v>
      </c>
      <c r="D9" t="s">
        <v>15</v>
      </c>
      <c r="E9" t="s">
        <v>19</v>
      </c>
      <c r="F9">
        <v>32</v>
      </c>
      <c r="G9" s="1">
        <v>44465</v>
      </c>
      <c r="H9">
        <v>53540</v>
      </c>
      <c r="I9" t="s">
        <v>16</v>
      </c>
    </row>
    <row r="10" spans="3:9" x14ac:dyDescent="0.3">
      <c r="C10" t="s">
        <v>81</v>
      </c>
      <c r="D10" t="s">
        <v>8</v>
      </c>
      <c r="E10" t="s">
        <v>9</v>
      </c>
      <c r="F10">
        <v>30</v>
      </c>
      <c r="G10" s="1">
        <v>44861</v>
      </c>
      <c r="H10">
        <v>112570</v>
      </c>
      <c r="I10" t="s">
        <v>16</v>
      </c>
    </row>
    <row r="11" spans="3:9" x14ac:dyDescent="0.3">
      <c r="C11" t="s">
        <v>51</v>
      </c>
      <c r="D11" t="s">
        <v>15</v>
      </c>
      <c r="E11" t="s">
        <v>9</v>
      </c>
      <c r="F11">
        <v>33</v>
      </c>
      <c r="G11" s="1">
        <v>44701</v>
      </c>
      <c r="H11">
        <v>48530</v>
      </c>
      <c r="I11" t="s">
        <v>13</v>
      </c>
    </row>
    <row r="12" spans="3:9" x14ac:dyDescent="0.3">
      <c r="C12" t="s">
        <v>61</v>
      </c>
      <c r="D12" t="s">
        <v>8</v>
      </c>
      <c r="E12" t="s">
        <v>12</v>
      </c>
      <c r="F12">
        <v>24</v>
      </c>
      <c r="G12" s="1">
        <v>44148</v>
      </c>
      <c r="H12">
        <v>62780</v>
      </c>
      <c r="I12" t="s">
        <v>16</v>
      </c>
    </row>
    <row r="13" spans="3:9" x14ac:dyDescent="0.3">
      <c r="C13" t="s">
        <v>82</v>
      </c>
      <c r="D13" t="s">
        <v>15</v>
      </c>
      <c r="E13" t="s">
        <v>12</v>
      </c>
      <c r="F13">
        <v>33</v>
      </c>
      <c r="G13" s="1">
        <v>44509</v>
      </c>
      <c r="H13">
        <v>53870</v>
      </c>
      <c r="I13" t="s">
        <v>16</v>
      </c>
    </row>
    <row r="14" spans="3:9" x14ac:dyDescent="0.3">
      <c r="C14" t="s">
        <v>60</v>
      </c>
      <c r="D14" t="s">
        <v>8</v>
      </c>
      <c r="E14" t="s">
        <v>56</v>
      </c>
      <c r="F14">
        <v>27</v>
      </c>
      <c r="G14" s="1">
        <v>44122</v>
      </c>
      <c r="H14">
        <v>119110</v>
      </c>
      <c r="I14" t="s">
        <v>16</v>
      </c>
    </row>
    <row r="15" spans="3:9" x14ac:dyDescent="0.3">
      <c r="C15" t="s">
        <v>87</v>
      </c>
      <c r="D15" t="s">
        <v>15</v>
      </c>
      <c r="E15" t="s">
        <v>12</v>
      </c>
      <c r="F15">
        <v>29</v>
      </c>
      <c r="G15" s="1">
        <v>44180</v>
      </c>
      <c r="H15">
        <v>112110</v>
      </c>
      <c r="I15" t="s">
        <v>24</v>
      </c>
    </row>
    <row r="16" spans="3:9" x14ac:dyDescent="0.3">
      <c r="C16" t="s">
        <v>76</v>
      </c>
      <c r="D16" t="s">
        <v>15</v>
      </c>
      <c r="E16" t="s">
        <v>19</v>
      </c>
      <c r="F16">
        <v>25</v>
      </c>
      <c r="G16" s="1">
        <v>44383</v>
      </c>
      <c r="H16">
        <v>65700</v>
      </c>
      <c r="I16" t="s">
        <v>16</v>
      </c>
    </row>
    <row r="17" spans="3:9" x14ac:dyDescent="0.3">
      <c r="C17" t="s">
        <v>97</v>
      </c>
      <c r="D17" t="s">
        <v>15</v>
      </c>
      <c r="E17" t="s">
        <v>12</v>
      </c>
      <c r="F17">
        <v>37</v>
      </c>
      <c r="G17" s="1">
        <v>44701</v>
      </c>
      <c r="H17">
        <v>69070</v>
      </c>
      <c r="I17" t="s">
        <v>16</v>
      </c>
    </row>
    <row r="18" spans="3:9" x14ac:dyDescent="0.3">
      <c r="C18" t="s">
        <v>22</v>
      </c>
      <c r="D18" t="s">
        <v>15</v>
      </c>
      <c r="E18" t="s">
        <v>12</v>
      </c>
      <c r="F18">
        <v>20</v>
      </c>
      <c r="G18" s="1">
        <v>44459</v>
      </c>
      <c r="H18">
        <v>107700</v>
      </c>
      <c r="I18" t="s">
        <v>16</v>
      </c>
    </row>
    <row r="19" spans="3:9" x14ac:dyDescent="0.3">
      <c r="C19" t="s">
        <v>84</v>
      </c>
      <c r="D19" t="s">
        <v>8</v>
      </c>
      <c r="E19" t="s">
        <v>12</v>
      </c>
      <c r="F19">
        <v>32</v>
      </c>
      <c r="G19" s="1">
        <v>44354</v>
      </c>
      <c r="H19">
        <v>43840</v>
      </c>
      <c r="I19" t="s">
        <v>13</v>
      </c>
    </row>
    <row r="20" spans="3:9" x14ac:dyDescent="0.3">
      <c r="C20" t="s">
        <v>105</v>
      </c>
      <c r="D20" t="s">
        <v>15</v>
      </c>
      <c r="E20" t="s">
        <v>9</v>
      </c>
      <c r="F20">
        <v>40</v>
      </c>
      <c r="G20" s="1">
        <v>44263</v>
      </c>
      <c r="H20">
        <v>99750</v>
      </c>
      <c r="I20" t="s">
        <v>16</v>
      </c>
    </row>
    <row r="21" spans="3:9" x14ac:dyDescent="0.3">
      <c r="C21" t="s">
        <v>47</v>
      </c>
      <c r="D21" t="s">
        <v>15</v>
      </c>
      <c r="E21" t="s">
        <v>9</v>
      </c>
      <c r="F21">
        <v>21</v>
      </c>
      <c r="G21" s="1">
        <v>44104</v>
      </c>
      <c r="H21">
        <v>37920</v>
      </c>
      <c r="I21" t="s">
        <v>16</v>
      </c>
    </row>
    <row r="22" spans="3:9" x14ac:dyDescent="0.3">
      <c r="C22" t="s">
        <v>31</v>
      </c>
      <c r="D22" t="s">
        <v>15</v>
      </c>
      <c r="E22" t="s">
        <v>9</v>
      </c>
      <c r="F22">
        <v>21</v>
      </c>
      <c r="G22" s="1">
        <v>44762</v>
      </c>
      <c r="H22">
        <v>57090</v>
      </c>
      <c r="I22" t="s">
        <v>16</v>
      </c>
    </row>
    <row r="23" spans="3:9" x14ac:dyDescent="0.3">
      <c r="C23" t="s">
        <v>30</v>
      </c>
      <c r="D23" t="s">
        <v>8</v>
      </c>
      <c r="E23" t="s">
        <v>12</v>
      </c>
      <c r="F23">
        <v>31</v>
      </c>
      <c r="G23" s="1">
        <v>44145</v>
      </c>
      <c r="H23">
        <v>41980</v>
      </c>
      <c r="I23" t="s">
        <v>16</v>
      </c>
    </row>
    <row r="24" spans="3:9" x14ac:dyDescent="0.3">
      <c r="C24" t="s">
        <v>78</v>
      </c>
      <c r="D24" t="s">
        <v>15</v>
      </c>
      <c r="E24" t="s">
        <v>56</v>
      </c>
      <c r="F24">
        <v>21</v>
      </c>
      <c r="G24" s="1">
        <v>44242</v>
      </c>
      <c r="H24">
        <v>75880</v>
      </c>
      <c r="I24" t="s">
        <v>16</v>
      </c>
    </row>
    <row r="25" spans="3:9" x14ac:dyDescent="0.3">
      <c r="C25" t="s">
        <v>36</v>
      </c>
      <c r="D25" t="s">
        <v>8</v>
      </c>
      <c r="E25" t="s">
        <v>21</v>
      </c>
      <c r="F25">
        <v>34</v>
      </c>
      <c r="G25" s="1">
        <v>44653</v>
      </c>
      <c r="H25">
        <v>58940</v>
      </c>
      <c r="I25" t="s">
        <v>16</v>
      </c>
    </row>
    <row r="26" spans="3:9" x14ac:dyDescent="0.3">
      <c r="C26" t="s">
        <v>27</v>
      </c>
      <c r="D26" t="s">
        <v>8</v>
      </c>
      <c r="E26" t="s">
        <v>21</v>
      </c>
      <c r="F26">
        <v>30</v>
      </c>
      <c r="G26" s="1">
        <v>44389</v>
      </c>
      <c r="H26">
        <v>67910</v>
      </c>
      <c r="I26" t="s">
        <v>24</v>
      </c>
    </row>
    <row r="27" spans="3:9" x14ac:dyDescent="0.3">
      <c r="C27" t="s">
        <v>26</v>
      </c>
      <c r="D27" t="s">
        <v>8</v>
      </c>
      <c r="E27" t="s">
        <v>12</v>
      </c>
      <c r="F27">
        <v>31</v>
      </c>
      <c r="G27" s="1">
        <v>44663</v>
      </c>
      <c r="H27">
        <v>58100</v>
      </c>
      <c r="I27" t="s">
        <v>16</v>
      </c>
    </row>
    <row r="28" spans="3:9" x14ac:dyDescent="0.3">
      <c r="C28" t="s">
        <v>53</v>
      </c>
      <c r="D28" t="s">
        <v>15</v>
      </c>
      <c r="E28" t="s">
        <v>21</v>
      </c>
      <c r="F28">
        <v>27</v>
      </c>
      <c r="G28" s="1">
        <v>44567</v>
      </c>
      <c r="H28">
        <v>48980</v>
      </c>
      <c r="I28" t="s">
        <v>16</v>
      </c>
    </row>
    <row r="29" spans="3:9" x14ac:dyDescent="0.3">
      <c r="C29" t="s">
        <v>20</v>
      </c>
      <c r="E29" t="s">
        <v>21</v>
      </c>
      <c r="F29">
        <v>30</v>
      </c>
      <c r="G29" s="1">
        <v>44597</v>
      </c>
      <c r="H29">
        <v>64000</v>
      </c>
      <c r="I29" t="s">
        <v>16</v>
      </c>
    </row>
    <row r="30" spans="3:9" x14ac:dyDescent="0.3">
      <c r="C30" t="s">
        <v>7</v>
      </c>
      <c r="D30" t="s">
        <v>8</v>
      </c>
      <c r="E30" t="s">
        <v>9</v>
      </c>
      <c r="F30">
        <v>42</v>
      </c>
      <c r="G30" s="1">
        <v>44779</v>
      </c>
      <c r="H30">
        <v>75000</v>
      </c>
      <c r="I30" t="s">
        <v>10</v>
      </c>
    </row>
    <row r="31" spans="3:9" x14ac:dyDescent="0.3">
      <c r="C31" t="s">
        <v>74</v>
      </c>
      <c r="D31" t="s">
        <v>8</v>
      </c>
      <c r="E31" t="s">
        <v>12</v>
      </c>
      <c r="F31">
        <v>40</v>
      </c>
      <c r="G31" s="1">
        <v>44337</v>
      </c>
      <c r="H31">
        <v>87620</v>
      </c>
      <c r="I31" t="s">
        <v>16</v>
      </c>
    </row>
    <row r="32" spans="3:9" x14ac:dyDescent="0.3">
      <c r="C32" t="s">
        <v>44</v>
      </c>
      <c r="D32" t="s">
        <v>8</v>
      </c>
      <c r="E32" t="s">
        <v>12</v>
      </c>
      <c r="F32">
        <v>29</v>
      </c>
      <c r="G32" s="1">
        <v>44023</v>
      </c>
      <c r="H32">
        <v>34980</v>
      </c>
      <c r="I32" t="s">
        <v>16</v>
      </c>
    </row>
    <row r="33" spans="3:9" x14ac:dyDescent="0.3">
      <c r="C33" t="s">
        <v>35</v>
      </c>
      <c r="D33" t="s">
        <v>8</v>
      </c>
      <c r="E33" t="s">
        <v>21</v>
      </c>
      <c r="F33">
        <v>28</v>
      </c>
      <c r="G33" s="1">
        <v>44185</v>
      </c>
      <c r="H33">
        <v>75970</v>
      </c>
      <c r="I33" t="s">
        <v>16</v>
      </c>
    </row>
    <row r="34" spans="3:9" x14ac:dyDescent="0.3">
      <c r="C34" t="s">
        <v>38</v>
      </c>
      <c r="D34" t="s">
        <v>8</v>
      </c>
      <c r="E34" t="s">
        <v>21</v>
      </c>
      <c r="F34">
        <v>34</v>
      </c>
      <c r="G34" s="1">
        <v>44612</v>
      </c>
      <c r="H34">
        <v>60130</v>
      </c>
      <c r="I34" t="s">
        <v>16</v>
      </c>
    </row>
    <row r="35" spans="3:9" x14ac:dyDescent="0.3">
      <c r="C35" t="s">
        <v>41</v>
      </c>
      <c r="D35" t="s">
        <v>8</v>
      </c>
      <c r="E35" t="s">
        <v>12</v>
      </c>
      <c r="F35">
        <v>33</v>
      </c>
      <c r="G35" s="1">
        <v>44374</v>
      </c>
      <c r="H35">
        <v>75480</v>
      </c>
      <c r="I35" t="s">
        <v>42</v>
      </c>
    </row>
    <row r="36" spans="3:9" x14ac:dyDescent="0.3">
      <c r="C36" t="s">
        <v>40</v>
      </c>
      <c r="D36" t="s">
        <v>15</v>
      </c>
      <c r="E36" t="s">
        <v>9</v>
      </c>
      <c r="F36">
        <v>33</v>
      </c>
      <c r="G36" s="1">
        <v>44164</v>
      </c>
      <c r="H36">
        <v>115920</v>
      </c>
      <c r="I36" t="s">
        <v>16</v>
      </c>
    </row>
    <row r="37" spans="3:9" x14ac:dyDescent="0.3">
      <c r="C37" t="s">
        <v>48</v>
      </c>
      <c r="D37" t="s">
        <v>8</v>
      </c>
      <c r="E37" t="s">
        <v>19</v>
      </c>
      <c r="F37">
        <v>36</v>
      </c>
      <c r="G37" s="1">
        <v>44494</v>
      </c>
      <c r="H37">
        <v>78540</v>
      </c>
      <c r="I37" t="s">
        <v>16</v>
      </c>
    </row>
    <row r="38" spans="3:9" x14ac:dyDescent="0.3">
      <c r="C38" t="s">
        <v>34</v>
      </c>
      <c r="D38" t="s">
        <v>15</v>
      </c>
      <c r="E38" t="s">
        <v>9</v>
      </c>
      <c r="F38">
        <v>25</v>
      </c>
      <c r="G38" s="1">
        <v>44726</v>
      </c>
      <c r="H38">
        <v>109190</v>
      </c>
      <c r="I38" t="s">
        <v>13</v>
      </c>
    </row>
    <row r="39" spans="3:9" x14ac:dyDescent="0.3">
      <c r="C39" t="s">
        <v>73</v>
      </c>
      <c r="D39" t="s">
        <v>8</v>
      </c>
      <c r="E39" t="s">
        <v>19</v>
      </c>
      <c r="F39">
        <v>34</v>
      </c>
      <c r="G39" s="1">
        <v>44721</v>
      </c>
      <c r="H39">
        <v>49630</v>
      </c>
      <c r="I39" t="s">
        <v>24</v>
      </c>
    </row>
    <row r="40" spans="3:9" x14ac:dyDescent="0.3">
      <c r="C40" t="s">
        <v>107</v>
      </c>
      <c r="D40" t="s">
        <v>8</v>
      </c>
      <c r="E40" t="s">
        <v>9</v>
      </c>
      <c r="F40">
        <v>28</v>
      </c>
      <c r="G40" s="1">
        <v>44630</v>
      </c>
      <c r="H40">
        <v>99970</v>
      </c>
      <c r="I40" t="s">
        <v>16</v>
      </c>
    </row>
    <row r="41" spans="3:9" x14ac:dyDescent="0.3">
      <c r="C41" t="s">
        <v>71</v>
      </c>
      <c r="D41" t="s">
        <v>8</v>
      </c>
      <c r="E41" t="s">
        <v>12</v>
      </c>
      <c r="F41">
        <v>33</v>
      </c>
      <c r="G41" s="1">
        <v>44190</v>
      </c>
      <c r="H41">
        <v>96140</v>
      </c>
      <c r="I41" t="s">
        <v>16</v>
      </c>
    </row>
    <row r="42" spans="3:9" x14ac:dyDescent="0.3">
      <c r="C42" t="s">
        <v>50</v>
      </c>
      <c r="D42" t="s">
        <v>15</v>
      </c>
      <c r="E42" t="s">
        <v>9</v>
      </c>
      <c r="F42">
        <v>31</v>
      </c>
      <c r="G42" s="1">
        <v>44724</v>
      </c>
      <c r="H42">
        <v>103550</v>
      </c>
      <c r="I42" t="s">
        <v>16</v>
      </c>
    </row>
    <row r="43" spans="3:9" x14ac:dyDescent="0.3">
      <c r="C43" t="s">
        <v>14</v>
      </c>
      <c r="D43" t="s">
        <v>15</v>
      </c>
      <c r="E43" t="s">
        <v>12</v>
      </c>
      <c r="F43">
        <v>31</v>
      </c>
      <c r="G43" s="1">
        <v>44511</v>
      </c>
      <c r="H43">
        <v>48950</v>
      </c>
      <c r="I43" t="s">
        <v>16</v>
      </c>
    </row>
    <row r="44" spans="3:9" x14ac:dyDescent="0.3">
      <c r="C44" t="s">
        <v>63</v>
      </c>
      <c r="D44" t="s">
        <v>15</v>
      </c>
      <c r="E44" t="s">
        <v>21</v>
      </c>
      <c r="F44">
        <v>24</v>
      </c>
      <c r="G44" s="1">
        <v>44436</v>
      </c>
      <c r="H44">
        <v>52610</v>
      </c>
      <c r="I44" t="s">
        <v>24</v>
      </c>
    </row>
    <row r="45" spans="3:9" x14ac:dyDescent="0.3">
      <c r="C45" t="s">
        <v>72</v>
      </c>
      <c r="D45" t="s">
        <v>8</v>
      </c>
      <c r="E45" t="s">
        <v>9</v>
      </c>
      <c r="F45">
        <v>36</v>
      </c>
      <c r="G45" s="1">
        <v>44529</v>
      </c>
      <c r="H45">
        <v>78390</v>
      </c>
      <c r="I45" t="s">
        <v>16</v>
      </c>
    </row>
    <row r="46" spans="3:9" x14ac:dyDescent="0.3">
      <c r="C46" t="s">
        <v>88</v>
      </c>
      <c r="D46" t="s">
        <v>8</v>
      </c>
      <c r="E46" t="s">
        <v>21</v>
      </c>
      <c r="F46">
        <v>33</v>
      </c>
      <c r="G46" s="1">
        <v>44809</v>
      </c>
      <c r="H46">
        <v>86570</v>
      </c>
      <c r="I46" t="s">
        <v>16</v>
      </c>
    </row>
    <row r="47" spans="3:9" x14ac:dyDescent="0.3">
      <c r="C47" t="s">
        <v>92</v>
      </c>
      <c r="D47" t="s">
        <v>8</v>
      </c>
      <c r="E47" t="s">
        <v>12</v>
      </c>
      <c r="F47">
        <v>27</v>
      </c>
      <c r="G47" s="1">
        <v>44686</v>
      </c>
      <c r="H47">
        <v>83750</v>
      </c>
      <c r="I47" t="s">
        <v>16</v>
      </c>
    </row>
    <row r="48" spans="3:9" x14ac:dyDescent="0.3">
      <c r="C48" t="s">
        <v>102</v>
      </c>
      <c r="D48" t="s">
        <v>8</v>
      </c>
      <c r="E48" t="s">
        <v>21</v>
      </c>
      <c r="F48">
        <v>34</v>
      </c>
      <c r="G48" s="1">
        <v>44445</v>
      </c>
      <c r="H48">
        <v>92450</v>
      </c>
      <c r="I48" t="s">
        <v>16</v>
      </c>
    </row>
    <row r="49" spans="3:9" x14ac:dyDescent="0.3">
      <c r="C49" t="s">
        <v>64</v>
      </c>
      <c r="D49" t="s">
        <v>15</v>
      </c>
      <c r="E49" t="s">
        <v>12</v>
      </c>
      <c r="F49">
        <v>20</v>
      </c>
      <c r="G49" s="1">
        <v>44183</v>
      </c>
      <c r="H49">
        <v>112650</v>
      </c>
      <c r="I49" t="s">
        <v>16</v>
      </c>
    </row>
    <row r="50" spans="3:9" x14ac:dyDescent="0.3">
      <c r="C50" t="s">
        <v>104</v>
      </c>
      <c r="D50" t="s">
        <v>15</v>
      </c>
      <c r="E50" t="s">
        <v>9</v>
      </c>
      <c r="F50">
        <v>20</v>
      </c>
      <c r="G50" s="1">
        <v>44744</v>
      </c>
      <c r="H50">
        <v>79570</v>
      </c>
      <c r="I50" t="s">
        <v>16</v>
      </c>
    </row>
    <row r="51" spans="3:9" x14ac:dyDescent="0.3">
      <c r="C51" t="s">
        <v>91</v>
      </c>
      <c r="D51" t="s">
        <v>8</v>
      </c>
      <c r="E51" t="s">
        <v>19</v>
      </c>
      <c r="F51">
        <v>20</v>
      </c>
      <c r="G51" s="1">
        <v>44537</v>
      </c>
      <c r="H51">
        <v>68900</v>
      </c>
      <c r="I51" t="s">
        <v>24</v>
      </c>
    </row>
    <row r="52" spans="3:9" x14ac:dyDescent="0.3">
      <c r="C52" t="s">
        <v>39</v>
      </c>
      <c r="D52" t="s">
        <v>8</v>
      </c>
      <c r="E52" t="s">
        <v>12</v>
      </c>
      <c r="F52">
        <v>25</v>
      </c>
      <c r="G52" s="1">
        <v>44694</v>
      </c>
      <c r="H52">
        <v>80700</v>
      </c>
      <c r="I52" t="s">
        <v>13</v>
      </c>
    </row>
    <row r="53" spans="3:9" x14ac:dyDescent="0.3">
      <c r="C53" t="s">
        <v>100</v>
      </c>
      <c r="D53" t="s">
        <v>15</v>
      </c>
      <c r="E53" t="s">
        <v>9</v>
      </c>
      <c r="F53">
        <v>19</v>
      </c>
      <c r="G53" s="1">
        <v>44277</v>
      </c>
      <c r="H53">
        <v>58960</v>
      </c>
      <c r="I53" t="s">
        <v>16</v>
      </c>
    </row>
    <row r="54" spans="3:9" x14ac:dyDescent="0.3">
      <c r="C54" t="s">
        <v>106</v>
      </c>
      <c r="D54" t="s">
        <v>15</v>
      </c>
      <c r="E54" t="s">
        <v>12</v>
      </c>
      <c r="F54">
        <v>36</v>
      </c>
      <c r="G54" s="1">
        <v>44019</v>
      </c>
      <c r="H54">
        <v>118840</v>
      </c>
      <c r="I54" t="s">
        <v>16</v>
      </c>
    </row>
    <row r="55" spans="3:9" x14ac:dyDescent="0.3">
      <c r="C55" t="s">
        <v>29</v>
      </c>
      <c r="D55" t="s">
        <v>15</v>
      </c>
      <c r="E55" t="s">
        <v>21</v>
      </c>
      <c r="F55">
        <v>28</v>
      </c>
      <c r="G55" s="1">
        <v>44041</v>
      </c>
      <c r="H55">
        <v>48170</v>
      </c>
      <c r="I55" t="s">
        <v>13</v>
      </c>
    </row>
    <row r="56" spans="3:9" x14ac:dyDescent="0.3">
      <c r="C56" t="s">
        <v>108</v>
      </c>
      <c r="D56" t="s">
        <v>8</v>
      </c>
      <c r="E56" t="s">
        <v>56</v>
      </c>
      <c r="F56">
        <v>32</v>
      </c>
      <c r="G56" s="1">
        <v>44400</v>
      </c>
      <c r="H56">
        <v>45510</v>
      </c>
      <c r="I56" t="s">
        <v>16</v>
      </c>
    </row>
    <row r="57" spans="3:9" x14ac:dyDescent="0.3">
      <c r="C57" t="s">
        <v>64</v>
      </c>
      <c r="D57" t="s">
        <v>15</v>
      </c>
      <c r="E57" t="s">
        <v>9</v>
      </c>
      <c r="F57">
        <v>34</v>
      </c>
      <c r="G57" s="1">
        <v>44703</v>
      </c>
      <c r="H57">
        <v>112650</v>
      </c>
      <c r="I57" t="s">
        <v>16</v>
      </c>
    </row>
    <row r="58" spans="3:9" x14ac:dyDescent="0.3">
      <c r="C58" t="s">
        <v>83</v>
      </c>
      <c r="D58" t="s">
        <v>8</v>
      </c>
      <c r="E58" t="s">
        <v>9</v>
      </c>
      <c r="F58">
        <v>36</v>
      </c>
      <c r="G58" s="1">
        <v>44085</v>
      </c>
      <c r="H58">
        <v>114890</v>
      </c>
      <c r="I58" t="s">
        <v>16</v>
      </c>
    </row>
    <row r="59" spans="3:9" x14ac:dyDescent="0.3">
      <c r="C59" t="s">
        <v>67</v>
      </c>
      <c r="D59" t="s">
        <v>15</v>
      </c>
      <c r="E59" t="s">
        <v>12</v>
      </c>
      <c r="F59">
        <v>30</v>
      </c>
      <c r="G59" s="1">
        <v>44850</v>
      </c>
      <c r="H59">
        <v>69710</v>
      </c>
      <c r="I59" t="s">
        <v>16</v>
      </c>
    </row>
    <row r="60" spans="3:9" x14ac:dyDescent="0.3">
      <c r="C60" t="s">
        <v>94</v>
      </c>
      <c r="D60" t="s">
        <v>15</v>
      </c>
      <c r="E60" t="s">
        <v>21</v>
      </c>
      <c r="F60">
        <v>36</v>
      </c>
      <c r="G60" s="1">
        <v>44333</v>
      </c>
      <c r="H60">
        <v>71380</v>
      </c>
      <c r="I60" t="s">
        <v>16</v>
      </c>
    </row>
    <row r="61" spans="3:9" x14ac:dyDescent="0.3">
      <c r="C61" t="s">
        <v>33</v>
      </c>
      <c r="D61" t="s">
        <v>8</v>
      </c>
      <c r="E61" t="s">
        <v>19</v>
      </c>
      <c r="F61">
        <v>38</v>
      </c>
      <c r="G61" s="1">
        <v>44377</v>
      </c>
      <c r="H61">
        <v>109160</v>
      </c>
      <c r="I61" t="s">
        <v>10</v>
      </c>
    </row>
    <row r="62" spans="3:9" x14ac:dyDescent="0.3">
      <c r="C62" t="s">
        <v>98</v>
      </c>
      <c r="D62" t="s">
        <v>15</v>
      </c>
      <c r="E62" t="s">
        <v>9</v>
      </c>
      <c r="F62">
        <v>27</v>
      </c>
      <c r="G62" s="1">
        <v>44609</v>
      </c>
      <c r="H62">
        <v>113280</v>
      </c>
      <c r="I62" t="s">
        <v>42</v>
      </c>
    </row>
    <row r="63" spans="3:9" x14ac:dyDescent="0.3">
      <c r="C63" t="s">
        <v>25</v>
      </c>
      <c r="D63" t="s">
        <v>15</v>
      </c>
      <c r="E63" t="s">
        <v>12</v>
      </c>
      <c r="F63">
        <v>30</v>
      </c>
      <c r="G63" s="1">
        <v>44273</v>
      </c>
      <c r="H63">
        <v>69120</v>
      </c>
      <c r="I63" t="s">
        <v>16</v>
      </c>
    </row>
    <row r="64" spans="3:9" x14ac:dyDescent="0.3">
      <c r="C64" t="s">
        <v>55</v>
      </c>
      <c r="D64" t="s">
        <v>8</v>
      </c>
      <c r="E64" t="s">
        <v>56</v>
      </c>
      <c r="F64">
        <v>37</v>
      </c>
      <c r="G64" s="1">
        <v>44451</v>
      </c>
      <c r="H64">
        <v>118100</v>
      </c>
      <c r="I64" t="s">
        <v>16</v>
      </c>
    </row>
    <row r="65" spans="3:9" x14ac:dyDescent="0.3">
      <c r="C65" t="s">
        <v>62</v>
      </c>
      <c r="D65" t="s">
        <v>8</v>
      </c>
      <c r="E65" t="s">
        <v>9</v>
      </c>
      <c r="F65">
        <v>22</v>
      </c>
      <c r="G65" s="1">
        <v>44450</v>
      </c>
      <c r="H65">
        <v>76900</v>
      </c>
      <c r="I65" t="s">
        <v>13</v>
      </c>
    </row>
    <row r="66" spans="3:9" x14ac:dyDescent="0.3">
      <c r="C66" t="s">
        <v>17</v>
      </c>
      <c r="D66" t="s">
        <v>8</v>
      </c>
      <c r="E66" t="s">
        <v>12</v>
      </c>
      <c r="F66">
        <v>43</v>
      </c>
      <c r="G66" s="1">
        <v>45045</v>
      </c>
      <c r="H66">
        <v>114870</v>
      </c>
      <c r="I66" t="s">
        <v>16</v>
      </c>
    </row>
    <row r="67" spans="3:9" x14ac:dyDescent="0.3">
      <c r="C67" t="s">
        <v>52</v>
      </c>
      <c r="E67" t="s">
        <v>12</v>
      </c>
      <c r="F67">
        <v>32</v>
      </c>
      <c r="G67" s="1">
        <v>44774</v>
      </c>
      <c r="H67">
        <v>91310</v>
      </c>
      <c r="I67" t="s">
        <v>16</v>
      </c>
    </row>
    <row r="68" spans="3:9" x14ac:dyDescent="0.3">
      <c r="C68" t="s">
        <v>43</v>
      </c>
      <c r="D68" t="s">
        <v>8</v>
      </c>
      <c r="E68" t="s">
        <v>9</v>
      </c>
      <c r="F68">
        <v>28</v>
      </c>
      <c r="G68" s="1">
        <v>44486</v>
      </c>
      <c r="H68">
        <v>104770</v>
      </c>
      <c r="I68" t="s">
        <v>16</v>
      </c>
    </row>
    <row r="69" spans="3:9" x14ac:dyDescent="0.3">
      <c r="C69" t="s">
        <v>89</v>
      </c>
      <c r="D69" t="s">
        <v>15</v>
      </c>
      <c r="E69" t="s">
        <v>19</v>
      </c>
      <c r="F69">
        <v>27</v>
      </c>
      <c r="G69" s="1">
        <v>44134</v>
      </c>
      <c r="H69">
        <v>54970</v>
      </c>
      <c r="I69" t="s">
        <v>16</v>
      </c>
    </row>
    <row r="70" spans="3:9" x14ac:dyDescent="0.3">
      <c r="C70" t="s">
        <v>11</v>
      </c>
      <c r="E70" t="s">
        <v>12</v>
      </c>
      <c r="F70">
        <v>26</v>
      </c>
      <c r="G70" s="1">
        <v>44271</v>
      </c>
      <c r="H70">
        <v>90700</v>
      </c>
      <c r="I70" t="s">
        <v>13</v>
      </c>
    </row>
    <row r="71" spans="3:9" x14ac:dyDescent="0.3">
      <c r="C71" t="s">
        <v>109</v>
      </c>
      <c r="D71" t="s">
        <v>8</v>
      </c>
      <c r="E71" t="s">
        <v>19</v>
      </c>
      <c r="F71">
        <v>38</v>
      </c>
      <c r="G71" s="1">
        <v>44329</v>
      </c>
      <c r="H71">
        <v>56870</v>
      </c>
      <c r="I71" t="s">
        <v>13</v>
      </c>
    </row>
    <row r="72" spans="3:9" x14ac:dyDescent="0.3">
      <c r="C72" t="s">
        <v>77</v>
      </c>
      <c r="D72" t="s">
        <v>8</v>
      </c>
      <c r="E72" t="s">
        <v>19</v>
      </c>
      <c r="F72">
        <v>25</v>
      </c>
      <c r="G72" s="1">
        <v>44205</v>
      </c>
      <c r="H72">
        <v>92700</v>
      </c>
      <c r="I72" t="s">
        <v>16</v>
      </c>
    </row>
    <row r="73" spans="3:9" x14ac:dyDescent="0.3">
      <c r="C73" t="s">
        <v>32</v>
      </c>
      <c r="D73" t="s">
        <v>8</v>
      </c>
      <c r="E73" t="s">
        <v>21</v>
      </c>
      <c r="F73">
        <v>21</v>
      </c>
      <c r="G73" s="1">
        <v>44317</v>
      </c>
      <c r="H73">
        <v>65920</v>
      </c>
      <c r="I73" t="s">
        <v>16</v>
      </c>
    </row>
    <row r="74" spans="3:9" x14ac:dyDescent="0.3">
      <c r="C74" t="s">
        <v>59</v>
      </c>
      <c r="D74" t="s">
        <v>15</v>
      </c>
      <c r="E74" t="s">
        <v>9</v>
      </c>
      <c r="F74">
        <v>26</v>
      </c>
      <c r="G74" s="1">
        <v>44225</v>
      </c>
      <c r="H74">
        <v>47360</v>
      </c>
      <c r="I74" t="s">
        <v>16</v>
      </c>
    </row>
    <row r="75" spans="3:9" x14ac:dyDescent="0.3">
      <c r="C75" t="s">
        <v>37</v>
      </c>
      <c r="D75" t="s">
        <v>15</v>
      </c>
      <c r="E75" t="s">
        <v>9</v>
      </c>
      <c r="F75">
        <v>30</v>
      </c>
      <c r="G75" s="1">
        <v>44666</v>
      </c>
      <c r="H75">
        <v>60570</v>
      </c>
      <c r="I75" t="s">
        <v>16</v>
      </c>
    </row>
    <row r="76" spans="3:9" x14ac:dyDescent="0.3">
      <c r="C76" t="s">
        <v>96</v>
      </c>
      <c r="D76" t="s">
        <v>8</v>
      </c>
      <c r="E76" t="s">
        <v>9</v>
      </c>
      <c r="F76">
        <v>28</v>
      </c>
      <c r="G76" s="1">
        <v>44649</v>
      </c>
      <c r="H76">
        <v>104120</v>
      </c>
      <c r="I76" t="s">
        <v>16</v>
      </c>
    </row>
    <row r="77" spans="3:9" x14ac:dyDescent="0.3">
      <c r="C77" t="s">
        <v>23</v>
      </c>
      <c r="D77" t="s">
        <v>15</v>
      </c>
      <c r="E77" t="s">
        <v>12</v>
      </c>
      <c r="F77">
        <v>37</v>
      </c>
      <c r="G77" s="1">
        <v>44338</v>
      </c>
      <c r="H77">
        <v>88050</v>
      </c>
      <c r="I77" t="s">
        <v>24</v>
      </c>
    </row>
    <row r="78" spans="3:9" x14ac:dyDescent="0.3">
      <c r="C78" t="s">
        <v>103</v>
      </c>
      <c r="D78" t="s">
        <v>15</v>
      </c>
      <c r="E78" t="s">
        <v>12</v>
      </c>
      <c r="F78">
        <v>24</v>
      </c>
      <c r="G78" s="1">
        <v>44686</v>
      </c>
      <c r="H78">
        <v>100420</v>
      </c>
      <c r="I78" t="s">
        <v>16</v>
      </c>
    </row>
    <row r="79" spans="3:9" x14ac:dyDescent="0.3">
      <c r="C79" t="s">
        <v>54</v>
      </c>
      <c r="D79" t="s">
        <v>8</v>
      </c>
      <c r="E79" t="s">
        <v>9</v>
      </c>
      <c r="F79">
        <v>30</v>
      </c>
      <c r="G79" s="1">
        <v>44850</v>
      </c>
      <c r="H79">
        <v>114180</v>
      </c>
      <c r="I79" t="s">
        <v>16</v>
      </c>
    </row>
    <row r="80" spans="3:9" x14ac:dyDescent="0.3">
      <c r="C80" t="s">
        <v>86</v>
      </c>
      <c r="D80" t="s">
        <v>8</v>
      </c>
      <c r="E80" t="s">
        <v>12</v>
      </c>
      <c r="F80">
        <v>21</v>
      </c>
      <c r="G80" s="1">
        <v>44678</v>
      </c>
      <c r="H80">
        <v>33920</v>
      </c>
      <c r="I80" t="s">
        <v>16</v>
      </c>
    </row>
    <row r="81" spans="3:9" x14ac:dyDescent="0.3">
      <c r="C81" t="s">
        <v>69</v>
      </c>
      <c r="D81" t="s">
        <v>15</v>
      </c>
      <c r="E81" t="s">
        <v>9</v>
      </c>
      <c r="F81">
        <v>23</v>
      </c>
      <c r="G81" s="1">
        <v>44440</v>
      </c>
      <c r="H81">
        <v>106460</v>
      </c>
      <c r="I81" t="s">
        <v>16</v>
      </c>
    </row>
    <row r="82" spans="3:9" x14ac:dyDescent="0.3">
      <c r="C82" t="s">
        <v>57</v>
      </c>
      <c r="D82" t="s">
        <v>15</v>
      </c>
      <c r="E82" t="s">
        <v>9</v>
      </c>
      <c r="F82">
        <v>35</v>
      </c>
      <c r="G82" s="1">
        <v>44727</v>
      </c>
      <c r="H82">
        <v>40400</v>
      </c>
      <c r="I82" t="s">
        <v>16</v>
      </c>
    </row>
    <row r="83" spans="3:9" x14ac:dyDescent="0.3">
      <c r="C83" t="s">
        <v>68</v>
      </c>
      <c r="D83" t="s">
        <v>15</v>
      </c>
      <c r="E83" t="s">
        <v>21</v>
      </c>
      <c r="F83">
        <v>27</v>
      </c>
      <c r="G83" s="1">
        <v>44236</v>
      </c>
      <c r="H83">
        <v>91650</v>
      </c>
      <c r="I83" t="s">
        <v>13</v>
      </c>
    </row>
    <row r="84" spans="3:9" x14ac:dyDescent="0.3">
      <c r="C84" t="s">
        <v>99</v>
      </c>
      <c r="D84" t="s">
        <v>15</v>
      </c>
      <c r="E84" t="s">
        <v>19</v>
      </c>
      <c r="F84">
        <v>43</v>
      </c>
      <c r="G84" s="1">
        <v>44620</v>
      </c>
      <c r="H84">
        <v>36040</v>
      </c>
      <c r="I84" t="s">
        <v>16</v>
      </c>
    </row>
    <row r="85" spans="3:9" x14ac:dyDescent="0.3">
      <c r="C85" t="s">
        <v>101</v>
      </c>
      <c r="D85" t="s">
        <v>8</v>
      </c>
      <c r="E85" t="s">
        <v>12</v>
      </c>
      <c r="F85">
        <v>40</v>
      </c>
      <c r="G85" s="1">
        <v>44381</v>
      </c>
      <c r="H85">
        <v>104410</v>
      </c>
      <c r="I85" t="s">
        <v>16</v>
      </c>
    </row>
    <row r="86" spans="3:9" x14ac:dyDescent="0.3">
      <c r="C86" t="s">
        <v>85</v>
      </c>
      <c r="D86" t="s">
        <v>15</v>
      </c>
      <c r="E86" t="s">
        <v>21</v>
      </c>
      <c r="F86">
        <v>30</v>
      </c>
      <c r="G86" s="1">
        <v>44606</v>
      </c>
      <c r="H86">
        <v>96800</v>
      </c>
      <c r="I86" t="s">
        <v>16</v>
      </c>
    </row>
    <row r="87" spans="3:9" x14ac:dyDescent="0.3">
      <c r="C87" t="s">
        <v>28</v>
      </c>
      <c r="D87" t="s">
        <v>8</v>
      </c>
      <c r="E87" t="s">
        <v>21</v>
      </c>
      <c r="F87">
        <v>34</v>
      </c>
      <c r="G87" s="1">
        <v>44459</v>
      </c>
      <c r="H87">
        <v>85000</v>
      </c>
      <c r="I87" t="s">
        <v>16</v>
      </c>
    </row>
    <row r="88" spans="3:9" x14ac:dyDescent="0.3">
      <c r="C88" t="s">
        <v>80</v>
      </c>
      <c r="D88" t="s">
        <v>15</v>
      </c>
      <c r="E88" t="s">
        <v>19</v>
      </c>
      <c r="F88">
        <v>28</v>
      </c>
      <c r="G88" s="1">
        <v>44820</v>
      </c>
      <c r="H88">
        <v>43510</v>
      </c>
      <c r="I88" t="s">
        <v>42</v>
      </c>
    </row>
    <row r="89" spans="3:9" x14ac:dyDescent="0.3">
      <c r="C89" t="s">
        <v>79</v>
      </c>
      <c r="D89" t="s">
        <v>15</v>
      </c>
      <c r="E89" t="s">
        <v>21</v>
      </c>
      <c r="F89">
        <v>33</v>
      </c>
      <c r="G89" s="1">
        <v>44243</v>
      </c>
      <c r="H89">
        <v>59430</v>
      </c>
      <c r="I89" t="s">
        <v>16</v>
      </c>
    </row>
    <row r="90" spans="3:9" x14ac:dyDescent="0.3">
      <c r="C90" t="s">
        <v>93</v>
      </c>
      <c r="D90" t="s">
        <v>8</v>
      </c>
      <c r="E90" t="s">
        <v>21</v>
      </c>
      <c r="F90">
        <v>33</v>
      </c>
      <c r="G90" s="1">
        <v>44067</v>
      </c>
      <c r="H90">
        <v>65360</v>
      </c>
      <c r="I90" t="s">
        <v>16</v>
      </c>
    </row>
    <row r="91" spans="3:9" x14ac:dyDescent="0.3">
      <c r="C91" t="s">
        <v>66</v>
      </c>
      <c r="D91" t="s">
        <v>8</v>
      </c>
      <c r="E91" t="s">
        <v>9</v>
      </c>
      <c r="F91">
        <v>32</v>
      </c>
      <c r="G91" s="1">
        <v>44611</v>
      </c>
      <c r="H91">
        <v>41570</v>
      </c>
      <c r="I91" t="s">
        <v>16</v>
      </c>
    </row>
    <row r="92" spans="3:9" x14ac:dyDescent="0.3">
      <c r="C92" t="s">
        <v>95</v>
      </c>
      <c r="D92" t="s">
        <v>8</v>
      </c>
      <c r="E92" t="s">
        <v>12</v>
      </c>
      <c r="F92">
        <v>33</v>
      </c>
      <c r="G92" s="1">
        <v>44312</v>
      </c>
      <c r="H92">
        <v>75280</v>
      </c>
      <c r="I92" t="s">
        <v>16</v>
      </c>
    </row>
    <row r="93" spans="3:9" x14ac:dyDescent="0.3">
      <c r="C93" t="s">
        <v>18</v>
      </c>
      <c r="D93" t="s">
        <v>15</v>
      </c>
      <c r="E93" t="s">
        <v>19</v>
      </c>
      <c r="F93">
        <v>33</v>
      </c>
      <c r="G93" s="1">
        <v>44385</v>
      </c>
      <c r="H93">
        <v>74550</v>
      </c>
      <c r="I93" t="s">
        <v>16</v>
      </c>
    </row>
    <row r="94" spans="3:9" x14ac:dyDescent="0.3">
      <c r="C94" t="s">
        <v>45</v>
      </c>
      <c r="D94" t="s">
        <v>15</v>
      </c>
      <c r="E94" t="s">
        <v>9</v>
      </c>
      <c r="F94">
        <v>30</v>
      </c>
      <c r="G94" s="1">
        <v>44701</v>
      </c>
      <c r="H94">
        <v>67950</v>
      </c>
      <c r="I94" t="s">
        <v>16</v>
      </c>
    </row>
    <row r="95" spans="3:9" x14ac:dyDescent="0.3">
      <c r="C95" t="s">
        <v>90</v>
      </c>
      <c r="D95" t="s">
        <v>15</v>
      </c>
      <c r="E95" t="s">
        <v>21</v>
      </c>
      <c r="F95">
        <v>42</v>
      </c>
      <c r="G95" s="1">
        <v>44731</v>
      </c>
      <c r="H95">
        <v>70270</v>
      </c>
      <c r="I95" t="s">
        <v>24</v>
      </c>
    </row>
    <row r="96" spans="3:9" x14ac:dyDescent="0.3">
      <c r="C96" t="s">
        <v>46</v>
      </c>
      <c r="D96" t="s">
        <v>15</v>
      </c>
      <c r="E96" t="s">
        <v>9</v>
      </c>
      <c r="F96">
        <v>26</v>
      </c>
      <c r="G96" s="1">
        <v>44411</v>
      </c>
      <c r="H96">
        <v>53540</v>
      </c>
      <c r="I96" t="s">
        <v>16</v>
      </c>
    </row>
    <row r="97" spans="3:9" x14ac:dyDescent="0.3">
      <c r="C97" t="s">
        <v>58</v>
      </c>
      <c r="D97" t="s">
        <v>15</v>
      </c>
      <c r="E97" t="s">
        <v>19</v>
      </c>
      <c r="F97">
        <v>22</v>
      </c>
      <c r="G97">
        <v>44446</v>
      </c>
      <c r="H97">
        <v>112780</v>
      </c>
      <c r="I97" t="s">
        <v>13</v>
      </c>
    </row>
    <row r="98" spans="3:9" x14ac:dyDescent="0.3">
      <c r="C98" t="s">
        <v>70</v>
      </c>
      <c r="D98" t="s">
        <v>15</v>
      </c>
      <c r="E98" t="s">
        <v>9</v>
      </c>
      <c r="F98">
        <v>46</v>
      </c>
      <c r="G98">
        <v>44758</v>
      </c>
      <c r="H98">
        <v>70610</v>
      </c>
      <c r="I98" t="s">
        <v>16</v>
      </c>
    </row>
    <row r="99" spans="3:9" x14ac:dyDescent="0.3">
      <c r="C99" t="s">
        <v>75</v>
      </c>
      <c r="D99" t="s">
        <v>8</v>
      </c>
      <c r="E99" t="s">
        <v>19</v>
      </c>
      <c r="F99">
        <v>28</v>
      </c>
      <c r="G99">
        <v>44357</v>
      </c>
      <c r="H99">
        <v>53240</v>
      </c>
      <c r="I99" t="s">
        <v>16</v>
      </c>
    </row>
    <row r="100" spans="3:9" x14ac:dyDescent="0.3">
      <c r="C100" t="s">
        <v>49</v>
      </c>
      <c r="E100" t="s">
        <v>21</v>
      </c>
      <c r="F100">
        <v>37</v>
      </c>
      <c r="G100">
        <v>44146</v>
      </c>
      <c r="H100">
        <v>115440</v>
      </c>
      <c r="I100" t="s">
        <v>24</v>
      </c>
    </row>
    <row r="101" spans="3:9" x14ac:dyDescent="0.3">
      <c r="C101" t="s">
        <v>65</v>
      </c>
      <c r="D101" t="s">
        <v>15</v>
      </c>
      <c r="E101" t="s">
        <v>19</v>
      </c>
      <c r="F101">
        <v>32</v>
      </c>
      <c r="G101">
        <v>44465</v>
      </c>
      <c r="H101">
        <v>53540</v>
      </c>
      <c r="I101" t="s">
        <v>16</v>
      </c>
    </row>
    <row r="102" spans="3:9" x14ac:dyDescent="0.3">
      <c r="C102" t="s">
        <v>81</v>
      </c>
      <c r="D102" t="s">
        <v>8</v>
      </c>
      <c r="E102" t="s">
        <v>9</v>
      </c>
      <c r="F102">
        <v>30</v>
      </c>
      <c r="G102">
        <v>44861</v>
      </c>
      <c r="H102">
        <v>112570</v>
      </c>
      <c r="I102" t="s">
        <v>16</v>
      </c>
    </row>
    <row r="103" spans="3:9" x14ac:dyDescent="0.3">
      <c r="C103" t="s">
        <v>51</v>
      </c>
      <c r="D103" t="s">
        <v>15</v>
      </c>
      <c r="E103" t="s">
        <v>9</v>
      </c>
      <c r="F103">
        <v>33</v>
      </c>
      <c r="G103">
        <v>44701</v>
      </c>
      <c r="H103">
        <v>48530</v>
      </c>
      <c r="I103" t="s">
        <v>13</v>
      </c>
    </row>
    <row r="104" spans="3:9" x14ac:dyDescent="0.3">
      <c r="C104" t="s">
        <v>61</v>
      </c>
      <c r="D104" t="s">
        <v>8</v>
      </c>
      <c r="E104" t="s">
        <v>12</v>
      </c>
      <c r="F104">
        <v>24</v>
      </c>
      <c r="G104">
        <v>44148</v>
      </c>
      <c r="H104">
        <v>62780</v>
      </c>
      <c r="I104"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J115"/>
  <sheetViews>
    <sheetView topLeftCell="A73" workbookViewId="0">
      <selection activeCell="G86" sqref="G86"/>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10" x14ac:dyDescent="0.3">
      <c r="B2" t="s">
        <v>0</v>
      </c>
      <c r="C2" t="s">
        <v>1</v>
      </c>
      <c r="D2" t="s">
        <v>3</v>
      </c>
      <c r="E2" t="s">
        <v>6</v>
      </c>
      <c r="F2" t="s">
        <v>4</v>
      </c>
      <c r="G2" t="s">
        <v>2</v>
      </c>
      <c r="H2" t="s">
        <v>5</v>
      </c>
    </row>
    <row r="3" spans="2:10" x14ac:dyDescent="0.3">
      <c r="B3" t="s">
        <v>155</v>
      </c>
      <c r="C3" t="s">
        <v>15</v>
      </c>
      <c r="D3">
        <v>20</v>
      </c>
      <c r="E3" t="s">
        <v>16</v>
      </c>
      <c r="F3" s="1">
        <v>44122</v>
      </c>
      <c r="G3" t="s">
        <v>12</v>
      </c>
      <c r="H3">
        <v>112650</v>
      </c>
    </row>
    <row r="4" spans="2:10" x14ac:dyDescent="0.3">
      <c r="B4" t="s">
        <v>175</v>
      </c>
      <c r="C4" t="s">
        <v>8</v>
      </c>
      <c r="D4">
        <v>32</v>
      </c>
      <c r="E4" t="s">
        <v>13</v>
      </c>
      <c r="F4" s="1">
        <v>44293</v>
      </c>
      <c r="G4" t="s">
        <v>12</v>
      </c>
      <c r="H4">
        <v>43840</v>
      </c>
    </row>
    <row r="5" spans="2:10" x14ac:dyDescent="0.3">
      <c r="B5" t="s">
        <v>142</v>
      </c>
      <c r="C5" t="s">
        <v>15</v>
      </c>
      <c r="D5">
        <v>31</v>
      </c>
      <c r="E5" t="s">
        <v>16</v>
      </c>
      <c r="F5" s="1">
        <v>44663</v>
      </c>
      <c r="G5" t="s">
        <v>9</v>
      </c>
      <c r="H5">
        <v>103550</v>
      </c>
    </row>
    <row r="6" spans="2:10" x14ac:dyDescent="0.3">
      <c r="B6" t="s">
        <v>200</v>
      </c>
      <c r="C6" t="s">
        <v>8</v>
      </c>
      <c r="D6">
        <v>32</v>
      </c>
      <c r="E6" t="s">
        <v>16</v>
      </c>
      <c r="F6" s="1">
        <v>44339</v>
      </c>
      <c r="G6" t="s">
        <v>56</v>
      </c>
      <c r="H6">
        <v>45510</v>
      </c>
    </row>
    <row r="7" spans="2:10" x14ac:dyDescent="0.3">
      <c r="B7" t="s">
        <v>141</v>
      </c>
      <c r="D7">
        <v>37</v>
      </c>
      <c r="E7" t="s">
        <v>24</v>
      </c>
      <c r="F7" s="1">
        <v>44085</v>
      </c>
      <c r="G7" t="s">
        <v>21</v>
      </c>
      <c r="H7">
        <v>115440</v>
      </c>
    </row>
    <row r="8" spans="2:10" x14ac:dyDescent="0.3">
      <c r="B8" t="s">
        <v>201</v>
      </c>
      <c r="C8" t="s">
        <v>8</v>
      </c>
      <c r="D8">
        <v>38</v>
      </c>
      <c r="E8" t="s">
        <v>13</v>
      </c>
      <c r="F8" s="1">
        <v>44268</v>
      </c>
      <c r="G8" t="s">
        <v>19</v>
      </c>
      <c r="H8">
        <v>56870</v>
      </c>
    </row>
    <row r="9" spans="2:10" x14ac:dyDescent="0.3">
      <c r="B9" t="s">
        <v>168</v>
      </c>
      <c r="C9" t="s">
        <v>8</v>
      </c>
      <c r="D9">
        <v>25</v>
      </c>
      <c r="E9" t="s">
        <v>16</v>
      </c>
      <c r="F9" s="1">
        <v>44144</v>
      </c>
      <c r="G9" t="s">
        <v>19</v>
      </c>
      <c r="H9">
        <v>92700</v>
      </c>
    </row>
    <row r="10" spans="2:10" x14ac:dyDescent="0.3">
      <c r="B10" t="s">
        <v>144</v>
      </c>
      <c r="D10">
        <v>32</v>
      </c>
      <c r="E10" t="s">
        <v>16</v>
      </c>
      <c r="F10" s="1">
        <v>44713</v>
      </c>
      <c r="G10" t="s">
        <v>12</v>
      </c>
      <c r="H10">
        <v>91310</v>
      </c>
    </row>
    <row r="11" spans="2:10" x14ac:dyDescent="0.3">
      <c r="B11" t="s">
        <v>114</v>
      </c>
      <c r="C11" t="s">
        <v>15</v>
      </c>
      <c r="D11">
        <v>33</v>
      </c>
      <c r="E11" t="s">
        <v>16</v>
      </c>
      <c r="F11" s="1">
        <v>44324</v>
      </c>
      <c r="G11" t="s">
        <v>19</v>
      </c>
      <c r="H11">
        <v>74550</v>
      </c>
    </row>
    <row r="12" spans="2:10" x14ac:dyDescent="0.3">
      <c r="B12" t="s">
        <v>127</v>
      </c>
      <c r="C12" t="s">
        <v>15</v>
      </c>
      <c r="D12">
        <v>25</v>
      </c>
      <c r="E12" t="s">
        <v>13</v>
      </c>
      <c r="F12" s="1">
        <v>44665</v>
      </c>
      <c r="G12" t="s">
        <v>9</v>
      </c>
      <c r="H12">
        <v>109190</v>
      </c>
    </row>
    <row r="13" spans="2:10" x14ac:dyDescent="0.3">
      <c r="B13" t="s">
        <v>193</v>
      </c>
      <c r="C13" t="s">
        <v>8</v>
      </c>
      <c r="D13">
        <v>40</v>
      </c>
      <c r="E13" t="s">
        <v>16</v>
      </c>
      <c r="F13" s="1">
        <v>44320</v>
      </c>
      <c r="G13" t="s">
        <v>12</v>
      </c>
      <c r="H13">
        <v>104410</v>
      </c>
    </row>
    <row r="14" spans="2:10" x14ac:dyDescent="0.3">
      <c r="B14" t="s">
        <v>176</v>
      </c>
      <c r="C14" t="s">
        <v>15</v>
      </c>
      <c r="D14">
        <v>30</v>
      </c>
      <c r="E14" t="s">
        <v>16</v>
      </c>
      <c r="F14" s="1">
        <v>44544</v>
      </c>
      <c r="G14" t="s">
        <v>21</v>
      </c>
      <c r="H14">
        <v>96800</v>
      </c>
    </row>
    <row r="15" spans="2:10" x14ac:dyDescent="0.3">
      <c r="B15" t="s">
        <v>122</v>
      </c>
      <c r="C15" t="s">
        <v>15</v>
      </c>
      <c r="D15">
        <v>28</v>
      </c>
      <c r="E15" t="s">
        <v>13</v>
      </c>
      <c r="F15" s="1">
        <v>43980</v>
      </c>
      <c r="G15" t="s">
        <v>21</v>
      </c>
      <c r="H15">
        <v>48170</v>
      </c>
      <c r="J15" t="s">
        <v>202</v>
      </c>
    </row>
    <row r="16" spans="2:10" x14ac:dyDescent="0.3">
      <c r="B16" t="s">
        <v>139</v>
      </c>
      <c r="C16" t="s">
        <v>15</v>
      </c>
      <c r="D16">
        <v>21</v>
      </c>
      <c r="E16" t="s">
        <v>16</v>
      </c>
      <c r="F16" s="1">
        <v>44042</v>
      </c>
      <c r="G16" t="s">
        <v>9</v>
      </c>
      <c r="H16">
        <v>37920</v>
      </c>
    </row>
    <row r="17" spans="2:8" x14ac:dyDescent="0.3">
      <c r="B17" t="s">
        <v>177</v>
      </c>
      <c r="C17" t="s">
        <v>15</v>
      </c>
      <c r="D17">
        <v>34</v>
      </c>
      <c r="E17" t="s">
        <v>16</v>
      </c>
      <c r="F17" s="1">
        <v>44642</v>
      </c>
      <c r="G17" t="s">
        <v>9</v>
      </c>
      <c r="H17">
        <v>112650</v>
      </c>
    </row>
    <row r="18" spans="2:8" x14ac:dyDescent="0.3">
      <c r="B18" t="s">
        <v>164</v>
      </c>
      <c r="C18" t="s">
        <v>8</v>
      </c>
      <c r="D18">
        <v>34</v>
      </c>
      <c r="E18" t="s">
        <v>24</v>
      </c>
      <c r="F18" s="1">
        <v>44660</v>
      </c>
      <c r="G18" t="s">
        <v>19</v>
      </c>
      <c r="H18">
        <v>49630</v>
      </c>
    </row>
    <row r="19" spans="2:8" x14ac:dyDescent="0.3">
      <c r="B19" t="s">
        <v>198</v>
      </c>
      <c r="C19" t="s">
        <v>15</v>
      </c>
      <c r="D19">
        <v>36</v>
      </c>
      <c r="E19" t="s">
        <v>16</v>
      </c>
      <c r="F19" s="1">
        <v>43958</v>
      </c>
      <c r="G19" t="s">
        <v>12</v>
      </c>
      <c r="H19">
        <v>118840</v>
      </c>
    </row>
    <row r="20" spans="2:8" x14ac:dyDescent="0.3">
      <c r="B20" t="s">
        <v>158</v>
      </c>
      <c r="C20" t="s">
        <v>15</v>
      </c>
      <c r="D20">
        <v>30</v>
      </c>
      <c r="E20" t="s">
        <v>16</v>
      </c>
      <c r="F20" s="1">
        <v>44789</v>
      </c>
      <c r="G20" t="s">
        <v>12</v>
      </c>
      <c r="H20">
        <v>69710</v>
      </c>
    </row>
    <row r="21" spans="2:8" x14ac:dyDescent="0.3">
      <c r="B21" t="s">
        <v>196</v>
      </c>
      <c r="C21" t="s">
        <v>15</v>
      </c>
      <c r="D21">
        <v>20</v>
      </c>
      <c r="E21" t="s">
        <v>16</v>
      </c>
      <c r="F21" s="1">
        <v>44683</v>
      </c>
      <c r="G21" t="s">
        <v>9</v>
      </c>
      <c r="H21">
        <v>79570</v>
      </c>
    </row>
    <row r="22" spans="2:8" x14ac:dyDescent="0.3">
      <c r="B22" t="s">
        <v>153</v>
      </c>
      <c r="C22" t="s">
        <v>8</v>
      </c>
      <c r="D22">
        <v>22</v>
      </c>
      <c r="E22" t="s">
        <v>13</v>
      </c>
      <c r="F22" s="1">
        <v>44388</v>
      </c>
      <c r="G22" t="s">
        <v>9</v>
      </c>
      <c r="H22">
        <v>76900</v>
      </c>
    </row>
    <row r="23" spans="2:8" x14ac:dyDescent="0.3">
      <c r="B23" t="s">
        <v>181</v>
      </c>
      <c r="C23" t="s">
        <v>15</v>
      </c>
      <c r="D23">
        <v>27</v>
      </c>
      <c r="E23" t="s">
        <v>16</v>
      </c>
      <c r="F23" s="1">
        <v>44073</v>
      </c>
      <c r="G23" t="s">
        <v>19</v>
      </c>
      <c r="H23">
        <v>54970</v>
      </c>
    </row>
    <row r="24" spans="2:8" x14ac:dyDescent="0.3">
      <c r="B24" t="s">
        <v>117</v>
      </c>
      <c r="C24" t="s">
        <v>15</v>
      </c>
      <c r="D24">
        <v>37</v>
      </c>
      <c r="E24" t="s">
        <v>24</v>
      </c>
      <c r="F24" s="1">
        <v>44277</v>
      </c>
      <c r="G24" t="s">
        <v>12</v>
      </c>
      <c r="H24">
        <v>88050</v>
      </c>
    </row>
    <row r="25" spans="2:8" x14ac:dyDescent="0.3">
      <c r="B25" t="s">
        <v>191</v>
      </c>
      <c r="C25" t="s">
        <v>15</v>
      </c>
      <c r="D25">
        <v>43</v>
      </c>
      <c r="E25" t="s">
        <v>16</v>
      </c>
      <c r="F25" s="1">
        <v>44558</v>
      </c>
      <c r="G25" t="s">
        <v>19</v>
      </c>
      <c r="H25">
        <v>36040</v>
      </c>
    </row>
    <row r="26" spans="2:8" x14ac:dyDescent="0.3">
      <c r="B26" t="s">
        <v>110</v>
      </c>
      <c r="C26" t="s">
        <v>8</v>
      </c>
      <c r="D26">
        <v>42</v>
      </c>
      <c r="E26" t="s">
        <v>10</v>
      </c>
      <c r="F26" s="1">
        <v>44718</v>
      </c>
      <c r="G26" t="s">
        <v>9</v>
      </c>
      <c r="H26">
        <v>75000</v>
      </c>
    </row>
    <row r="27" spans="2:8" x14ac:dyDescent="0.3">
      <c r="B27" t="s">
        <v>148</v>
      </c>
      <c r="C27" t="s">
        <v>15</v>
      </c>
      <c r="D27">
        <v>35</v>
      </c>
      <c r="E27" t="s">
        <v>16</v>
      </c>
      <c r="F27" s="1">
        <v>44666</v>
      </c>
      <c r="G27" t="s">
        <v>9</v>
      </c>
      <c r="H27">
        <v>40400</v>
      </c>
    </row>
    <row r="28" spans="2:8" x14ac:dyDescent="0.3">
      <c r="B28" t="s">
        <v>195</v>
      </c>
      <c r="C28" t="s">
        <v>15</v>
      </c>
      <c r="D28">
        <v>24</v>
      </c>
      <c r="E28" t="s">
        <v>16</v>
      </c>
      <c r="F28" s="1">
        <v>44625</v>
      </c>
      <c r="G28" t="s">
        <v>12</v>
      </c>
      <c r="H28">
        <v>100420</v>
      </c>
    </row>
    <row r="29" spans="2:8" x14ac:dyDescent="0.3">
      <c r="B29" t="s">
        <v>119</v>
      </c>
      <c r="C29" t="s">
        <v>8</v>
      </c>
      <c r="D29">
        <v>31</v>
      </c>
      <c r="E29" t="s">
        <v>16</v>
      </c>
      <c r="F29" s="1">
        <v>44604</v>
      </c>
      <c r="G29" t="s">
        <v>12</v>
      </c>
      <c r="H29">
        <v>58100</v>
      </c>
    </row>
    <row r="30" spans="2:8" x14ac:dyDescent="0.3">
      <c r="B30" t="s">
        <v>113</v>
      </c>
      <c r="C30" t="s">
        <v>8</v>
      </c>
      <c r="D30">
        <v>44</v>
      </c>
      <c r="E30" t="s">
        <v>16</v>
      </c>
      <c r="F30" s="1">
        <v>44985</v>
      </c>
      <c r="G30" t="s">
        <v>12</v>
      </c>
      <c r="H30">
        <v>114870</v>
      </c>
    </row>
    <row r="31" spans="2:8" x14ac:dyDescent="0.3">
      <c r="B31" t="s">
        <v>157</v>
      </c>
      <c r="C31" t="s">
        <v>8</v>
      </c>
      <c r="D31">
        <v>32</v>
      </c>
      <c r="E31" t="s">
        <v>16</v>
      </c>
      <c r="F31" s="1">
        <v>44549</v>
      </c>
      <c r="G31" t="s">
        <v>9</v>
      </c>
      <c r="H31">
        <v>41570</v>
      </c>
    </row>
    <row r="32" spans="2:8" x14ac:dyDescent="0.3">
      <c r="B32" t="s">
        <v>172</v>
      </c>
      <c r="C32" t="s">
        <v>8</v>
      </c>
      <c r="D32">
        <v>30</v>
      </c>
      <c r="E32" t="s">
        <v>16</v>
      </c>
      <c r="F32" s="1">
        <v>44800</v>
      </c>
      <c r="G32" t="s">
        <v>9</v>
      </c>
      <c r="H32">
        <v>112570</v>
      </c>
    </row>
    <row r="33" spans="2:8" x14ac:dyDescent="0.3">
      <c r="B33" t="s">
        <v>150</v>
      </c>
      <c r="C33" t="s">
        <v>15</v>
      </c>
      <c r="D33">
        <v>26</v>
      </c>
      <c r="E33" t="s">
        <v>16</v>
      </c>
      <c r="F33" s="1">
        <v>44164</v>
      </c>
      <c r="G33" t="s">
        <v>9</v>
      </c>
      <c r="H33">
        <v>47360</v>
      </c>
    </row>
    <row r="34" spans="2:8" x14ac:dyDescent="0.3">
      <c r="B34" t="s">
        <v>125</v>
      </c>
      <c r="C34" t="s">
        <v>8</v>
      </c>
      <c r="D34">
        <v>21</v>
      </c>
      <c r="E34" t="s">
        <v>16</v>
      </c>
      <c r="F34" s="1">
        <v>44256</v>
      </c>
      <c r="G34" t="s">
        <v>21</v>
      </c>
      <c r="H34">
        <v>65920</v>
      </c>
    </row>
    <row r="35" spans="2:8" x14ac:dyDescent="0.3">
      <c r="B35" t="s">
        <v>199</v>
      </c>
      <c r="C35" t="s">
        <v>8</v>
      </c>
      <c r="D35">
        <v>28</v>
      </c>
      <c r="E35" t="s">
        <v>16</v>
      </c>
      <c r="F35" s="1">
        <v>44571</v>
      </c>
      <c r="G35" t="s">
        <v>9</v>
      </c>
      <c r="H35">
        <v>99970</v>
      </c>
    </row>
    <row r="36" spans="2:8" x14ac:dyDescent="0.3">
      <c r="B36" t="s">
        <v>132</v>
      </c>
      <c r="C36" t="s">
        <v>8</v>
      </c>
      <c r="D36">
        <v>25</v>
      </c>
      <c r="E36" t="s">
        <v>13</v>
      </c>
      <c r="F36" s="1">
        <v>44633</v>
      </c>
      <c r="G36" t="s">
        <v>12</v>
      </c>
      <c r="H36">
        <v>80700</v>
      </c>
    </row>
    <row r="37" spans="2:8" x14ac:dyDescent="0.3">
      <c r="B37" t="s">
        <v>154</v>
      </c>
      <c r="C37" t="s">
        <v>15</v>
      </c>
      <c r="D37">
        <v>24</v>
      </c>
      <c r="E37" t="s">
        <v>24</v>
      </c>
      <c r="F37" s="1">
        <v>44375</v>
      </c>
      <c r="G37" t="s">
        <v>21</v>
      </c>
      <c r="H37">
        <v>52610</v>
      </c>
    </row>
    <row r="38" spans="2:8" x14ac:dyDescent="0.3">
      <c r="B38" t="s">
        <v>179</v>
      </c>
      <c r="C38" t="s">
        <v>15</v>
      </c>
      <c r="D38">
        <v>29</v>
      </c>
      <c r="E38" t="s">
        <v>24</v>
      </c>
      <c r="F38" s="1">
        <v>44119</v>
      </c>
      <c r="G38" t="s">
        <v>12</v>
      </c>
      <c r="H38">
        <v>112110</v>
      </c>
    </row>
    <row r="39" spans="2:8" x14ac:dyDescent="0.3">
      <c r="B39" t="s">
        <v>151</v>
      </c>
      <c r="C39" t="s">
        <v>8</v>
      </c>
      <c r="D39">
        <v>27</v>
      </c>
      <c r="E39" t="s">
        <v>16</v>
      </c>
      <c r="F39" s="1">
        <v>44061</v>
      </c>
      <c r="G39" t="s">
        <v>56</v>
      </c>
      <c r="H39">
        <v>119110</v>
      </c>
    </row>
    <row r="40" spans="2:8" x14ac:dyDescent="0.3">
      <c r="B40" t="s">
        <v>149</v>
      </c>
      <c r="C40" t="s">
        <v>15</v>
      </c>
      <c r="D40">
        <v>22</v>
      </c>
      <c r="E40" t="s">
        <v>13</v>
      </c>
      <c r="F40" s="1">
        <v>44384</v>
      </c>
      <c r="G40" t="s">
        <v>19</v>
      </c>
      <c r="H40">
        <v>112780</v>
      </c>
    </row>
    <row r="41" spans="2:8" x14ac:dyDescent="0.3">
      <c r="B41" t="s">
        <v>174</v>
      </c>
      <c r="C41" t="s">
        <v>8</v>
      </c>
      <c r="D41">
        <v>36</v>
      </c>
      <c r="E41" t="s">
        <v>16</v>
      </c>
      <c r="F41" s="1">
        <v>44023</v>
      </c>
      <c r="G41" t="s">
        <v>9</v>
      </c>
      <c r="H41">
        <v>114890</v>
      </c>
    </row>
    <row r="42" spans="2:8" x14ac:dyDescent="0.3">
      <c r="B42" t="s">
        <v>145</v>
      </c>
      <c r="C42" t="s">
        <v>15</v>
      </c>
      <c r="D42">
        <v>27</v>
      </c>
      <c r="E42" t="s">
        <v>16</v>
      </c>
      <c r="F42" s="1">
        <v>44506</v>
      </c>
      <c r="G42" t="s">
        <v>21</v>
      </c>
      <c r="H42">
        <v>48980</v>
      </c>
    </row>
    <row r="43" spans="2:8" x14ac:dyDescent="0.3">
      <c r="B43" t="s">
        <v>169</v>
      </c>
      <c r="C43" t="s">
        <v>15</v>
      </c>
      <c r="D43">
        <v>21</v>
      </c>
      <c r="E43" t="s">
        <v>16</v>
      </c>
      <c r="F43" s="1">
        <v>44180</v>
      </c>
      <c r="G43" t="s">
        <v>56</v>
      </c>
      <c r="H43">
        <v>75880</v>
      </c>
    </row>
    <row r="44" spans="2:8" x14ac:dyDescent="0.3">
      <c r="B44" t="s">
        <v>166</v>
      </c>
      <c r="C44" t="s">
        <v>8</v>
      </c>
      <c r="D44">
        <v>28</v>
      </c>
      <c r="E44" t="s">
        <v>16</v>
      </c>
      <c r="F44" s="1">
        <v>44296</v>
      </c>
      <c r="G44" t="s">
        <v>19</v>
      </c>
      <c r="H44">
        <v>53240</v>
      </c>
    </row>
    <row r="45" spans="2:8" x14ac:dyDescent="0.3">
      <c r="B45" t="s">
        <v>121</v>
      </c>
      <c r="C45" t="s">
        <v>8</v>
      </c>
      <c r="D45">
        <v>34</v>
      </c>
      <c r="E45" t="s">
        <v>16</v>
      </c>
      <c r="F45" s="1">
        <v>44397</v>
      </c>
      <c r="G45" t="s">
        <v>21</v>
      </c>
      <c r="H45">
        <v>85000</v>
      </c>
    </row>
    <row r="46" spans="2:8" x14ac:dyDescent="0.3">
      <c r="B46" t="s">
        <v>178</v>
      </c>
      <c r="C46" t="s">
        <v>8</v>
      </c>
      <c r="D46">
        <v>21</v>
      </c>
      <c r="E46" t="s">
        <v>16</v>
      </c>
      <c r="F46" s="1">
        <v>44619</v>
      </c>
      <c r="G46" t="s">
        <v>12</v>
      </c>
      <c r="H46">
        <v>33920</v>
      </c>
    </row>
    <row r="47" spans="2:8" x14ac:dyDescent="0.3">
      <c r="B47" t="s">
        <v>187</v>
      </c>
      <c r="C47" t="s">
        <v>8</v>
      </c>
      <c r="D47">
        <v>33</v>
      </c>
      <c r="E47" t="s">
        <v>16</v>
      </c>
      <c r="F47" s="1">
        <v>44253</v>
      </c>
      <c r="G47" t="s">
        <v>12</v>
      </c>
      <c r="H47">
        <v>75280</v>
      </c>
    </row>
    <row r="48" spans="2:8" x14ac:dyDescent="0.3">
      <c r="B48" t="s">
        <v>129</v>
      </c>
      <c r="C48" t="s">
        <v>8</v>
      </c>
      <c r="D48">
        <v>34</v>
      </c>
      <c r="E48" t="s">
        <v>16</v>
      </c>
      <c r="F48" s="1">
        <v>44594</v>
      </c>
      <c r="G48" t="s">
        <v>21</v>
      </c>
      <c r="H48">
        <v>58940</v>
      </c>
    </row>
    <row r="49" spans="2:8" x14ac:dyDescent="0.3">
      <c r="B49" t="s">
        <v>135</v>
      </c>
      <c r="C49" t="s">
        <v>8</v>
      </c>
      <c r="D49">
        <v>28</v>
      </c>
      <c r="E49" t="s">
        <v>16</v>
      </c>
      <c r="F49" s="1">
        <v>44425</v>
      </c>
      <c r="G49" t="s">
        <v>9</v>
      </c>
      <c r="H49">
        <v>104770</v>
      </c>
    </row>
    <row r="50" spans="2:8" x14ac:dyDescent="0.3">
      <c r="B50" t="s">
        <v>124</v>
      </c>
      <c r="C50" t="s">
        <v>15</v>
      </c>
      <c r="D50">
        <v>21</v>
      </c>
      <c r="E50" t="s">
        <v>16</v>
      </c>
      <c r="F50" s="1">
        <v>44701</v>
      </c>
      <c r="G50" t="s">
        <v>9</v>
      </c>
      <c r="H50">
        <v>57090</v>
      </c>
    </row>
    <row r="51" spans="2:8" x14ac:dyDescent="0.3">
      <c r="B51" t="s">
        <v>159</v>
      </c>
      <c r="C51" t="s">
        <v>15</v>
      </c>
      <c r="D51">
        <v>27</v>
      </c>
      <c r="E51" t="s">
        <v>13</v>
      </c>
      <c r="F51" s="1">
        <v>44174</v>
      </c>
      <c r="G51" t="s">
        <v>21</v>
      </c>
      <c r="H51">
        <v>91650</v>
      </c>
    </row>
    <row r="52" spans="2:8" x14ac:dyDescent="0.3">
      <c r="B52" t="s">
        <v>182</v>
      </c>
      <c r="C52" t="s">
        <v>15</v>
      </c>
      <c r="D52">
        <v>42</v>
      </c>
      <c r="E52" t="s">
        <v>24</v>
      </c>
      <c r="F52" s="1">
        <v>44670</v>
      </c>
      <c r="G52" t="s">
        <v>21</v>
      </c>
      <c r="H52">
        <v>70270</v>
      </c>
    </row>
    <row r="53" spans="2:8" x14ac:dyDescent="0.3">
      <c r="B53" t="s">
        <v>128</v>
      </c>
      <c r="C53" t="s">
        <v>8</v>
      </c>
      <c r="D53">
        <v>28</v>
      </c>
      <c r="E53" t="s">
        <v>16</v>
      </c>
      <c r="F53" s="1">
        <v>44124</v>
      </c>
      <c r="G53" t="s">
        <v>21</v>
      </c>
      <c r="H53">
        <v>75970</v>
      </c>
    </row>
    <row r="54" spans="2:8" x14ac:dyDescent="0.3">
      <c r="B54" t="s">
        <v>111</v>
      </c>
      <c r="D54">
        <v>27</v>
      </c>
      <c r="E54" t="s">
        <v>13</v>
      </c>
      <c r="F54" s="1">
        <v>44212</v>
      </c>
      <c r="G54" t="s">
        <v>12</v>
      </c>
      <c r="H54">
        <v>90700</v>
      </c>
    </row>
    <row r="55" spans="2:8" x14ac:dyDescent="0.3">
      <c r="B55" t="s">
        <v>130</v>
      </c>
      <c r="C55" t="s">
        <v>15</v>
      </c>
      <c r="D55">
        <v>30</v>
      </c>
      <c r="E55" t="s">
        <v>16</v>
      </c>
      <c r="F55" s="1">
        <v>44607</v>
      </c>
      <c r="G55" t="s">
        <v>9</v>
      </c>
      <c r="H55">
        <v>60570</v>
      </c>
    </row>
    <row r="56" spans="2:8" x14ac:dyDescent="0.3">
      <c r="B56" t="s">
        <v>133</v>
      </c>
      <c r="C56" t="s">
        <v>15</v>
      </c>
      <c r="D56">
        <v>33</v>
      </c>
      <c r="E56" t="s">
        <v>16</v>
      </c>
      <c r="F56" s="1">
        <v>44103</v>
      </c>
      <c r="G56" t="s">
        <v>9</v>
      </c>
      <c r="H56">
        <v>115920</v>
      </c>
    </row>
    <row r="57" spans="2:8" x14ac:dyDescent="0.3">
      <c r="B57" t="s">
        <v>185</v>
      </c>
      <c r="C57" t="s">
        <v>8</v>
      </c>
      <c r="D57">
        <v>33</v>
      </c>
      <c r="E57" t="s">
        <v>16</v>
      </c>
      <c r="F57" s="1">
        <v>44006</v>
      </c>
      <c r="G57" t="s">
        <v>21</v>
      </c>
      <c r="H57">
        <v>65360</v>
      </c>
    </row>
    <row r="58" spans="2:8" x14ac:dyDescent="0.3">
      <c r="B58" t="s">
        <v>115</v>
      </c>
      <c r="D58">
        <v>30</v>
      </c>
      <c r="E58" t="s">
        <v>16</v>
      </c>
      <c r="F58" s="1">
        <v>44535</v>
      </c>
      <c r="G58" t="s">
        <v>21</v>
      </c>
      <c r="H58">
        <v>64000</v>
      </c>
    </row>
    <row r="59" spans="2:8" x14ac:dyDescent="0.3">
      <c r="B59" t="s">
        <v>194</v>
      </c>
      <c r="C59" t="s">
        <v>8</v>
      </c>
      <c r="D59">
        <v>34</v>
      </c>
      <c r="E59" t="s">
        <v>16</v>
      </c>
      <c r="F59" s="1">
        <v>44383</v>
      </c>
      <c r="G59" t="s">
        <v>21</v>
      </c>
      <c r="H59">
        <v>92450</v>
      </c>
    </row>
    <row r="60" spans="2:8" x14ac:dyDescent="0.3">
      <c r="B60" t="s">
        <v>112</v>
      </c>
      <c r="C60" t="s">
        <v>15</v>
      </c>
      <c r="D60">
        <v>31</v>
      </c>
      <c r="E60" t="s">
        <v>16</v>
      </c>
      <c r="F60" s="1">
        <v>44450</v>
      </c>
      <c r="G60" t="s">
        <v>12</v>
      </c>
      <c r="H60">
        <v>48950</v>
      </c>
    </row>
    <row r="61" spans="2:8" x14ac:dyDescent="0.3">
      <c r="B61" t="s">
        <v>184</v>
      </c>
      <c r="C61" t="s">
        <v>8</v>
      </c>
      <c r="D61">
        <v>27</v>
      </c>
      <c r="E61" t="s">
        <v>16</v>
      </c>
      <c r="F61" s="1">
        <v>44625</v>
      </c>
      <c r="G61" t="s">
        <v>12</v>
      </c>
      <c r="H61">
        <v>83750</v>
      </c>
    </row>
    <row r="62" spans="2:8" x14ac:dyDescent="0.3">
      <c r="B62" t="s">
        <v>165</v>
      </c>
      <c r="C62" t="s">
        <v>8</v>
      </c>
      <c r="D62">
        <v>40</v>
      </c>
      <c r="E62" t="s">
        <v>16</v>
      </c>
      <c r="F62" s="1">
        <v>44276</v>
      </c>
      <c r="G62" t="s">
        <v>12</v>
      </c>
      <c r="H62">
        <v>87620</v>
      </c>
    </row>
    <row r="63" spans="2:8" x14ac:dyDescent="0.3">
      <c r="B63" t="s">
        <v>183</v>
      </c>
      <c r="C63" t="s">
        <v>8</v>
      </c>
      <c r="D63">
        <v>20</v>
      </c>
      <c r="E63" t="s">
        <v>24</v>
      </c>
      <c r="F63" s="1">
        <v>44476</v>
      </c>
      <c r="G63" t="s">
        <v>19</v>
      </c>
      <c r="H63">
        <v>68900</v>
      </c>
    </row>
    <row r="64" spans="2:8" x14ac:dyDescent="0.3">
      <c r="B64" t="s">
        <v>156</v>
      </c>
      <c r="C64" t="s">
        <v>15</v>
      </c>
      <c r="D64">
        <v>32</v>
      </c>
      <c r="E64" t="s">
        <v>16</v>
      </c>
      <c r="F64" s="1">
        <v>44403</v>
      </c>
      <c r="G64" t="s">
        <v>19</v>
      </c>
      <c r="H64">
        <v>53540</v>
      </c>
    </row>
    <row r="65" spans="2:8" x14ac:dyDescent="0.3">
      <c r="B65" t="s">
        <v>171</v>
      </c>
      <c r="C65" t="s">
        <v>15</v>
      </c>
      <c r="D65">
        <v>28</v>
      </c>
      <c r="E65" t="s">
        <v>42</v>
      </c>
      <c r="F65" s="1">
        <v>44758</v>
      </c>
      <c r="G65" t="s">
        <v>19</v>
      </c>
      <c r="H65">
        <v>43510</v>
      </c>
    </row>
    <row r="66" spans="2:8" x14ac:dyDescent="0.3">
      <c r="B66" t="s">
        <v>126</v>
      </c>
      <c r="C66" t="s">
        <v>8</v>
      </c>
      <c r="D66">
        <v>38</v>
      </c>
      <c r="E66" t="s">
        <v>10</v>
      </c>
      <c r="F66" s="1">
        <v>44316</v>
      </c>
      <c r="G66" t="s">
        <v>19</v>
      </c>
      <c r="H66">
        <v>109160</v>
      </c>
    </row>
    <row r="67" spans="2:8" x14ac:dyDescent="0.3">
      <c r="B67" t="s">
        <v>197</v>
      </c>
      <c r="C67" t="s">
        <v>15</v>
      </c>
      <c r="D67">
        <v>40</v>
      </c>
      <c r="E67" t="s">
        <v>16</v>
      </c>
      <c r="F67" s="1">
        <v>44204</v>
      </c>
      <c r="G67" t="s">
        <v>9</v>
      </c>
      <c r="H67">
        <v>99750</v>
      </c>
    </row>
    <row r="68" spans="2:8" x14ac:dyDescent="0.3">
      <c r="B68" t="s">
        <v>123</v>
      </c>
      <c r="C68" t="s">
        <v>8</v>
      </c>
      <c r="D68">
        <v>31</v>
      </c>
      <c r="E68" t="s">
        <v>16</v>
      </c>
      <c r="F68" s="1">
        <v>44084</v>
      </c>
      <c r="G68" t="s">
        <v>12</v>
      </c>
      <c r="H68">
        <v>41980</v>
      </c>
    </row>
    <row r="69" spans="2:8" x14ac:dyDescent="0.3">
      <c r="B69" t="s">
        <v>186</v>
      </c>
      <c r="C69" t="s">
        <v>15</v>
      </c>
      <c r="D69">
        <v>36</v>
      </c>
      <c r="E69" t="s">
        <v>16</v>
      </c>
      <c r="F69" s="1">
        <v>44272</v>
      </c>
      <c r="G69" t="s">
        <v>21</v>
      </c>
      <c r="H69">
        <v>71380</v>
      </c>
    </row>
    <row r="70" spans="2:8" x14ac:dyDescent="0.3">
      <c r="B70" t="s">
        <v>190</v>
      </c>
      <c r="C70" t="s">
        <v>15</v>
      </c>
      <c r="D70">
        <v>27</v>
      </c>
      <c r="E70" t="s">
        <v>42</v>
      </c>
      <c r="F70" s="1">
        <v>44547</v>
      </c>
      <c r="G70" t="s">
        <v>9</v>
      </c>
      <c r="H70">
        <v>113280</v>
      </c>
    </row>
    <row r="71" spans="2:8" x14ac:dyDescent="0.3">
      <c r="B71" t="s">
        <v>180</v>
      </c>
      <c r="C71" t="s">
        <v>8</v>
      </c>
      <c r="D71">
        <v>33</v>
      </c>
      <c r="E71" t="s">
        <v>16</v>
      </c>
      <c r="F71" s="1">
        <v>44747</v>
      </c>
      <c r="G71" t="s">
        <v>21</v>
      </c>
      <c r="H71">
        <v>86570</v>
      </c>
    </row>
    <row r="72" spans="2:8" x14ac:dyDescent="0.3">
      <c r="B72" t="s">
        <v>138</v>
      </c>
      <c r="C72" t="s">
        <v>15</v>
      </c>
      <c r="D72">
        <v>26</v>
      </c>
      <c r="E72" t="s">
        <v>16</v>
      </c>
      <c r="F72" s="1">
        <v>44350</v>
      </c>
      <c r="G72" t="s">
        <v>9</v>
      </c>
      <c r="H72">
        <v>53540</v>
      </c>
    </row>
    <row r="73" spans="2:8" x14ac:dyDescent="0.3">
      <c r="B73" t="s">
        <v>189</v>
      </c>
      <c r="C73" t="s">
        <v>15</v>
      </c>
      <c r="D73">
        <v>37</v>
      </c>
      <c r="E73" t="s">
        <v>16</v>
      </c>
      <c r="F73" s="1">
        <v>44640</v>
      </c>
      <c r="G73" t="s">
        <v>12</v>
      </c>
      <c r="H73">
        <v>69070</v>
      </c>
    </row>
    <row r="74" spans="2:8" x14ac:dyDescent="0.3">
      <c r="B74" t="s">
        <v>120</v>
      </c>
      <c r="C74" t="s">
        <v>8</v>
      </c>
      <c r="D74">
        <v>30</v>
      </c>
      <c r="E74" t="s">
        <v>24</v>
      </c>
      <c r="F74" s="1">
        <v>44328</v>
      </c>
      <c r="G74" t="s">
        <v>21</v>
      </c>
      <c r="H74">
        <v>67910</v>
      </c>
    </row>
    <row r="75" spans="2:8" x14ac:dyDescent="0.3">
      <c r="B75" t="s">
        <v>118</v>
      </c>
      <c r="C75" t="s">
        <v>15</v>
      </c>
      <c r="D75">
        <v>30</v>
      </c>
      <c r="E75" t="s">
        <v>16</v>
      </c>
      <c r="F75" s="1">
        <v>44214</v>
      </c>
      <c r="G75" t="s">
        <v>12</v>
      </c>
      <c r="H75">
        <v>69120</v>
      </c>
    </row>
    <row r="76" spans="2:8" x14ac:dyDescent="0.3">
      <c r="B76" t="s">
        <v>131</v>
      </c>
      <c r="C76" t="s">
        <v>8</v>
      </c>
      <c r="D76">
        <v>34</v>
      </c>
      <c r="E76" t="s">
        <v>16</v>
      </c>
      <c r="F76" s="1">
        <v>44550</v>
      </c>
      <c r="G76" t="s">
        <v>21</v>
      </c>
      <c r="H76">
        <v>60130</v>
      </c>
    </row>
    <row r="77" spans="2:8" x14ac:dyDescent="0.3">
      <c r="B77" t="s">
        <v>160</v>
      </c>
      <c r="C77" t="s">
        <v>15</v>
      </c>
      <c r="D77">
        <v>23</v>
      </c>
      <c r="E77" t="s">
        <v>16</v>
      </c>
      <c r="F77" s="1">
        <v>44378</v>
      </c>
      <c r="G77" t="s">
        <v>9</v>
      </c>
      <c r="H77">
        <v>106460</v>
      </c>
    </row>
    <row r="78" spans="2:8" x14ac:dyDescent="0.3">
      <c r="B78" t="s">
        <v>147</v>
      </c>
      <c r="C78" t="s">
        <v>8</v>
      </c>
      <c r="D78">
        <v>37</v>
      </c>
      <c r="E78" t="s">
        <v>16</v>
      </c>
      <c r="F78" s="1">
        <v>44389</v>
      </c>
      <c r="G78" t="s">
        <v>56</v>
      </c>
      <c r="H78">
        <v>118100</v>
      </c>
    </row>
    <row r="79" spans="2:8" x14ac:dyDescent="0.3">
      <c r="B79" t="s">
        <v>163</v>
      </c>
      <c r="C79" t="s">
        <v>8</v>
      </c>
      <c r="D79">
        <v>36</v>
      </c>
      <c r="E79" t="s">
        <v>16</v>
      </c>
      <c r="F79" s="1">
        <v>44468</v>
      </c>
      <c r="G79" t="s">
        <v>9</v>
      </c>
      <c r="H79">
        <v>78390</v>
      </c>
    </row>
    <row r="80" spans="2:8" x14ac:dyDescent="0.3">
      <c r="B80" t="s">
        <v>146</v>
      </c>
      <c r="C80" t="s">
        <v>8</v>
      </c>
      <c r="D80">
        <v>30</v>
      </c>
      <c r="E80" t="s">
        <v>16</v>
      </c>
      <c r="F80" s="1">
        <v>44789</v>
      </c>
      <c r="G80" t="s">
        <v>9</v>
      </c>
      <c r="H80">
        <v>114180</v>
      </c>
    </row>
    <row r="81" spans="2:8" x14ac:dyDescent="0.3">
      <c r="B81" t="s">
        <v>188</v>
      </c>
      <c r="C81" t="s">
        <v>8</v>
      </c>
      <c r="D81">
        <v>28</v>
      </c>
      <c r="E81" t="s">
        <v>16</v>
      </c>
      <c r="F81" s="1">
        <v>44590</v>
      </c>
      <c r="G81" t="s">
        <v>9</v>
      </c>
      <c r="H81">
        <v>104120</v>
      </c>
    </row>
    <row r="82" spans="2:8" x14ac:dyDescent="0.3">
      <c r="B82" t="s">
        <v>137</v>
      </c>
      <c r="C82" t="s">
        <v>15</v>
      </c>
      <c r="D82">
        <v>30</v>
      </c>
      <c r="E82" t="s">
        <v>16</v>
      </c>
      <c r="F82" s="1">
        <v>44640</v>
      </c>
      <c r="G82" t="s">
        <v>9</v>
      </c>
      <c r="H82">
        <v>67950</v>
      </c>
    </row>
    <row r="83" spans="2:8" x14ac:dyDescent="0.3">
      <c r="B83" t="s">
        <v>136</v>
      </c>
      <c r="C83" t="s">
        <v>8</v>
      </c>
      <c r="D83">
        <v>29</v>
      </c>
      <c r="E83" t="s">
        <v>16</v>
      </c>
      <c r="F83" s="1">
        <v>43962</v>
      </c>
      <c r="G83" t="s">
        <v>12</v>
      </c>
      <c r="H83">
        <v>34980</v>
      </c>
    </row>
    <row r="84" spans="2:8" x14ac:dyDescent="0.3">
      <c r="B84" t="s">
        <v>152</v>
      </c>
      <c r="C84" t="s">
        <v>8</v>
      </c>
      <c r="D84">
        <v>24</v>
      </c>
      <c r="E84" t="s">
        <v>16</v>
      </c>
      <c r="F84" s="1">
        <v>44087</v>
      </c>
      <c r="G84" t="s">
        <v>12</v>
      </c>
      <c r="H84">
        <v>62780</v>
      </c>
    </row>
    <row r="85" spans="2:8" x14ac:dyDescent="0.3">
      <c r="B85" t="s">
        <v>116</v>
      </c>
      <c r="C85" t="s">
        <v>15</v>
      </c>
      <c r="D85">
        <v>20</v>
      </c>
      <c r="E85" t="s">
        <v>16</v>
      </c>
      <c r="F85" s="1">
        <v>44397</v>
      </c>
      <c r="G85" t="s">
        <v>12</v>
      </c>
      <c r="H85">
        <v>107700</v>
      </c>
    </row>
    <row r="86" spans="2:8" x14ac:dyDescent="0.3">
      <c r="B86" t="s">
        <v>167</v>
      </c>
      <c r="C86" t="s">
        <v>15</v>
      </c>
      <c r="D86">
        <v>25</v>
      </c>
      <c r="E86" t="s">
        <v>16</v>
      </c>
      <c r="F86" s="1">
        <v>44322</v>
      </c>
      <c r="G86" t="s">
        <v>19</v>
      </c>
      <c r="H86">
        <v>65700</v>
      </c>
    </row>
    <row r="87" spans="2:8" x14ac:dyDescent="0.3">
      <c r="B87" t="s">
        <v>134</v>
      </c>
      <c r="C87" t="s">
        <v>8</v>
      </c>
      <c r="D87">
        <v>33</v>
      </c>
      <c r="E87" t="s">
        <v>42</v>
      </c>
      <c r="F87" s="1">
        <v>44313</v>
      </c>
      <c r="G87" t="s">
        <v>12</v>
      </c>
      <c r="H87">
        <v>75480</v>
      </c>
    </row>
    <row r="88" spans="2:8" x14ac:dyDescent="0.3">
      <c r="B88" t="s">
        <v>173</v>
      </c>
      <c r="C88" t="s">
        <v>15</v>
      </c>
      <c r="D88">
        <v>33</v>
      </c>
      <c r="E88" t="s">
        <v>16</v>
      </c>
      <c r="F88" s="1">
        <v>44448</v>
      </c>
      <c r="G88" t="s">
        <v>12</v>
      </c>
      <c r="H88">
        <v>53870</v>
      </c>
    </row>
    <row r="89" spans="2:8" x14ac:dyDescent="0.3">
      <c r="B89" t="s">
        <v>140</v>
      </c>
      <c r="C89" t="s">
        <v>8</v>
      </c>
      <c r="D89">
        <v>36</v>
      </c>
      <c r="E89" t="s">
        <v>16</v>
      </c>
      <c r="F89" s="1">
        <v>44433</v>
      </c>
      <c r="G89" t="s">
        <v>19</v>
      </c>
      <c r="H89">
        <v>78540</v>
      </c>
    </row>
    <row r="90" spans="2:8" x14ac:dyDescent="0.3">
      <c r="B90" t="s">
        <v>192</v>
      </c>
      <c r="C90" t="s">
        <v>15</v>
      </c>
      <c r="D90">
        <v>19</v>
      </c>
      <c r="E90" t="s">
        <v>16</v>
      </c>
      <c r="F90" s="1">
        <v>44218</v>
      </c>
      <c r="G90" t="s">
        <v>9</v>
      </c>
      <c r="H90">
        <v>58960</v>
      </c>
    </row>
    <row r="91" spans="2:8" x14ac:dyDescent="0.3">
      <c r="B91" t="s">
        <v>161</v>
      </c>
      <c r="C91" t="s">
        <v>15</v>
      </c>
      <c r="D91">
        <v>46</v>
      </c>
      <c r="E91" t="s">
        <v>16</v>
      </c>
      <c r="F91" s="1">
        <v>44697</v>
      </c>
      <c r="G91" t="s">
        <v>9</v>
      </c>
      <c r="H91">
        <v>70610</v>
      </c>
    </row>
    <row r="92" spans="2:8" x14ac:dyDescent="0.3">
      <c r="B92" t="s">
        <v>170</v>
      </c>
      <c r="C92" t="s">
        <v>15</v>
      </c>
      <c r="D92">
        <v>33</v>
      </c>
      <c r="E92" t="s">
        <v>16</v>
      </c>
      <c r="F92" s="1">
        <v>44181</v>
      </c>
      <c r="G92" t="s">
        <v>21</v>
      </c>
      <c r="H92">
        <v>59430</v>
      </c>
    </row>
    <row r="93" spans="2:8" x14ac:dyDescent="0.3">
      <c r="B93" t="s">
        <v>143</v>
      </c>
      <c r="C93" t="s">
        <v>15</v>
      </c>
      <c r="D93">
        <v>33</v>
      </c>
      <c r="E93" t="s">
        <v>13</v>
      </c>
      <c r="F93" s="1">
        <v>44640</v>
      </c>
      <c r="G93" t="s">
        <v>9</v>
      </c>
      <c r="H93">
        <v>48530</v>
      </c>
    </row>
    <row r="94" spans="2:8" x14ac:dyDescent="0.3">
      <c r="B94" t="s">
        <v>162</v>
      </c>
      <c r="C94" t="s">
        <v>8</v>
      </c>
      <c r="D94">
        <v>33</v>
      </c>
      <c r="E94" t="s">
        <v>16</v>
      </c>
      <c r="F94" s="1">
        <v>44129</v>
      </c>
      <c r="G94" t="s">
        <v>12</v>
      </c>
      <c r="H94">
        <v>96140</v>
      </c>
    </row>
    <row r="95" spans="2:8" x14ac:dyDescent="0.3">
      <c r="B95" t="s">
        <v>155</v>
      </c>
      <c r="C95" t="s">
        <v>15</v>
      </c>
      <c r="D95">
        <v>20</v>
      </c>
      <c r="E95" t="s">
        <v>16</v>
      </c>
      <c r="F95" s="1">
        <v>44122</v>
      </c>
      <c r="G95" t="s">
        <v>12</v>
      </c>
      <c r="H95">
        <v>112650</v>
      </c>
    </row>
    <row r="96" spans="2:8" x14ac:dyDescent="0.3">
      <c r="B96" t="s">
        <v>175</v>
      </c>
      <c r="C96" t="s">
        <v>8</v>
      </c>
      <c r="D96">
        <v>32</v>
      </c>
      <c r="E96" t="s">
        <v>13</v>
      </c>
      <c r="F96" s="1">
        <v>44293</v>
      </c>
      <c r="G96" t="s">
        <v>12</v>
      </c>
      <c r="H96">
        <v>43840</v>
      </c>
    </row>
    <row r="97" spans="2:8" x14ac:dyDescent="0.3">
      <c r="B97" t="s">
        <v>142</v>
      </c>
      <c r="C97" t="s">
        <v>15</v>
      </c>
      <c r="D97">
        <v>31</v>
      </c>
      <c r="E97" t="s">
        <v>16</v>
      </c>
      <c r="F97" s="1">
        <v>44663</v>
      </c>
      <c r="G97" t="s">
        <v>9</v>
      </c>
      <c r="H97">
        <v>103550</v>
      </c>
    </row>
    <row r="98" spans="2:8" x14ac:dyDescent="0.3">
      <c r="B98" t="s">
        <v>200</v>
      </c>
      <c r="C98" t="s">
        <v>8</v>
      </c>
      <c r="D98">
        <v>32</v>
      </c>
      <c r="E98" t="s">
        <v>16</v>
      </c>
      <c r="F98" s="1">
        <v>44339</v>
      </c>
      <c r="G98" t="s">
        <v>56</v>
      </c>
      <c r="H98">
        <v>45510</v>
      </c>
    </row>
    <row r="99" spans="2:8" x14ac:dyDescent="0.3">
      <c r="B99" t="s">
        <v>141</v>
      </c>
      <c r="D99">
        <v>37</v>
      </c>
      <c r="E99" t="s">
        <v>24</v>
      </c>
      <c r="F99" s="1">
        <v>44085</v>
      </c>
      <c r="G99" t="s">
        <v>21</v>
      </c>
      <c r="H99">
        <v>115440</v>
      </c>
    </row>
    <row r="100" spans="2:8" x14ac:dyDescent="0.3">
      <c r="B100" t="s">
        <v>201</v>
      </c>
      <c r="C100" t="s">
        <v>8</v>
      </c>
      <c r="D100">
        <v>38</v>
      </c>
      <c r="E100" t="s">
        <v>13</v>
      </c>
      <c r="F100" s="1">
        <v>44268</v>
      </c>
      <c r="G100" t="s">
        <v>19</v>
      </c>
      <c r="H100">
        <v>56870</v>
      </c>
    </row>
    <row r="101" spans="2:8" x14ac:dyDescent="0.3">
      <c r="B101" t="s">
        <v>168</v>
      </c>
      <c r="C101" t="s">
        <v>8</v>
      </c>
      <c r="D101">
        <v>25</v>
      </c>
      <c r="E101" t="s">
        <v>16</v>
      </c>
      <c r="F101" s="1">
        <v>44144</v>
      </c>
      <c r="G101" t="s">
        <v>19</v>
      </c>
      <c r="H101">
        <v>92700</v>
      </c>
    </row>
    <row r="102" spans="2:8" x14ac:dyDescent="0.3">
      <c r="B102" t="s">
        <v>144</v>
      </c>
      <c r="D102">
        <v>32</v>
      </c>
      <c r="E102" t="s">
        <v>16</v>
      </c>
      <c r="F102" s="1">
        <v>44713</v>
      </c>
      <c r="G102" t="s">
        <v>12</v>
      </c>
      <c r="H102">
        <v>91310</v>
      </c>
    </row>
    <row r="103" spans="2:8" x14ac:dyDescent="0.3">
      <c r="B103" t="s">
        <v>114</v>
      </c>
      <c r="C103" t="s">
        <v>15</v>
      </c>
      <c r="D103">
        <v>33</v>
      </c>
      <c r="E103" t="s">
        <v>16</v>
      </c>
      <c r="F103" s="1">
        <v>44324</v>
      </c>
      <c r="G103" t="s">
        <v>19</v>
      </c>
      <c r="H103">
        <v>74550</v>
      </c>
    </row>
    <row r="104" spans="2:8" x14ac:dyDescent="0.3">
      <c r="B104" t="s">
        <v>127</v>
      </c>
      <c r="C104" t="s">
        <v>15</v>
      </c>
      <c r="D104">
        <v>25</v>
      </c>
      <c r="E104" t="s">
        <v>13</v>
      </c>
      <c r="F104" s="1">
        <v>44665</v>
      </c>
      <c r="G104" t="s">
        <v>9</v>
      </c>
      <c r="H104">
        <v>109190</v>
      </c>
    </row>
    <row r="105" spans="2:8" x14ac:dyDescent="0.3">
      <c r="B105" t="s">
        <v>193</v>
      </c>
      <c r="C105" t="s">
        <v>8</v>
      </c>
      <c r="D105">
        <v>40</v>
      </c>
      <c r="E105" t="s">
        <v>16</v>
      </c>
      <c r="F105" s="1">
        <v>44320</v>
      </c>
      <c r="G105" t="s">
        <v>12</v>
      </c>
      <c r="H105">
        <v>104410</v>
      </c>
    </row>
    <row r="106" spans="2:8" x14ac:dyDescent="0.3">
      <c r="B106" t="s">
        <v>176</v>
      </c>
      <c r="C106" t="s">
        <v>15</v>
      </c>
      <c r="D106">
        <v>30</v>
      </c>
      <c r="E106" t="s">
        <v>16</v>
      </c>
      <c r="F106" s="1">
        <v>44544</v>
      </c>
      <c r="G106" t="s">
        <v>21</v>
      </c>
      <c r="H106">
        <v>96800</v>
      </c>
    </row>
    <row r="107" spans="2:8" x14ac:dyDescent="0.3">
      <c r="B107" t="s">
        <v>122</v>
      </c>
      <c r="C107" t="s">
        <v>15</v>
      </c>
      <c r="D107">
        <v>28</v>
      </c>
      <c r="E107" t="s">
        <v>13</v>
      </c>
      <c r="F107" s="1">
        <v>43980</v>
      </c>
      <c r="G107" t="s">
        <v>21</v>
      </c>
      <c r="H107">
        <v>48170</v>
      </c>
    </row>
    <row r="108" spans="2:8" x14ac:dyDescent="0.3">
      <c r="B108" t="s">
        <v>139</v>
      </c>
      <c r="C108" t="s">
        <v>15</v>
      </c>
      <c r="D108">
        <v>21</v>
      </c>
      <c r="E108" t="s">
        <v>16</v>
      </c>
      <c r="F108" s="1">
        <v>44042</v>
      </c>
      <c r="G108" t="s">
        <v>9</v>
      </c>
      <c r="H108">
        <v>37920</v>
      </c>
    </row>
    <row r="109" spans="2:8" x14ac:dyDescent="0.3">
      <c r="B109" t="s">
        <v>177</v>
      </c>
      <c r="C109" t="s">
        <v>15</v>
      </c>
      <c r="D109">
        <v>34</v>
      </c>
      <c r="E109" t="s">
        <v>16</v>
      </c>
      <c r="F109" s="1">
        <v>44642</v>
      </c>
      <c r="G109" t="s">
        <v>9</v>
      </c>
      <c r="H109">
        <v>112650</v>
      </c>
    </row>
    <row r="110" spans="2:8" x14ac:dyDescent="0.3">
      <c r="B110" t="s">
        <v>164</v>
      </c>
      <c r="C110" t="s">
        <v>8</v>
      </c>
      <c r="D110">
        <v>34</v>
      </c>
      <c r="E110" t="s">
        <v>24</v>
      </c>
      <c r="F110" s="1">
        <v>44660</v>
      </c>
      <c r="G110" t="s">
        <v>19</v>
      </c>
      <c r="H110">
        <v>49630</v>
      </c>
    </row>
    <row r="111" spans="2:8" x14ac:dyDescent="0.3">
      <c r="B111" t="s">
        <v>198</v>
      </c>
      <c r="C111" t="s">
        <v>15</v>
      </c>
      <c r="D111">
        <v>36</v>
      </c>
      <c r="E111" t="s">
        <v>16</v>
      </c>
      <c r="F111" s="1">
        <v>43958</v>
      </c>
      <c r="G111" t="s">
        <v>12</v>
      </c>
      <c r="H111">
        <v>118840</v>
      </c>
    </row>
    <row r="112" spans="2:8" x14ac:dyDescent="0.3">
      <c r="B112" t="s">
        <v>158</v>
      </c>
      <c r="C112" t="s">
        <v>15</v>
      </c>
      <c r="D112">
        <v>30</v>
      </c>
      <c r="E112" t="s">
        <v>16</v>
      </c>
      <c r="F112" s="1">
        <v>44789</v>
      </c>
      <c r="G112" t="s">
        <v>12</v>
      </c>
      <c r="H112">
        <v>69710</v>
      </c>
    </row>
    <row r="113" spans="2:8" x14ac:dyDescent="0.3">
      <c r="B113" t="s">
        <v>196</v>
      </c>
      <c r="C113" t="s">
        <v>15</v>
      </c>
      <c r="D113">
        <v>20</v>
      </c>
      <c r="E113" t="s">
        <v>16</v>
      </c>
      <c r="F113" s="1">
        <v>44683</v>
      </c>
      <c r="G113" t="s">
        <v>9</v>
      </c>
      <c r="H113">
        <v>79570</v>
      </c>
    </row>
    <row r="114" spans="2:8" x14ac:dyDescent="0.3">
      <c r="B114" t="s">
        <v>153</v>
      </c>
      <c r="C114" t="s">
        <v>8</v>
      </c>
      <c r="D114">
        <v>22</v>
      </c>
      <c r="E114" t="s">
        <v>13</v>
      </c>
      <c r="F114" s="1">
        <v>44388</v>
      </c>
      <c r="G114" t="s">
        <v>9</v>
      </c>
      <c r="H114">
        <v>76900</v>
      </c>
    </row>
    <row r="115" spans="2:8" x14ac:dyDescent="0.3">
      <c r="B115" t="s">
        <v>219</v>
      </c>
      <c r="C115" t="s">
        <v>220</v>
      </c>
      <c r="D115">
        <v>20</v>
      </c>
      <c r="E115" t="s">
        <v>16</v>
      </c>
      <c r="F115" s="1">
        <v>43958</v>
      </c>
      <c r="G115" t="s">
        <v>12</v>
      </c>
      <c r="H115">
        <v>79570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8DB7-77FA-4550-9EA3-A09696297CC3}">
  <dimension ref="A1:O210"/>
  <sheetViews>
    <sheetView topLeftCell="C125" workbookViewId="0">
      <selection activeCell="H137" sqref="H137"/>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5.5546875" style="1" bestFit="1" customWidth="1"/>
    <col min="6" max="6" width="15.5546875" style="17" bestFit="1" customWidth="1"/>
    <col min="7" max="7" width="15.5546875" bestFit="1" customWidth="1"/>
    <col min="8" max="8" width="10.77734375" bestFit="1" customWidth="1"/>
    <col min="9" max="9" width="9.109375" style="3" bestFit="1" customWidth="1"/>
    <col min="10" max="10" width="9.44140625" bestFit="1" customWidth="1"/>
    <col min="14" max="14" width="13.109375" bestFit="1" customWidth="1"/>
  </cols>
  <sheetData>
    <row r="1" spans="1:15" x14ac:dyDescent="0.3">
      <c r="A1" t="s">
        <v>0</v>
      </c>
      <c r="B1" t="s">
        <v>1</v>
      </c>
      <c r="C1" t="s">
        <v>2</v>
      </c>
      <c r="D1" t="s">
        <v>3</v>
      </c>
      <c r="E1" s="1" t="s">
        <v>4</v>
      </c>
      <c r="F1" s="17" t="s">
        <v>5</v>
      </c>
      <c r="G1" t="s">
        <v>6</v>
      </c>
      <c r="H1" t="s">
        <v>203</v>
      </c>
      <c r="I1" s="3" t="s">
        <v>211</v>
      </c>
      <c r="J1" t="s">
        <v>235</v>
      </c>
      <c r="K1" t="s">
        <v>239</v>
      </c>
    </row>
    <row r="2" spans="1:15" x14ac:dyDescent="0.3">
      <c r="A2" t="s">
        <v>58</v>
      </c>
      <c r="B2" t="s">
        <v>15</v>
      </c>
      <c r="C2" t="s">
        <v>19</v>
      </c>
      <c r="D2">
        <v>22</v>
      </c>
      <c r="E2" s="16">
        <v>44446</v>
      </c>
      <c r="F2" s="17">
        <v>112780</v>
      </c>
      <c r="G2" t="s">
        <v>13</v>
      </c>
      <c r="H2" t="s">
        <v>204</v>
      </c>
      <c r="I2" s="3">
        <f ca="1">(TODAY()-staff[[#This Row],[Date Joined]])/365</f>
        <v>2.7123287671232879</v>
      </c>
      <c r="J2" s="17">
        <f ca="1">ROUNDUP(IF(staff[[#This Row],[Tenure]]&gt;2,3%,2%)*staff[[#This Row],[Salary]],0)</f>
        <v>3384</v>
      </c>
      <c r="K2">
        <f>_xlfn.XLOOKUP(staff[[#This Row],[Rating]],$N$5:$N$9,$O$5:$O$9)</f>
        <v>4</v>
      </c>
    </row>
    <row r="3" spans="1:15" x14ac:dyDescent="0.3">
      <c r="A3" t="s">
        <v>70</v>
      </c>
      <c r="B3" t="s">
        <v>15</v>
      </c>
      <c r="C3" t="s">
        <v>9</v>
      </c>
      <c r="D3">
        <v>46</v>
      </c>
      <c r="E3" s="16">
        <v>44758</v>
      </c>
      <c r="F3" s="17">
        <v>70610</v>
      </c>
      <c r="G3" t="s">
        <v>16</v>
      </c>
      <c r="H3" t="s">
        <v>204</v>
      </c>
      <c r="I3" s="3">
        <f ca="1">(TODAY()-staff[[#This Row],[Date Joined]])/365</f>
        <v>1.8575342465753424</v>
      </c>
      <c r="J3" s="17">
        <f ca="1">ROUNDUP(IF(staff[[#This Row],[Tenure]]&gt;2,3%,2%)*staff[[#This Row],[Salary]],0)</f>
        <v>1413</v>
      </c>
      <c r="K3">
        <f>_xlfn.XLOOKUP(staff[[#This Row],[Rating]],$N$5:$N$9,$O$5:$O$9)</f>
        <v>3</v>
      </c>
    </row>
    <row r="4" spans="1:15" x14ac:dyDescent="0.3">
      <c r="A4" t="s">
        <v>75</v>
      </c>
      <c r="B4" t="s">
        <v>8</v>
      </c>
      <c r="C4" t="s">
        <v>19</v>
      </c>
      <c r="D4">
        <v>28</v>
      </c>
      <c r="E4" s="16">
        <v>44357</v>
      </c>
      <c r="F4" s="17">
        <v>53240</v>
      </c>
      <c r="G4" t="s">
        <v>16</v>
      </c>
      <c r="H4" t="s">
        <v>204</v>
      </c>
      <c r="I4" s="3">
        <f ca="1">(TODAY()-staff[[#This Row],[Date Joined]])/365</f>
        <v>2.956164383561644</v>
      </c>
      <c r="J4" s="17">
        <f ca="1">ROUNDUP(IF(staff[[#This Row],[Tenure]]&gt;2,3%,2%)*staff[[#This Row],[Salary]],0)</f>
        <v>1598</v>
      </c>
      <c r="K4">
        <f>_xlfn.XLOOKUP(staff[[#This Row],[Rating]],$N$5:$N$9,$O$5:$O$9)</f>
        <v>3</v>
      </c>
    </row>
    <row r="5" spans="1:15" x14ac:dyDescent="0.3">
      <c r="A5" t="s">
        <v>49</v>
      </c>
      <c r="B5" t="s">
        <v>205</v>
      </c>
      <c r="C5" t="s">
        <v>21</v>
      </c>
      <c r="D5">
        <v>37</v>
      </c>
      <c r="E5" s="16">
        <v>44146</v>
      </c>
      <c r="F5" s="17">
        <v>115440</v>
      </c>
      <c r="G5" t="s">
        <v>24</v>
      </c>
      <c r="H5" t="s">
        <v>204</v>
      </c>
      <c r="I5" s="3">
        <f ca="1">(TODAY()-staff[[#This Row],[Date Joined]])/365</f>
        <v>3.5342465753424657</v>
      </c>
      <c r="J5" s="17">
        <f ca="1">ROUNDUP(IF(staff[[#This Row],[Tenure]]&gt;2,3%,2%)*staff[[#This Row],[Salary]],0)</f>
        <v>3464</v>
      </c>
      <c r="K5">
        <f>_xlfn.XLOOKUP(staff[[#This Row],[Rating]],$N$5:$N$9,$O$5:$O$9)</f>
        <v>2</v>
      </c>
      <c r="N5" s="26" t="s">
        <v>10</v>
      </c>
      <c r="O5" s="9">
        <v>5</v>
      </c>
    </row>
    <row r="6" spans="1:15" x14ac:dyDescent="0.3">
      <c r="A6" t="s">
        <v>65</v>
      </c>
      <c r="B6" t="s">
        <v>15</v>
      </c>
      <c r="C6" t="s">
        <v>19</v>
      </c>
      <c r="D6">
        <v>32</v>
      </c>
      <c r="E6" s="16">
        <v>44465</v>
      </c>
      <c r="F6" s="17">
        <v>53540</v>
      </c>
      <c r="G6" t="s">
        <v>16</v>
      </c>
      <c r="H6" t="s">
        <v>204</v>
      </c>
      <c r="I6" s="3">
        <f ca="1">(TODAY()-staff[[#This Row],[Date Joined]])/365</f>
        <v>2.6602739726027398</v>
      </c>
      <c r="J6" s="17">
        <f ca="1">ROUNDUP(IF(staff[[#This Row],[Tenure]]&gt;2,3%,2%)*staff[[#This Row],[Salary]],0)</f>
        <v>1607</v>
      </c>
      <c r="K6">
        <f>_xlfn.XLOOKUP(staff[[#This Row],[Rating]],$N$5:$N$9,$O$5:$O$9)</f>
        <v>3</v>
      </c>
      <c r="N6" s="26" t="s">
        <v>13</v>
      </c>
      <c r="O6" s="9">
        <v>4</v>
      </c>
    </row>
    <row r="7" spans="1:15" x14ac:dyDescent="0.3">
      <c r="A7" t="s">
        <v>81</v>
      </c>
      <c r="B7" t="s">
        <v>8</v>
      </c>
      <c r="C7" t="s">
        <v>9</v>
      </c>
      <c r="D7">
        <v>30</v>
      </c>
      <c r="E7" s="16">
        <v>44861</v>
      </c>
      <c r="F7" s="17">
        <v>112570</v>
      </c>
      <c r="G7" t="s">
        <v>16</v>
      </c>
      <c r="H7" t="s">
        <v>204</v>
      </c>
      <c r="I7" s="3">
        <f ca="1">(TODAY()-staff[[#This Row],[Date Joined]])/365</f>
        <v>1.5753424657534247</v>
      </c>
      <c r="J7" s="17">
        <f ca="1">ROUNDUP(IF(staff[[#This Row],[Tenure]]&gt;2,3%,2%)*staff[[#This Row],[Salary]],0)</f>
        <v>2252</v>
      </c>
      <c r="K7">
        <f>_xlfn.XLOOKUP(staff[[#This Row],[Rating]],$N$5:$N$9,$O$5:$O$9)</f>
        <v>3</v>
      </c>
      <c r="N7" s="26" t="s">
        <v>16</v>
      </c>
      <c r="O7" s="9">
        <v>3</v>
      </c>
    </row>
    <row r="8" spans="1:15" x14ac:dyDescent="0.3">
      <c r="A8" t="s">
        <v>51</v>
      </c>
      <c r="B8" t="s">
        <v>15</v>
      </c>
      <c r="C8" t="s">
        <v>9</v>
      </c>
      <c r="D8">
        <v>33</v>
      </c>
      <c r="E8" s="16">
        <v>44701</v>
      </c>
      <c r="F8" s="17">
        <v>48530</v>
      </c>
      <c r="G8" t="s">
        <v>13</v>
      </c>
      <c r="H8" t="s">
        <v>204</v>
      </c>
      <c r="I8" s="3">
        <f ca="1">(TODAY()-staff[[#This Row],[Date Joined]])/365</f>
        <v>2.0136986301369864</v>
      </c>
      <c r="J8" s="17">
        <f ca="1">ROUNDUP(IF(staff[[#This Row],[Tenure]]&gt;2,3%,2%)*staff[[#This Row],[Salary]],0)</f>
        <v>1456</v>
      </c>
      <c r="K8">
        <f>_xlfn.XLOOKUP(staff[[#This Row],[Rating]],$N$5:$N$9,$O$5:$O$9)</f>
        <v>4</v>
      </c>
      <c r="N8" s="26" t="s">
        <v>24</v>
      </c>
      <c r="O8" s="9">
        <v>2</v>
      </c>
    </row>
    <row r="9" spans="1:15" x14ac:dyDescent="0.3">
      <c r="A9" t="s">
        <v>61</v>
      </c>
      <c r="B9" t="s">
        <v>8</v>
      </c>
      <c r="C9" t="s">
        <v>12</v>
      </c>
      <c r="D9">
        <v>24</v>
      </c>
      <c r="E9" s="16">
        <v>44148</v>
      </c>
      <c r="F9" s="17">
        <v>62780</v>
      </c>
      <c r="G9" t="s">
        <v>16</v>
      </c>
      <c r="H9" t="s">
        <v>204</v>
      </c>
      <c r="I9" s="3">
        <f ca="1">(TODAY()-staff[[#This Row],[Date Joined]])/365</f>
        <v>3.5287671232876714</v>
      </c>
      <c r="J9" s="17">
        <f ca="1">ROUNDUP(IF(staff[[#This Row],[Tenure]]&gt;2,3%,2%)*staff[[#This Row],[Salary]],0)</f>
        <v>1884</v>
      </c>
      <c r="K9">
        <f>_xlfn.XLOOKUP(staff[[#This Row],[Rating]],$N$5:$N$9,$O$5:$O$9)</f>
        <v>3</v>
      </c>
      <c r="N9" s="26" t="s">
        <v>42</v>
      </c>
      <c r="O9" s="9">
        <v>1</v>
      </c>
    </row>
    <row r="10" spans="1:15" x14ac:dyDescent="0.3">
      <c r="A10" t="s">
        <v>82</v>
      </c>
      <c r="B10" t="s">
        <v>15</v>
      </c>
      <c r="C10" t="s">
        <v>12</v>
      </c>
      <c r="D10">
        <v>33</v>
      </c>
      <c r="E10" s="16">
        <v>44509</v>
      </c>
      <c r="F10" s="17">
        <v>53870</v>
      </c>
      <c r="G10" t="s">
        <v>16</v>
      </c>
      <c r="H10" t="s">
        <v>204</v>
      </c>
      <c r="I10" s="3">
        <f ca="1">(TODAY()-staff[[#This Row],[Date Joined]])/365</f>
        <v>2.5397260273972604</v>
      </c>
      <c r="J10" s="17">
        <f ca="1">ROUNDUP(IF(staff[[#This Row],[Tenure]]&gt;2,3%,2%)*staff[[#This Row],[Salary]],0)</f>
        <v>1617</v>
      </c>
      <c r="K10">
        <f>_xlfn.XLOOKUP(staff[[#This Row],[Rating]],$N$5:$N$9,$O$5:$O$9)</f>
        <v>3</v>
      </c>
    </row>
    <row r="11" spans="1:15" x14ac:dyDescent="0.3">
      <c r="A11" t="s">
        <v>60</v>
      </c>
      <c r="B11" t="s">
        <v>8</v>
      </c>
      <c r="C11" t="s">
        <v>56</v>
      </c>
      <c r="D11">
        <v>27</v>
      </c>
      <c r="E11" s="16">
        <v>44122</v>
      </c>
      <c r="F11" s="17">
        <v>119110</v>
      </c>
      <c r="G11" t="s">
        <v>16</v>
      </c>
      <c r="H11" t="s">
        <v>204</v>
      </c>
      <c r="I11" s="3">
        <f ca="1">(TODAY()-staff[[#This Row],[Date Joined]])/365</f>
        <v>3.6</v>
      </c>
      <c r="J11" s="17">
        <f ca="1">ROUNDUP(IF(staff[[#This Row],[Tenure]]&gt;2,3%,2%)*staff[[#This Row],[Salary]],0)</f>
        <v>3574</v>
      </c>
      <c r="K11">
        <f>_xlfn.XLOOKUP(staff[[#This Row],[Rating]],$N$5:$N$9,$O$5:$O$9)</f>
        <v>3</v>
      </c>
    </row>
    <row r="12" spans="1:15" x14ac:dyDescent="0.3">
      <c r="A12" t="s">
        <v>87</v>
      </c>
      <c r="B12" t="s">
        <v>15</v>
      </c>
      <c r="C12" t="s">
        <v>12</v>
      </c>
      <c r="D12">
        <v>29</v>
      </c>
      <c r="E12" s="16">
        <v>44180</v>
      </c>
      <c r="F12" s="17">
        <v>112110</v>
      </c>
      <c r="G12" t="s">
        <v>24</v>
      </c>
      <c r="H12" t="s">
        <v>204</v>
      </c>
      <c r="I12" s="3">
        <f ca="1">(TODAY()-staff[[#This Row],[Date Joined]])/365</f>
        <v>3.441095890410959</v>
      </c>
      <c r="J12" s="17">
        <f ca="1">ROUNDUP(IF(staff[[#This Row],[Tenure]]&gt;2,3%,2%)*staff[[#This Row],[Salary]],0)</f>
        <v>3364</v>
      </c>
      <c r="K12">
        <f>_xlfn.XLOOKUP(staff[[#This Row],[Rating]],$N$5:$N$9,$O$5:$O$9)</f>
        <v>2</v>
      </c>
    </row>
    <row r="13" spans="1:15" x14ac:dyDescent="0.3">
      <c r="A13" t="s">
        <v>76</v>
      </c>
      <c r="B13" t="s">
        <v>15</v>
      </c>
      <c r="C13" t="s">
        <v>19</v>
      </c>
      <c r="D13">
        <v>25</v>
      </c>
      <c r="E13" s="16">
        <v>44383</v>
      </c>
      <c r="F13" s="17">
        <v>65700</v>
      </c>
      <c r="G13" t="s">
        <v>16</v>
      </c>
      <c r="H13" t="s">
        <v>204</v>
      </c>
      <c r="I13" s="3">
        <f ca="1">(TODAY()-staff[[#This Row],[Date Joined]])/365</f>
        <v>2.8849315068493149</v>
      </c>
      <c r="J13" s="17">
        <f ca="1">ROUNDUP(IF(staff[[#This Row],[Tenure]]&gt;2,3%,2%)*staff[[#This Row],[Salary]],0)</f>
        <v>1971</v>
      </c>
      <c r="K13">
        <f>_xlfn.XLOOKUP(staff[[#This Row],[Rating]],$N$5:$N$9,$O$5:$O$9)</f>
        <v>3</v>
      </c>
    </row>
    <row r="14" spans="1:15" x14ac:dyDescent="0.3">
      <c r="A14" t="s">
        <v>97</v>
      </c>
      <c r="B14" t="s">
        <v>15</v>
      </c>
      <c r="C14" t="s">
        <v>12</v>
      </c>
      <c r="D14">
        <v>37</v>
      </c>
      <c r="E14" s="16">
        <v>44701</v>
      </c>
      <c r="F14" s="17">
        <v>69070</v>
      </c>
      <c r="G14" t="s">
        <v>16</v>
      </c>
      <c r="H14" t="s">
        <v>204</v>
      </c>
      <c r="I14" s="3">
        <f ca="1">(TODAY()-staff[[#This Row],[Date Joined]])/365</f>
        <v>2.0136986301369864</v>
      </c>
      <c r="J14" s="17">
        <f ca="1">ROUNDUP(IF(staff[[#This Row],[Tenure]]&gt;2,3%,2%)*staff[[#This Row],[Salary]],0)</f>
        <v>2073</v>
      </c>
      <c r="K14">
        <f>_xlfn.XLOOKUP(staff[[#This Row],[Rating]],$N$5:$N$9,$O$5:$O$9)</f>
        <v>3</v>
      </c>
    </row>
    <row r="15" spans="1:15" x14ac:dyDescent="0.3">
      <c r="A15" t="s">
        <v>22</v>
      </c>
      <c r="B15" t="s">
        <v>15</v>
      </c>
      <c r="C15" t="s">
        <v>12</v>
      </c>
      <c r="D15">
        <v>20</v>
      </c>
      <c r="E15" s="16">
        <v>44459</v>
      </c>
      <c r="F15" s="17">
        <v>107700</v>
      </c>
      <c r="G15" t="s">
        <v>16</v>
      </c>
      <c r="H15" t="s">
        <v>204</v>
      </c>
      <c r="I15" s="3">
        <f ca="1">(TODAY()-staff[[#This Row],[Date Joined]])/365</f>
        <v>2.6767123287671235</v>
      </c>
      <c r="J15" s="17">
        <f ca="1">ROUNDUP(IF(staff[[#This Row],[Tenure]]&gt;2,3%,2%)*staff[[#This Row],[Salary]],0)</f>
        <v>3231</v>
      </c>
      <c r="K15">
        <f>_xlfn.XLOOKUP(staff[[#This Row],[Rating]],$N$5:$N$9,$O$5:$O$9)</f>
        <v>3</v>
      </c>
    </row>
    <row r="16" spans="1:15" x14ac:dyDescent="0.3">
      <c r="A16" t="s">
        <v>84</v>
      </c>
      <c r="B16" t="s">
        <v>8</v>
      </c>
      <c r="C16" t="s">
        <v>12</v>
      </c>
      <c r="D16">
        <v>32</v>
      </c>
      <c r="E16" s="16">
        <v>44354</v>
      </c>
      <c r="F16" s="17">
        <v>43840</v>
      </c>
      <c r="G16" t="s">
        <v>13</v>
      </c>
      <c r="H16" t="s">
        <v>204</v>
      </c>
      <c r="I16" s="3">
        <f ca="1">(TODAY()-staff[[#This Row],[Date Joined]])/365</f>
        <v>2.9643835616438357</v>
      </c>
      <c r="J16" s="17">
        <f ca="1">ROUNDUP(IF(staff[[#This Row],[Tenure]]&gt;2,3%,2%)*staff[[#This Row],[Salary]],0)</f>
        <v>1316</v>
      </c>
      <c r="K16">
        <f>_xlfn.XLOOKUP(staff[[#This Row],[Rating]],$N$5:$N$9,$O$5:$O$9)</f>
        <v>4</v>
      </c>
    </row>
    <row r="17" spans="1:11" x14ac:dyDescent="0.3">
      <c r="A17" t="s">
        <v>105</v>
      </c>
      <c r="B17" t="s">
        <v>15</v>
      </c>
      <c r="C17" t="s">
        <v>9</v>
      </c>
      <c r="D17">
        <v>40</v>
      </c>
      <c r="E17" s="16">
        <v>44263</v>
      </c>
      <c r="F17" s="17">
        <v>99750</v>
      </c>
      <c r="G17" t="s">
        <v>16</v>
      </c>
      <c r="H17" t="s">
        <v>204</v>
      </c>
      <c r="I17" s="3">
        <f ca="1">(TODAY()-staff[[#This Row],[Date Joined]])/365</f>
        <v>3.2136986301369861</v>
      </c>
      <c r="J17" s="17">
        <f ca="1">ROUNDUP(IF(staff[[#This Row],[Tenure]]&gt;2,3%,2%)*staff[[#This Row],[Salary]],0)</f>
        <v>2993</v>
      </c>
      <c r="K17">
        <f>_xlfn.XLOOKUP(staff[[#This Row],[Rating]],$N$5:$N$9,$O$5:$O$9)</f>
        <v>3</v>
      </c>
    </row>
    <row r="18" spans="1:11" x14ac:dyDescent="0.3">
      <c r="A18" t="s">
        <v>47</v>
      </c>
      <c r="B18" t="s">
        <v>15</v>
      </c>
      <c r="C18" t="s">
        <v>9</v>
      </c>
      <c r="D18">
        <v>21</v>
      </c>
      <c r="E18" s="16">
        <v>44104</v>
      </c>
      <c r="F18" s="17">
        <v>37920</v>
      </c>
      <c r="G18" t="s">
        <v>16</v>
      </c>
      <c r="H18" t="s">
        <v>204</v>
      </c>
      <c r="I18" s="3">
        <f ca="1">(TODAY()-staff[[#This Row],[Date Joined]])/365</f>
        <v>3.6493150684931508</v>
      </c>
      <c r="J18" s="17">
        <f ca="1">ROUNDUP(IF(staff[[#This Row],[Tenure]]&gt;2,3%,2%)*staff[[#This Row],[Salary]],0)</f>
        <v>1138</v>
      </c>
      <c r="K18">
        <f>_xlfn.XLOOKUP(staff[[#This Row],[Rating]],$N$5:$N$9,$O$5:$O$9)</f>
        <v>3</v>
      </c>
    </row>
    <row r="19" spans="1:11" x14ac:dyDescent="0.3">
      <c r="A19" t="s">
        <v>31</v>
      </c>
      <c r="B19" t="s">
        <v>15</v>
      </c>
      <c r="C19" t="s">
        <v>9</v>
      </c>
      <c r="D19">
        <v>21</v>
      </c>
      <c r="E19" s="16">
        <v>44762</v>
      </c>
      <c r="F19" s="17">
        <v>57090</v>
      </c>
      <c r="G19" t="s">
        <v>16</v>
      </c>
      <c r="H19" t="s">
        <v>204</v>
      </c>
      <c r="I19" s="3">
        <f ca="1">(TODAY()-staff[[#This Row],[Date Joined]])/365</f>
        <v>1.8465753424657534</v>
      </c>
      <c r="J19" s="17">
        <f ca="1">ROUNDUP(IF(staff[[#This Row],[Tenure]]&gt;2,3%,2%)*staff[[#This Row],[Salary]],0)</f>
        <v>1142</v>
      </c>
      <c r="K19">
        <f>_xlfn.XLOOKUP(staff[[#This Row],[Rating]],$N$5:$N$9,$O$5:$O$9)</f>
        <v>3</v>
      </c>
    </row>
    <row r="20" spans="1:11" x14ac:dyDescent="0.3">
      <c r="A20" t="s">
        <v>30</v>
      </c>
      <c r="B20" t="s">
        <v>8</v>
      </c>
      <c r="C20" t="s">
        <v>12</v>
      </c>
      <c r="D20">
        <v>31</v>
      </c>
      <c r="E20" s="16">
        <v>44145</v>
      </c>
      <c r="F20" s="17">
        <v>41980</v>
      </c>
      <c r="G20" t="s">
        <v>16</v>
      </c>
      <c r="H20" t="s">
        <v>204</v>
      </c>
      <c r="I20" s="3">
        <f ca="1">(TODAY()-staff[[#This Row],[Date Joined]])/365</f>
        <v>3.536986301369863</v>
      </c>
      <c r="J20" s="17">
        <f ca="1">ROUNDUP(IF(staff[[#This Row],[Tenure]]&gt;2,3%,2%)*staff[[#This Row],[Salary]],0)</f>
        <v>1260</v>
      </c>
      <c r="K20">
        <f>_xlfn.XLOOKUP(staff[[#This Row],[Rating]],$N$5:$N$9,$O$5:$O$9)</f>
        <v>3</v>
      </c>
    </row>
    <row r="21" spans="1:11" x14ac:dyDescent="0.3">
      <c r="A21" t="s">
        <v>78</v>
      </c>
      <c r="B21" t="s">
        <v>15</v>
      </c>
      <c r="C21" t="s">
        <v>56</v>
      </c>
      <c r="D21">
        <v>21</v>
      </c>
      <c r="E21" s="16">
        <v>44242</v>
      </c>
      <c r="F21" s="17">
        <v>75880</v>
      </c>
      <c r="G21" t="s">
        <v>16</v>
      </c>
      <c r="H21" t="s">
        <v>204</v>
      </c>
      <c r="I21" s="3">
        <f ca="1">(TODAY()-staff[[#This Row],[Date Joined]])/365</f>
        <v>3.2712328767123289</v>
      </c>
      <c r="J21" s="17">
        <f ca="1">ROUNDUP(IF(staff[[#This Row],[Tenure]]&gt;2,3%,2%)*staff[[#This Row],[Salary]],0)</f>
        <v>2277</v>
      </c>
      <c r="K21">
        <f>_xlfn.XLOOKUP(staff[[#This Row],[Rating]],$N$5:$N$9,$O$5:$O$9)</f>
        <v>3</v>
      </c>
    </row>
    <row r="22" spans="1:11" x14ac:dyDescent="0.3">
      <c r="A22" t="s">
        <v>36</v>
      </c>
      <c r="B22" t="s">
        <v>8</v>
      </c>
      <c r="C22" t="s">
        <v>21</v>
      </c>
      <c r="D22">
        <v>34</v>
      </c>
      <c r="E22" s="16">
        <v>44653</v>
      </c>
      <c r="F22" s="17">
        <v>58940</v>
      </c>
      <c r="G22" t="s">
        <v>16</v>
      </c>
      <c r="H22" t="s">
        <v>204</v>
      </c>
      <c r="I22" s="3">
        <f ca="1">(TODAY()-staff[[#This Row],[Date Joined]])/365</f>
        <v>2.1452054794520548</v>
      </c>
      <c r="J22" s="17">
        <f ca="1">ROUNDUP(IF(staff[[#This Row],[Tenure]]&gt;2,3%,2%)*staff[[#This Row],[Salary]],0)</f>
        <v>1769</v>
      </c>
      <c r="K22">
        <f>_xlfn.XLOOKUP(staff[[#This Row],[Rating]],$N$5:$N$9,$O$5:$O$9)</f>
        <v>3</v>
      </c>
    </row>
    <row r="23" spans="1:11" x14ac:dyDescent="0.3">
      <c r="A23" t="s">
        <v>27</v>
      </c>
      <c r="B23" t="s">
        <v>8</v>
      </c>
      <c r="C23" t="s">
        <v>21</v>
      </c>
      <c r="D23">
        <v>30</v>
      </c>
      <c r="E23" s="16">
        <v>44389</v>
      </c>
      <c r="F23" s="17">
        <v>67910</v>
      </c>
      <c r="G23" t="s">
        <v>24</v>
      </c>
      <c r="H23" t="s">
        <v>204</v>
      </c>
      <c r="I23" s="3">
        <f ca="1">(TODAY()-staff[[#This Row],[Date Joined]])/365</f>
        <v>2.8684931506849316</v>
      </c>
      <c r="J23" s="17">
        <f ca="1">ROUNDUP(IF(staff[[#This Row],[Tenure]]&gt;2,3%,2%)*staff[[#This Row],[Salary]],0)</f>
        <v>2038</v>
      </c>
      <c r="K23">
        <f>_xlfn.XLOOKUP(staff[[#This Row],[Rating]],$N$5:$N$9,$O$5:$O$9)</f>
        <v>2</v>
      </c>
    </row>
    <row r="24" spans="1:11" x14ac:dyDescent="0.3">
      <c r="A24" t="s">
        <v>26</v>
      </c>
      <c r="B24" t="s">
        <v>8</v>
      </c>
      <c r="C24" t="s">
        <v>12</v>
      </c>
      <c r="D24">
        <v>31</v>
      </c>
      <c r="E24" s="16">
        <v>44663</v>
      </c>
      <c r="F24" s="17">
        <v>58100</v>
      </c>
      <c r="G24" t="s">
        <v>16</v>
      </c>
      <c r="H24" t="s">
        <v>204</v>
      </c>
      <c r="I24" s="3">
        <f ca="1">(TODAY()-staff[[#This Row],[Date Joined]])/365</f>
        <v>2.117808219178082</v>
      </c>
      <c r="J24" s="17">
        <f ca="1">ROUNDUP(IF(staff[[#This Row],[Tenure]]&gt;2,3%,2%)*staff[[#This Row],[Salary]],0)</f>
        <v>1743</v>
      </c>
      <c r="K24">
        <f>_xlfn.XLOOKUP(staff[[#This Row],[Rating]],$N$5:$N$9,$O$5:$O$9)</f>
        <v>3</v>
      </c>
    </row>
    <row r="25" spans="1:11" x14ac:dyDescent="0.3">
      <c r="A25" t="s">
        <v>53</v>
      </c>
      <c r="B25" t="s">
        <v>15</v>
      </c>
      <c r="C25" t="s">
        <v>21</v>
      </c>
      <c r="D25">
        <v>27</v>
      </c>
      <c r="E25" s="16">
        <v>44567</v>
      </c>
      <c r="F25" s="17">
        <v>48980</v>
      </c>
      <c r="G25" t="s">
        <v>16</v>
      </c>
      <c r="H25" t="s">
        <v>204</v>
      </c>
      <c r="I25" s="3">
        <f ca="1">(TODAY()-staff[[#This Row],[Date Joined]])/365</f>
        <v>2.3808219178082193</v>
      </c>
      <c r="J25" s="17">
        <f ca="1">ROUNDUP(IF(staff[[#This Row],[Tenure]]&gt;2,3%,2%)*staff[[#This Row],[Salary]],0)</f>
        <v>1470</v>
      </c>
      <c r="K25">
        <f>_xlfn.XLOOKUP(staff[[#This Row],[Rating]],$N$5:$N$9,$O$5:$O$9)</f>
        <v>3</v>
      </c>
    </row>
    <row r="26" spans="1:11" x14ac:dyDescent="0.3">
      <c r="A26" t="s">
        <v>20</v>
      </c>
      <c r="B26" t="s">
        <v>205</v>
      </c>
      <c r="C26" t="s">
        <v>21</v>
      </c>
      <c r="D26">
        <v>30</v>
      </c>
      <c r="E26" s="16">
        <v>44597</v>
      </c>
      <c r="F26" s="17">
        <v>64000</v>
      </c>
      <c r="G26" t="s">
        <v>16</v>
      </c>
      <c r="H26" t="s">
        <v>204</v>
      </c>
      <c r="I26" s="3">
        <f ca="1">(TODAY()-staff[[#This Row],[Date Joined]])/365</f>
        <v>2.2986301369863016</v>
      </c>
      <c r="J26" s="17">
        <f ca="1">ROUNDUP(IF(staff[[#This Row],[Tenure]]&gt;2,3%,2%)*staff[[#This Row],[Salary]],0)</f>
        <v>1920</v>
      </c>
      <c r="K26">
        <f>_xlfn.XLOOKUP(staff[[#This Row],[Rating]],$N$5:$N$9,$O$5:$O$9)</f>
        <v>3</v>
      </c>
    </row>
    <row r="27" spans="1:11" x14ac:dyDescent="0.3">
      <c r="A27" t="s">
        <v>7</v>
      </c>
      <c r="B27" t="s">
        <v>8</v>
      </c>
      <c r="C27" t="s">
        <v>9</v>
      </c>
      <c r="D27">
        <v>42</v>
      </c>
      <c r="E27" s="16">
        <v>44779</v>
      </c>
      <c r="F27" s="17">
        <v>75000</v>
      </c>
      <c r="G27" t="s">
        <v>10</v>
      </c>
      <c r="H27" t="s">
        <v>204</v>
      </c>
      <c r="I27" s="3">
        <f ca="1">(TODAY()-staff[[#This Row],[Date Joined]])/365</f>
        <v>1.8</v>
      </c>
      <c r="J27" s="17">
        <f ca="1">ROUNDUP(IF(staff[[#This Row],[Tenure]]&gt;2,3%,2%)*staff[[#This Row],[Salary]],0)</f>
        <v>1500</v>
      </c>
      <c r="K27">
        <f>_xlfn.XLOOKUP(staff[[#This Row],[Rating]],$N$5:$N$9,$O$5:$O$9)</f>
        <v>5</v>
      </c>
    </row>
    <row r="28" spans="1:11" x14ac:dyDescent="0.3">
      <c r="A28" t="s">
        <v>74</v>
      </c>
      <c r="B28" t="s">
        <v>8</v>
      </c>
      <c r="C28" t="s">
        <v>12</v>
      </c>
      <c r="D28">
        <v>40</v>
      </c>
      <c r="E28" s="16">
        <v>44337</v>
      </c>
      <c r="F28" s="17">
        <v>87620</v>
      </c>
      <c r="G28" t="s">
        <v>16</v>
      </c>
      <c r="H28" t="s">
        <v>204</v>
      </c>
      <c r="I28" s="3">
        <f ca="1">(TODAY()-staff[[#This Row],[Date Joined]])/365</f>
        <v>3.010958904109589</v>
      </c>
      <c r="J28" s="17">
        <f ca="1">ROUNDUP(IF(staff[[#This Row],[Tenure]]&gt;2,3%,2%)*staff[[#This Row],[Salary]],0)</f>
        <v>2629</v>
      </c>
      <c r="K28">
        <f>_xlfn.XLOOKUP(staff[[#This Row],[Rating]],$N$5:$N$9,$O$5:$O$9)</f>
        <v>3</v>
      </c>
    </row>
    <row r="29" spans="1:11" x14ac:dyDescent="0.3">
      <c r="A29" t="s">
        <v>44</v>
      </c>
      <c r="B29" t="s">
        <v>8</v>
      </c>
      <c r="C29" t="s">
        <v>12</v>
      </c>
      <c r="D29">
        <v>29</v>
      </c>
      <c r="E29" s="16">
        <v>44023</v>
      </c>
      <c r="F29" s="17">
        <v>34980</v>
      </c>
      <c r="G29" t="s">
        <v>16</v>
      </c>
      <c r="H29" t="s">
        <v>204</v>
      </c>
      <c r="I29" s="3">
        <f ca="1">(TODAY()-staff[[#This Row],[Date Joined]])/365</f>
        <v>3.871232876712329</v>
      </c>
      <c r="J29" s="17">
        <f ca="1">ROUNDUP(IF(staff[[#This Row],[Tenure]]&gt;2,3%,2%)*staff[[#This Row],[Salary]],0)</f>
        <v>1050</v>
      </c>
      <c r="K29">
        <f>_xlfn.XLOOKUP(staff[[#This Row],[Rating]],$N$5:$N$9,$O$5:$O$9)</f>
        <v>3</v>
      </c>
    </row>
    <row r="30" spans="1:11" x14ac:dyDescent="0.3">
      <c r="A30" t="s">
        <v>35</v>
      </c>
      <c r="B30" t="s">
        <v>8</v>
      </c>
      <c r="C30" t="s">
        <v>21</v>
      </c>
      <c r="D30">
        <v>28</v>
      </c>
      <c r="E30" s="16">
        <v>44185</v>
      </c>
      <c r="F30" s="17">
        <v>75970</v>
      </c>
      <c r="G30" t="s">
        <v>16</v>
      </c>
      <c r="H30" t="s">
        <v>204</v>
      </c>
      <c r="I30" s="3">
        <f ca="1">(TODAY()-staff[[#This Row],[Date Joined]])/365</f>
        <v>3.4273972602739726</v>
      </c>
      <c r="J30" s="17">
        <f ca="1">ROUNDUP(IF(staff[[#This Row],[Tenure]]&gt;2,3%,2%)*staff[[#This Row],[Salary]],0)</f>
        <v>2280</v>
      </c>
      <c r="K30">
        <f>_xlfn.XLOOKUP(staff[[#This Row],[Rating]],$N$5:$N$9,$O$5:$O$9)</f>
        <v>3</v>
      </c>
    </row>
    <row r="31" spans="1:11" x14ac:dyDescent="0.3">
      <c r="A31" t="s">
        <v>38</v>
      </c>
      <c r="B31" t="s">
        <v>8</v>
      </c>
      <c r="C31" t="s">
        <v>21</v>
      </c>
      <c r="D31">
        <v>34</v>
      </c>
      <c r="E31" s="16">
        <v>44612</v>
      </c>
      <c r="F31" s="17">
        <v>60130</v>
      </c>
      <c r="G31" t="s">
        <v>16</v>
      </c>
      <c r="H31" t="s">
        <v>204</v>
      </c>
      <c r="I31" s="3">
        <f ca="1">(TODAY()-staff[[#This Row],[Date Joined]])/365</f>
        <v>2.2575342465753425</v>
      </c>
      <c r="J31" s="17">
        <f ca="1">ROUNDUP(IF(staff[[#This Row],[Tenure]]&gt;2,3%,2%)*staff[[#This Row],[Salary]],0)</f>
        <v>1804</v>
      </c>
      <c r="K31">
        <f>_xlfn.XLOOKUP(staff[[#This Row],[Rating]],$N$5:$N$9,$O$5:$O$9)</f>
        <v>3</v>
      </c>
    </row>
    <row r="32" spans="1:11" x14ac:dyDescent="0.3">
      <c r="A32" t="s">
        <v>41</v>
      </c>
      <c r="B32" t="s">
        <v>8</v>
      </c>
      <c r="C32" t="s">
        <v>12</v>
      </c>
      <c r="D32">
        <v>33</v>
      </c>
      <c r="E32" s="16">
        <v>44374</v>
      </c>
      <c r="F32" s="17">
        <v>75480</v>
      </c>
      <c r="G32" t="s">
        <v>42</v>
      </c>
      <c r="H32" t="s">
        <v>204</v>
      </c>
      <c r="I32" s="3">
        <f ca="1">(TODAY()-staff[[#This Row],[Date Joined]])/365</f>
        <v>2.9095890410958902</v>
      </c>
      <c r="J32" s="17">
        <f ca="1">ROUNDUP(IF(staff[[#This Row],[Tenure]]&gt;2,3%,2%)*staff[[#This Row],[Salary]],0)</f>
        <v>2265</v>
      </c>
      <c r="K32">
        <f>_xlfn.XLOOKUP(staff[[#This Row],[Rating]],$N$5:$N$9,$O$5:$O$9)</f>
        <v>1</v>
      </c>
    </row>
    <row r="33" spans="1:11" x14ac:dyDescent="0.3">
      <c r="A33" t="s">
        <v>40</v>
      </c>
      <c r="B33" t="s">
        <v>15</v>
      </c>
      <c r="C33" t="s">
        <v>9</v>
      </c>
      <c r="D33">
        <v>33</v>
      </c>
      <c r="E33" s="16">
        <v>44164</v>
      </c>
      <c r="F33" s="17">
        <v>115920</v>
      </c>
      <c r="G33" t="s">
        <v>16</v>
      </c>
      <c r="H33" t="s">
        <v>204</v>
      </c>
      <c r="I33" s="3">
        <f ca="1">(TODAY()-staff[[#This Row],[Date Joined]])/365</f>
        <v>3.484931506849315</v>
      </c>
      <c r="J33" s="17">
        <f ca="1">ROUNDUP(IF(staff[[#This Row],[Tenure]]&gt;2,3%,2%)*staff[[#This Row],[Salary]],0)</f>
        <v>3478</v>
      </c>
      <c r="K33">
        <f>_xlfn.XLOOKUP(staff[[#This Row],[Rating]],$N$5:$N$9,$O$5:$O$9)</f>
        <v>3</v>
      </c>
    </row>
    <row r="34" spans="1:11" x14ac:dyDescent="0.3">
      <c r="A34" t="s">
        <v>48</v>
      </c>
      <c r="B34" t="s">
        <v>8</v>
      </c>
      <c r="C34" t="s">
        <v>19</v>
      </c>
      <c r="D34">
        <v>36</v>
      </c>
      <c r="E34" s="16">
        <v>44494</v>
      </c>
      <c r="F34" s="17">
        <v>78540</v>
      </c>
      <c r="G34" t="s">
        <v>16</v>
      </c>
      <c r="H34" t="s">
        <v>204</v>
      </c>
      <c r="I34" s="3">
        <f ca="1">(TODAY()-staff[[#This Row],[Date Joined]])/365</f>
        <v>2.580821917808219</v>
      </c>
      <c r="J34" s="17">
        <f ca="1">ROUNDUP(IF(staff[[#This Row],[Tenure]]&gt;2,3%,2%)*staff[[#This Row],[Salary]],0)</f>
        <v>2357</v>
      </c>
      <c r="K34">
        <f>_xlfn.XLOOKUP(staff[[#This Row],[Rating]],$N$5:$N$9,$O$5:$O$9)</f>
        <v>3</v>
      </c>
    </row>
    <row r="35" spans="1:11" x14ac:dyDescent="0.3">
      <c r="A35" t="s">
        <v>34</v>
      </c>
      <c r="B35" t="s">
        <v>15</v>
      </c>
      <c r="C35" t="s">
        <v>9</v>
      </c>
      <c r="D35">
        <v>25</v>
      </c>
      <c r="E35" s="16">
        <v>44726</v>
      </c>
      <c r="F35" s="17">
        <v>109190</v>
      </c>
      <c r="G35" t="s">
        <v>13</v>
      </c>
      <c r="H35" t="s">
        <v>204</v>
      </c>
      <c r="I35" s="3">
        <f ca="1">(TODAY()-staff[[#This Row],[Date Joined]])/365</f>
        <v>1.9452054794520548</v>
      </c>
      <c r="J35" s="17">
        <f ca="1">ROUNDUP(IF(staff[[#This Row],[Tenure]]&gt;2,3%,2%)*staff[[#This Row],[Salary]],0)</f>
        <v>2184</v>
      </c>
      <c r="K35">
        <f>_xlfn.XLOOKUP(staff[[#This Row],[Rating]],$N$5:$N$9,$O$5:$O$9)</f>
        <v>4</v>
      </c>
    </row>
    <row r="36" spans="1:11" x14ac:dyDescent="0.3">
      <c r="A36" t="s">
        <v>73</v>
      </c>
      <c r="B36" t="s">
        <v>8</v>
      </c>
      <c r="C36" t="s">
        <v>19</v>
      </c>
      <c r="D36">
        <v>34</v>
      </c>
      <c r="E36" s="16">
        <v>44721</v>
      </c>
      <c r="F36" s="17">
        <v>49630</v>
      </c>
      <c r="G36" t="s">
        <v>24</v>
      </c>
      <c r="H36" t="s">
        <v>204</v>
      </c>
      <c r="I36" s="3">
        <f ca="1">(TODAY()-staff[[#This Row],[Date Joined]])/365</f>
        <v>1.9589041095890412</v>
      </c>
      <c r="J36" s="17">
        <f ca="1">ROUNDUP(IF(staff[[#This Row],[Tenure]]&gt;2,3%,2%)*staff[[#This Row],[Salary]],0)</f>
        <v>993</v>
      </c>
      <c r="K36">
        <f>_xlfn.XLOOKUP(staff[[#This Row],[Rating]],$N$5:$N$9,$O$5:$O$9)</f>
        <v>2</v>
      </c>
    </row>
    <row r="37" spans="1:11" x14ac:dyDescent="0.3">
      <c r="A37" t="s">
        <v>107</v>
      </c>
      <c r="B37" t="s">
        <v>8</v>
      </c>
      <c r="C37" t="s">
        <v>9</v>
      </c>
      <c r="D37">
        <v>28</v>
      </c>
      <c r="E37" s="16">
        <v>44630</v>
      </c>
      <c r="F37" s="17">
        <v>99970</v>
      </c>
      <c r="G37" t="s">
        <v>16</v>
      </c>
      <c r="H37" t="s">
        <v>204</v>
      </c>
      <c r="I37" s="3">
        <f ca="1">(TODAY()-staff[[#This Row],[Date Joined]])/365</f>
        <v>2.2082191780821918</v>
      </c>
      <c r="J37" s="17">
        <f ca="1">ROUNDUP(IF(staff[[#This Row],[Tenure]]&gt;2,3%,2%)*staff[[#This Row],[Salary]],0)</f>
        <v>3000</v>
      </c>
      <c r="K37">
        <f>_xlfn.XLOOKUP(staff[[#This Row],[Rating]],$N$5:$N$9,$O$5:$O$9)</f>
        <v>3</v>
      </c>
    </row>
    <row r="38" spans="1:11" x14ac:dyDescent="0.3">
      <c r="A38" t="s">
        <v>71</v>
      </c>
      <c r="B38" t="s">
        <v>8</v>
      </c>
      <c r="C38" t="s">
        <v>12</v>
      </c>
      <c r="D38">
        <v>33</v>
      </c>
      <c r="E38" s="16">
        <v>44190</v>
      </c>
      <c r="F38" s="17">
        <v>96140</v>
      </c>
      <c r="G38" t="s">
        <v>16</v>
      </c>
      <c r="H38" t="s">
        <v>204</v>
      </c>
      <c r="I38" s="3">
        <f ca="1">(TODAY()-staff[[#This Row],[Date Joined]])/365</f>
        <v>3.4136986301369863</v>
      </c>
      <c r="J38" s="17">
        <f ca="1">ROUNDUP(IF(staff[[#This Row],[Tenure]]&gt;2,3%,2%)*staff[[#This Row],[Salary]],0)</f>
        <v>2885</v>
      </c>
      <c r="K38">
        <f>_xlfn.XLOOKUP(staff[[#This Row],[Rating]],$N$5:$N$9,$O$5:$O$9)</f>
        <v>3</v>
      </c>
    </row>
    <row r="39" spans="1:11" x14ac:dyDescent="0.3">
      <c r="A39" t="s">
        <v>50</v>
      </c>
      <c r="B39" t="s">
        <v>15</v>
      </c>
      <c r="C39" t="s">
        <v>9</v>
      </c>
      <c r="D39">
        <v>31</v>
      </c>
      <c r="E39" s="16">
        <v>44724</v>
      </c>
      <c r="F39" s="17">
        <v>103550</v>
      </c>
      <c r="G39" t="s">
        <v>16</v>
      </c>
      <c r="H39" t="s">
        <v>204</v>
      </c>
      <c r="I39" s="3">
        <f ca="1">(TODAY()-staff[[#This Row],[Date Joined]])/365</f>
        <v>1.9506849315068493</v>
      </c>
      <c r="J39" s="17">
        <f ca="1">ROUNDUP(IF(staff[[#This Row],[Tenure]]&gt;2,3%,2%)*staff[[#This Row],[Salary]],0)</f>
        <v>2071</v>
      </c>
      <c r="K39">
        <f>_xlfn.XLOOKUP(staff[[#This Row],[Rating]],$N$5:$N$9,$O$5:$O$9)</f>
        <v>3</v>
      </c>
    </row>
    <row r="40" spans="1:11" x14ac:dyDescent="0.3">
      <c r="A40" t="s">
        <v>14</v>
      </c>
      <c r="B40" t="s">
        <v>15</v>
      </c>
      <c r="C40" t="s">
        <v>12</v>
      </c>
      <c r="D40">
        <v>31</v>
      </c>
      <c r="E40" s="16">
        <v>44511</v>
      </c>
      <c r="F40" s="17">
        <v>48950</v>
      </c>
      <c r="G40" t="s">
        <v>16</v>
      </c>
      <c r="H40" t="s">
        <v>204</v>
      </c>
      <c r="I40" s="3">
        <f ca="1">(TODAY()-staff[[#This Row],[Date Joined]])/365</f>
        <v>2.5342465753424657</v>
      </c>
      <c r="J40" s="17">
        <f ca="1">ROUNDUP(IF(staff[[#This Row],[Tenure]]&gt;2,3%,2%)*staff[[#This Row],[Salary]],0)</f>
        <v>1469</v>
      </c>
      <c r="K40">
        <f>_xlfn.XLOOKUP(staff[[#This Row],[Rating]],$N$5:$N$9,$O$5:$O$9)</f>
        <v>3</v>
      </c>
    </row>
    <row r="41" spans="1:11" x14ac:dyDescent="0.3">
      <c r="A41" t="s">
        <v>63</v>
      </c>
      <c r="B41" t="s">
        <v>15</v>
      </c>
      <c r="C41" t="s">
        <v>21</v>
      </c>
      <c r="D41">
        <v>24</v>
      </c>
      <c r="E41" s="16">
        <v>44436</v>
      </c>
      <c r="F41" s="17">
        <v>52610</v>
      </c>
      <c r="G41" t="s">
        <v>24</v>
      </c>
      <c r="H41" t="s">
        <v>204</v>
      </c>
      <c r="I41" s="3">
        <f ca="1">(TODAY()-staff[[#This Row],[Date Joined]])/365</f>
        <v>2.7397260273972601</v>
      </c>
      <c r="J41" s="17">
        <f ca="1">ROUNDUP(IF(staff[[#This Row],[Tenure]]&gt;2,3%,2%)*staff[[#This Row],[Salary]],0)</f>
        <v>1579</v>
      </c>
      <c r="K41">
        <f>_xlfn.XLOOKUP(staff[[#This Row],[Rating]],$N$5:$N$9,$O$5:$O$9)</f>
        <v>2</v>
      </c>
    </row>
    <row r="42" spans="1:11" x14ac:dyDescent="0.3">
      <c r="A42" t="s">
        <v>72</v>
      </c>
      <c r="B42" t="s">
        <v>8</v>
      </c>
      <c r="C42" t="s">
        <v>9</v>
      </c>
      <c r="D42">
        <v>36</v>
      </c>
      <c r="E42" s="16">
        <v>44529</v>
      </c>
      <c r="F42" s="17">
        <v>78390</v>
      </c>
      <c r="G42" t="s">
        <v>16</v>
      </c>
      <c r="H42" t="s">
        <v>204</v>
      </c>
      <c r="I42" s="3">
        <f ca="1">(TODAY()-staff[[#This Row],[Date Joined]])/365</f>
        <v>2.484931506849315</v>
      </c>
      <c r="J42" s="17">
        <f ca="1">ROUNDUP(IF(staff[[#This Row],[Tenure]]&gt;2,3%,2%)*staff[[#This Row],[Salary]],0)</f>
        <v>2352</v>
      </c>
      <c r="K42">
        <f>_xlfn.XLOOKUP(staff[[#This Row],[Rating]],$N$5:$N$9,$O$5:$O$9)</f>
        <v>3</v>
      </c>
    </row>
    <row r="43" spans="1:11" x14ac:dyDescent="0.3">
      <c r="A43" t="s">
        <v>88</v>
      </c>
      <c r="B43" t="s">
        <v>8</v>
      </c>
      <c r="C43" t="s">
        <v>21</v>
      </c>
      <c r="D43">
        <v>33</v>
      </c>
      <c r="E43" s="16">
        <v>44809</v>
      </c>
      <c r="F43" s="17">
        <v>86570</v>
      </c>
      <c r="G43" t="s">
        <v>16</v>
      </c>
      <c r="H43" t="s">
        <v>204</v>
      </c>
      <c r="I43" s="3">
        <f ca="1">(TODAY()-staff[[#This Row],[Date Joined]])/365</f>
        <v>1.7178082191780821</v>
      </c>
      <c r="J43" s="17">
        <f ca="1">ROUNDUP(IF(staff[[#This Row],[Tenure]]&gt;2,3%,2%)*staff[[#This Row],[Salary]],0)</f>
        <v>1732</v>
      </c>
      <c r="K43">
        <f>_xlfn.XLOOKUP(staff[[#This Row],[Rating]],$N$5:$N$9,$O$5:$O$9)</f>
        <v>3</v>
      </c>
    </row>
    <row r="44" spans="1:11" x14ac:dyDescent="0.3">
      <c r="A44" t="s">
        <v>92</v>
      </c>
      <c r="B44" t="s">
        <v>8</v>
      </c>
      <c r="C44" t="s">
        <v>12</v>
      </c>
      <c r="D44">
        <v>27</v>
      </c>
      <c r="E44" s="16">
        <v>44686</v>
      </c>
      <c r="F44" s="17">
        <v>83750</v>
      </c>
      <c r="G44" t="s">
        <v>16</v>
      </c>
      <c r="H44" t="s">
        <v>204</v>
      </c>
      <c r="I44" s="3">
        <f ca="1">(TODAY()-staff[[#This Row],[Date Joined]])/365</f>
        <v>2.0547945205479454</v>
      </c>
      <c r="J44" s="17">
        <f ca="1">ROUNDUP(IF(staff[[#This Row],[Tenure]]&gt;2,3%,2%)*staff[[#This Row],[Salary]],0)</f>
        <v>2513</v>
      </c>
      <c r="K44">
        <f>_xlfn.XLOOKUP(staff[[#This Row],[Rating]],$N$5:$N$9,$O$5:$O$9)</f>
        <v>3</v>
      </c>
    </row>
    <row r="45" spans="1:11" x14ac:dyDescent="0.3">
      <c r="A45" t="s">
        <v>102</v>
      </c>
      <c r="B45" t="s">
        <v>8</v>
      </c>
      <c r="C45" t="s">
        <v>21</v>
      </c>
      <c r="D45">
        <v>34</v>
      </c>
      <c r="E45" s="16">
        <v>44445</v>
      </c>
      <c r="F45" s="17">
        <v>92450</v>
      </c>
      <c r="G45" t="s">
        <v>16</v>
      </c>
      <c r="H45" t="s">
        <v>204</v>
      </c>
      <c r="I45" s="3">
        <f ca="1">(TODAY()-staff[[#This Row],[Date Joined]])/365</f>
        <v>2.7150684931506848</v>
      </c>
      <c r="J45" s="17">
        <f ca="1">ROUNDUP(IF(staff[[#This Row],[Tenure]]&gt;2,3%,2%)*staff[[#This Row],[Salary]],0)</f>
        <v>2774</v>
      </c>
      <c r="K45">
        <f>_xlfn.XLOOKUP(staff[[#This Row],[Rating]],$N$5:$N$9,$O$5:$O$9)</f>
        <v>3</v>
      </c>
    </row>
    <row r="46" spans="1:11" x14ac:dyDescent="0.3">
      <c r="A46" t="s">
        <v>64</v>
      </c>
      <c r="B46" t="s">
        <v>15</v>
      </c>
      <c r="C46" t="s">
        <v>12</v>
      </c>
      <c r="D46">
        <v>20</v>
      </c>
      <c r="E46" s="16">
        <v>44183</v>
      </c>
      <c r="F46" s="17">
        <v>112650</v>
      </c>
      <c r="G46" t="s">
        <v>16</v>
      </c>
      <c r="H46" t="s">
        <v>204</v>
      </c>
      <c r="I46" s="3">
        <f ca="1">(TODAY()-staff[[#This Row],[Date Joined]])/365</f>
        <v>3.4328767123287673</v>
      </c>
      <c r="J46" s="17">
        <f ca="1">ROUNDUP(IF(staff[[#This Row],[Tenure]]&gt;2,3%,2%)*staff[[#This Row],[Salary]],0)</f>
        <v>3380</v>
      </c>
      <c r="K46">
        <f>_xlfn.XLOOKUP(staff[[#This Row],[Rating]],$N$5:$N$9,$O$5:$O$9)</f>
        <v>3</v>
      </c>
    </row>
    <row r="47" spans="1:11" x14ac:dyDescent="0.3">
      <c r="A47" t="s">
        <v>104</v>
      </c>
      <c r="B47" t="s">
        <v>15</v>
      </c>
      <c r="C47" t="s">
        <v>9</v>
      </c>
      <c r="D47">
        <v>20</v>
      </c>
      <c r="E47" s="16">
        <v>44744</v>
      </c>
      <c r="F47" s="17">
        <v>79570</v>
      </c>
      <c r="G47" t="s">
        <v>16</v>
      </c>
      <c r="H47" t="s">
        <v>204</v>
      </c>
      <c r="I47" s="3">
        <f ca="1">(TODAY()-staff[[#This Row],[Date Joined]])/365</f>
        <v>1.8958904109589041</v>
      </c>
      <c r="J47" s="17">
        <f ca="1">ROUNDUP(IF(staff[[#This Row],[Tenure]]&gt;2,3%,2%)*staff[[#This Row],[Salary]],0)</f>
        <v>1592</v>
      </c>
      <c r="K47">
        <f>_xlfn.XLOOKUP(staff[[#This Row],[Rating]],$N$5:$N$9,$O$5:$O$9)</f>
        <v>3</v>
      </c>
    </row>
    <row r="48" spans="1:11" x14ac:dyDescent="0.3">
      <c r="A48" t="s">
        <v>91</v>
      </c>
      <c r="B48" t="s">
        <v>8</v>
      </c>
      <c r="C48" t="s">
        <v>19</v>
      </c>
      <c r="D48">
        <v>20</v>
      </c>
      <c r="E48" s="16">
        <v>44537</v>
      </c>
      <c r="F48" s="17">
        <v>68900</v>
      </c>
      <c r="G48" t="s">
        <v>24</v>
      </c>
      <c r="H48" t="s">
        <v>204</v>
      </c>
      <c r="I48" s="3">
        <f ca="1">(TODAY()-staff[[#This Row],[Date Joined]])/365</f>
        <v>2.463013698630137</v>
      </c>
      <c r="J48" s="17">
        <f ca="1">ROUNDUP(IF(staff[[#This Row],[Tenure]]&gt;2,3%,2%)*staff[[#This Row],[Salary]],0)</f>
        <v>2067</v>
      </c>
      <c r="K48">
        <f>_xlfn.XLOOKUP(staff[[#This Row],[Rating]],$N$5:$N$9,$O$5:$O$9)</f>
        <v>2</v>
      </c>
    </row>
    <row r="49" spans="1:11" x14ac:dyDescent="0.3">
      <c r="A49" t="s">
        <v>39</v>
      </c>
      <c r="B49" t="s">
        <v>8</v>
      </c>
      <c r="C49" t="s">
        <v>12</v>
      </c>
      <c r="D49">
        <v>25</v>
      </c>
      <c r="E49" s="16">
        <v>44694</v>
      </c>
      <c r="F49" s="17">
        <v>80700</v>
      </c>
      <c r="G49" t="s">
        <v>13</v>
      </c>
      <c r="H49" t="s">
        <v>204</v>
      </c>
      <c r="I49" s="3">
        <f ca="1">(TODAY()-staff[[#This Row],[Date Joined]])/365</f>
        <v>2.032876712328767</v>
      </c>
      <c r="J49" s="17">
        <f ca="1">ROUNDUP(IF(staff[[#This Row],[Tenure]]&gt;2,3%,2%)*staff[[#This Row],[Salary]],0)</f>
        <v>2421</v>
      </c>
      <c r="K49">
        <f>_xlfn.XLOOKUP(staff[[#This Row],[Rating]],$N$5:$N$9,$O$5:$O$9)</f>
        <v>4</v>
      </c>
    </row>
    <row r="50" spans="1:11" x14ac:dyDescent="0.3">
      <c r="A50" t="s">
        <v>100</v>
      </c>
      <c r="B50" t="s">
        <v>15</v>
      </c>
      <c r="C50" t="s">
        <v>9</v>
      </c>
      <c r="D50">
        <v>19</v>
      </c>
      <c r="E50" s="16">
        <v>44277</v>
      </c>
      <c r="F50" s="17">
        <v>58960</v>
      </c>
      <c r="G50" t="s">
        <v>16</v>
      </c>
      <c r="H50" t="s">
        <v>204</v>
      </c>
      <c r="I50" s="3">
        <f ca="1">(TODAY()-staff[[#This Row],[Date Joined]])/365</f>
        <v>3.1753424657534248</v>
      </c>
      <c r="J50" s="17">
        <f ca="1">ROUNDUP(IF(staff[[#This Row],[Tenure]]&gt;2,3%,2%)*staff[[#This Row],[Salary]],0)</f>
        <v>1769</v>
      </c>
      <c r="K50">
        <f>_xlfn.XLOOKUP(staff[[#This Row],[Rating]],$N$5:$N$9,$O$5:$O$9)</f>
        <v>3</v>
      </c>
    </row>
    <row r="51" spans="1:11" x14ac:dyDescent="0.3">
      <c r="A51" t="s">
        <v>106</v>
      </c>
      <c r="B51" t="s">
        <v>15</v>
      </c>
      <c r="C51" t="s">
        <v>12</v>
      </c>
      <c r="D51">
        <v>36</v>
      </c>
      <c r="E51" s="16">
        <v>44019</v>
      </c>
      <c r="F51" s="17">
        <v>118840</v>
      </c>
      <c r="G51" t="s">
        <v>16</v>
      </c>
      <c r="H51" t="s">
        <v>204</v>
      </c>
      <c r="I51" s="3">
        <f ca="1">(TODAY()-staff[[#This Row],[Date Joined]])/365</f>
        <v>3.882191780821918</v>
      </c>
      <c r="J51" s="17">
        <f ca="1">ROUNDUP(IF(staff[[#This Row],[Tenure]]&gt;2,3%,2%)*staff[[#This Row],[Salary]],0)</f>
        <v>3566</v>
      </c>
      <c r="K51">
        <f>_xlfn.XLOOKUP(staff[[#This Row],[Rating]],$N$5:$N$9,$O$5:$O$9)</f>
        <v>3</v>
      </c>
    </row>
    <row r="52" spans="1:11" x14ac:dyDescent="0.3">
      <c r="A52" t="s">
        <v>29</v>
      </c>
      <c r="B52" t="s">
        <v>15</v>
      </c>
      <c r="C52" t="s">
        <v>21</v>
      </c>
      <c r="D52">
        <v>28</v>
      </c>
      <c r="E52" s="16">
        <v>44041</v>
      </c>
      <c r="F52" s="17">
        <v>48170</v>
      </c>
      <c r="G52" t="s">
        <v>13</v>
      </c>
      <c r="H52" t="s">
        <v>204</v>
      </c>
      <c r="I52" s="3">
        <f ca="1">(TODAY()-staff[[#This Row],[Date Joined]])/365</f>
        <v>3.8219178082191783</v>
      </c>
      <c r="J52" s="17">
        <f ca="1">ROUNDUP(IF(staff[[#This Row],[Tenure]]&gt;2,3%,2%)*staff[[#This Row],[Salary]],0)</f>
        <v>1446</v>
      </c>
      <c r="K52">
        <f>_xlfn.XLOOKUP(staff[[#This Row],[Rating]],$N$5:$N$9,$O$5:$O$9)</f>
        <v>4</v>
      </c>
    </row>
    <row r="53" spans="1:11" x14ac:dyDescent="0.3">
      <c r="A53" t="s">
        <v>108</v>
      </c>
      <c r="B53" t="s">
        <v>8</v>
      </c>
      <c r="C53" t="s">
        <v>56</v>
      </c>
      <c r="D53">
        <v>32</v>
      </c>
      <c r="E53" s="16">
        <v>44400</v>
      </c>
      <c r="F53" s="17">
        <v>45510</v>
      </c>
      <c r="G53" t="s">
        <v>16</v>
      </c>
      <c r="H53" t="s">
        <v>204</v>
      </c>
      <c r="I53" s="3">
        <f ca="1">(TODAY()-staff[[#This Row],[Date Joined]])/365</f>
        <v>2.8383561643835615</v>
      </c>
      <c r="J53" s="17">
        <f ca="1">ROUNDUP(IF(staff[[#This Row],[Tenure]]&gt;2,3%,2%)*staff[[#This Row],[Salary]],0)</f>
        <v>1366</v>
      </c>
      <c r="K53">
        <f>_xlfn.XLOOKUP(staff[[#This Row],[Rating]],$N$5:$N$9,$O$5:$O$9)</f>
        <v>3</v>
      </c>
    </row>
    <row r="54" spans="1:11" x14ac:dyDescent="0.3">
      <c r="A54" t="s">
        <v>83</v>
      </c>
      <c r="B54" t="s">
        <v>8</v>
      </c>
      <c r="C54" t="s">
        <v>9</v>
      </c>
      <c r="D54">
        <v>36</v>
      </c>
      <c r="E54" s="16">
        <v>44085</v>
      </c>
      <c r="F54" s="17">
        <v>114890</v>
      </c>
      <c r="G54" t="s">
        <v>16</v>
      </c>
      <c r="H54" t="s">
        <v>204</v>
      </c>
      <c r="I54" s="3">
        <f ca="1">(TODAY()-staff[[#This Row],[Date Joined]])/365</f>
        <v>3.7013698630136984</v>
      </c>
      <c r="J54" s="17">
        <f ca="1">ROUNDUP(IF(staff[[#This Row],[Tenure]]&gt;2,3%,2%)*staff[[#This Row],[Salary]],0)</f>
        <v>3447</v>
      </c>
      <c r="K54">
        <f>_xlfn.XLOOKUP(staff[[#This Row],[Rating]],$N$5:$N$9,$O$5:$O$9)</f>
        <v>3</v>
      </c>
    </row>
    <row r="55" spans="1:11" x14ac:dyDescent="0.3">
      <c r="A55" t="s">
        <v>67</v>
      </c>
      <c r="B55" t="s">
        <v>15</v>
      </c>
      <c r="C55" t="s">
        <v>12</v>
      </c>
      <c r="D55">
        <v>30</v>
      </c>
      <c r="E55" s="16">
        <v>44850</v>
      </c>
      <c r="F55" s="17">
        <v>69710</v>
      </c>
      <c r="G55" t="s">
        <v>16</v>
      </c>
      <c r="H55" t="s">
        <v>204</v>
      </c>
      <c r="I55" s="3">
        <f ca="1">(TODAY()-staff[[#This Row],[Date Joined]])/365</f>
        <v>1.6054794520547946</v>
      </c>
      <c r="J55" s="17">
        <f ca="1">ROUNDUP(IF(staff[[#This Row],[Tenure]]&gt;2,3%,2%)*staff[[#This Row],[Salary]],0)</f>
        <v>1395</v>
      </c>
      <c r="K55">
        <f>_xlfn.XLOOKUP(staff[[#This Row],[Rating]],$N$5:$N$9,$O$5:$O$9)</f>
        <v>3</v>
      </c>
    </row>
    <row r="56" spans="1:11" x14ac:dyDescent="0.3">
      <c r="A56" t="s">
        <v>94</v>
      </c>
      <c r="B56" t="s">
        <v>15</v>
      </c>
      <c r="C56" t="s">
        <v>21</v>
      </c>
      <c r="D56">
        <v>36</v>
      </c>
      <c r="E56" s="16">
        <v>44333</v>
      </c>
      <c r="F56" s="17">
        <v>71380</v>
      </c>
      <c r="G56" t="s">
        <v>16</v>
      </c>
      <c r="H56" t="s">
        <v>204</v>
      </c>
      <c r="I56" s="3">
        <f ca="1">(TODAY()-staff[[#This Row],[Date Joined]])/365</f>
        <v>3.021917808219178</v>
      </c>
      <c r="J56" s="17">
        <f ca="1">ROUNDUP(IF(staff[[#This Row],[Tenure]]&gt;2,3%,2%)*staff[[#This Row],[Salary]],0)</f>
        <v>2142</v>
      </c>
      <c r="K56">
        <f>_xlfn.XLOOKUP(staff[[#This Row],[Rating]],$N$5:$N$9,$O$5:$O$9)</f>
        <v>3</v>
      </c>
    </row>
    <row r="57" spans="1:11" x14ac:dyDescent="0.3">
      <c r="A57" t="s">
        <v>33</v>
      </c>
      <c r="B57" t="s">
        <v>8</v>
      </c>
      <c r="C57" t="s">
        <v>19</v>
      </c>
      <c r="D57">
        <v>38</v>
      </c>
      <c r="E57" s="16">
        <v>44377</v>
      </c>
      <c r="F57" s="17">
        <v>109160</v>
      </c>
      <c r="G57" t="s">
        <v>10</v>
      </c>
      <c r="H57" t="s">
        <v>204</v>
      </c>
      <c r="I57" s="3">
        <f ca="1">(TODAY()-staff[[#This Row],[Date Joined]])/365</f>
        <v>2.9013698630136986</v>
      </c>
      <c r="J57" s="17">
        <f ca="1">ROUNDUP(IF(staff[[#This Row],[Tenure]]&gt;2,3%,2%)*staff[[#This Row],[Salary]],0)</f>
        <v>3275</v>
      </c>
      <c r="K57">
        <f>_xlfn.XLOOKUP(staff[[#This Row],[Rating]],$N$5:$N$9,$O$5:$O$9)</f>
        <v>5</v>
      </c>
    </row>
    <row r="58" spans="1:11" x14ac:dyDescent="0.3">
      <c r="A58" t="s">
        <v>98</v>
      </c>
      <c r="B58" t="s">
        <v>15</v>
      </c>
      <c r="C58" t="s">
        <v>9</v>
      </c>
      <c r="D58">
        <v>27</v>
      </c>
      <c r="E58" s="16">
        <v>44609</v>
      </c>
      <c r="F58" s="17">
        <v>113280</v>
      </c>
      <c r="G58" t="s">
        <v>42</v>
      </c>
      <c r="H58" t="s">
        <v>204</v>
      </c>
      <c r="I58" s="3">
        <f ca="1">(TODAY()-staff[[#This Row],[Date Joined]])/365</f>
        <v>2.2657534246575342</v>
      </c>
      <c r="J58" s="17">
        <f ca="1">ROUNDUP(IF(staff[[#This Row],[Tenure]]&gt;2,3%,2%)*staff[[#This Row],[Salary]],0)</f>
        <v>3399</v>
      </c>
      <c r="K58">
        <f>_xlfn.XLOOKUP(staff[[#This Row],[Rating]],$N$5:$N$9,$O$5:$O$9)</f>
        <v>1</v>
      </c>
    </row>
    <row r="59" spans="1:11" x14ac:dyDescent="0.3">
      <c r="A59" t="s">
        <v>25</v>
      </c>
      <c r="B59" t="s">
        <v>15</v>
      </c>
      <c r="C59" t="s">
        <v>12</v>
      </c>
      <c r="D59">
        <v>30</v>
      </c>
      <c r="E59" s="16">
        <v>44273</v>
      </c>
      <c r="F59" s="17">
        <v>69120</v>
      </c>
      <c r="G59" t="s">
        <v>16</v>
      </c>
      <c r="H59" t="s">
        <v>204</v>
      </c>
      <c r="I59" s="3">
        <f ca="1">(TODAY()-staff[[#This Row],[Date Joined]])/365</f>
        <v>3.1863013698630138</v>
      </c>
      <c r="J59" s="17">
        <f ca="1">ROUNDUP(IF(staff[[#This Row],[Tenure]]&gt;2,3%,2%)*staff[[#This Row],[Salary]],0)</f>
        <v>2074</v>
      </c>
      <c r="K59">
        <f>_xlfn.XLOOKUP(staff[[#This Row],[Rating]],$N$5:$N$9,$O$5:$O$9)</f>
        <v>3</v>
      </c>
    </row>
    <row r="60" spans="1:11" x14ac:dyDescent="0.3">
      <c r="A60" t="s">
        <v>55</v>
      </c>
      <c r="B60" t="s">
        <v>8</v>
      </c>
      <c r="C60" t="s">
        <v>56</v>
      </c>
      <c r="D60">
        <v>37</v>
      </c>
      <c r="E60" s="16">
        <v>44451</v>
      </c>
      <c r="F60" s="17">
        <v>118100</v>
      </c>
      <c r="G60" t="s">
        <v>16</v>
      </c>
      <c r="H60" t="s">
        <v>204</v>
      </c>
      <c r="I60" s="3">
        <f ca="1">(TODAY()-staff[[#This Row],[Date Joined]])/365</f>
        <v>2.6986301369863015</v>
      </c>
      <c r="J60" s="17">
        <f ca="1">ROUNDUP(IF(staff[[#This Row],[Tenure]]&gt;2,3%,2%)*staff[[#This Row],[Salary]],0)</f>
        <v>3543</v>
      </c>
      <c r="K60">
        <f>_xlfn.XLOOKUP(staff[[#This Row],[Rating]],$N$5:$N$9,$O$5:$O$9)</f>
        <v>3</v>
      </c>
    </row>
    <row r="61" spans="1:11" x14ac:dyDescent="0.3">
      <c r="A61" t="s">
        <v>62</v>
      </c>
      <c r="B61" t="s">
        <v>8</v>
      </c>
      <c r="C61" t="s">
        <v>9</v>
      </c>
      <c r="D61">
        <v>22</v>
      </c>
      <c r="E61" s="16">
        <v>44450</v>
      </c>
      <c r="F61" s="17">
        <v>76900</v>
      </c>
      <c r="G61" t="s">
        <v>13</v>
      </c>
      <c r="H61" t="s">
        <v>204</v>
      </c>
      <c r="I61" s="3">
        <f ca="1">(TODAY()-staff[[#This Row],[Date Joined]])/365</f>
        <v>2.7013698630136984</v>
      </c>
      <c r="J61" s="17">
        <f ca="1">ROUNDUP(IF(staff[[#This Row],[Tenure]]&gt;2,3%,2%)*staff[[#This Row],[Salary]],0)</f>
        <v>2307</v>
      </c>
      <c r="K61">
        <f>_xlfn.XLOOKUP(staff[[#This Row],[Rating]],$N$5:$N$9,$O$5:$O$9)</f>
        <v>4</v>
      </c>
    </row>
    <row r="62" spans="1:11" x14ac:dyDescent="0.3">
      <c r="A62" t="s">
        <v>17</v>
      </c>
      <c r="B62" t="s">
        <v>8</v>
      </c>
      <c r="C62" t="s">
        <v>12</v>
      </c>
      <c r="D62">
        <v>43</v>
      </c>
      <c r="E62" s="16">
        <v>45045</v>
      </c>
      <c r="F62" s="17">
        <v>114870</v>
      </c>
      <c r="G62" t="s">
        <v>16</v>
      </c>
      <c r="H62" t="s">
        <v>204</v>
      </c>
      <c r="I62" s="3">
        <f ca="1">(TODAY()-staff[[#This Row],[Date Joined]])/365</f>
        <v>1.0712328767123287</v>
      </c>
      <c r="J62" s="17">
        <f ca="1">ROUNDUP(IF(staff[[#This Row],[Tenure]]&gt;2,3%,2%)*staff[[#This Row],[Salary]],0)</f>
        <v>2298</v>
      </c>
      <c r="K62">
        <f>_xlfn.XLOOKUP(staff[[#This Row],[Rating]],$N$5:$N$9,$O$5:$O$9)</f>
        <v>3</v>
      </c>
    </row>
    <row r="63" spans="1:11" x14ac:dyDescent="0.3">
      <c r="A63" t="s">
        <v>52</v>
      </c>
      <c r="B63" t="s">
        <v>205</v>
      </c>
      <c r="C63" t="s">
        <v>12</v>
      </c>
      <c r="D63">
        <v>32</v>
      </c>
      <c r="E63" s="16">
        <v>44774</v>
      </c>
      <c r="F63" s="17">
        <v>91310</v>
      </c>
      <c r="G63" t="s">
        <v>16</v>
      </c>
      <c r="H63" t="s">
        <v>204</v>
      </c>
      <c r="I63" s="3">
        <f ca="1">(TODAY()-staff[[#This Row],[Date Joined]])/365</f>
        <v>1.8136986301369864</v>
      </c>
      <c r="J63" s="17">
        <f ca="1">ROUNDUP(IF(staff[[#This Row],[Tenure]]&gt;2,3%,2%)*staff[[#This Row],[Salary]],0)</f>
        <v>1827</v>
      </c>
      <c r="K63">
        <f>_xlfn.XLOOKUP(staff[[#This Row],[Rating]],$N$5:$N$9,$O$5:$O$9)</f>
        <v>3</v>
      </c>
    </row>
    <row r="64" spans="1:11" x14ac:dyDescent="0.3">
      <c r="A64" t="s">
        <v>43</v>
      </c>
      <c r="B64" t="s">
        <v>8</v>
      </c>
      <c r="C64" t="s">
        <v>9</v>
      </c>
      <c r="D64">
        <v>28</v>
      </c>
      <c r="E64" s="16">
        <v>44486</v>
      </c>
      <c r="F64" s="17">
        <v>104770</v>
      </c>
      <c r="G64" t="s">
        <v>16</v>
      </c>
      <c r="H64" t="s">
        <v>204</v>
      </c>
      <c r="I64" s="3">
        <f ca="1">(TODAY()-staff[[#This Row],[Date Joined]])/365</f>
        <v>2.6027397260273974</v>
      </c>
      <c r="J64" s="17">
        <f ca="1">ROUNDUP(IF(staff[[#This Row],[Tenure]]&gt;2,3%,2%)*staff[[#This Row],[Salary]],0)</f>
        <v>3144</v>
      </c>
      <c r="K64">
        <f>_xlfn.XLOOKUP(staff[[#This Row],[Rating]],$N$5:$N$9,$O$5:$O$9)</f>
        <v>3</v>
      </c>
    </row>
    <row r="65" spans="1:11" x14ac:dyDescent="0.3">
      <c r="A65" t="s">
        <v>89</v>
      </c>
      <c r="B65" t="s">
        <v>15</v>
      </c>
      <c r="C65" t="s">
        <v>19</v>
      </c>
      <c r="D65">
        <v>27</v>
      </c>
      <c r="E65" s="16">
        <v>44134</v>
      </c>
      <c r="F65" s="17">
        <v>54970</v>
      </c>
      <c r="G65" t="s">
        <v>16</v>
      </c>
      <c r="H65" t="s">
        <v>204</v>
      </c>
      <c r="I65" s="3">
        <f ca="1">(TODAY()-staff[[#This Row],[Date Joined]])/365</f>
        <v>3.5671232876712327</v>
      </c>
      <c r="J65" s="17">
        <f ca="1">ROUNDUP(IF(staff[[#This Row],[Tenure]]&gt;2,3%,2%)*staff[[#This Row],[Salary]],0)</f>
        <v>1650</v>
      </c>
      <c r="K65">
        <f>_xlfn.XLOOKUP(staff[[#This Row],[Rating]],$N$5:$N$9,$O$5:$O$9)</f>
        <v>3</v>
      </c>
    </row>
    <row r="66" spans="1:11" x14ac:dyDescent="0.3">
      <c r="A66" t="s">
        <v>11</v>
      </c>
      <c r="B66" t="s">
        <v>205</v>
      </c>
      <c r="C66" t="s">
        <v>12</v>
      </c>
      <c r="D66">
        <v>26</v>
      </c>
      <c r="E66" s="16">
        <v>44271</v>
      </c>
      <c r="F66" s="17">
        <v>90700</v>
      </c>
      <c r="G66" t="s">
        <v>13</v>
      </c>
      <c r="H66" t="s">
        <v>204</v>
      </c>
      <c r="I66" s="3">
        <f ca="1">(TODAY()-staff[[#This Row],[Date Joined]])/365</f>
        <v>3.1917808219178081</v>
      </c>
      <c r="J66" s="17">
        <f ca="1">ROUNDUP(IF(staff[[#This Row],[Tenure]]&gt;2,3%,2%)*staff[[#This Row],[Salary]],0)</f>
        <v>2721</v>
      </c>
      <c r="K66">
        <f>_xlfn.XLOOKUP(staff[[#This Row],[Rating]],$N$5:$N$9,$O$5:$O$9)</f>
        <v>4</v>
      </c>
    </row>
    <row r="67" spans="1:11" x14ac:dyDescent="0.3">
      <c r="A67" t="s">
        <v>109</v>
      </c>
      <c r="B67" t="s">
        <v>8</v>
      </c>
      <c r="C67" t="s">
        <v>19</v>
      </c>
      <c r="D67">
        <v>38</v>
      </c>
      <c r="E67" s="16">
        <v>44329</v>
      </c>
      <c r="F67" s="17">
        <v>56870</v>
      </c>
      <c r="G67" t="s">
        <v>13</v>
      </c>
      <c r="H67" t="s">
        <v>204</v>
      </c>
      <c r="I67" s="3">
        <f ca="1">(TODAY()-staff[[#This Row],[Date Joined]])/365</f>
        <v>3.032876712328767</v>
      </c>
      <c r="J67" s="17">
        <f ca="1">ROUNDUP(IF(staff[[#This Row],[Tenure]]&gt;2,3%,2%)*staff[[#This Row],[Salary]],0)</f>
        <v>1707</v>
      </c>
      <c r="K67">
        <f>_xlfn.XLOOKUP(staff[[#This Row],[Rating]],$N$5:$N$9,$O$5:$O$9)</f>
        <v>4</v>
      </c>
    </row>
    <row r="68" spans="1:11" x14ac:dyDescent="0.3">
      <c r="A68" t="s">
        <v>77</v>
      </c>
      <c r="B68" t="s">
        <v>8</v>
      </c>
      <c r="C68" t="s">
        <v>19</v>
      </c>
      <c r="D68">
        <v>25</v>
      </c>
      <c r="E68" s="16">
        <v>44205</v>
      </c>
      <c r="F68" s="17">
        <v>92700</v>
      </c>
      <c r="G68" t="s">
        <v>16</v>
      </c>
      <c r="H68" t="s">
        <v>204</v>
      </c>
      <c r="I68" s="3">
        <f ca="1">(TODAY()-staff[[#This Row],[Date Joined]])/365</f>
        <v>3.3726027397260272</v>
      </c>
      <c r="J68" s="17">
        <f ca="1">ROUNDUP(IF(staff[[#This Row],[Tenure]]&gt;2,3%,2%)*staff[[#This Row],[Salary]],0)</f>
        <v>2781</v>
      </c>
      <c r="K68">
        <f>_xlfn.XLOOKUP(staff[[#This Row],[Rating]],$N$5:$N$9,$O$5:$O$9)</f>
        <v>3</v>
      </c>
    </row>
    <row r="69" spans="1:11" x14ac:dyDescent="0.3">
      <c r="A69" t="s">
        <v>32</v>
      </c>
      <c r="B69" t="s">
        <v>8</v>
      </c>
      <c r="C69" t="s">
        <v>21</v>
      </c>
      <c r="D69">
        <v>21</v>
      </c>
      <c r="E69" s="16">
        <v>44317</v>
      </c>
      <c r="F69" s="17">
        <v>65920</v>
      </c>
      <c r="G69" t="s">
        <v>16</v>
      </c>
      <c r="H69" t="s">
        <v>204</v>
      </c>
      <c r="I69" s="3">
        <f ca="1">(TODAY()-staff[[#This Row],[Date Joined]])/365</f>
        <v>3.0657534246575344</v>
      </c>
      <c r="J69" s="17">
        <f ca="1">ROUNDUP(IF(staff[[#This Row],[Tenure]]&gt;2,3%,2%)*staff[[#This Row],[Salary]],0)</f>
        <v>1978</v>
      </c>
      <c r="K69">
        <f>_xlfn.XLOOKUP(staff[[#This Row],[Rating]],$N$5:$N$9,$O$5:$O$9)</f>
        <v>3</v>
      </c>
    </row>
    <row r="70" spans="1:11" x14ac:dyDescent="0.3">
      <c r="A70" t="s">
        <v>59</v>
      </c>
      <c r="B70" t="s">
        <v>15</v>
      </c>
      <c r="C70" t="s">
        <v>9</v>
      </c>
      <c r="D70">
        <v>26</v>
      </c>
      <c r="E70" s="16">
        <v>44225</v>
      </c>
      <c r="F70" s="17">
        <v>47360</v>
      </c>
      <c r="G70" t="s">
        <v>16</v>
      </c>
      <c r="H70" t="s">
        <v>204</v>
      </c>
      <c r="I70" s="3">
        <f ca="1">(TODAY()-staff[[#This Row],[Date Joined]])/365</f>
        <v>3.3178082191780822</v>
      </c>
      <c r="J70" s="17">
        <f ca="1">ROUNDUP(IF(staff[[#This Row],[Tenure]]&gt;2,3%,2%)*staff[[#This Row],[Salary]],0)</f>
        <v>1421</v>
      </c>
      <c r="K70">
        <f>_xlfn.XLOOKUP(staff[[#This Row],[Rating]],$N$5:$N$9,$O$5:$O$9)</f>
        <v>3</v>
      </c>
    </row>
    <row r="71" spans="1:11" x14ac:dyDescent="0.3">
      <c r="A71" t="s">
        <v>37</v>
      </c>
      <c r="B71" t="s">
        <v>15</v>
      </c>
      <c r="C71" t="s">
        <v>9</v>
      </c>
      <c r="D71">
        <v>30</v>
      </c>
      <c r="E71" s="16">
        <v>44666</v>
      </c>
      <c r="F71" s="17">
        <v>60570</v>
      </c>
      <c r="G71" t="s">
        <v>16</v>
      </c>
      <c r="H71" t="s">
        <v>204</v>
      </c>
      <c r="I71" s="3">
        <f ca="1">(TODAY()-staff[[#This Row],[Date Joined]])/365</f>
        <v>2.1095890410958904</v>
      </c>
      <c r="J71" s="17">
        <f ca="1">ROUNDUP(IF(staff[[#This Row],[Tenure]]&gt;2,3%,2%)*staff[[#This Row],[Salary]],0)</f>
        <v>1818</v>
      </c>
      <c r="K71">
        <f>_xlfn.XLOOKUP(staff[[#This Row],[Rating]],$N$5:$N$9,$O$5:$O$9)</f>
        <v>3</v>
      </c>
    </row>
    <row r="72" spans="1:11" x14ac:dyDescent="0.3">
      <c r="A72" t="s">
        <v>96</v>
      </c>
      <c r="B72" t="s">
        <v>8</v>
      </c>
      <c r="C72" t="s">
        <v>9</v>
      </c>
      <c r="D72">
        <v>28</v>
      </c>
      <c r="E72" s="16">
        <v>44649</v>
      </c>
      <c r="F72" s="17">
        <v>104120</v>
      </c>
      <c r="G72" t="s">
        <v>16</v>
      </c>
      <c r="H72" t="s">
        <v>204</v>
      </c>
      <c r="I72" s="3">
        <f ca="1">(TODAY()-staff[[#This Row],[Date Joined]])/365</f>
        <v>2.1561643835616437</v>
      </c>
      <c r="J72" s="17">
        <f ca="1">ROUNDUP(IF(staff[[#This Row],[Tenure]]&gt;2,3%,2%)*staff[[#This Row],[Salary]],0)</f>
        <v>3124</v>
      </c>
      <c r="K72">
        <f>_xlfn.XLOOKUP(staff[[#This Row],[Rating]],$N$5:$N$9,$O$5:$O$9)</f>
        <v>3</v>
      </c>
    </row>
    <row r="73" spans="1:11" x14ac:dyDescent="0.3">
      <c r="A73" t="s">
        <v>23</v>
      </c>
      <c r="B73" t="s">
        <v>15</v>
      </c>
      <c r="C73" t="s">
        <v>12</v>
      </c>
      <c r="D73">
        <v>37</v>
      </c>
      <c r="E73" s="16">
        <v>44338</v>
      </c>
      <c r="F73" s="17">
        <v>88050</v>
      </c>
      <c r="G73" t="s">
        <v>24</v>
      </c>
      <c r="H73" t="s">
        <v>204</v>
      </c>
      <c r="I73" s="3">
        <f ca="1">(TODAY()-staff[[#This Row],[Date Joined]])/365</f>
        <v>3.0082191780821916</v>
      </c>
      <c r="J73" s="17">
        <f ca="1">ROUNDUP(IF(staff[[#This Row],[Tenure]]&gt;2,3%,2%)*staff[[#This Row],[Salary]],0)</f>
        <v>2642</v>
      </c>
      <c r="K73">
        <f>_xlfn.XLOOKUP(staff[[#This Row],[Rating]],$N$5:$N$9,$O$5:$O$9)</f>
        <v>2</v>
      </c>
    </row>
    <row r="74" spans="1:11" x14ac:dyDescent="0.3">
      <c r="A74" t="s">
        <v>103</v>
      </c>
      <c r="B74" t="s">
        <v>15</v>
      </c>
      <c r="C74" t="s">
        <v>12</v>
      </c>
      <c r="D74">
        <v>24</v>
      </c>
      <c r="E74" s="16">
        <v>44686</v>
      </c>
      <c r="F74" s="17">
        <v>100420</v>
      </c>
      <c r="G74" t="s">
        <v>16</v>
      </c>
      <c r="H74" t="s">
        <v>204</v>
      </c>
      <c r="I74" s="3">
        <f ca="1">(TODAY()-staff[[#This Row],[Date Joined]])/365</f>
        <v>2.0547945205479454</v>
      </c>
      <c r="J74" s="17">
        <f ca="1">ROUNDUP(IF(staff[[#This Row],[Tenure]]&gt;2,3%,2%)*staff[[#This Row],[Salary]],0)</f>
        <v>3013</v>
      </c>
      <c r="K74">
        <f>_xlfn.XLOOKUP(staff[[#This Row],[Rating]],$N$5:$N$9,$O$5:$O$9)</f>
        <v>3</v>
      </c>
    </row>
    <row r="75" spans="1:11" x14ac:dyDescent="0.3">
      <c r="A75" t="s">
        <v>54</v>
      </c>
      <c r="B75" t="s">
        <v>8</v>
      </c>
      <c r="C75" t="s">
        <v>9</v>
      </c>
      <c r="D75">
        <v>30</v>
      </c>
      <c r="E75" s="16">
        <v>44850</v>
      </c>
      <c r="F75" s="17">
        <v>114180</v>
      </c>
      <c r="G75" t="s">
        <v>16</v>
      </c>
      <c r="H75" t="s">
        <v>204</v>
      </c>
      <c r="I75" s="3">
        <f ca="1">(TODAY()-staff[[#This Row],[Date Joined]])/365</f>
        <v>1.6054794520547946</v>
      </c>
      <c r="J75" s="17">
        <f ca="1">ROUNDUP(IF(staff[[#This Row],[Tenure]]&gt;2,3%,2%)*staff[[#This Row],[Salary]],0)</f>
        <v>2284</v>
      </c>
      <c r="K75">
        <f>_xlfn.XLOOKUP(staff[[#This Row],[Rating]],$N$5:$N$9,$O$5:$O$9)</f>
        <v>3</v>
      </c>
    </row>
    <row r="76" spans="1:11" x14ac:dyDescent="0.3">
      <c r="A76" t="s">
        <v>86</v>
      </c>
      <c r="B76" t="s">
        <v>8</v>
      </c>
      <c r="C76" t="s">
        <v>12</v>
      </c>
      <c r="D76">
        <v>21</v>
      </c>
      <c r="E76" s="16">
        <v>44678</v>
      </c>
      <c r="F76" s="17">
        <v>33920</v>
      </c>
      <c r="G76" t="s">
        <v>16</v>
      </c>
      <c r="H76" t="s">
        <v>204</v>
      </c>
      <c r="I76" s="3">
        <f ca="1">(TODAY()-staff[[#This Row],[Date Joined]])/365</f>
        <v>2.0767123287671234</v>
      </c>
      <c r="J76" s="17">
        <f ca="1">ROUNDUP(IF(staff[[#This Row],[Tenure]]&gt;2,3%,2%)*staff[[#This Row],[Salary]],0)</f>
        <v>1018</v>
      </c>
      <c r="K76">
        <f>_xlfn.XLOOKUP(staff[[#This Row],[Rating]],$N$5:$N$9,$O$5:$O$9)</f>
        <v>3</v>
      </c>
    </row>
    <row r="77" spans="1:11" x14ac:dyDescent="0.3">
      <c r="A77" t="s">
        <v>69</v>
      </c>
      <c r="B77" t="s">
        <v>15</v>
      </c>
      <c r="C77" t="s">
        <v>9</v>
      </c>
      <c r="D77">
        <v>23</v>
      </c>
      <c r="E77" s="16">
        <v>44440</v>
      </c>
      <c r="F77" s="17">
        <v>106460</v>
      </c>
      <c r="G77" t="s">
        <v>16</v>
      </c>
      <c r="H77" t="s">
        <v>204</v>
      </c>
      <c r="I77" s="3">
        <f ca="1">(TODAY()-staff[[#This Row],[Date Joined]])/365</f>
        <v>2.7287671232876711</v>
      </c>
      <c r="J77" s="17">
        <f ca="1">ROUNDUP(IF(staff[[#This Row],[Tenure]]&gt;2,3%,2%)*staff[[#This Row],[Salary]],0)</f>
        <v>3194</v>
      </c>
      <c r="K77">
        <f>_xlfn.XLOOKUP(staff[[#This Row],[Rating]],$N$5:$N$9,$O$5:$O$9)</f>
        <v>3</v>
      </c>
    </row>
    <row r="78" spans="1:11" x14ac:dyDescent="0.3">
      <c r="A78" t="s">
        <v>57</v>
      </c>
      <c r="B78" t="s">
        <v>15</v>
      </c>
      <c r="C78" t="s">
        <v>9</v>
      </c>
      <c r="D78">
        <v>35</v>
      </c>
      <c r="E78" s="16">
        <v>44727</v>
      </c>
      <c r="F78" s="17">
        <v>40400</v>
      </c>
      <c r="G78" t="s">
        <v>16</v>
      </c>
      <c r="H78" t="s">
        <v>204</v>
      </c>
      <c r="I78" s="3">
        <f ca="1">(TODAY()-staff[[#This Row],[Date Joined]])/365</f>
        <v>1.9424657534246574</v>
      </c>
      <c r="J78" s="17">
        <f ca="1">ROUNDUP(IF(staff[[#This Row],[Tenure]]&gt;2,3%,2%)*staff[[#This Row],[Salary]],0)</f>
        <v>808</v>
      </c>
      <c r="K78">
        <f>_xlfn.XLOOKUP(staff[[#This Row],[Rating]],$N$5:$N$9,$O$5:$O$9)</f>
        <v>3</v>
      </c>
    </row>
    <row r="79" spans="1:11" x14ac:dyDescent="0.3">
      <c r="A79" t="s">
        <v>68</v>
      </c>
      <c r="B79" t="s">
        <v>15</v>
      </c>
      <c r="C79" t="s">
        <v>21</v>
      </c>
      <c r="D79">
        <v>27</v>
      </c>
      <c r="E79" s="16">
        <v>44236</v>
      </c>
      <c r="F79" s="17">
        <v>91650</v>
      </c>
      <c r="G79" t="s">
        <v>13</v>
      </c>
      <c r="H79" t="s">
        <v>204</v>
      </c>
      <c r="I79" s="3">
        <f ca="1">(TODAY()-staff[[#This Row],[Date Joined]])/365</f>
        <v>3.2876712328767121</v>
      </c>
      <c r="J79" s="17">
        <f ca="1">ROUNDUP(IF(staff[[#This Row],[Tenure]]&gt;2,3%,2%)*staff[[#This Row],[Salary]],0)</f>
        <v>2750</v>
      </c>
      <c r="K79">
        <f>_xlfn.XLOOKUP(staff[[#This Row],[Rating]],$N$5:$N$9,$O$5:$O$9)</f>
        <v>4</v>
      </c>
    </row>
    <row r="80" spans="1:11" x14ac:dyDescent="0.3">
      <c r="A80" t="s">
        <v>99</v>
      </c>
      <c r="B80" t="s">
        <v>15</v>
      </c>
      <c r="C80" t="s">
        <v>19</v>
      </c>
      <c r="D80">
        <v>43</v>
      </c>
      <c r="E80" s="16">
        <v>44620</v>
      </c>
      <c r="F80" s="17">
        <v>36040</v>
      </c>
      <c r="G80" t="s">
        <v>16</v>
      </c>
      <c r="H80" t="s">
        <v>204</v>
      </c>
      <c r="I80" s="3">
        <f ca="1">(TODAY()-staff[[#This Row],[Date Joined]])/365</f>
        <v>2.2356164383561645</v>
      </c>
      <c r="J80" s="17">
        <f ca="1">ROUNDUP(IF(staff[[#This Row],[Tenure]]&gt;2,3%,2%)*staff[[#This Row],[Salary]],0)</f>
        <v>1082</v>
      </c>
      <c r="K80">
        <f>_xlfn.XLOOKUP(staff[[#This Row],[Rating]],$N$5:$N$9,$O$5:$O$9)</f>
        <v>3</v>
      </c>
    </row>
    <row r="81" spans="1:11" x14ac:dyDescent="0.3">
      <c r="A81" t="s">
        <v>101</v>
      </c>
      <c r="B81" t="s">
        <v>8</v>
      </c>
      <c r="C81" t="s">
        <v>12</v>
      </c>
      <c r="D81">
        <v>40</v>
      </c>
      <c r="E81" s="16">
        <v>44381</v>
      </c>
      <c r="F81" s="17">
        <v>104410</v>
      </c>
      <c r="G81" t="s">
        <v>16</v>
      </c>
      <c r="H81" t="s">
        <v>204</v>
      </c>
      <c r="I81" s="3">
        <f ca="1">(TODAY()-staff[[#This Row],[Date Joined]])/365</f>
        <v>2.8904109589041096</v>
      </c>
      <c r="J81" s="17">
        <f ca="1">ROUNDUP(IF(staff[[#This Row],[Tenure]]&gt;2,3%,2%)*staff[[#This Row],[Salary]],0)</f>
        <v>3133</v>
      </c>
      <c r="K81">
        <f>_xlfn.XLOOKUP(staff[[#This Row],[Rating]],$N$5:$N$9,$O$5:$O$9)</f>
        <v>3</v>
      </c>
    </row>
    <row r="82" spans="1:11" x14ac:dyDescent="0.3">
      <c r="A82" t="s">
        <v>85</v>
      </c>
      <c r="B82" t="s">
        <v>15</v>
      </c>
      <c r="C82" t="s">
        <v>21</v>
      </c>
      <c r="D82">
        <v>30</v>
      </c>
      <c r="E82" s="16">
        <v>44606</v>
      </c>
      <c r="F82" s="17">
        <v>96800</v>
      </c>
      <c r="G82" t="s">
        <v>16</v>
      </c>
      <c r="H82" t="s">
        <v>204</v>
      </c>
      <c r="I82" s="3">
        <f ca="1">(TODAY()-staff[[#This Row],[Date Joined]])/365</f>
        <v>2.2739726027397262</v>
      </c>
      <c r="J82" s="17">
        <f ca="1">ROUNDUP(IF(staff[[#This Row],[Tenure]]&gt;2,3%,2%)*staff[[#This Row],[Salary]],0)</f>
        <v>2904</v>
      </c>
      <c r="K82">
        <f>_xlfn.XLOOKUP(staff[[#This Row],[Rating]],$N$5:$N$9,$O$5:$O$9)</f>
        <v>3</v>
      </c>
    </row>
    <row r="83" spans="1:11" x14ac:dyDescent="0.3">
      <c r="A83" t="s">
        <v>28</v>
      </c>
      <c r="B83" t="s">
        <v>8</v>
      </c>
      <c r="C83" t="s">
        <v>21</v>
      </c>
      <c r="D83">
        <v>34</v>
      </c>
      <c r="E83" s="16">
        <v>44459</v>
      </c>
      <c r="F83" s="17">
        <v>85000</v>
      </c>
      <c r="G83" t="s">
        <v>16</v>
      </c>
      <c r="H83" t="s">
        <v>204</v>
      </c>
      <c r="I83" s="3">
        <f ca="1">(TODAY()-staff[[#This Row],[Date Joined]])/365</f>
        <v>2.6767123287671235</v>
      </c>
      <c r="J83" s="17">
        <f ca="1">ROUNDUP(IF(staff[[#This Row],[Tenure]]&gt;2,3%,2%)*staff[[#This Row],[Salary]],0)</f>
        <v>2550</v>
      </c>
      <c r="K83">
        <f>_xlfn.XLOOKUP(staff[[#This Row],[Rating]],$N$5:$N$9,$O$5:$O$9)</f>
        <v>3</v>
      </c>
    </row>
    <row r="84" spans="1:11" x14ac:dyDescent="0.3">
      <c r="A84" t="s">
        <v>80</v>
      </c>
      <c r="B84" t="s">
        <v>15</v>
      </c>
      <c r="C84" t="s">
        <v>19</v>
      </c>
      <c r="D84">
        <v>28</v>
      </c>
      <c r="E84" s="16">
        <v>44820</v>
      </c>
      <c r="F84" s="17">
        <v>43510</v>
      </c>
      <c r="G84" t="s">
        <v>42</v>
      </c>
      <c r="H84" t="s">
        <v>204</v>
      </c>
      <c r="I84" s="3">
        <f ca="1">(TODAY()-staff[[#This Row],[Date Joined]])/365</f>
        <v>1.6876712328767123</v>
      </c>
      <c r="J84" s="17">
        <f ca="1">ROUNDUP(IF(staff[[#This Row],[Tenure]]&gt;2,3%,2%)*staff[[#This Row],[Salary]],0)</f>
        <v>871</v>
      </c>
      <c r="K84">
        <f>_xlfn.XLOOKUP(staff[[#This Row],[Rating]],$N$5:$N$9,$O$5:$O$9)</f>
        <v>1</v>
      </c>
    </row>
    <row r="85" spans="1:11" x14ac:dyDescent="0.3">
      <c r="A85" t="s">
        <v>79</v>
      </c>
      <c r="B85" t="s">
        <v>15</v>
      </c>
      <c r="C85" t="s">
        <v>21</v>
      </c>
      <c r="D85">
        <v>33</v>
      </c>
      <c r="E85" s="16">
        <v>44243</v>
      </c>
      <c r="F85" s="17">
        <v>59430</v>
      </c>
      <c r="G85" t="s">
        <v>16</v>
      </c>
      <c r="H85" t="s">
        <v>204</v>
      </c>
      <c r="I85" s="3">
        <f ca="1">(TODAY()-staff[[#This Row],[Date Joined]])/365</f>
        <v>3.2684931506849315</v>
      </c>
      <c r="J85" s="17">
        <f ca="1">ROUNDUP(IF(staff[[#This Row],[Tenure]]&gt;2,3%,2%)*staff[[#This Row],[Salary]],0)</f>
        <v>1783</v>
      </c>
      <c r="K85">
        <f>_xlfn.XLOOKUP(staff[[#This Row],[Rating]],$N$5:$N$9,$O$5:$O$9)</f>
        <v>3</v>
      </c>
    </row>
    <row r="86" spans="1:11" x14ac:dyDescent="0.3">
      <c r="A86" t="s">
        <v>93</v>
      </c>
      <c r="B86" t="s">
        <v>8</v>
      </c>
      <c r="C86" t="s">
        <v>21</v>
      </c>
      <c r="D86">
        <v>33</v>
      </c>
      <c r="E86" s="16">
        <v>44067</v>
      </c>
      <c r="F86" s="17">
        <v>65360</v>
      </c>
      <c r="G86" t="s">
        <v>16</v>
      </c>
      <c r="H86" t="s">
        <v>204</v>
      </c>
      <c r="I86" s="3">
        <f ca="1">(TODAY()-staff[[#This Row],[Date Joined]])/365</f>
        <v>3.7506849315068491</v>
      </c>
      <c r="J86" s="17">
        <f ca="1">ROUNDUP(IF(staff[[#This Row],[Tenure]]&gt;2,3%,2%)*staff[[#This Row],[Salary]],0)</f>
        <v>1961</v>
      </c>
      <c r="K86">
        <f>_xlfn.XLOOKUP(staff[[#This Row],[Rating]],$N$5:$N$9,$O$5:$O$9)</f>
        <v>3</v>
      </c>
    </row>
    <row r="87" spans="1:11" x14ac:dyDescent="0.3">
      <c r="A87" t="s">
        <v>66</v>
      </c>
      <c r="B87" t="s">
        <v>8</v>
      </c>
      <c r="C87" t="s">
        <v>9</v>
      </c>
      <c r="D87">
        <v>32</v>
      </c>
      <c r="E87" s="16">
        <v>44611</v>
      </c>
      <c r="F87" s="17">
        <v>41570</v>
      </c>
      <c r="G87" t="s">
        <v>16</v>
      </c>
      <c r="H87" t="s">
        <v>204</v>
      </c>
      <c r="I87" s="3">
        <f ca="1">(TODAY()-staff[[#This Row],[Date Joined]])/365</f>
        <v>2.2602739726027399</v>
      </c>
      <c r="J87" s="17">
        <f ca="1">ROUNDUP(IF(staff[[#This Row],[Tenure]]&gt;2,3%,2%)*staff[[#This Row],[Salary]],0)</f>
        <v>1248</v>
      </c>
      <c r="K87">
        <f>_xlfn.XLOOKUP(staff[[#This Row],[Rating]],$N$5:$N$9,$O$5:$O$9)</f>
        <v>3</v>
      </c>
    </row>
    <row r="88" spans="1:11" x14ac:dyDescent="0.3">
      <c r="A88" t="s">
        <v>95</v>
      </c>
      <c r="B88" t="s">
        <v>8</v>
      </c>
      <c r="C88" t="s">
        <v>12</v>
      </c>
      <c r="D88">
        <v>33</v>
      </c>
      <c r="E88" s="16">
        <v>44312</v>
      </c>
      <c r="F88" s="17">
        <v>75280</v>
      </c>
      <c r="G88" t="s">
        <v>16</v>
      </c>
      <c r="H88" t="s">
        <v>204</v>
      </c>
      <c r="I88" s="3">
        <f ca="1">(TODAY()-staff[[#This Row],[Date Joined]])/365</f>
        <v>3.0794520547945203</v>
      </c>
      <c r="J88" s="17">
        <f ca="1">ROUNDUP(IF(staff[[#This Row],[Tenure]]&gt;2,3%,2%)*staff[[#This Row],[Salary]],0)</f>
        <v>2259</v>
      </c>
      <c r="K88">
        <f>_xlfn.XLOOKUP(staff[[#This Row],[Rating]],$N$5:$N$9,$O$5:$O$9)</f>
        <v>3</v>
      </c>
    </row>
    <row r="89" spans="1:11" x14ac:dyDescent="0.3">
      <c r="A89" t="s">
        <v>18</v>
      </c>
      <c r="B89" t="s">
        <v>15</v>
      </c>
      <c r="C89" t="s">
        <v>19</v>
      </c>
      <c r="D89">
        <v>33</v>
      </c>
      <c r="E89" s="16">
        <v>44385</v>
      </c>
      <c r="F89" s="17">
        <v>74550</v>
      </c>
      <c r="G89" t="s">
        <v>16</v>
      </c>
      <c r="H89" t="s">
        <v>204</v>
      </c>
      <c r="I89" s="3">
        <f ca="1">(TODAY()-staff[[#This Row],[Date Joined]])/365</f>
        <v>2.8794520547945206</v>
      </c>
      <c r="J89" s="17">
        <f ca="1">ROUNDUP(IF(staff[[#This Row],[Tenure]]&gt;2,3%,2%)*staff[[#This Row],[Salary]],0)</f>
        <v>2237</v>
      </c>
      <c r="K89">
        <f>_xlfn.XLOOKUP(staff[[#This Row],[Rating]],$N$5:$N$9,$O$5:$O$9)</f>
        <v>3</v>
      </c>
    </row>
    <row r="90" spans="1:11" x14ac:dyDescent="0.3">
      <c r="A90" t="s">
        <v>45</v>
      </c>
      <c r="B90" t="s">
        <v>15</v>
      </c>
      <c r="C90" t="s">
        <v>9</v>
      </c>
      <c r="D90">
        <v>30</v>
      </c>
      <c r="E90" s="16">
        <v>44701</v>
      </c>
      <c r="F90" s="17">
        <v>67950</v>
      </c>
      <c r="G90" t="s">
        <v>16</v>
      </c>
      <c r="H90" t="s">
        <v>204</v>
      </c>
      <c r="I90" s="3">
        <f ca="1">(TODAY()-staff[[#This Row],[Date Joined]])/365</f>
        <v>2.0136986301369864</v>
      </c>
      <c r="J90" s="17">
        <f ca="1">ROUNDUP(IF(staff[[#This Row],[Tenure]]&gt;2,3%,2%)*staff[[#This Row],[Salary]],0)</f>
        <v>2039</v>
      </c>
      <c r="K90">
        <f>_xlfn.XLOOKUP(staff[[#This Row],[Rating]],$N$5:$N$9,$O$5:$O$9)</f>
        <v>3</v>
      </c>
    </row>
    <row r="91" spans="1:11" x14ac:dyDescent="0.3">
      <c r="A91" t="s">
        <v>90</v>
      </c>
      <c r="B91" t="s">
        <v>15</v>
      </c>
      <c r="C91" t="s">
        <v>21</v>
      </c>
      <c r="D91">
        <v>42</v>
      </c>
      <c r="E91" s="16">
        <v>44731</v>
      </c>
      <c r="F91" s="17">
        <v>70270</v>
      </c>
      <c r="G91" t="s">
        <v>24</v>
      </c>
      <c r="H91" t="s">
        <v>204</v>
      </c>
      <c r="I91" s="3">
        <f ca="1">(TODAY()-staff[[#This Row],[Date Joined]])/365</f>
        <v>1.9315068493150684</v>
      </c>
      <c r="J91" s="17">
        <f ca="1">ROUNDUP(IF(staff[[#This Row],[Tenure]]&gt;2,3%,2%)*staff[[#This Row],[Salary]],0)</f>
        <v>1406</v>
      </c>
      <c r="K91">
        <f>_xlfn.XLOOKUP(staff[[#This Row],[Rating]],$N$5:$N$9,$O$5:$O$9)</f>
        <v>2</v>
      </c>
    </row>
    <row r="92" spans="1:11" x14ac:dyDescent="0.3">
      <c r="A92" t="s">
        <v>46</v>
      </c>
      <c r="B92" t="s">
        <v>15</v>
      </c>
      <c r="C92" t="s">
        <v>9</v>
      </c>
      <c r="D92">
        <v>26</v>
      </c>
      <c r="E92" s="16">
        <v>44411</v>
      </c>
      <c r="F92" s="17">
        <v>53540</v>
      </c>
      <c r="G92" t="s">
        <v>16</v>
      </c>
      <c r="H92" t="s">
        <v>204</v>
      </c>
      <c r="I92" s="3">
        <f ca="1">(TODAY()-staff[[#This Row],[Date Joined]])/365</f>
        <v>2.8082191780821919</v>
      </c>
      <c r="J92" s="17">
        <f ca="1">ROUNDUP(IF(staff[[#This Row],[Tenure]]&gt;2,3%,2%)*staff[[#This Row],[Salary]],0)</f>
        <v>1607</v>
      </c>
      <c r="K92">
        <f>_xlfn.XLOOKUP(staff[[#This Row],[Rating]],$N$5:$N$9,$O$5:$O$9)</f>
        <v>3</v>
      </c>
    </row>
    <row r="93" spans="1:11" x14ac:dyDescent="0.3">
      <c r="A93" t="s">
        <v>155</v>
      </c>
      <c r="B93" t="s">
        <v>15</v>
      </c>
      <c r="C93" t="s">
        <v>12</v>
      </c>
      <c r="D93">
        <v>20</v>
      </c>
      <c r="E93" s="16">
        <v>44122</v>
      </c>
      <c r="F93" s="17">
        <v>112650</v>
      </c>
      <c r="G93" t="s">
        <v>16</v>
      </c>
      <c r="H93" t="s">
        <v>206</v>
      </c>
      <c r="I93" s="3">
        <f ca="1">(TODAY()-staff[[#This Row],[Date Joined]])/365</f>
        <v>3.6</v>
      </c>
      <c r="J93" s="17">
        <f ca="1">ROUNDUP(IF(staff[[#This Row],[Tenure]]&gt;2,3%,2%)*staff[[#This Row],[Salary]],0)</f>
        <v>3380</v>
      </c>
      <c r="K93">
        <f>_xlfn.XLOOKUP(staff[[#This Row],[Rating]],$N$5:$N$9,$O$5:$O$9)</f>
        <v>3</v>
      </c>
    </row>
    <row r="94" spans="1:11" x14ac:dyDescent="0.3">
      <c r="A94" t="s">
        <v>175</v>
      </c>
      <c r="B94" t="s">
        <v>8</v>
      </c>
      <c r="C94" t="s">
        <v>12</v>
      </c>
      <c r="D94">
        <v>32</v>
      </c>
      <c r="E94" s="16">
        <v>44293</v>
      </c>
      <c r="F94" s="17">
        <v>43840</v>
      </c>
      <c r="G94" t="s">
        <v>13</v>
      </c>
      <c r="H94" t="s">
        <v>206</v>
      </c>
      <c r="I94" s="3">
        <f ca="1">(TODAY()-staff[[#This Row],[Date Joined]])/365</f>
        <v>3.1315068493150684</v>
      </c>
      <c r="J94" s="17">
        <f ca="1">ROUNDUP(IF(staff[[#This Row],[Tenure]]&gt;2,3%,2%)*staff[[#This Row],[Salary]],0)</f>
        <v>1316</v>
      </c>
      <c r="K94">
        <f>_xlfn.XLOOKUP(staff[[#This Row],[Rating]],$N$5:$N$9,$O$5:$O$9)</f>
        <v>4</v>
      </c>
    </row>
    <row r="95" spans="1:11" x14ac:dyDescent="0.3">
      <c r="A95" t="s">
        <v>142</v>
      </c>
      <c r="B95" t="s">
        <v>15</v>
      </c>
      <c r="C95" t="s">
        <v>9</v>
      </c>
      <c r="D95">
        <v>31</v>
      </c>
      <c r="E95" s="16">
        <v>44663</v>
      </c>
      <c r="F95" s="17">
        <v>103550</v>
      </c>
      <c r="G95" t="s">
        <v>16</v>
      </c>
      <c r="H95" t="s">
        <v>206</v>
      </c>
      <c r="I95" s="3">
        <f ca="1">(TODAY()-staff[[#This Row],[Date Joined]])/365</f>
        <v>2.117808219178082</v>
      </c>
      <c r="J95" s="17">
        <f ca="1">ROUNDUP(IF(staff[[#This Row],[Tenure]]&gt;2,3%,2%)*staff[[#This Row],[Salary]],0)</f>
        <v>3107</v>
      </c>
      <c r="K95">
        <f>_xlfn.XLOOKUP(staff[[#This Row],[Rating]],$N$5:$N$9,$O$5:$O$9)</f>
        <v>3</v>
      </c>
    </row>
    <row r="96" spans="1:11" x14ac:dyDescent="0.3">
      <c r="A96" t="s">
        <v>200</v>
      </c>
      <c r="B96" t="s">
        <v>8</v>
      </c>
      <c r="C96" t="s">
        <v>56</v>
      </c>
      <c r="D96">
        <v>32</v>
      </c>
      <c r="E96" s="16">
        <v>44339</v>
      </c>
      <c r="F96" s="17">
        <v>45510</v>
      </c>
      <c r="G96" t="s">
        <v>16</v>
      </c>
      <c r="H96" t="s">
        <v>206</v>
      </c>
      <c r="I96" s="3">
        <f ca="1">(TODAY()-staff[[#This Row],[Date Joined]])/365</f>
        <v>3.0054794520547947</v>
      </c>
      <c r="J96" s="17">
        <f ca="1">ROUNDUP(IF(staff[[#This Row],[Tenure]]&gt;2,3%,2%)*staff[[#This Row],[Salary]],0)</f>
        <v>1366</v>
      </c>
      <c r="K96">
        <f>_xlfn.XLOOKUP(staff[[#This Row],[Rating]],$N$5:$N$9,$O$5:$O$9)</f>
        <v>3</v>
      </c>
    </row>
    <row r="97" spans="1:11" x14ac:dyDescent="0.3">
      <c r="A97" t="s">
        <v>141</v>
      </c>
      <c r="B97" t="s">
        <v>205</v>
      </c>
      <c r="C97" t="s">
        <v>21</v>
      </c>
      <c r="D97">
        <v>37</v>
      </c>
      <c r="E97" s="16">
        <v>44085</v>
      </c>
      <c r="F97" s="17">
        <v>115440</v>
      </c>
      <c r="G97" t="s">
        <v>24</v>
      </c>
      <c r="H97" t="s">
        <v>206</v>
      </c>
      <c r="I97" s="3">
        <f ca="1">(TODAY()-staff[[#This Row],[Date Joined]])/365</f>
        <v>3.7013698630136984</v>
      </c>
      <c r="J97" s="17">
        <f ca="1">ROUNDUP(IF(staff[[#This Row],[Tenure]]&gt;2,3%,2%)*staff[[#This Row],[Salary]],0)</f>
        <v>3464</v>
      </c>
      <c r="K97">
        <f>_xlfn.XLOOKUP(staff[[#This Row],[Rating]],$N$5:$N$9,$O$5:$O$9)</f>
        <v>2</v>
      </c>
    </row>
    <row r="98" spans="1:11" x14ac:dyDescent="0.3">
      <c r="A98" t="s">
        <v>201</v>
      </c>
      <c r="B98" t="s">
        <v>8</v>
      </c>
      <c r="C98" t="s">
        <v>19</v>
      </c>
      <c r="D98">
        <v>38</v>
      </c>
      <c r="E98" s="16">
        <v>44268</v>
      </c>
      <c r="F98" s="17">
        <v>56870</v>
      </c>
      <c r="G98" t="s">
        <v>13</v>
      </c>
      <c r="H98" t="s">
        <v>206</v>
      </c>
      <c r="I98" s="3">
        <f ca="1">(TODAY()-staff[[#This Row],[Date Joined]])/365</f>
        <v>3.2</v>
      </c>
      <c r="J98" s="17">
        <f ca="1">ROUNDUP(IF(staff[[#This Row],[Tenure]]&gt;2,3%,2%)*staff[[#This Row],[Salary]],0)</f>
        <v>1707</v>
      </c>
      <c r="K98">
        <f>_xlfn.XLOOKUP(staff[[#This Row],[Rating]],$N$5:$N$9,$O$5:$O$9)</f>
        <v>4</v>
      </c>
    </row>
    <row r="99" spans="1:11" x14ac:dyDescent="0.3">
      <c r="A99" t="s">
        <v>168</v>
      </c>
      <c r="B99" t="s">
        <v>8</v>
      </c>
      <c r="C99" t="s">
        <v>19</v>
      </c>
      <c r="D99">
        <v>25</v>
      </c>
      <c r="E99" s="16">
        <v>44144</v>
      </c>
      <c r="F99" s="17">
        <v>92700</v>
      </c>
      <c r="G99" t="s">
        <v>16</v>
      </c>
      <c r="H99" t="s">
        <v>206</v>
      </c>
      <c r="I99" s="3">
        <f ca="1">(TODAY()-staff[[#This Row],[Date Joined]])/365</f>
        <v>3.5397260273972604</v>
      </c>
      <c r="J99" s="17">
        <f ca="1">ROUNDUP(IF(staff[[#This Row],[Tenure]]&gt;2,3%,2%)*staff[[#This Row],[Salary]],0)</f>
        <v>2781</v>
      </c>
      <c r="K99">
        <f>_xlfn.XLOOKUP(staff[[#This Row],[Rating]],$N$5:$N$9,$O$5:$O$9)</f>
        <v>3</v>
      </c>
    </row>
    <row r="100" spans="1:11" x14ac:dyDescent="0.3">
      <c r="A100" t="s">
        <v>144</v>
      </c>
      <c r="B100" t="s">
        <v>205</v>
      </c>
      <c r="C100" t="s">
        <v>12</v>
      </c>
      <c r="D100">
        <v>32</v>
      </c>
      <c r="E100" s="16">
        <v>44713</v>
      </c>
      <c r="F100" s="17">
        <v>91310</v>
      </c>
      <c r="G100" t="s">
        <v>16</v>
      </c>
      <c r="H100" t="s">
        <v>206</v>
      </c>
      <c r="I100" s="3">
        <f ca="1">(TODAY()-staff[[#This Row],[Date Joined]])/365</f>
        <v>1.9808219178082191</v>
      </c>
      <c r="J100" s="17">
        <f ca="1">ROUNDUP(IF(staff[[#This Row],[Tenure]]&gt;2,3%,2%)*staff[[#This Row],[Salary]],0)</f>
        <v>1827</v>
      </c>
      <c r="K100">
        <f>_xlfn.XLOOKUP(staff[[#This Row],[Rating]],$N$5:$N$9,$O$5:$O$9)</f>
        <v>3</v>
      </c>
    </row>
    <row r="101" spans="1:11" x14ac:dyDescent="0.3">
      <c r="A101" t="s">
        <v>114</v>
      </c>
      <c r="B101" t="s">
        <v>15</v>
      </c>
      <c r="C101" t="s">
        <v>19</v>
      </c>
      <c r="D101">
        <v>33</v>
      </c>
      <c r="E101" s="16">
        <v>44324</v>
      </c>
      <c r="F101" s="17">
        <v>74550</v>
      </c>
      <c r="G101" t="s">
        <v>16</v>
      </c>
      <c r="H101" t="s">
        <v>206</v>
      </c>
      <c r="I101" s="3">
        <f ca="1">(TODAY()-staff[[#This Row],[Date Joined]])/365</f>
        <v>3.0465753424657533</v>
      </c>
      <c r="J101" s="17">
        <f ca="1">ROUNDUP(IF(staff[[#This Row],[Tenure]]&gt;2,3%,2%)*staff[[#This Row],[Salary]],0)</f>
        <v>2237</v>
      </c>
      <c r="K101">
        <f>_xlfn.XLOOKUP(staff[[#This Row],[Rating]],$N$5:$N$9,$O$5:$O$9)</f>
        <v>3</v>
      </c>
    </row>
    <row r="102" spans="1:11" x14ac:dyDescent="0.3">
      <c r="A102" t="s">
        <v>127</v>
      </c>
      <c r="B102" t="s">
        <v>15</v>
      </c>
      <c r="C102" t="s">
        <v>9</v>
      </c>
      <c r="D102">
        <v>25</v>
      </c>
      <c r="E102" s="16">
        <v>44665</v>
      </c>
      <c r="F102" s="17">
        <v>109190</v>
      </c>
      <c r="G102" t="s">
        <v>13</v>
      </c>
      <c r="H102" t="s">
        <v>206</v>
      </c>
      <c r="I102" s="3">
        <f ca="1">(TODAY()-staff[[#This Row],[Date Joined]])/365</f>
        <v>2.1123287671232878</v>
      </c>
      <c r="J102" s="17">
        <f ca="1">ROUNDUP(IF(staff[[#This Row],[Tenure]]&gt;2,3%,2%)*staff[[#This Row],[Salary]],0)</f>
        <v>3276</v>
      </c>
      <c r="K102">
        <f>_xlfn.XLOOKUP(staff[[#This Row],[Rating]],$N$5:$N$9,$O$5:$O$9)</f>
        <v>4</v>
      </c>
    </row>
    <row r="103" spans="1:11" x14ac:dyDescent="0.3">
      <c r="A103" t="s">
        <v>193</v>
      </c>
      <c r="B103" t="s">
        <v>8</v>
      </c>
      <c r="C103" t="s">
        <v>12</v>
      </c>
      <c r="D103">
        <v>40</v>
      </c>
      <c r="E103" s="16">
        <v>44320</v>
      </c>
      <c r="F103" s="17">
        <v>104410</v>
      </c>
      <c r="G103" t="s">
        <v>16</v>
      </c>
      <c r="H103" t="s">
        <v>206</v>
      </c>
      <c r="I103" s="3">
        <f ca="1">(TODAY()-staff[[#This Row],[Date Joined]])/365</f>
        <v>3.0575342465753423</v>
      </c>
      <c r="J103" s="17">
        <f ca="1">ROUNDUP(IF(staff[[#This Row],[Tenure]]&gt;2,3%,2%)*staff[[#This Row],[Salary]],0)</f>
        <v>3133</v>
      </c>
      <c r="K103">
        <f>_xlfn.XLOOKUP(staff[[#This Row],[Rating]],$N$5:$N$9,$O$5:$O$9)</f>
        <v>3</v>
      </c>
    </row>
    <row r="104" spans="1:11" x14ac:dyDescent="0.3">
      <c r="A104" t="s">
        <v>176</v>
      </c>
      <c r="B104" t="s">
        <v>15</v>
      </c>
      <c r="C104" t="s">
        <v>21</v>
      </c>
      <c r="D104">
        <v>30</v>
      </c>
      <c r="E104" s="16">
        <v>44544</v>
      </c>
      <c r="F104" s="17">
        <v>96800</v>
      </c>
      <c r="G104" t="s">
        <v>16</v>
      </c>
      <c r="H104" t="s">
        <v>206</v>
      </c>
      <c r="I104" s="3">
        <f ca="1">(TODAY()-staff[[#This Row],[Date Joined]])/365</f>
        <v>2.4438356164383563</v>
      </c>
      <c r="J104" s="17">
        <f ca="1">ROUNDUP(IF(staff[[#This Row],[Tenure]]&gt;2,3%,2%)*staff[[#This Row],[Salary]],0)</f>
        <v>2904</v>
      </c>
      <c r="K104">
        <f>_xlfn.XLOOKUP(staff[[#This Row],[Rating]],$N$5:$N$9,$O$5:$O$9)</f>
        <v>3</v>
      </c>
    </row>
    <row r="105" spans="1:11" x14ac:dyDescent="0.3">
      <c r="A105" t="s">
        <v>122</v>
      </c>
      <c r="B105" t="s">
        <v>15</v>
      </c>
      <c r="C105" t="s">
        <v>21</v>
      </c>
      <c r="D105">
        <v>28</v>
      </c>
      <c r="E105" s="16">
        <v>43980</v>
      </c>
      <c r="F105" s="17">
        <v>48170</v>
      </c>
      <c r="G105" t="s">
        <v>13</v>
      </c>
      <c r="H105" t="s">
        <v>206</v>
      </c>
      <c r="I105" s="3">
        <f ca="1">(TODAY()-staff[[#This Row],[Date Joined]])/365</f>
        <v>3.989041095890411</v>
      </c>
      <c r="J105" s="17">
        <f ca="1">ROUNDUP(IF(staff[[#This Row],[Tenure]]&gt;2,3%,2%)*staff[[#This Row],[Salary]],0)</f>
        <v>1446</v>
      </c>
      <c r="K105">
        <f>_xlfn.XLOOKUP(staff[[#This Row],[Rating]],$N$5:$N$9,$O$5:$O$9)</f>
        <v>4</v>
      </c>
    </row>
    <row r="106" spans="1:11" x14ac:dyDescent="0.3">
      <c r="A106" t="s">
        <v>139</v>
      </c>
      <c r="B106" t="s">
        <v>15</v>
      </c>
      <c r="C106" t="s">
        <v>9</v>
      </c>
      <c r="D106">
        <v>21</v>
      </c>
      <c r="E106" s="16">
        <v>44042</v>
      </c>
      <c r="F106" s="17">
        <v>37920</v>
      </c>
      <c r="G106" t="s">
        <v>16</v>
      </c>
      <c r="H106" t="s">
        <v>206</v>
      </c>
      <c r="I106" s="3">
        <f ca="1">(TODAY()-staff[[#This Row],[Date Joined]])/365</f>
        <v>3.8191780821917809</v>
      </c>
      <c r="J106" s="17">
        <f ca="1">ROUNDUP(IF(staff[[#This Row],[Tenure]]&gt;2,3%,2%)*staff[[#This Row],[Salary]],0)</f>
        <v>1138</v>
      </c>
      <c r="K106">
        <f>_xlfn.XLOOKUP(staff[[#This Row],[Rating]],$N$5:$N$9,$O$5:$O$9)</f>
        <v>3</v>
      </c>
    </row>
    <row r="107" spans="1:11" x14ac:dyDescent="0.3">
      <c r="A107" t="s">
        <v>177</v>
      </c>
      <c r="B107" t="s">
        <v>15</v>
      </c>
      <c r="C107" t="s">
        <v>9</v>
      </c>
      <c r="D107">
        <v>34</v>
      </c>
      <c r="E107" s="16">
        <v>44642</v>
      </c>
      <c r="F107" s="17">
        <v>112650</v>
      </c>
      <c r="G107" t="s">
        <v>16</v>
      </c>
      <c r="H107" t="s">
        <v>206</v>
      </c>
      <c r="I107" s="3">
        <f ca="1">(TODAY()-staff[[#This Row],[Date Joined]])/365</f>
        <v>2.1753424657534248</v>
      </c>
      <c r="J107" s="17">
        <f ca="1">ROUNDUP(IF(staff[[#This Row],[Tenure]]&gt;2,3%,2%)*staff[[#This Row],[Salary]],0)</f>
        <v>3380</v>
      </c>
      <c r="K107">
        <f>_xlfn.XLOOKUP(staff[[#This Row],[Rating]],$N$5:$N$9,$O$5:$O$9)</f>
        <v>3</v>
      </c>
    </row>
    <row r="108" spans="1:11" x14ac:dyDescent="0.3">
      <c r="A108" t="s">
        <v>164</v>
      </c>
      <c r="B108" t="s">
        <v>8</v>
      </c>
      <c r="C108" t="s">
        <v>19</v>
      </c>
      <c r="D108">
        <v>34</v>
      </c>
      <c r="E108" s="16">
        <v>44660</v>
      </c>
      <c r="F108" s="17">
        <v>49630</v>
      </c>
      <c r="G108" t="s">
        <v>24</v>
      </c>
      <c r="H108" t="s">
        <v>206</v>
      </c>
      <c r="I108" s="3">
        <f ca="1">(TODAY()-staff[[#This Row],[Date Joined]])/365</f>
        <v>2.1260273972602741</v>
      </c>
      <c r="J108" s="17">
        <f ca="1">ROUNDUP(IF(staff[[#This Row],[Tenure]]&gt;2,3%,2%)*staff[[#This Row],[Salary]],0)</f>
        <v>1489</v>
      </c>
      <c r="K108">
        <f>_xlfn.XLOOKUP(staff[[#This Row],[Rating]],$N$5:$N$9,$O$5:$O$9)</f>
        <v>2</v>
      </c>
    </row>
    <row r="109" spans="1:11" x14ac:dyDescent="0.3">
      <c r="A109" t="s">
        <v>198</v>
      </c>
      <c r="B109" t="s">
        <v>15</v>
      </c>
      <c r="C109" t="s">
        <v>12</v>
      </c>
      <c r="D109">
        <v>36</v>
      </c>
      <c r="E109" s="16">
        <v>43958</v>
      </c>
      <c r="F109" s="17">
        <v>118840</v>
      </c>
      <c r="G109" t="s">
        <v>16</v>
      </c>
      <c r="H109" t="s">
        <v>206</v>
      </c>
      <c r="I109" s="3">
        <f ca="1">(TODAY()-staff[[#This Row],[Date Joined]])/365</f>
        <v>4.0493150684931507</v>
      </c>
      <c r="J109" s="17">
        <f ca="1">ROUNDUP(IF(staff[[#This Row],[Tenure]]&gt;2,3%,2%)*staff[[#This Row],[Salary]],0)</f>
        <v>3566</v>
      </c>
      <c r="K109">
        <f>_xlfn.XLOOKUP(staff[[#This Row],[Rating]],$N$5:$N$9,$O$5:$O$9)</f>
        <v>3</v>
      </c>
    </row>
    <row r="110" spans="1:11" x14ac:dyDescent="0.3">
      <c r="A110" t="s">
        <v>158</v>
      </c>
      <c r="B110" t="s">
        <v>15</v>
      </c>
      <c r="C110" t="s">
        <v>12</v>
      </c>
      <c r="D110">
        <v>30</v>
      </c>
      <c r="E110" s="16">
        <v>44789</v>
      </c>
      <c r="F110" s="17">
        <v>69710</v>
      </c>
      <c r="G110" t="s">
        <v>16</v>
      </c>
      <c r="H110" t="s">
        <v>206</v>
      </c>
      <c r="I110" s="3">
        <f ca="1">(TODAY()-staff[[#This Row],[Date Joined]])/365</f>
        <v>1.7726027397260273</v>
      </c>
      <c r="J110" s="17">
        <f ca="1">ROUNDUP(IF(staff[[#This Row],[Tenure]]&gt;2,3%,2%)*staff[[#This Row],[Salary]],0)</f>
        <v>1395</v>
      </c>
      <c r="K110">
        <f>_xlfn.XLOOKUP(staff[[#This Row],[Rating]],$N$5:$N$9,$O$5:$O$9)</f>
        <v>3</v>
      </c>
    </row>
    <row r="111" spans="1:11" x14ac:dyDescent="0.3">
      <c r="A111" t="s">
        <v>196</v>
      </c>
      <c r="B111" t="s">
        <v>15</v>
      </c>
      <c r="C111" t="s">
        <v>9</v>
      </c>
      <c r="D111">
        <v>20</v>
      </c>
      <c r="E111" s="16">
        <v>44683</v>
      </c>
      <c r="F111" s="17">
        <v>79570</v>
      </c>
      <c r="G111" t="s">
        <v>16</v>
      </c>
      <c r="H111" t="s">
        <v>206</v>
      </c>
      <c r="I111" s="3">
        <f ca="1">(TODAY()-staff[[#This Row],[Date Joined]])/365</f>
        <v>2.0630136986301371</v>
      </c>
      <c r="J111" s="17">
        <f ca="1">ROUNDUP(IF(staff[[#This Row],[Tenure]]&gt;2,3%,2%)*staff[[#This Row],[Salary]],0)</f>
        <v>2388</v>
      </c>
      <c r="K111">
        <f>_xlfn.XLOOKUP(staff[[#This Row],[Rating]],$N$5:$N$9,$O$5:$O$9)</f>
        <v>3</v>
      </c>
    </row>
    <row r="112" spans="1:11" x14ac:dyDescent="0.3">
      <c r="A112" t="s">
        <v>153</v>
      </c>
      <c r="B112" t="s">
        <v>8</v>
      </c>
      <c r="C112" t="s">
        <v>9</v>
      </c>
      <c r="D112">
        <v>22</v>
      </c>
      <c r="E112" s="16">
        <v>44388</v>
      </c>
      <c r="F112" s="17">
        <v>76900</v>
      </c>
      <c r="G112" t="s">
        <v>13</v>
      </c>
      <c r="H112" t="s">
        <v>206</v>
      </c>
      <c r="I112" s="3">
        <f ca="1">(TODAY()-staff[[#This Row],[Date Joined]])/365</f>
        <v>2.871232876712329</v>
      </c>
      <c r="J112" s="17">
        <f ca="1">ROUNDUP(IF(staff[[#This Row],[Tenure]]&gt;2,3%,2%)*staff[[#This Row],[Salary]],0)</f>
        <v>2307</v>
      </c>
      <c r="K112">
        <f>_xlfn.XLOOKUP(staff[[#This Row],[Rating]],$N$5:$N$9,$O$5:$O$9)</f>
        <v>4</v>
      </c>
    </row>
    <row r="113" spans="1:11" x14ac:dyDescent="0.3">
      <c r="A113" t="s">
        <v>181</v>
      </c>
      <c r="B113" t="s">
        <v>15</v>
      </c>
      <c r="C113" t="s">
        <v>19</v>
      </c>
      <c r="D113">
        <v>27</v>
      </c>
      <c r="E113" s="16">
        <v>44073</v>
      </c>
      <c r="F113" s="17">
        <v>54970</v>
      </c>
      <c r="G113" t="s">
        <v>16</v>
      </c>
      <c r="H113" t="s">
        <v>206</v>
      </c>
      <c r="I113" s="3">
        <f ca="1">(TODAY()-staff[[#This Row],[Date Joined]])/365</f>
        <v>3.7342465753424658</v>
      </c>
      <c r="J113" s="17">
        <f ca="1">ROUNDUP(IF(staff[[#This Row],[Tenure]]&gt;2,3%,2%)*staff[[#This Row],[Salary]],0)</f>
        <v>1650</v>
      </c>
      <c r="K113">
        <f>_xlfn.XLOOKUP(staff[[#This Row],[Rating]],$N$5:$N$9,$O$5:$O$9)</f>
        <v>3</v>
      </c>
    </row>
    <row r="114" spans="1:11" x14ac:dyDescent="0.3">
      <c r="A114" t="s">
        <v>117</v>
      </c>
      <c r="B114" t="s">
        <v>15</v>
      </c>
      <c r="C114" t="s">
        <v>12</v>
      </c>
      <c r="D114">
        <v>37</v>
      </c>
      <c r="E114" s="16">
        <v>44277</v>
      </c>
      <c r="F114" s="17">
        <v>88050</v>
      </c>
      <c r="G114" t="s">
        <v>24</v>
      </c>
      <c r="H114" t="s">
        <v>206</v>
      </c>
      <c r="I114" s="3">
        <f ca="1">(TODAY()-staff[[#This Row],[Date Joined]])/365</f>
        <v>3.1753424657534248</v>
      </c>
      <c r="J114" s="17">
        <f ca="1">ROUNDUP(IF(staff[[#This Row],[Tenure]]&gt;2,3%,2%)*staff[[#This Row],[Salary]],0)</f>
        <v>2642</v>
      </c>
      <c r="K114">
        <f>_xlfn.XLOOKUP(staff[[#This Row],[Rating]],$N$5:$N$9,$O$5:$O$9)</f>
        <v>2</v>
      </c>
    </row>
    <row r="115" spans="1:11" x14ac:dyDescent="0.3">
      <c r="A115" t="s">
        <v>191</v>
      </c>
      <c r="B115" t="s">
        <v>15</v>
      </c>
      <c r="C115" t="s">
        <v>19</v>
      </c>
      <c r="D115">
        <v>43</v>
      </c>
      <c r="E115" s="16">
        <v>44558</v>
      </c>
      <c r="F115" s="17">
        <v>36040</v>
      </c>
      <c r="G115" t="s">
        <v>16</v>
      </c>
      <c r="H115" t="s">
        <v>206</v>
      </c>
      <c r="I115" s="3">
        <f ca="1">(TODAY()-staff[[#This Row],[Date Joined]])/365</f>
        <v>2.4054794520547946</v>
      </c>
      <c r="J115" s="17">
        <f ca="1">ROUNDUP(IF(staff[[#This Row],[Tenure]]&gt;2,3%,2%)*staff[[#This Row],[Salary]],0)</f>
        <v>1082</v>
      </c>
      <c r="K115">
        <f>_xlfn.XLOOKUP(staff[[#This Row],[Rating]],$N$5:$N$9,$O$5:$O$9)</f>
        <v>3</v>
      </c>
    </row>
    <row r="116" spans="1:11" x14ac:dyDescent="0.3">
      <c r="A116" t="s">
        <v>110</v>
      </c>
      <c r="B116" t="s">
        <v>8</v>
      </c>
      <c r="C116" t="s">
        <v>9</v>
      </c>
      <c r="D116">
        <v>42</v>
      </c>
      <c r="E116" s="16">
        <v>44718</v>
      </c>
      <c r="F116" s="17">
        <v>75000</v>
      </c>
      <c r="G116" t="s">
        <v>10</v>
      </c>
      <c r="H116" t="s">
        <v>206</v>
      </c>
      <c r="I116" s="3">
        <f ca="1">(TODAY()-staff[[#This Row],[Date Joined]])/365</f>
        <v>1.9671232876712328</v>
      </c>
      <c r="J116" s="17">
        <f ca="1">ROUNDUP(IF(staff[[#This Row],[Tenure]]&gt;2,3%,2%)*staff[[#This Row],[Salary]],0)</f>
        <v>1500</v>
      </c>
      <c r="K116">
        <f>_xlfn.XLOOKUP(staff[[#This Row],[Rating]],$N$5:$N$9,$O$5:$O$9)</f>
        <v>5</v>
      </c>
    </row>
    <row r="117" spans="1:11" x14ac:dyDescent="0.3">
      <c r="A117" t="s">
        <v>148</v>
      </c>
      <c r="B117" t="s">
        <v>15</v>
      </c>
      <c r="C117" t="s">
        <v>9</v>
      </c>
      <c r="D117">
        <v>35</v>
      </c>
      <c r="E117" s="16">
        <v>44666</v>
      </c>
      <c r="F117" s="17">
        <v>40400</v>
      </c>
      <c r="G117" t="s">
        <v>16</v>
      </c>
      <c r="H117" t="s">
        <v>206</v>
      </c>
      <c r="I117" s="3">
        <f ca="1">(TODAY()-staff[[#This Row],[Date Joined]])/365</f>
        <v>2.1095890410958904</v>
      </c>
      <c r="J117" s="17">
        <f ca="1">ROUNDUP(IF(staff[[#This Row],[Tenure]]&gt;2,3%,2%)*staff[[#This Row],[Salary]],0)</f>
        <v>1212</v>
      </c>
      <c r="K117">
        <f>_xlfn.XLOOKUP(staff[[#This Row],[Rating]],$N$5:$N$9,$O$5:$O$9)</f>
        <v>3</v>
      </c>
    </row>
    <row r="118" spans="1:11" x14ac:dyDescent="0.3">
      <c r="A118" t="s">
        <v>195</v>
      </c>
      <c r="B118" t="s">
        <v>15</v>
      </c>
      <c r="C118" t="s">
        <v>12</v>
      </c>
      <c r="D118">
        <v>24</v>
      </c>
      <c r="E118" s="16">
        <v>44625</v>
      </c>
      <c r="F118" s="17">
        <v>100420</v>
      </c>
      <c r="G118" t="s">
        <v>16</v>
      </c>
      <c r="H118" t="s">
        <v>206</v>
      </c>
      <c r="I118" s="3">
        <f ca="1">(TODAY()-staff[[#This Row],[Date Joined]])/365</f>
        <v>2.2219178082191782</v>
      </c>
      <c r="J118" s="17">
        <f ca="1">ROUNDUP(IF(staff[[#This Row],[Tenure]]&gt;2,3%,2%)*staff[[#This Row],[Salary]],0)</f>
        <v>3013</v>
      </c>
      <c r="K118">
        <f>_xlfn.XLOOKUP(staff[[#This Row],[Rating]],$N$5:$N$9,$O$5:$O$9)</f>
        <v>3</v>
      </c>
    </row>
    <row r="119" spans="1:11" x14ac:dyDescent="0.3">
      <c r="A119" t="s">
        <v>119</v>
      </c>
      <c r="B119" t="s">
        <v>8</v>
      </c>
      <c r="C119" t="s">
        <v>12</v>
      </c>
      <c r="D119">
        <v>31</v>
      </c>
      <c r="E119" s="16">
        <v>44604</v>
      </c>
      <c r="F119" s="17">
        <v>58100</v>
      </c>
      <c r="G119" t="s">
        <v>16</v>
      </c>
      <c r="H119" t="s">
        <v>206</v>
      </c>
      <c r="I119" s="3">
        <f ca="1">(TODAY()-staff[[#This Row],[Date Joined]])/365</f>
        <v>2.2794520547945205</v>
      </c>
      <c r="J119" s="17">
        <f ca="1">ROUNDUP(IF(staff[[#This Row],[Tenure]]&gt;2,3%,2%)*staff[[#This Row],[Salary]],0)</f>
        <v>1743</v>
      </c>
      <c r="K119">
        <f>_xlfn.XLOOKUP(staff[[#This Row],[Rating]],$N$5:$N$9,$O$5:$O$9)</f>
        <v>3</v>
      </c>
    </row>
    <row r="120" spans="1:11" x14ac:dyDescent="0.3">
      <c r="A120" t="s">
        <v>113</v>
      </c>
      <c r="B120" t="s">
        <v>8</v>
      </c>
      <c r="C120" t="s">
        <v>12</v>
      </c>
      <c r="D120">
        <v>44</v>
      </c>
      <c r="E120" s="16">
        <v>44985</v>
      </c>
      <c r="F120" s="17">
        <v>114870</v>
      </c>
      <c r="G120" t="s">
        <v>16</v>
      </c>
      <c r="H120" t="s">
        <v>206</v>
      </c>
      <c r="I120" s="3">
        <f ca="1">(TODAY()-staff[[#This Row],[Date Joined]])/365</f>
        <v>1.2356164383561643</v>
      </c>
      <c r="J120" s="17">
        <f ca="1">ROUNDUP(IF(staff[[#This Row],[Tenure]]&gt;2,3%,2%)*staff[[#This Row],[Salary]],0)</f>
        <v>2298</v>
      </c>
      <c r="K120">
        <f>_xlfn.XLOOKUP(staff[[#This Row],[Rating]],$N$5:$N$9,$O$5:$O$9)</f>
        <v>3</v>
      </c>
    </row>
    <row r="121" spans="1:11" x14ac:dyDescent="0.3">
      <c r="A121" t="s">
        <v>157</v>
      </c>
      <c r="B121" t="s">
        <v>8</v>
      </c>
      <c r="C121" t="s">
        <v>9</v>
      </c>
      <c r="D121">
        <v>32</v>
      </c>
      <c r="E121" s="16">
        <v>44549</v>
      </c>
      <c r="F121" s="17">
        <v>41570</v>
      </c>
      <c r="G121" t="s">
        <v>16</v>
      </c>
      <c r="H121" t="s">
        <v>206</v>
      </c>
      <c r="I121" s="3">
        <f ca="1">(TODAY()-staff[[#This Row],[Date Joined]])/365</f>
        <v>2.43013698630137</v>
      </c>
      <c r="J121" s="17">
        <f ca="1">ROUNDUP(IF(staff[[#This Row],[Tenure]]&gt;2,3%,2%)*staff[[#This Row],[Salary]],0)</f>
        <v>1248</v>
      </c>
      <c r="K121">
        <f>_xlfn.XLOOKUP(staff[[#This Row],[Rating]],$N$5:$N$9,$O$5:$O$9)</f>
        <v>3</v>
      </c>
    </row>
    <row r="122" spans="1:11" x14ac:dyDescent="0.3">
      <c r="A122" t="s">
        <v>172</v>
      </c>
      <c r="B122" t="s">
        <v>8</v>
      </c>
      <c r="C122" t="s">
        <v>9</v>
      </c>
      <c r="D122">
        <v>30</v>
      </c>
      <c r="E122" s="16">
        <v>44800</v>
      </c>
      <c r="F122" s="17">
        <v>112570</v>
      </c>
      <c r="G122" t="s">
        <v>16</v>
      </c>
      <c r="H122" t="s">
        <v>206</v>
      </c>
      <c r="I122" s="3">
        <f ca="1">(TODAY()-staff[[#This Row],[Date Joined]])/365</f>
        <v>1.7424657534246575</v>
      </c>
      <c r="J122" s="17">
        <f ca="1">ROUNDUP(IF(staff[[#This Row],[Tenure]]&gt;2,3%,2%)*staff[[#This Row],[Salary]],0)</f>
        <v>2252</v>
      </c>
      <c r="K122">
        <f>_xlfn.XLOOKUP(staff[[#This Row],[Rating]],$N$5:$N$9,$O$5:$O$9)</f>
        <v>3</v>
      </c>
    </row>
    <row r="123" spans="1:11" x14ac:dyDescent="0.3">
      <c r="A123" t="s">
        <v>150</v>
      </c>
      <c r="B123" t="s">
        <v>15</v>
      </c>
      <c r="C123" t="s">
        <v>9</v>
      </c>
      <c r="D123">
        <v>26</v>
      </c>
      <c r="E123" s="16">
        <v>44164</v>
      </c>
      <c r="F123" s="17">
        <v>47360</v>
      </c>
      <c r="G123" t="s">
        <v>16</v>
      </c>
      <c r="H123" t="s">
        <v>206</v>
      </c>
      <c r="I123" s="3">
        <f ca="1">(TODAY()-staff[[#This Row],[Date Joined]])/365</f>
        <v>3.484931506849315</v>
      </c>
      <c r="J123" s="17">
        <f ca="1">ROUNDUP(IF(staff[[#This Row],[Tenure]]&gt;2,3%,2%)*staff[[#This Row],[Salary]],0)</f>
        <v>1421</v>
      </c>
      <c r="K123">
        <f>_xlfn.XLOOKUP(staff[[#This Row],[Rating]],$N$5:$N$9,$O$5:$O$9)</f>
        <v>3</v>
      </c>
    </row>
    <row r="124" spans="1:11" x14ac:dyDescent="0.3">
      <c r="A124" t="s">
        <v>125</v>
      </c>
      <c r="B124" t="s">
        <v>8</v>
      </c>
      <c r="C124" t="s">
        <v>21</v>
      </c>
      <c r="D124">
        <v>21</v>
      </c>
      <c r="E124" s="16">
        <v>44256</v>
      </c>
      <c r="F124" s="17">
        <v>65920</v>
      </c>
      <c r="G124" t="s">
        <v>16</v>
      </c>
      <c r="H124" t="s">
        <v>206</v>
      </c>
      <c r="I124" s="3">
        <f ca="1">(TODAY()-staff[[#This Row],[Date Joined]])/365</f>
        <v>3.2328767123287672</v>
      </c>
      <c r="J124" s="17">
        <f ca="1">ROUNDUP(IF(staff[[#This Row],[Tenure]]&gt;2,3%,2%)*staff[[#This Row],[Salary]],0)</f>
        <v>1978</v>
      </c>
      <c r="K124">
        <f>_xlfn.XLOOKUP(staff[[#This Row],[Rating]],$N$5:$N$9,$O$5:$O$9)</f>
        <v>3</v>
      </c>
    </row>
    <row r="125" spans="1:11" x14ac:dyDescent="0.3">
      <c r="A125" t="s">
        <v>199</v>
      </c>
      <c r="B125" t="s">
        <v>8</v>
      </c>
      <c r="C125" t="s">
        <v>9</v>
      </c>
      <c r="D125">
        <v>28</v>
      </c>
      <c r="E125" s="16">
        <v>44571</v>
      </c>
      <c r="F125" s="17">
        <v>99970</v>
      </c>
      <c r="G125" t="s">
        <v>16</v>
      </c>
      <c r="H125" t="s">
        <v>206</v>
      </c>
      <c r="I125" s="3">
        <f ca="1">(TODAY()-staff[[#This Row],[Date Joined]])/365</f>
        <v>2.3698630136986303</v>
      </c>
      <c r="J125" s="17">
        <f ca="1">ROUNDUP(IF(staff[[#This Row],[Tenure]]&gt;2,3%,2%)*staff[[#This Row],[Salary]],0)</f>
        <v>3000</v>
      </c>
      <c r="K125">
        <f>_xlfn.XLOOKUP(staff[[#This Row],[Rating]],$N$5:$N$9,$O$5:$O$9)</f>
        <v>3</v>
      </c>
    </row>
    <row r="126" spans="1:11" x14ac:dyDescent="0.3">
      <c r="A126" t="s">
        <v>132</v>
      </c>
      <c r="B126" t="s">
        <v>8</v>
      </c>
      <c r="C126" t="s">
        <v>12</v>
      </c>
      <c r="D126">
        <v>25</v>
      </c>
      <c r="E126" s="16">
        <v>44633</v>
      </c>
      <c r="F126" s="17">
        <v>80700</v>
      </c>
      <c r="G126" t="s">
        <v>13</v>
      </c>
      <c r="H126" t="s">
        <v>206</v>
      </c>
      <c r="I126" s="3">
        <f ca="1">(TODAY()-staff[[#This Row],[Date Joined]])/365</f>
        <v>2.2000000000000002</v>
      </c>
      <c r="J126" s="17">
        <f ca="1">ROUNDUP(IF(staff[[#This Row],[Tenure]]&gt;2,3%,2%)*staff[[#This Row],[Salary]],0)</f>
        <v>2421</v>
      </c>
      <c r="K126">
        <f>_xlfn.XLOOKUP(staff[[#This Row],[Rating]],$N$5:$N$9,$O$5:$O$9)</f>
        <v>4</v>
      </c>
    </row>
    <row r="127" spans="1:11" x14ac:dyDescent="0.3">
      <c r="A127" t="s">
        <v>154</v>
      </c>
      <c r="B127" t="s">
        <v>15</v>
      </c>
      <c r="C127" t="s">
        <v>21</v>
      </c>
      <c r="D127">
        <v>24</v>
      </c>
      <c r="E127" s="16">
        <v>44375</v>
      </c>
      <c r="F127" s="17">
        <v>52610</v>
      </c>
      <c r="G127" t="s">
        <v>24</v>
      </c>
      <c r="H127" t="s">
        <v>206</v>
      </c>
      <c r="I127" s="3">
        <f ca="1">(TODAY()-staff[[#This Row],[Date Joined]])/365</f>
        <v>2.9068493150684933</v>
      </c>
      <c r="J127" s="17">
        <f ca="1">ROUNDUP(IF(staff[[#This Row],[Tenure]]&gt;2,3%,2%)*staff[[#This Row],[Salary]],0)</f>
        <v>1579</v>
      </c>
      <c r="K127">
        <f>_xlfn.XLOOKUP(staff[[#This Row],[Rating]],$N$5:$N$9,$O$5:$O$9)</f>
        <v>2</v>
      </c>
    </row>
    <row r="128" spans="1:11" x14ac:dyDescent="0.3">
      <c r="A128" t="s">
        <v>179</v>
      </c>
      <c r="B128" t="s">
        <v>15</v>
      </c>
      <c r="C128" t="s">
        <v>12</v>
      </c>
      <c r="D128">
        <v>29</v>
      </c>
      <c r="E128" s="16">
        <v>44119</v>
      </c>
      <c r="F128" s="17">
        <v>112110</v>
      </c>
      <c r="G128" t="s">
        <v>24</v>
      </c>
      <c r="H128" t="s">
        <v>206</v>
      </c>
      <c r="I128" s="3">
        <f ca="1">(TODAY()-staff[[#This Row],[Date Joined]])/365</f>
        <v>3.6082191780821917</v>
      </c>
      <c r="J128" s="17">
        <f ca="1">ROUNDUP(IF(staff[[#This Row],[Tenure]]&gt;2,3%,2%)*staff[[#This Row],[Salary]],0)</f>
        <v>3364</v>
      </c>
      <c r="K128">
        <f>_xlfn.XLOOKUP(staff[[#This Row],[Rating]],$N$5:$N$9,$O$5:$O$9)</f>
        <v>2</v>
      </c>
    </row>
    <row r="129" spans="1:11" x14ac:dyDescent="0.3">
      <c r="A129" t="s">
        <v>151</v>
      </c>
      <c r="B129" t="s">
        <v>8</v>
      </c>
      <c r="C129" t="s">
        <v>56</v>
      </c>
      <c r="D129">
        <v>27</v>
      </c>
      <c r="E129" s="16">
        <v>44061</v>
      </c>
      <c r="F129" s="17">
        <v>119110</v>
      </c>
      <c r="G129" t="s">
        <v>16</v>
      </c>
      <c r="H129" t="s">
        <v>206</v>
      </c>
      <c r="I129" s="3">
        <f ca="1">(TODAY()-staff[[#This Row],[Date Joined]])/365</f>
        <v>3.7671232876712328</v>
      </c>
      <c r="J129" s="17">
        <f ca="1">ROUNDUP(IF(staff[[#This Row],[Tenure]]&gt;2,3%,2%)*staff[[#This Row],[Salary]],0)</f>
        <v>3574</v>
      </c>
      <c r="K129">
        <f>_xlfn.XLOOKUP(staff[[#This Row],[Rating]],$N$5:$N$9,$O$5:$O$9)</f>
        <v>3</v>
      </c>
    </row>
    <row r="130" spans="1:11" x14ac:dyDescent="0.3">
      <c r="A130" t="s">
        <v>149</v>
      </c>
      <c r="B130" t="s">
        <v>15</v>
      </c>
      <c r="C130" t="s">
        <v>19</v>
      </c>
      <c r="D130">
        <v>22</v>
      </c>
      <c r="E130" s="16">
        <v>44384</v>
      </c>
      <c r="F130" s="17">
        <v>112780</v>
      </c>
      <c r="G130" t="s">
        <v>13</v>
      </c>
      <c r="H130" t="s">
        <v>206</v>
      </c>
      <c r="I130" s="3">
        <f ca="1">(TODAY()-staff[[#This Row],[Date Joined]])/365</f>
        <v>2.882191780821918</v>
      </c>
      <c r="J130" s="17">
        <f ca="1">ROUNDUP(IF(staff[[#This Row],[Tenure]]&gt;2,3%,2%)*staff[[#This Row],[Salary]],0)</f>
        <v>3384</v>
      </c>
      <c r="K130">
        <f>_xlfn.XLOOKUP(staff[[#This Row],[Rating]],$N$5:$N$9,$O$5:$O$9)</f>
        <v>4</v>
      </c>
    </row>
    <row r="131" spans="1:11" x14ac:dyDescent="0.3">
      <c r="A131" t="s">
        <v>174</v>
      </c>
      <c r="B131" t="s">
        <v>8</v>
      </c>
      <c r="C131" t="s">
        <v>9</v>
      </c>
      <c r="D131">
        <v>36</v>
      </c>
      <c r="E131" s="16">
        <v>44023</v>
      </c>
      <c r="F131" s="17">
        <v>114890</v>
      </c>
      <c r="G131" t="s">
        <v>16</v>
      </c>
      <c r="H131" t="s">
        <v>206</v>
      </c>
      <c r="I131" s="3">
        <f ca="1">(TODAY()-staff[[#This Row],[Date Joined]])/365</f>
        <v>3.871232876712329</v>
      </c>
      <c r="J131" s="17">
        <f ca="1">ROUNDUP(IF(staff[[#This Row],[Tenure]]&gt;2,3%,2%)*staff[[#This Row],[Salary]],0)</f>
        <v>3447</v>
      </c>
      <c r="K131">
        <f>_xlfn.XLOOKUP(staff[[#This Row],[Rating]],$N$5:$N$9,$O$5:$O$9)</f>
        <v>3</v>
      </c>
    </row>
    <row r="132" spans="1:11" x14ac:dyDescent="0.3">
      <c r="A132" t="s">
        <v>145</v>
      </c>
      <c r="B132" t="s">
        <v>15</v>
      </c>
      <c r="C132" t="s">
        <v>21</v>
      </c>
      <c r="D132">
        <v>27</v>
      </c>
      <c r="E132" s="16">
        <v>44506</v>
      </c>
      <c r="F132" s="17">
        <v>48980</v>
      </c>
      <c r="G132" t="s">
        <v>16</v>
      </c>
      <c r="H132" t="s">
        <v>206</v>
      </c>
      <c r="I132" s="3">
        <f ca="1">(TODAY()-staff[[#This Row],[Date Joined]])/365</f>
        <v>2.547945205479452</v>
      </c>
      <c r="J132" s="17">
        <f ca="1">ROUNDUP(IF(staff[[#This Row],[Tenure]]&gt;2,3%,2%)*staff[[#This Row],[Salary]],0)</f>
        <v>1470</v>
      </c>
      <c r="K132">
        <f>_xlfn.XLOOKUP(staff[[#This Row],[Rating]],$N$5:$N$9,$O$5:$O$9)</f>
        <v>3</v>
      </c>
    </row>
    <row r="133" spans="1:11" x14ac:dyDescent="0.3">
      <c r="A133" t="s">
        <v>169</v>
      </c>
      <c r="B133" t="s">
        <v>15</v>
      </c>
      <c r="C133" t="s">
        <v>56</v>
      </c>
      <c r="D133">
        <v>21</v>
      </c>
      <c r="E133" s="16">
        <v>44180</v>
      </c>
      <c r="F133" s="17">
        <v>75880</v>
      </c>
      <c r="G133" t="s">
        <v>16</v>
      </c>
      <c r="H133" t="s">
        <v>206</v>
      </c>
      <c r="I133" s="3">
        <f ca="1">(TODAY()-staff[[#This Row],[Date Joined]])/365</f>
        <v>3.441095890410959</v>
      </c>
      <c r="J133" s="17">
        <f ca="1">ROUNDUP(IF(staff[[#This Row],[Tenure]]&gt;2,3%,2%)*staff[[#This Row],[Salary]],0)</f>
        <v>2277</v>
      </c>
      <c r="K133">
        <f>_xlfn.XLOOKUP(staff[[#This Row],[Rating]],$N$5:$N$9,$O$5:$O$9)</f>
        <v>3</v>
      </c>
    </row>
    <row r="134" spans="1:11" x14ac:dyDescent="0.3">
      <c r="A134" t="s">
        <v>166</v>
      </c>
      <c r="B134" t="s">
        <v>8</v>
      </c>
      <c r="C134" t="s">
        <v>19</v>
      </c>
      <c r="D134">
        <v>28</v>
      </c>
      <c r="E134" s="16">
        <v>44296</v>
      </c>
      <c r="F134" s="17">
        <v>53240</v>
      </c>
      <c r="G134" t="s">
        <v>16</v>
      </c>
      <c r="H134" t="s">
        <v>206</v>
      </c>
      <c r="I134" s="3">
        <f ca="1">(TODAY()-staff[[#This Row],[Date Joined]])/365</f>
        <v>3.1232876712328768</v>
      </c>
      <c r="J134" s="17">
        <f ca="1">ROUNDUP(IF(staff[[#This Row],[Tenure]]&gt;2,3%,2%)*staff[[#This Row],[Salary]],0)</f>
        <v>1598</v>
      </c>
      <c r="K134">
        <f>_xlfn.XLOOKUP(staff[[#This Row],[Rating]],$N$5:$N$9,$O$5:$O$9)</f>
        <v>3</v>
      </c>
    </row>
    <row r="135" spans="1:11" x14ac:dyDescent="0.3">
      <c r="A135" t="s">
        <v>121</v>
      </c>
      <c r="B135" t="s">
        <v>8</v>
      </c>
      <c r="C135" t="s">
        <v>21</v>
      </c>
      <c r="D135">
        <v>34</v>
      </c>
      <c r="E135" s="16">
        <v>44397</v>
      </c>
      <c r="F135" s="17">
        <v>85000</v>
      </c>
      <c r="G135" t="s">
        <v>16</v>
      </c>
      <c r="H135" t="s">
        <v>206</v>
      </c>
      <c r="I135" s="3">
        <f ca="1">(TODAY()-staff[[#This Row],[Date Joined]])/365</f>
        <v>2.8465753424657536</v>
      </c>
      <c r="J135" s="17">
        <f ca="1">ROUNDUP(IF(staff[[#This Row],[Tenure]]&gt;2,3%,2%)*staff[[#This Row],[Salary]],0)</f>
        <v>2550</v>
      </c>
      <c r="K135">
        <f>_xlfn.XLOOKUP(staff[[#This Row],[Rating]],$N$5:$N$9,$O$5:$O$9)</f>
        <v>3</v>
      </c>
    </row>
    <row r="136" spans="1:11" x14ac:dyDescent="0.3">
      <c r="A136" t="s">
        <v>178</v>
      </c>
      <c r="B136" t="s">
        <v>8</v>
      </c>
      <c r="C136" t="s">
        <v>12</v>
      </c>
      <c r="D136">
        <v>21</v>
      </c>
      <c r="E136" s="16">
        <v>44619</v>
      </c>
      <c r="F136" s="17">
        <v>33920</v>
      </c>
      <c r="G136" t="s">
        <v>16</v>
      </c>
      <c r="H136" t="s">
        <v>206</v>
      </c>
      <c r="I136" s="3">
        <f ca="1">(TODAY()-staff[[#This Row],[Date Joined]])/365</f>
        <v>2.2383561643835614</v>
      </c>
      <c r="J136" s="17">
        <f ca="1">ROUNDUP(IF(staff[[#This Row],[Tenure]]&gt;2,3%,2%)*staff[[#This Row],[Salary]],0)</f>
        <v>1018</v>
      </c>
      <c r="K136">
        <f>_xlfn.XLOOKUP(staff[[#This Row],[Rating]],$N$5:$N$9,$O$5:$O$9)</f>
        <v>3</v>
      </c>
    </row>
    <row r="137" spans="1:11" x14ac:dyDescent="0.3">
      <c r="A137" t="s">
        <v>187</v>
      </c>
      <c r="B137" t="s">
        <v>8</v>
      </c>
      <c r="C137" t="s">
        <v>12</v>
      </c>
      <c r="D137">
        <v>33</v>
      </c>
      <c r="E137" s="16">
        <v>44253</v>
      </c>
      <c r="F137" s="17">
        <v>75280</v>
      </c>
      <c r="G137" t="s">
        <v>16</v>
      </c>
      <c r="H137" t="s">
        <v>206</v>
      </c>
      <c r="I137" s="3">
        <f ca="1">(TODAY()-staff[[#This Row],[Date Joined]])/365</f>
        <v>3.2410958904109588</v>
      </c>
      <c r="J137" s="17">
        <f ca="1">ROUNDUP(IF(staff[[#This Row],[Tenure]]&gt;2,3%,2%)*staff[[#This Row],[Salary]],0)</f>
        <v>2259</v>
      </c>
      <c r="K137">
        <f>_xlfn.XLOOKUP(staff[[#This Row],[Rating]],$N$5:$N$9,$O$5:$O$9)</f>
        <v>3</v>
      </c>
    </row>
    <row r="138" spans="1:11" x14ac:dyDescent="0.3">
      <c r="A138" t="s">
        <v>129</v>
      </c>
      <c r="B138" t="s">
        <v>8</v>
      </c>
      <c r="C138" t="s">
        <v>21</v>
      </c>
      <c r="D138">
        <v>34</v>
      </c>
      <c r="E138" s="16">
        <v>44594</v>
      </c>
      <c r="F138" s="17">
        <v>58940</v>
      </c>
      <c r="G138" t="s">
        <v>16</v>
      </c>
      <c r="H138" t="s">
        <v>206</v>
      </c>
      <c r="I138" s="3">
        <f ca="1">(TODAY()-staff[[#This Row],[Date Joined]])/365</f>
        <v>2.3068493150684932</v>
      </c>
      <c r="J138" s="17">
        <f ca="1">ROUNDUP(IF(staff[[#This Row],[Tenure]]&gt;2,3%,2%)*staff[[#This Row],[Salary]],0)</f>
        <v>1769</v>
      </c>
      <c r="K138">
        <f>_xlfn.XLOOKUP(staff[[#This Row],[Rating]],$N$5:$N$9,$O$5:$O$9)</f>
        <v>3</v>
      </c>
    </row>
    <row r="139" spans="1:11" x14ac:dyDescent="0.3">
      <c r="A139" t="s">
        <v>135</v>
      </c>
      <c r="B139" t="s">
        <v>8</v>
      </c>
      <c r="C139" t="s">
        <v>9</v>
      </c>
      <c r="D139">
        <v>28</v>
      </c>
      <c r="E139" s="16">
        <v>44425</v>
      </c>
      <c r="F139" s="17">
        <v>104770</v>
      </c>
      <c r="G139" t="s">
        <v>16</v>
      </c>
      <c r="H139" t="s">
        <v>206</v>
      </c>
      <c r="I139" s="3">
        <f ca="1">(TODAY()-staff[[#This Row],[Date Joined]])/365</f>
        <v>2.7698630136986302</v>
      </c>
      <c r="J139" s="17">
        <f ca="1">ROUNDUP(IF(staff[[#This Row],[Tenure]]&gt;2,3%,2%)*staff[[#This Row],[Salary]],0)</f>
        <v>3144</v>
      </c>
      <c r="K139">
        <f>_xlfn.XLOOKUP(staff[[#This Row],[Rating]],$N$5:$N$9,$O$5:$O$9)</f>
        <v>3</v>
      </c>
    </row>
    <row r="140" spans="1:11" x14ac:dyDescent="0.3">
      <c r="A140" t="s">
        <v>124</v>
      </c>
      <c r="B140" t="s">
        <v>15</v>
      </c>
      <c r="C140" t="s">
        <v>9</v>
      </c>
      <c r="D140">
        <v>21</v>
      </c>
      <c r="E140" s="16">
        <v>44701</v>
      </c>
      <c r="F140" s="17">
        <v>57090</v>
      </c>
      <c r="G140" t="s">
        <v>16</v>
      </c>
      <c r="H140" t="s">
        <v>206</v>
      </c>
      <c r="I140" s="3">
        <f ca="1">(TODAY()-staff[[#This Row],[Date Joined]])/365</f>
        <v>2.0136986301369864</v>
      </c>
      <c r="J140" s="17">
        <f ca="1">ROUNDUP(IF(staff[[#This Row],[Tenure]]&gt;2,3%,2%)*staff[[#This Row],[Salary]],0)</f>
        <v>1713</v>
      </c>
      <c r="K140">
        <f>_xlfn.XLOOKUP(staff[[#This Row],[Rating]],$N$5:$N$9,$O$5:$O$9)</f>
        <v>3</v>
      </c>
    </row>
    <row r="141" spans="1:11" x14ac:dyDescent="0.3">
      <c r="A141" t="s">
        <v>159</v>
      </c>
      <c r="B141" t="s">
        <v>15</v>
      </c>
      <c r="C141" t="s">
        <v>21</v>
      </c>
      <c r="D141">
        <v>27</v>
      </c>
      <c r="E141" s="16">
        <v>44174</v>
      </c>
      <c r="F141" s="17">
        <v>91650</v>
      </c>
      <c r="G141" t="s">
        <v>13</v>
      </c>
      <c r="H141" t="s">
        <v>206</v>
      </c>
      <c r="I141" s="3">
        <f ca="1">(TODAY()-staff[[#This Row],[Date Joined]])/365</f>
        <v>3.4575342465753423</v>
      </c>
      <c r="J141" s="17">
        <f ca="1">ROUNDUP(IF(staff[[#This Row],[Tenure]]&gt;2,3%,2%)*staff[[#This Row],[Salary]],0)</f>
        <v>2750</v>
      </c>
      <c r="K141">
        <f>_xlfn.XLOOKUP(staff[[#This Row],[Rating]],$N$5:$N$9,$O$5:$O$9)</f>
        <v>4</v>
      </c>
    </row>
    <row r="142" spans="1:11" x14ac:dyDescent="0.3">
      <c r="A142" t="s">
        <v>182</v>
      </c>
      <c r="B142" t="s">
        <v>15</v>
      </c>
      <c r="C142" t="s">
        <v>21</v>
      </c>
      <c r="D142">
        <v>42</v>
      </c>
      <c r="E142" s="16">
        <v>44670</v>
      </c>
      <c r="F142" s="17">
        <v>70270</v>
      </c>
      <c r="G142" t="s">
        <v>24</v>
      </c>
      <c r="H142" t="s">
        <v>206</v>
      </c>
      <c r="I142" s="3">
        <f ca="1">(TODAY()-staff[[#This Row],[Date Joined]])/365</f>
        <v>2.0986301369863014</v>
      </c>
      <c r="J142" s="17">
        <f ca="1">ROUNDUP(IF(staff[[#This Row],[Tenure]]&gt;2,3%,2%)*staff[[#This Row],[Salary]],0)</f>
        <v>2109</v>
      </c>
      <c r="K142">
        <f>_xlfn.XLOOKUP(staff[[#This Row],[Rating]],$N$5:$N$9,$O$5:$O$9)</f>
        <v>2</v>
      </c>
    </row>
    <row r="143" spans="1:11" x14ac:dyDescent="0.3">
      <c r="A143" t="s">
        <v>128</v>
      </c>
      <c r="B143" t="s">
        <v>8</v>
      </c>
      <c r="C143" t="s">
        <v>21</v>
      </c>
      <c r="D143">
        <v>28</v>
      </c>
      <c r="E143" s="16">
        <v>44124</v>
      </c>
      <c r="F143" s="17">
        <v>75970</v>
      </c>
      <c r="G143" t="s">
        <v>16</v>
      </c>
      <c r="H143" t="s">
        <v>206</v>
      </c>
      <c r="I143" s="3">
        <f ca="1">(TODAY()-staff[[#This Row],[Date Joined]])/365</f>
        <v>3.5945205479452054</v>
      </c>
      <c r="J143" s="17">
        <f ca="1">ROUNDUP(IF(staff[[#This Row],[Tenure]]&gt;2,3%,2%)*staff[[#This Row],[Salary]],0)</f>
        <v>2280</v>
      </c>
      <c r="K143">
        <f>_xlfn.XLOOKUP(staff[[#This Row],[Rating]],$N$5:$N$9,$O$5:$O$9)</f>
        <v>3</v>
      </c>
    </row>
    <row r="144" spans="1:11" x14ac:dyDescent="0.3">
      <c r="A144" t="s">
        <v>111</v>
      </c>
      <c r="B144" t="s">
        <v>205</v>
      </c>
      <c r="C144" t="s">
        <v>12</v>
      </c>
      <c r="D144">
        <v>27</v>
      </c>
      <c r="E144" s="16">
        <v>44212</v>
      </c>
      <c r="F144" s="17">
        <v>90700</v>
      </c>
      <c r="G144" t="s">
        <v>13</v>
      </c>
      <c r="H144" t="s">
        <v>206</v>
      </c>
      <c r="I144" s="3">
        <f ca="1">(TODAY()-staff[[#This Row],[Date Joined]])/365</f>
        <v>3.3534246575342466</v>
      </c>
      <c r="J144" s="17">
        <f ca="1">ROUNDUP(IF(staff[[#This Row],[Tenure]]&gt;2,3%,2%)*staff[[#This Row],[Salary]],0)</f>
        <v>2721</v>
      </c>
      <c r="K144">
        <f>_xlfn.XLOOKUP(staff[[#This Row],[Rating]],$N$5:$N$9,$O$5:$O$9)</f>
        <v>4</v>
      </c>
    </row>
    <row r="145" spans="1:11" x14ac:dyDescent="0.3">
      <c r="A145" t="s">
        <v>130</v>
      </c>
      <c r="B145" t="s">
        <v>15</v>
      </c>
      <c r="C145" t="s">
        <v>9</v>
      </c>
      <c r="D145">
        <v>30</v>
      </c>
      <c r="E145" s="16">
        <v>44607</v>
      </c>
      <c r="F145" s="17">
        <v>60570</v>
      </c>
      <c r="G145" t="s">
        <v>16</v>
      </c>
      <c r="H145" t="s">
        <v>206</v>
      </c>
      <c r="I145" s="3">
        <f ca="1">(TODAY()-staff[[#This Row],[Date Joined]])/365</f>
        <v>2.2712328767123289</v>
      </c>
      <c r="J145" s="17">
        <f ca="1">ROUNDUP(IF(staff[[#This Row],[Tenure]]&gt;2,3%,2%)*staff[[#This Row],[Salary]],0)</f>
        <v>1818</v>
      </c>
      <c r="K145">
        <f>_xlfn.XLOOKUP(staff[[#This Row],[Rating]],$N$5:$N$9,$O$5:$O$9)</f>
        <v>3</v>
      </c>
    </row>
    <row r="146" spans="1:11" x14ac:dyDescent="0.3">
      <c r="A146" t="s">
        <v>133</v>
      </c>
      <c r="B146" t="s">
        <v>15</v>
      </c>
      <c r="C146" t="s">
        <v>9</v>
      </c>
      <c r="D146">
        <v>33</v>
      </c>
      <c r="E146" s="16">
        <v>44103</v>
      </c>
      <c r="F146" s="17">
        <v>115920</v>
      </c>
      <c r="G146" t="s">
        <v>16</v>
      </c>
      <c r="H146" t="s">
        <v>206</v>
      </c>
      <c r="I146" s="3">
        <f ca="1">(TODAY()-staff[[#This Row],[Date Joined]])/365</f>
        <v>3.6520547945205482</v>
      </c>
      <c r="J146" s="17">
        <f ca="1">ROUNDUP(IF(staff[[#This Row],[Tenure]]&gt;2,3%,2%)*staff[[#This Row],[Salary]],0)</f>
        <v>3478</v>
      </c>
      <c r="K146">
        <f>_xlfn.XLOOKUP(staff[[#This Row],[Rating]],$N$5:$N$9,$O$5:$O$9)</f>
        <v>3</v>
      </c>
    </row>
    <row r="147" spans="1:11" x14ac:dyDescent="0.3">
      <c r="A147" t="s">
        <v>185</v>
      </c>
      <c r="B147" t="s">
        <v>8</v>
      </c>
      <c r="C147" t="s">
        <v>21</v>
      </c>
      <c r="D147">
        <v>33</v>
      </c>
      <c r="E147" s="16">
        <v>44006</v>
      </c>
      <c r="F147" s="17">
        <v>65360</v>
      </c>
      <c r="G147" t="s">
        <v>16</v>
      </c>
      <c r="H147" t="s">
        <v>206</v>
      </c>
      <c r="I147" s="3">
        <f ca="1">(TODAY()-staff[[#This Row],[Date Joined]])/365</f>
        <v>3.9178082191780823</v>
      </c>
      <c r="J147" s="17">
        <f ca="1">ROUNDUP(IF(staff[[#This Row],[Tenure]]&gt;2,3%,2%)*staff[[#This Row],[Salary]],0)</f>
        <v>1961</v>
      </c>
      <c r="K147">
        <f>_xlfn.XLOOKUP(staff[[#This Row],[Rating]],$N$5:$N$9,$O$5:$O$9)</f>
        <v>3</v>
      </c>
    </row>
    <row r="148" spans="1:11" x14ac:dyDescent="0.3">
      <c r="A148" t="s">
        <v>115</v>
      </c>
      <c r="B148" t="s">
        <v>205</v>
      </c>
      <c r="C148" t="s">
        <v>21</v>
      </c>
      <c r="D148">
        <v>30</v>
      </c>
      <c r="E148" s="16">
        <v>44535</v>
      </c>
      <c r="F148" s="17">
        <v>64000</v>
      </c>
      <c r="G148" t="s">
        <v>16</v>
      </c>
      <c r="H148" t="s">
        <v>206</v>
      </c>
      <c r="I148" s="3">
        <f ca="1">(TODAY()-staff[[#This Row],[Date Joined]])/365</f>
        <v>2.4684931506849317</v>
      </c>
      <c r="J148" s="17">
        <f ca="1">ROUNDUP(IF(staff[[#This Row],[Tenure]]&gt;2,3%,2%)*staff[[#This Row],[Salary]],0)</f>
        <v>1920</v>
      </c>
      <c r="K148">
        <f>_xlfn.XLOOKUP(staff[[#This Row],[Rating]],$N$5:$N$9,$O$5:$O$9)</f>
        <v>3</v>
      </c>
    </row>
    <row r="149" spans="1:11" x14ac:dyDescent="0.3">
      <c r="A149" t="s">
        <v>194</v>
      </c>
      <c r="B149" t="s">
        <v>8</v>
      </c>
      <c r="C149" t="s">
        <v>21</v>
      </c>
      <c r="D149">
        <v>34</v>
      </c>
      <c r="E149" s="16">
        <v>44383</v>
      </c>
      <c r="F149" s="17">
        <v>92450</v>
      </c>
      <c r="G149" t="s">
        <v>16</v>
      </c>
      <c r="H149" t="s">
        <v>206</v>
      </c>
      <c r="I149" s="3">
        <f ca="1">(TODAY()-staff[[#This Row],[Date Joined]])/365</f>
        <v>2.8849315068493149</v>
      </c>
      <c r="J149" s="17">
        <f ca="1">ROUNDUP(IF(staff[[#This Row],[Tenure]]&gt;2,3%,2%)*staff[[#This Row],[Salary]],0)</f>
        <v>2774</v>
      </c>
      <c r="K149">
        <f>_xlfn.XLOOKUP(staff[[#This Row],[Rating]],$N$5:$N$9,$O$5:$O$9)</f>
        <v>3</v>
      </c>
    </row>
    <row r="150" spans="1:11" x14ac:dyDescent="0.3">
      <c r="A150" t="s">
        <v>112</v>
      </c>
      <c r="B150" t="s">
        <v>15</v>
      </c>
      <c r="C150" t="s">
        <v>12</v>
      </c>
      <c r="D150">
        <v>31</v>
      </c>
      <c r="E150" s="16">
        <v>44450</v>
      </c>
      <c r="F150" s="17">
        <v>48950</v>
      </c>
      <c r="G150" t="s">
        <v>16</v>
      </c>
      <c r="H150" t="s">
        <v>206</v>
      </c>
      <c r="I150" s="3">
        <f ca="1">(TODAY()-staff[[#This Row],[Date Joined]])/365</f>
        <v>2.7013698630136984</v>
      </c>
      <c r="J150" s="17">
        <f ca="1">ROUNDUP(IF(staff[[#This Row],[Tenure]]&gt;2,3%,2%)*staff[[#This Row],[Salary]],0)</f>
        <v>1469</v>
      </c>
      <c r="K150">
        <f>_xlfn.XLOOKUP(staff[[#This Row],[Rating]],$N$5:$N$9,$O$5:$O$9)</f>
        <v>3</v>
      </c>
    </row>
    <row r="151" spans="1:11" x14ac:dyDescent="0.3">
      <c r="A151" t="s">
        <v>184</v>
      </c>
      <c r="B151" t="s">
        <v>8</v>
      </c>
      <c r="C151" t="s">
        <v>12</v>
      </c>
      <c r="D151">
        <v>27</v>
      </c>
      <c r="E151" s="16">
        <v>44625</v>
      </c>
      <c r="F151" s="17">
        <v>83750</v>
      </c>
      <c r="G151" t="s">
        <v>16</v>
      </c>
      <c r="H151" t="s">
        <v>206</v>
      </c>
      <c r="I151" s="3">
        <f ca="1">(TODAY()-staff[[#This Row],[Date Joined]])/365</f>
        <v>2.2219178082191782</v>
      </c>
      <c r="J151" s="17">
        <f ca="1">ROUNDUP(IF(staff[[#This Row],[Tenure]]&gt;2,3%,2%)*staff[[#This Row],[Salary]],0)</f>
        <v>2513</v>
      </c>
      <c r="K151">
        <f>_xlfn.XLOOKUP(staff[[#This Row],[Rating]],$N$5:$N$9,$O$5:$O$9)</f>
        <v>3</v>
      </c>
    </row>
    <row r="152" spans="1:11" x14ac:dyDescent="0.3">
      <c r="A152" t="s">
        <v>165</v>
      </c>
      <c r="B152" t="s">
        <v>8</v>
      </c>
      <c r="C152" t="s">
        <v>12</v>
      </c>
      <c r="D152">
        <v>40</v>
      </c>
      <c r="E152" s="16">
        <v>44276</v>
      </c>
      <c r="F152" s="17">
        <v>87620</v>
      </c>
      <c r="G152" t="s">
        <v>16</v>
      </c>
      <c r="H152" t="s">
        <v>206</v>
      </c>
      <c r="I152" s="3">
        <f ca="1">(TODAY()-staff[[#This Row],[Date Joined]])/365</f>
        <v>3.1780821917808217</v>
      </c>
      <c r="J152" s="17">
        <f ca="1">ROUNDUP(IF(staff[[#This Row],[Tenure]]&gt;2,3%,2%)*staff[[#This Row],[Salary]],0)</f>
        <v>2629</v>
      </c>
      <c r="K152">
        <f>_xlfn.XLOOKUP(staff[[#This Row],[Rating]],$N$5:$N$9,$O$5:$O$9)</f>
        <v>3</v>
      </c>
    </row>
    <row r="153" spans="1:11" x14ac:dyDescent="0.3">
      <c r="A153" t="s">
        <v>183</v>
      </c>
      <c r="B153" t="s">
        <v>8</v>
      </c>
      <c r="C153" t="s">
        <v>19</v>
      </c>
      <c r="D153">
        <v>20</v>
      </c>
      <c r="E153" s="16">
        <v>44476</v>
      </c>
      <c r="F153" s="17">
        <v>68900</v>
      </c>
      <c r="G153" t="s">
        <v>24</v>
      </c>
      <c r="H153" t="s">
        <v>206</v>
      </c>
      <c r="I153" s="3">
        <f ca="1">(TODAY()-staff[[#This Row],[Date Joined]])/365</f>
        <v>2.6301369863013697</v>
      </c>
      <c r="J153" s="17">
        <f ca="1">ROUNDUP(IF(staff[[#This Row],[Tenure]]&gt;2,3%,2%)*staff[[#This Row],[Salary]],0)</f>
        <v>2067</v>
      </c>
      <c r="K153">
        <f>_xlfn.XLOOKUP(staff[[#This Row],[Rating]],$N$5:$N$9,$O$5:$O$9)</f>
        <v>2</v>
      </c>
    </row>
    <row r="154" spans="1:11" x14ac:dyDescent="0.3">
      <c r="A154" t="s">
        <v>156</v>
      </c>
      <c r="B154" t="s">
        <v>15</v>
      </c>
      <c r="C154" t="s">
        <v>19</v>
      </c>
      <c r="D154">
        <v>32</v>
      </c>
      <c r="E154" s="16">
        <v>44403</v>
      </c>
      <c r="F154" s="17">
        <v>53540</v>
      </c>
      <c r="G154" t="s">
        <v>16</v>
      </c>
      <c r="H154" t="s">
        <v>206</v>
      </c>
      <c r="I154" s="3">
        <f ca="1">(TODAY()-staff[[#This Row],[Date Joined]])/365</f>
        <v>2.8301369863013699</v>
      </c>
      <c r="J154" s="17">
        <f ca="1">ROUNDUP(IF(staff[[#This Row],[Tenure]]&gt;2,3%,2%)*staff[[#This Row],[Salary]],0)</f>
        <v>1607</v>
      </c>
      <c r="K154">
        <f>_xlfn.XLOOKUP(staff[[#This Row],[Rating]],$N$5:$N$9,$O$5:$O$9)</f>
        <v>3</v>
      </c>
    </row>
    <row r="155" spans="1:11" x14ac:dyDescent="0.3">
      <c r="A155" t="s">
        <v>171</v>
      </c>
      <c r="B155" t="s">
        <v>15</v>
      </c>
      <c r="C155" t="s">
        <v>19</v>
      </c>
      <c r="D155">
        <v>28</v>
      </c>
      <c r="E155" s="16">
        <v>44758</v>
      </c>
      <c r="F155" s="17">
        <v>43510</v>
      </c>
      <c r="G155" t="s">
        <v>42</v>
      </c>
      <c r="H155" t="s">
        <v>206</v>
      </c>
      <c r="I155" s="3">
        <f ca="1">(TODAY()-staff[[#This Row],[Date Joined]])/365</f>
        <v>1.8575342465753424</v>
      </c>
      <c r="J155" s="17">
        <f ca="1">ROUNDUP(IF(staff[[#This Row],[Tenure]]&gt;2,3%,2%)*staff[[#This Row],[Salary]],0)</f>
        <v>871</v>
      </c>
      <c r="K155">
        <f>_xlfn.XLOOKUP(staff[[#This Row],[Rating]],$N$5:$N$9,$O$5:$O$9)</f>
        <v>1</v>
      </c>
    </row>
    <row r="156" spans="1:11" x14ac:dyDescent="0.3">
      <c r="A156" t="s">
        <v>126</v>
      </c>
      <c r="B156" t="s">
        <v>8</v>
      </c>
      <c r="C156" t="s">
        <v>19</v>
      </c>
      <c r="D156">
        <v>38</v>
      </c>
      <c r="E156" s="16">
        <v>44316</v>
      </c>
      <c r="F156" s="17">
        <v>109160</v>
      </c>
      <c r="G156" t="s">
        <v>10</v>
      </c>
      <c r="H156" t="s">
        <v>206</v>
      </c>
      <c r="I156" s="3">
        <f ca="1">(TODAY()-staff[[#This Row],[Date Joined]])/365</f>
        <v>3.0684931506849313</v>
      </c>
      <c r="J156" s="17">
        <f ca="1">ROUNDUP(IF(staff[[#This Row],[Tenure]]&gt;2,3%,2%)*staff[[#This Row],[Salary]],0)</f>
        <v>3275</v>
      </c>
      <c r="K156">
        <f>_xlfn.XLOOKUP(staff[[#This Row],[Rating]],$N$5:$N$9,$O$5:$O$9)</f>
        <v>5</v>
      </c>
    </row>
    <row r="157" spans="1:11" x14ac:dyDescent="0.3">
      <c r="A157" t="s">
        <v>197</v>
      </c>
      <c r="B157" t="s">
        <v>15</v>
      </c>
      <c r="C157" t="s">
        <v>9</v>
      </c>
      <c r="D157">
        <v>40</v>
      </c>
      <c r="E157" s="16">
        <v>44204</v>
      </c>
      <c r="F157" s="17">
        <v>99750</v>
      </c>
      <c r="G157" t="s">
        <v>16</v>
      </c>
      <c r="H157" t="s">
        <v>206</v>
      </c>
      <c r="I157" s="3">
        <f ca="1">(TODAY()-staff[[#This Row],[Date Joined]])/365</f>
        <v>3.3753424657534246</v>
      </c>
      <c r="J157" s="17">
        <f ca="1">ROUNDUP(IF(staff[[#This Row],[Tenure]]&gt;2,3%,2%)*staff[[#This Row],[Salary]],0)</f>
        <v>2993</v>
      </c>
      <c r="K157">
        <f>_xlfn.XLOOKUP(staff[[#This Row],[Rating]],$N$5:$N$9,$O$5:$O$9)</f>
        <v>3</v>
      </c>
    </row>
    <row r="158" spans="1:11" x14ac:dyDescent="0.3">
      <c r="A158" t="s">
        <v>123</v>
      </c>
      <c r="B158" t="s">
        <v>8</v>
      </c>
      <c r="C158" t="s">
        <v>12</v>
      </c>
      <c r="D158">
        <v>31</v>
      </c>
      <c r="E158" s="16">
        <v>44084</v>
      </c>
      <c r="F158" s="17">
        <v>41980</v>
      </c>
      <c r="G158" t="s">
        <v>16</v>
      </c>
      <c r="H158" t="s">
        <v>206</v>
      </c>
      <c r="I158" s="3">
        <f ca="1">(TODAY()-staff[[#This Row],[Date Joined]])/365</f>
        <v>3.7041095890410958</v>
      </c>
      <c r="J158" s="17">
        <f ca="1">ROUNDUP(IF(staff[[#This Row],[Tenure]]&gt;2,3%,2%)*staff[[#This Row],[Salary]],0)</f>
        <v>1260</v>
      </c>
      <c r="K158">
        <f>_xlfn.XLOOKUP(staff[[#This Row],[Rating]],$N$5:$N$9,$O$5:$O$9)</f>
        <v>3</v>
      </c>
    </row>
    <row r="159" spans="1:11" x14ac:dyDescent="0.3">
      <c r="A159" t="s">
        <v>186</v>
      </c>
      <c r="B159" t="s">
        <v>15</v>
      </c>
      <c r="C159" t="s">
        <v>21</v>
      </c>
      <c r="D159">
        <v>36</v>
      </c>
      <c r="E159" s="16">
        <v>44272</v>
      </c>
      <c r="F159" s="17">
        <v>71380</v>
      </c>
      <c r="G159" t="s">
        <v>16</v>
      </c>
      <c r="H159" t="s">
        <v>206</v>
      </c>
      <c r="I159" s="3">
        <f ca="1">(TODAY()-staff[[#This Row],[Date Joined]])/365</f>
        <v>3.1890410958904107</v>
      </c>
      <c r="J159" s="17">
        <f ca="1">ROUNDUP(IF(staff[[#This Row],[Tenure]]&gt;2,3%,2%)*staff[[#This Row],[Salary]],0)</f>
        <v>2142</v>
      </c>
      <c r="K159">
        <f>_xlfn.XLOOKUP(staff[[#This Row],[Rating]],$N$5:$N$9,$O$5:$O$9)</f>
        <v>3</v>
      </c>
    </row>
    <row r="160" spans="1:11" x14ac:dyDescent="0.3">
      <c r="A160" t="s">
        <v>190</v>
      </c>
      <c r="B160" t="s">
        <v>15</v>
      </c>
      <c r="C160" t="s">
        <v>9</v>
      </c>
      <c r="D160">
        <v>27</v>
      </c>
      <c r="E160" s="16">
        <v>44547</v>
      </c>
      <c r="F160" s="17">
        <v>113280</v>
      </c>
      <c r="G160" t="s">
        <v>42</v>
      </c>
      <c r="H160" t="s">
        <v>206</v>
      </c>
      <c r="I160" s="3">
        <f ca="1">(TODAY()-staff[[#This Row],[Date Joined]])/365</f>
        <v>2.4356164383561643</v>
      </c>
      <c r="J160" s="17">
        <f ca="1">ROUNDUP(IF(staff[[#This Row],[Tenure]]&gt;2,3%,2%)*staff[[#This Row],[Salary]],0)</f>
        <v>3399</v>
      </c>
      <c r="K160">
        <f>_xlfn.XLOOKUP(staff[[#This Row],[Rating]],$N$5:$N$9,$O$5:$O$9)</f>
        <v>1</v>
      </c>
    </row>
    <row r="161" spans="1:11" x14ac:dyDescent="0.3">
      <c r="A161" t="s">
        <v>180</v>
      </c>
      <c r="B161" t="s">
        <v>8</v>
      </c>
      <c r="C161" t="s">
        <v>21</v>
      </c>
      <c r="D161">
        <v>33</v>
      </c>
      <c r="E161" s="16">
        <v>44747</v>
      </c>
      <c r="F161" s="17">
        <v>86570</v>
      </c>
      <c r="G161" t="s">
        <v>16</v>
      </c>
      <c r="H161" t="s">
        <v>206</v>
      </c>
      <c r="I161" s="3">
        <f ca="1">(TODAY()-staff[[#This Row],[Date Joined]])/365</f>
        <v>1.8876712328767122</v>
      </c>
      <c r="J161" s="17">
        <f ca="1">ROUNDUP(IF(staff[[#This Row],[Tenure]]&gt;2,3%,2%)*staff[[#This Row],[Salary]],0)</f>
        <v>1732</v>
      </c>
      <c r="K161">
        <f>_xlfn.XLOOKUP(staff[[#This Row],[Rating]],$N$5:$N$9,$O$5:$O$9)</f>
        <v>3</v>
      </c>
    </row>
    <row r="162" spans="1:11" x14ac:dyDescent="0.3">
      <c r="A162" t="s">
        <v>138</v>
      </c>
      <c r="B162" t="s">
        <v>15</v>
      </c>
      <c r="C162" t="s">
        <v>9</v>
      </c>
      <c r="D162">
        <v>26</v>
      </c>
      <c r="E162" s="16">
        <v>44350</v>
      </c>
      <c r="F162" s="17">
        <v>53540</v>
      </c>
      <c r="G162" t="s">
        <v>16</v>
      </c>
      <c r="H162" t="s">
        <v>206</v>
      </c>
      <c r="I162" s="3">
        <f ca="1">(TODAY()-staff[[#This Row],[Date Joined]])/365</f>
        <v>2.9753424657534246</v>
      </c>
      <c r="J162" s="17">
        <f ca="1">ROUNDUP(IF(staff[[#This Row],[Tenure]]&gt;2,3%,2%)*staff[[#This Row],[Salary]],0)</f>
        <v>1607</v>
      </c>
      <c r="K162">
        <f>_xlfn.XLOOKUP(staff[[#This Row],[Rating]],$N$5:$N$9,$O$5:$O$9)</f>
        <v>3</v>
      </c>
    </row>
    <row r="163" spans="1:11" x14ac:dyDescent="0.3">
      <c r="A163" t="s">
        <v>189</v>
      </c>
      <c r="B163" t="s">
        <v>15</v>
      </c>
      <c r="C163" t="s">
        <v>12</v>
      </c>
      <c r="D163">
        <v>37</v>
      </c>
      <c r="E163" s="16">
        <v>44640</v>
      </c>
      <c r="F163" s="17">
        <v>69070</v>
      </c>
      <c r="G163" t="s">
        <v>16</v>
      </c>
      <c r="H163" t="s">
        <v>206</v>
      </c>
      <c r="I163" s="3">
        <f ca="1">(TODAY()-staff[[#This Row],[Date Joined]])/365</f>
        <v>2.1808219178082191</v>
      </c>
      <c r="J163" s="17">
        <f ca="1">ROUNDUP(IF(staff[[#This Row],[Tenure]]&gt;2,3%,2%)*staff[[#This Row],[Salary]],0)</f>
        <v>2073</v>
      </c>
      <c r="K163">
        <f>_xlfn.XLOOKUP(staff[[#This Row],[Rating]],$N$5:$N$9,$O$5:$O$9)</f>
        <v>3</v>
      </c>
    </row>
    <row r="164" spans="1:11" x14ac:dyDescent="0.3">
      <c r="A164" t="s">
        <v>120</v>
      </c>
      <c r="B164" t="s">
        <v>8</v>
      </c>
      <c r="C164" t="s">
        <v>21</v>
      </c>
      <c r="D164">
        <v>30</v>
      </c>
      <c r="E164" s="16">
        <v>44328</v>
      </c>
      <c r="F164" s="17">
        <v>67910</v>
      </c>
      <c r="G164" t="s">
        <v>24</v>
      </c>
      <c r="H164" t="s">
        <v>206</v>
      </c>
      <c r="I164" s="3">
        <f ca="1">(TODAY()-staff[[#This Row],[Date Joined]])/365</f>
        <v>3.0356164383561643</v>
      </c>
      <c r="J164" s="17">
        <f ca="1">ROUNDUP(IF(staff[[#This Row],[Tenure]]&gt;2,3%,2%)*staff[[#This Row],[Salary]],0)</f>
        <v>2038</v>
      </c>
      <c r="K164">
        <f>_xlfn.XLOOKUP(staff[[#This Row],[Rating]],$N$5:$N$9,$O$5:$O$9)</f>
        <v>2</v>
      </c>
    </row>
    <row r="165" spans="1:11" x14ac:dyDescent="0.3">
      <c r="A165" t="s">
        <v>118</v>
      </c>
      <c r="B165" t="s">
        <v>15</v>
      </c>
      <c r="C165" t="s">
        <v>12</v>
      </c>
      <c r="D165">
        <v>30</v>
      </c>
      <c r="E165" s="16">
        <v>44214</v>
      </c>
      <c r="F165" s="17">
        <v>69120</v>
      </c>
      <c r="G165" t="s">
        <v>16</v>
      </c>
      <c r="H165" t="s">
        <v>206</v>
      </c>
      <c r="I165" s="3">
        <f ca="1">(TODAY()-staff[[#This Row],[Date Joined]])/365</f>
        <v>3.3479452054794518</v>
      </c>
      <c r="J165" s="17">
        <f ca="1">ROUNDUP(IF(staff[[#This Row],[Tenure]]&gt;2,3%,2%)*staff[[#This Row],[Salary]],0)</f>
        <v>2074</v>
      </c>
      <c r="K165">
        <f>_xlfn.XLOOKUP(staff[[#This Row],[Rating]],$N$5:$N$9,$O$5:$O$9)</f>
        <v>3</v>
      </c>
    </row>
    <row r="166" spans="1:11" x14ac:dyDescent="0.3">
      <c r="A166" t="s">
        <v>131</v>
      </c>
      <c r="B166" t="s">
        <v>8</v>
      </c>
      <c r="C166" t="s">
        <v>21</v>
      </c>
      <c r="D166">
        <v>34</v>
      </c>
      <c r="E166" s="16">
        <v>44550</v>
      </c>
      <c r="F166" s="17">
        <v>60130</v>
      </c>
      <c r="G166" t="s">
        <v>16</v>
      </c>
      <c r="H166" t="s">
        <v>206</v>
      </c>
      <c r="I166" s="3">
        <f ca="1">(TODAY()-staff[[#This Row],[Date Joined]])/365</f>
        <v>2.4273972602739726</v>
      </c>
      <c r="J166" s="17">
        <f ca="1">ROUNDUP(IF(staff[[#This Row],[Tenure]]&gt;2,3%,2%)*staff[[#This Row],[Salary]],0)</f>
        <v>1804</v>
      </c>
      <c r="K166">
        <f>_xlfn.XLOOKUP(staff[[#This Row],[Rating]],$N$5:$N$9,$O$5:$O$9)</f>
        <v>3</v>
      </c>
    </row>
    <row r="167" spans="1:11" x14ac:dyDescent="0.3">
      <c r="A167" t="s">
        <v>160</v>
      </c>
      <c r="B167" t="s">
        <v>15</v>
      </c>
      <c r="C167" t="s">
        <v>9</v>
      </c>
      <c r="D167">
        <v>23</v>
      </c>
      <c r="E167" s="16">
        <v>44378</v>
      </c>
      <c r="F167" s="17">
        <v>106460</v>
      </c>
      <c r="G167" t="s">
        <v>16</v>
      </c>
      <c r="H167" t="s">
        <v>206</v>
      </c>
      <c r="I167" s="3">
        <f ca="1">(TODAY()-staff[[#This Row],[Date Joined]])/365</f>
        <v>2.8986301369863012</v>
      </c>
      <c r="J167" s="17">
        <f ca="1">ROUNDUP(IF(staff[[#This Row],[Tenure]]&gt;2,3%,2%)*staff[[#This Row],[Salary]],0)</f>
        <v>3194</v>
      </c>
      <c r="K167">
        <f>_xlfn.XLOOKUP(staff[[#This Row],[Rating]],$N$5:$N$9,$O$5:$O$9)</f>
        <v>3</v>
      </c>
    </row>
    <row r="168" spans="1:11" x14ac:dyDescent="0.3">
      <c r="A168" t="s">
        <v>147</v>
      </c>
      <c r="B168" t="s">
        <v>8</v>
      </c>
      <c r="C168" t="s">
        <v>56</v>
      </c>
      <c r="D168">
        <v>37</v>
      </c>
      <c r="E168" s="16">
        <v>44389</v>
      </c>
      <c r="F168" s="17">
        <v>118100</v>
      </c>
      <c r="G168" t="s">
        <v>16</v>
      </c>
      <c r="H168" t="s">
        <v>206</v>
      </c>
      <c r="I168" s="3">
        <f ca="1">(TODAY()-staff[[#This Row],[Date Joined]])/365</f>
        <v>2.8684931506849316</v>
      </c>
      <c r="J168" s="17">
        <f ca="1">ROUNDUP(IF(staff[[#This Row],[Tenure]]&gt;2,3%,2%)*staff[[#This Row],[Salary]],0)</f>
        <v>3543</v>
      </c>
      <c r="K168">
        <f>_xlfn.XLOOKUP(staff[[#This Row],[Rating]],$N$5:$N$9,$O$5:$O$9)</f>
        <v>3</v>
      </c>
    </row>
    <row r="169" spans="1:11" x14ac:dyDescent="0.3">
      <c r="A169" t="s">
        <v>163</v>
      </c>
      <c r="B169" t="s">
        <v>8</v>
      </c>
      <c r="C169" t="s">
        <v>9</v>
      </c>
      <c r="D169">
        <v>36</v>
      </c>
      <c r="E169" s="16">
        <v>44468</v>
      </c>
      <c r="F169" s="17">
        <v>78390</v>
      </c>
      <c r="G169" t="s">
        <v>16</v>
      </c>
      <c r="H169" t="s">
        <v>206</v>
      </c>
      <c r="I169" s="3">
        <f ca="1">(TODAY()-staff[[#This Row],[Date Joined]])/365</f>
        <v>2.6520547945205482</v>
      </c>
      <c r="J169" s="17">
        <f ca="1">ROUNDUP(IF(staff[[#This Row],[Tenure]]&gt;2,3%,2%)*staff[[#This Row],[Salary]],0)</f>
        <v>2352</v>
      </c>
      <c r="K169">
        <f>_xlfn.XLOOKUP(staff[[#This Row],[Rating]],$N$5:$N$9,$O$5:$O$9)</f>
        <v>3</v>
      </c>
    </row>
    <row r="170" spans="1:11" x14ac:dyDescent="0.3">
      <c r="A170" t="s">
        <v>146</v>
      </c>
      <c r="B170" t="s">
        <v>8</v>
      </c>
      <c r="C170" t="s">
        <v>9</v>
      </c>
      <c r="D170">
        <v>30</v>
      </c>
      <c r="E170" s="16">
        <v>44789</v>
      </c>
      <c r="F170" s="17">
        <v>114180</v>
      </c>
      <c r="G170" t="s">
        <v>16</v>
      </c>
      <c r="H170" t="s">
        <v>206</v>
      </c>
      <c r="I170" s="3">
        <f ca="1">(TODAY()-staff[[#This Row],[Date Joined]])/365</f>
        <v>1.7726027397260273</v>
      </c>
      <c r="J170" s="17">
        <f ca="1">ROUNDUP(IF(staff[[#This Row],[Tenure]]&gt;2,3%,2%)*staff[[#This Row],[Salary]],0)</f>
        <v>2284</v>
      </c>
      <c r="K170">
        <f>_xlfn.XLOOKUP(staff[[#This Row],[Rating]],$N$5:$N$9,$O$5:$O$9)</f>
        <v>3</v>
      </c>
    </row>
    <row r="171" spans="1:11" x14ac:dyDescent="0.3">
      <c r="A171" t="s">
        <v>188</v>
      </c>
      <c r="B171" t="s">
        <v>8</v>
      </c>
      <c r="C171" t="s">
        <v>9</v>
      </c>
      <c r="D171">
        <v>28</v>
      </c>
      <c r="E171" s="16">
        <v>44590</v>
      </c>
      <c r="F171" s="17">
        <v>104120</v>
      </c>
      <c r="G171" t="s">
        <v>16</v>
      </c>
      <c r="H171" t="s">
        <v>206</v>
      </c>
      <c r="I171" s="3">
        <f ca="1">(TODAY()-staff[[#This Row],[Date Joined]])/365</f>
        <v>2.3178082191780822</v>
      </c>
      <c r="J171" s="17">
        <f ca="1">ROUNDUP(IF(staff[[#This Row],[Tenure]]&gt;2,3%,2%)*staff[[#This Row],[Salary]],0)</f>
        <v>3124</v>
      </c>
      <c r="K171">
        <f>_xlfn.XLOOKUP(staff[[#This Row],[Rating]],$N$5:$N$9,$O$5:$O$9)</f>
        <v>3</v>
      </c>
    </row>
    <row r="172" spans="1:11" x14ac:dyDescent="0.3">
      <c r="A172" t="s">
        <v>137</v>
      </c>
      <c r="B172" t="s">
        <v>15</v>
      </c>
      <c r="C172" t="s">
        <v>9</v>
      </c>
      <c r="D172">
        <v>30</v>
      </c>
      <c r="E172" s="16">
        <v>44640</v>
      </c>
      <c r="F172" s="17">
        <v>67950</v>
      </c>
      <c r="G172" t="s">
        <v>16</v>
      </c>
      <c r="H172" t="s">
        <v>206</v>
      </c>
      <c r="I172" s="3">
        <f ca="1">(TODAY()-staff[[#This Row],[Date Joined]])/365</f>
        <v>2.1808219178082191</v>
      </c>
      <c r="J172" s="17">
        <f ca="1">ROUNDUP(IF(staff[[#This Row],[Tenure]]&gt;2,3%,2%)*staff[[#This Row],[Salary]],0)</f>
        <v>2039</v>
      </c>
      <c r="K172">
        <f>_xlfn.XLOOKUP(staff[[#This Row],[Rating]],$N$5:$N$9,$O$5:$O$9)</f>
        <v>3</v>
      </c>
    </row>
    <row r="173" spans="1:11" x14ac:dyDescent="0.3">
      <c r="A173" t="s">
        <v>136</v>
      </c>
      <c r="B173" t="s">
        <v>8</v>
      </c>
      <c r="C173" t="s">
        <v>12</v>
      </c>
      <c r="D173">
        <v>29</v>
      </c>
      <c r="E173" s="16">
        <v>43962</v>
      </c>
      <c r="F173" s="17">
        <v>34980</v>
      </c>
      <c r="G173" t="s">
        <v>16</v>
      </c>
      <c r="H173" t="s">
        <v>206</v>
      </c>
      <c r="I173" s="3">
        <f ca="1">(TODAY()-staff[[#This Row],[Date Joined]])/365</f>
        <v>4.0383561643835613</v>
      </c>
      <c r="J173" s="17">
        <f ca="1">ROUNDUP(IF(staff[[#This Row],[Tenure]]&gt;2,3%,2%)*staff[[#This Row],[Salary]],0)</f>
        <v>1050</v>
      </c>
      <c r="K173">
        <f>_xlfn.XLOOKUP(staff[[#This Row],[Rating]],$N$5:$N$9,$O$5:$O$9)</f>
        <v>3</v>
      </c>
    </row>
    <row r="174" spans="1:11" x14ac:dyDescent="0.3">
      <c r="A174" t="s">
        <v>152</v>
      </c>
      <c r="B174" t="s">
        <v>8</v>
      </c>
      <c r="C174" t="s">
        <v>12</v>
      </c>
      <c r="D174">
        <v>24</v>
      </c>
      <c r="E174" s="16">
        <v>44087</v>
      </c>
      <c r="F174" s="17">
        <v>62780</v>
      </c>
      <c r="G174" t="s">
        <v>16</v>
      </c>
      <c r="H174" t="s">
        <v>206</v>
      </c>
      <c r="I174" s="3">
        <f ca="1">(TODAY()-staff[[#This Row],[Date Joined]])/365</f>
        <v>3.6958904109589041</v>
      </c>
      <c r="J174" s="17">
        <f ca="1">ROUNDUP(IF(staff[[#This Row],[Tenure]]&gt;2,3%,2%)*staff[[#This Row],[Salary]],0)</f>
        <v>1884</v>
      </c>
      <c r="K174">
        <f>_xlfn.XLOOKUP(staff[[#This Row],[Rating]],$N$5:$N$9,$O$5:$O$9)</f>
        <v>3</v>
      </c>
    </row>
    <row r="175" spans="1:11" x14ac:dyDescent="0.3">
      <c r="A175" t="s">
        <v>116</v>
      </c>
      <c r="B175" t="s">
        <v>15</v>
      </c>
      <c r="C175" t="s">
        <v>12</v>
      </c>
      <c r="D175">
        <v>20</v>
      </c>
      <c r="E175" s="16">
        <v>44397</v>
      </c>
      <c r="F175" s="17">
        <v>107700</v>
      </c>
      <c r="G175" t="s">
        <v>16</v>
      </c>
      <c r="H175" t="s">
        <v>206</v>
      </c>
      <c r="I175" s="3">
        <f ca="1">(TODAY()-staff[[#This Row],[Date Joined]])/365</f>
        <v>2.8465753424657536</v>
      </c>
      <c r="J175" s="17">
        <f ca="1">ROUNDUP(IF(staff[[#This Row],[Tenure]]&gt;2,3%,2%)*staff[[#This Row],[Salary]],0)</f>
        <v>3231</v>
      </c>
      <c r="K175">
        <f>_xlfn.XLOOKUP(staff[[#This Row],[Rating]],$N$5:$N$9,$O$5:$O$9)</f>
        <v>3</v>
      </c>
    </row>
    <row r="176" spans="1:11" x14ac:dyDescent="0.3">
      <c r="A176" t="s">
        <v>167</v>
      </c>
      <c r="B176" t="s">
        <v>15</v>
      </c>
      <c r="C176" t="s">
        <v>19</v>
      </c>
      <c r="D176">
        <v>25</v>
      </c>
      <c r="E176" s="16">
        <v>44322</v>
      </c>
      <c r="F176" s="17">
        <v>65700</v>
      </c>
      <c r="G176" t="s">
        <v>16</v>
      </c>
      <c r="H176" t="s">
        <v>206</v>
      </c>
      <c r="I176" s="3">
        <f ca="1">(TODAY()-staff[[#This Row],[Date Joined]])/365</f>
        <v>3.0520547945205481</v>
      </c>
      <c r="J176" s="17">
        <f ca="1">ROUNDUP(IF(staff[[#This Row],[Tenure]]&gt;2,3%,2%)*staff[[#This Row],[Salary]],0)</f>
        <v>1971</v>
      </c>
      <c r="K176">
        <f>_xlfn.XLOOKUP(staff[[#This Row],[Rating]],$N$5:$N$9,$O$5:$O$9)</f>
        <v>3</v>
      </c>
    </row>
    <row r="177" spans="1:11" x14ac:dyDescent="0.3">
      <c r="A177" t="s">
        <v>134</v>
      </c>
      <c r="B177" t="s">
        <v>8</v>
      </c>
      <c r="C177" t="s">
        <v>12</v>
      </c>
      <c r="D177">
        <v>33</v>
      </c>
      <c r="E177" s="16">
        <v>44313</v>
      </c>
      <c r="F177" s="17">
        <v>75480</v>
      </c>
      <c r="G177" t="s">
        <v>42</v>
      </c>
      <c r="H177" t="s">
        <v>206</v>
      </c>
      <c r="I177" s="3">
        <f ca="1">(TODAY()-staff[[#This Row],[Date Joined]])/365</f>
        <v>3.0767123287671234</v>
      </c>
      <c r="J177" s="17">
        <f ca="1">ROUNDUP(IF(staff[[#This Row],[Tenure]]&gt;2,3%,2%)*staff[[#This Row],[Salary]],0)</f>
        <v>2265</v>
      </c>
      <c r="K177">
        <f>_xlfn.XLOOKUP(staff[[#This Row],[Rating]],$N$5:$N$9,$O$5:$O$9)</f>
        <v>1</v>
      </c>
    </row>
    <row r="178" spans="1:11" x14ac:dyDescent="0.3">
      <c r="A178" t="s">
        <v>173</v>
      </c>
      <c r="B178" t="s">
        <v>15</v>
      </c>
      <c r="C178" t="s">
        <v>12</v>
      </c>
      <c r="D178">
        <v>33</v>
      </c>
      <c r="E178" s="16">
        <v>44448</v>
      </c>
      <c r="F178" s="17">
        <v>53870</v>
      </c>
      <c r="G178" t="s">
        <v>16</v>
      </c>
      <c r="H178" t="s">
        <v>206</v>
      </c>
      <c r="I178" s="3">
        <f ca="1">(TODAY()-staff[[#This Row],[Date Joined]])/365</f>
        <v>2.7068493150684931</v>
      </c>
      <c r="J178" s="17">
        <f ca="1">ROUNDUP(IF(staff[[#This Row],[Tenure]]&gt;2,3%,2%)*staff[[#This Row],[Salary]],0)</f>
        <v>1617</v>
      </c>
      <c r="K178">
        <f>_xlfn.XLOOKUP(staff[[#This Row],[Rating]],$N$5:$N$9,$O$5:$O$9)</f>
        <v>3</v>
      </c>
    </row>
    <row r="179" spans="1:11" x14ac:dyDescent="0.3">
      <c r="A179" t="s">
        <v>140</v>
      </c>
      <c r="B179" t="s">
        <v>8</v>
      </c>
      <c r="C179" t="s">
        <v>19</v>
      </c>
      <c r="D179">
        <v>36</v>
      </c>
      <c r="E179" s="16">
        <v>44433</v>
      </c>
      <c r="F179" s="17">
        <v>78540</v>
      </c>
      <c r="G179" t="s">
        <v>16</v>
      </c>
      <c r="H179" t="s">
        <v>206</v>
      </c>
      <c r="I179" s="3">
        <f ca="1">(TODAY()-staff[[#This Row],[Date Joined]])/365</f>
        <v>2.7479452054794522</v>
      </c>
      <c r="J179" s="17">
        <f ca="1">ROUNDUP(IF(staff[[#This Row],[Tenure]]&gt;2,3%,2%)*staff[[#This Row],[Salary]],0)</f>
        <v>2357</v>
      </c>
      <c r="K179">
        <f>_xlfn.XLOOKUP(staff[[#This Row],[Rating]],$N$5:$N$9,$O$5:$O$9)</f>
        <v>3</v>
      </c>
    </row>
    <row r="180" spans="1:11" x14ac:dyDescent="0.3">
      <c r="A180" t="s">
        <v>192</v>
      </c>
      <c r="B180" t="s">
        <v>15</v>
      </c>
      <c r="C180" t="s">
        <v>9</v>
      </c>
      <c r="D180">
        <v>19</v>
      </c>
      <c r="E180" s="16">
        <v>44218</v>
      </c>
      <c r="F180" s="17">
        <v>58960</v>
      </c>
      <c r="G180" t="s">
        <v>16</v>
      </c>
      <c r="H180" t="s">
        <v>206</v>
      </c>
      <c r="I180" s="3">
        <f ca="1">(TODAY()-staff[[#This Row],[Date Joined]])/365</f>
        <v>3.3369863013698629</v>
      </c>
      <c r="J180" s="17">
        <f ca="1">ROUNDUP(IF(staff[[#This Row],[Tenure]]&gt;2,3%,2%)*staff[[#This Row],[Salary]],0)</f>
        <v>1769</v>
      </c>
      <c r="K180">
        <f>_xlfn.XLOOKUP(staff[[#This Row],[Rating]],$N$5:$N$9,$O$5:$O$9)</f>
        <v>3</v>
      </c>
    </row>
    <row r="181" spans="1:11" x14ac:dyDescent="0.3">
      <c r="A181" t="s">
        <v>161</v>
      </c>
      <c r="B181" t="s">
        <v>15</v>
      </c>
      <c r="C181" t="s">
        <v>9</v>
      </c>
      <c r="D181">
        <v>46</v>
      </c>
      <c r="E181" s="16">
        <v>44697</v>
      </c>
      <c r="F181" s="17">
        <v>70610</v>
      </c>
      <c r="G181" t="s">
        <v>16</v>
      </c>
      <c r="H181" t="s">
        <v>206</v>
      </c>
      <c r="I181" s="3">
        <f ca="1">(TODAY()-staff[[#This Row],[Date Joined]])/365</f>
        <v>2.0246575342465754</v>
      </c>
      <c r="J181" s="17">
        <f ca="1">ROUNDUP(IF(staff[[#This Row],[Tenure]]&gt;2,3%,2%)*staff[[#This Row],[Salary]],0)</f>
        <v>2119</v>
      </c>
      <c r="K181">
        <f>_xlfn.XLOOKUP(staff[[#This Row],[Rating]],$N$5:$N$9,$O$5:$O$9)</f>
        <v>3</v>
      </c>
    </row>
    <row r="182" spans="1:11" x14ac:dyDescent="0.3">
      <c r="A182" t="s">
        <v>170</v>
      </c>
      <c r="B182" t="s">
        <v>15</v>
      </c>
      <c r="C182" t="s">
        <v>21</v>
      </c>
      <c r="D182">
        <v>33</v>
      </c>
      <c r="E182" s="16">
        <v>44181</v>
      </c>
      <c r="F182" s="17">
        <v>59430</v>
      </c>
      <c r="G182" t="s">
        <v>16</v>
      </c>
      <c r="H182" t="s">
        <v>206</v>
      </c>
      <c r="I182" s="3">
        <f ca="1">(TODAY()-staff[[#This Row],[Date Joined]])/365</f>
        <v>3.4383561643835616</v>
      </c>
      <c r="J182" s="17">
        <f ca="1">ROUNDUP(IF(staff[[#This Row],[Tenure]]&gt;2,3%,2%)*staff[[#This Row],[Salary]],0)</f>
        <v>1783</v>
      </c>
      <c r="K182">
        <f>_xlfn.XLOOKUP(staff[[#This Row],[Rating]],$N$5:$N$9,$O$5:$O$9)</f>
        <v>3</v>
      </c>
    </row>
    <row r="183" spans="1:11" x14ac:dyDescent="0.3">
      <c r="A183" t="s">
        <v>143</v>
      </c>
      <c r="B183" t="s">
        <v>15</v>
      </c>
      <c r="C183" t="s">
        <v>9</v>
      </c>
      <c r="D183">
        <v>33</v>
      </c>
      <c r="E183" s="16">
        <v>44640</v>
      </c>
      <c r="F183" s="17">
        <v>48530</v>
      </c>
      <c r="G183" t="s">
        <v>13</v>
      </c>
      <c r="H183" t="s">
        <v>206</v>
      </c>
      <c r="I183" s="3">
        <f ca="1">(TODAY()-staff[[#This Row],[Date Joined]])/365</f>
        <v>2.1808219178082191</v>
      </c>
      <c r="J183" s="17">
        <f ca="1">ROUNDUP(IF(staff[[#This Row],[Tenure]]&gt;2,3%,2%)*staff[[#This Row],[Salary]],0)</f>
        <v>1456</v>
      </c>
      <c r="K183">
        <f>_xlfn.XLOOKUP(staff[[#This Row],[Rating]],$N$5:$N$9,$O$5:$O$9)</f>
        <v>4</v>
      </c>
    </row>
    <row r="184" spans="1:11" x14ac:dyDescent="0.3">
      <c r="A184" t="s">
        <v>162</v>
      </c>
      <c r="B184" t="s">
        <v>8</v>
      </c>
      <c r="C184" t="s">
        <v>12</v>
      </c>
      <c r="D184">
        <v>33</v>
      </c>
      <c r="E184" s="16">
        <v>44129</v>
      </c>
      <c r="F184" s="17">
        <v>96140</v>
      </c>
      <c r="G184" t="s">
        <v>16</v>
      </c>
      <c r="H184" t="s">
        <v>206</v>
      </c>
      <c r="I184" s="3">
        <f ca="1">(TODAY()-staff[[#This Row],[Date Joined]])/365</f>
        <v>3.580821917808219</v>
      </c>
      <c r="J184" s="17">
        <f ca="1">ROUNDUP(IF(staff[[#This Row],[Tenure]]&gt;2,3%,2%)*staff[[#This Row],[Salary]],0)</f>
        <v>2885</v>
      </c>
      <c r="K184">
        <f>_xlfn.XLOOKUP(staff[[#This Row],[Rating]],$N$5:$N$9,$O$5:$O$9)</f>
        <v>3</v>
      </c>
    </row>
    <row r="185" spans="1:11" x14ac:dyDescent="0.3">
      <c r="A185" t="s">
        <v>219</v>
      </c>
      <c r="B185" t="s">
        <v>15</v>
      </c>
      <c r="C185" t="s">
        <v>12</v>
      </c>
      <c r="D185">
        <v>20</v>
      </c>
      <c r="E185" s="16">
        <v>43958</v>
      </c>
      <c r="F185" s="17">
        <v>79570</v>
      </c>
      <c r="G185" t="s">
        <v>16</v>
      </c>
      <c r="H185" t="s">
        <v>206</v>
      </c>
      <c r="I185" s="3">
        <f ca="1">(TODAY()-staff[[#This Row],[Date Joined]])/365</f>
        <v>4.0493150684931507</v>
      </c>
      <c r="J185" s="17">
        <f ca="1">ROUNDUP(IF(staff[[#This Row],[Tenure]]&gt;2,3%,2%)*staff[[#This Row],[Salary]],0)</f>
        <v>2388</v>
      </c>
      <c r="K185">
        <f>_xlfn.XLOOKUP(staff[[#This Row],[Rating]],$N$5:$N$9,$O$5:$O$9)</f>
        <v>3</v>
      </c>
    </row>
    <row r="193" spans="5:6" x14ac:dyDescent="0.3">
      <c r="E193"/>
      <c r="F193"/>
    </row>
    <row r="194" spans="5:6" x14ac:dyDescent="0.3">
      <c r="E194"/>
      <c r="F194"/>
    </row>
    <row r="195" spans="5:6" x14ac:dyDescent="0.3">
      <c r="E195"/>
      <c r="F195"/>
    </row>
    <row r="196" spans="5:6" x14ac:dyDescent="0.3">
      <c r="E196"/>
      <c r="F196"/>
    </row>
    <row r="197" spans="5:6" x14ac:dyDescent="0.3">
      <c r="E197"/>
      <c r="F197"/>
    </row>
    <row r="198" spans="5:6" x14ac:dyDescent="0.3">
      <c r="E198"/>
      <c r="F198"/>
    </row>
    <row r="199" spans="5:6" x14ac:dyDescent="0.3">
      <c r="E199"/>
      <c r="F199"/>
    </row>
    <row r="200" spans="5:6" x14ac:dyDescent="0.3">
      <c r="E200"/>
      <c r="F200"/>
    </row>
    <row r="201" spans="5:6" x14ac:dyDescent="0.3">
      <c r="E201"/>
      <c r="F201"/>
    </row>
    <row r="202" spans="5:6" x14ac:dyDescent="0.3">
      <c r="E202"/>
      <c r="F202"/>
    </row>
    <row r="203" spans="5:6" x14ac:dyDescent="0.3">
      <c r="E203"/>
      <c r="F203"/>
    </row>
    <row r="204" spans="5:6" x14ac:dyDescent="0.3">
      <c r="E204"/>
      <c r="F204"/>
    </row>
    <row r="205" spans="5:6" x14ac:dyDescent="0.3">
      <c r="E205"/>
      <c r="F205"/>
    </row>
    <row r="206" spans="5:6" x14ac:dyDescent="0.3">
      <c r="E206"/>
      <c r="F206"/>
    </row>
    <row r="207" spans="5:6" x14ac:dyDescent="0.3">
      <c r="E207"/>
      <c r="F207"/>
    </row>
    <row r="208" spans="5:6" x14ac:dyDescent="0.3">
      <c r="E208"/>
      <c r="F208"/>
    </row>
    <row r="209" spans="5:6" x14ac:dyDescent="0.3">
      <c r="E209"/>
      <c r="F209"/>
    </row>
    <row r="210" spans="5:6" x14ac:dyDescent="0.3">
      <c r="E210"/>
      <c r="F210"/>
    </row>
  </sheetData>
  <conditionalFormatting sqref="O5:O9">
    <cfRule type="colorScale" priority="1">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9D79-EAE0-4FE7-A1C8-24F2F6E24E6B}">
  <dimension ref="C3:E22"/>
  <sheetViews>
    <sheetView workbookViewId="0">
      <selection activeCell="D13" sqref="D13"/>
    </sheetView>
  </sheetViews>
  <sheetFormatPr defaultRowHeight="14.4" x14ac:dyDescent="0.3"/>
  <cols>
    <col min="3" max="3" width="41" bestFit="1" customWidth="1"/>
    <col min="4" max="4" width="40.33203125" bestFit="1" customWidth="1"/>
    <col min="5" max="5" width="10.44140625" bestFit="1" customWidth="1"/>
  </cols>
  <sheetData>
    <row r="3" spans="3:5" x14ac:dyDescent="0.3">
      <c r="C3" t="s">
        <v>207</v>
      </c>
      <c r="D3">
        <f>COUNTA(staff[Name])</f>
        <v>184</v>
      </c>
    </row>
    <row r="4" spans="3:5" x14ac:dyDescent="0.3">
      <c r="C4" t="s">
        <v>208</v>
      </c>
      <c r="D4" s="2">
        <f>AVERAGE(staff[Salary])</f>
        <v>77186.739130434784</v>
      </c>
      <c r="E4" s="2">
        <f>MEDIAN(staff[Salary])</f>
        <v>75140</v>
      </c>
    </row>
    <row r="5" spans="3:5" x14ac:dyDescent="0.3">
      <c r="C5" t="s">
        <v>209</v>
      </c>
      <c r="D5">
        <f>AVERAGE(staff[Age])</f>
        <v>30.369565217391305</v>
      </c>
      <c r="E5">
        <f>MEDIAN(staff[Age])</f>
        <v>30</v>
      </c>
    </row>
    <row r="6" spans="3:5" x14ac:dyDescent="0.3">
      <c r="C6" t="s">
        <v>210</v>
      </c>
      <c r="D6">
        <f ca="1">AVERAGE(staff[Tenure])</f>
        <v>2.7549285288862424</v>
      </c>
    </row>
    <row r="7" spans="3:5" x14ac:dyDescent="0.3">
      <c r="C7" t="s">
        <v>212</v>
      </c>
      <c r="D7">
        <f>COUNTIFS(staff[Gender],"Female")</f>
        <v>86</v>
      </c>
    </row>
    <row r="8" spans="3:5" x14ac:dyDescent="0.3">
      <c r="C8" t="s">
        <v>213</v>
      </c>
      <c r="D8" s="4">
        <f>D7/D3</f>
        <v>0.46739130434782611</v>
      </c>
    </row>
    <row r="11" spans="3:5" x14ac:dyDescent="0.3">
      <c r="C11" s="18" t="s">
        <v>217</v>
      </c>
      <c r="D11" s="5" t="s">
        <v>215</v>
      </c>
    </row>
    <row r="12" spans="3:5" x14ac:dyDescent="0.3">
      <c r="C12" s="18"/>
      <c r="D12" s="5" t="str" cm="1">
        <f t="array" aca="1" ref="D12:D13" ca="1">[1]!sql(D11,staff[#All])</f>
        <v>count(salary)</v>
      </c>
    </row>
    <row r="13" spans="3:5" x14ac:dyDescent="0.3">
      <c r="C13" s="5" t="s">
        <v>214</v>
      </c>
      <c r="D13" s="5">
        <f ca="1"/>
        <v>63</v>
      </c>
    </row>
    <row r="14" spans="3:5" x14ac:dyDescent="0.3">
      <c r="C14" s="5" t="s">
        <v>216</v>
      </c>
      <c r="D14" s="6">
        <f ca="1">D13/D3</f>
        <v>0.34239130434782611</v>
      </c>
    </row>
    <row r="19" spans="3:4" x14ac:dyDescent="0.3">
      <c r="C19" s="18" t="s">
        <v>218</v>
      </c>
      <c r="D19" s="5"/>
    </row>
    <row r="20" spans="3:4" x14ac:dyDescent="0.3">
      <c r="C20" s="18"/>
      <c r="D20" s="5"/>
    </row>
    <row r="21" spans="3:4" x14ac:dyDescent="0.3">
      <c r="C21" s="5" t="s">
        <v>214</v>
      </c>
      <c r="D21" s="5">
        <f>COUNTIF(staff[Salary],"&gt;90000")</f>
        <v>63</v>
      </c>
    </row>
    <row r="22" spans="3:4" x14ac:dyDescent="0.3">
      <c r="C22" s="5" t="s">
        <v>216</v>
      </c>
      <c r="D22" s="6">
        <f>D21/D3</f>
        <v>0.34239130434782611</v>
      </c>
    </row>
  </sheetData>
  <mergeCells count="2">
    <mergeCell ref="C11:C12"/>
    <mergeCell ref="C19: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EC79A-060F-40C5-BAAE-E30CDB8378CE}">
  <dimension ref="B4:J18"/>
  <sheetViews>
    <sheetView workbookViewId="0">
      <selection activeCell="B12" sqref="B12"/>
    </sheetView>
  </sheetViews>
  <sheetFormatPr defaultRowHeight="14.4" x14ac:dyDescent="0.3"/>
  <cols>
    <col min="2" max="2" width="12.77734375" bestFit="1" customWidth="1"/>
    <col min="3" max="3" width="14" bestFit="1" customWidth="1"/>
    <col min="9" max="9" width="12.77734375" bestFit="1" customWidth="1"/>
    <col min="10" max="10" width="12" bestFit="1" customWidth="1"/>
  </cols>
  <sheetData>
    <row r="4" spans="2:10" x14ac:dyDescent="0.3">
      <c r="C4" s="8" t="s">
        <v>199</v>
      </c>
    </row>
    <row r="8" spans="2:10" x14ac:dyDescent="0.3">
      <c r="C8" s="7" t="s">
        <v>222</v>
      </c>
      <c r="J8" s="7" t="s">
        <v>221</v>
      </c>
    </row>
    <row r="10" spans="2:10" x14ac:dyDescent="0.3">
      <c r="B10" s="9" t="s">
        <v>0</v>
      </c>
      <c r="C10" s="10" t="str" cm="1">
        <f t="array" aca="1" ref="C10:C18" ca="1">TRANSPOSE(_xlfn.XLOOKUP(C4,staff[Name],staff[Name]:staff[Tenure]))</f>
        <v>Vasu Nandin</v>
      </c>
      <c r="I10" s="13" t="s">
        <v>0</v>
      </c>
      <c r="J10" s="13" t="str">
        <f>VLOOKUP(C4,staff[],1,FALSE)</f>
        <v>Vasu Nandin</v>
      </c>
    </row>
    <row r="11" spans="2:10" x14ac:dyDescent="0.3">
      <c r="B11" s="9" t="s">
        <v>1</v>
      </c>
      <c r="C11" s="10" t="str">
        <f ca="1"/>
        <v>Female</v>
      </c>
      <c r="I11" s="13" t="s">
        <v>1</v>
      </c>
      <c r="J11" s="13" t="str">
        <f>VLOOKUP(C4,staff[],2,FALSE)</f>
        <v>Female</v>
      </c>
    </row>
    <row r="12" spans="2:10" x14ac:dyDescent="0.3">
      <c r="B12" s="9" t="s">
        <v>2</v>
      </c>
      <c r="C12" s="10" t="str">
        <f ca="1"/>
        <v>Procurement</v>
      </c>
      <c r="I12" s="13" t="s">
        <v>2</v>
      </c>
      <c r="J12" s="13" t="str">
        <f>VLOOKUP(C4,staff[],3,FALSE)</f>
        <v>Procurement</v>
      </c>
    </row>
    <row r="13" spans="2:10" x14ac:dyDescent="0.3">
      <c r="B13" s="9" t="s">
        <v>3</v>
      </c>
      <c r="C13" s="10">
        <f ca="1"/>
        <v>28</v>
      </c>
      <c r="I13" s="13" t="s">
        <v>3</v>
      </c>
      <c r="J13" s="13">
        <f>VLOOKUP(C4,staff[],4,FALSE)</f>
        <v>28</v>
      </c>
    </row>
    <row r="14" spans="2:10" x14ac:dyDescent="0.3">
      <c r="B14" s="9" t="s">
        <v>223</v>
      </c>
      <c r="C14" s="11">
        <f ca="1"/>
        <v>44571</v>
      </c>
      <c r="I14" s="13" t="s">
        <v>223</v>
      </c>
      <c r="J14" s="14">
        <f>VLOOKUP(C4,staff[],5,FALSE)</f>
        <v>44571</v>
      </c>
    </row>
    <row r="15" spans="2:10" x14ac:dyDescent="0.3">
      <c r="B15" s="9" t="s">
        <v>5</v>
      </c>
      <c r="C15" s="12">
        <f ca="1"/>
        <v>99970</v>
      </c>
      <c r="I15" s="13" t="s">
        <v>5</v>
      </c>
      <c r="J15" s="15">
        <f>VLOOKUP(C4,staff[],6,FALSE)</f>
        <v>99970</v>
      </c>
    </row>
    <row r="16" spans="2:10" x14ac:dyDescent="0.3">
      <c r="B16" s="9" t="s">
        <v>6</v>
      </c>
      <c r="C16" s="10" t="str">
        <f ca="1"/>
        <v>Average</v>
      </c>
      <c r="I16" s="13" t="s">
        <v>6</v>
      </c>
      <c r="J16" s="13" t="str">
        <f>VLOOKUP(C4,staff[],7,FALSE)</f>
        <v>Average</v>
      </c>
    </row>
    <row r="17" spans="2:10" x14ac:dyDescent="0.3">
      <c r="B17" s="9" t="s">
        <v>203</v>
      </c>
      <c r="C17" s="10" t="str">
        <f ca="1"/>
        <v>Ind</v>
      </c>
      <c r="I17" s="13" t="s">
        <v>203</v>
      </c>
      <c r="J17" s="13" t="str">
        <f>VLOOKUP(C4,staff[],8,FALSE)</f>
        <v>Ind</v>
      </c>
    </row>
    <row r="18" spans="2:10" x14ac:dyDescent="0.3">
      <c r="B18" s="9" t="s">
        <v>211</v>
      </c>
      <c r="C18" s="10">
        <f ca="1"/>
        <v>2.3698630136986303</v>
      </c>
      <c r="I18" s="13" t="s">
        <v>211</v>
      </c>
      <c r="J18" s="13">
        <f ca="1">VLOOKUP(C4,staff[],9,FALSE)</f>
        <v>2.3698630136986303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D5A05-0B56-4D10-B33E-9929554F72F1}">
  <dimension ref="B4:W195"/>
  <sheetViews>
    <sheetView workbookViewId="0">
      <selection activeCell="E6" sqref="E6"/>
    </sheetView>
  </sheetViews>
  <sheetFormatPr defaultRowHeight="14.4" x14ac:dyDescent="0.3"/>
  <cols>
    <col min="2" max="2" width="10.77734375" bestFit="1" customWidth="1"/>
    <col min="6" max="6" width="9.88671875" bestFit="1" customWidth="1"/>
    <col min="7" max="7" width="11.88671875" bestFit="1" customWidth="1"/>
    <col min="18" max="18" width="11.88671875" bestFit="1" customWidth="1"/>
  </cols>
  <sheetData>
    <row r="4" spans="2:23" x14ac:dyDescent="0.3">
      <c r="B4" t="s">
        <v>2</v>
      </c>
      <c r="C4" t="s">
        <v>12</v>
      </c>
    </row>
    <row r="5" spans="2:23" x14ac:dyDescent="0.3">
      <c r="B5" t="s">
        <v>227</v>
      </c>
      <c r="C5">
        <f>COUNTIF(staff[Department],C4)</f>
        <v>55</v>
      </c>
    </row>
    <row r="8" spans="2:23" x14ac:dyDescent="0.3">
      <c r="B8" s="19" t="s">
        <v>224</v>
      </c>
      <c r="C8" s="19"/>
      <c r="D8" s="19"/>
      <c r="E8" s="19"/>
      <c r="F8" s="19"/>
      <c r="M8" s="19" t="s">
        <v>225</v>
      </c>
      <c r="N8" s="19"/>
      <c r="O8" s="19"/>
      <c r="P8" s="19"/>
      <c r="Q8" s="19"/>
    </row>
    <row r="9" spans="2:23" x14ac:dyDescent="0.3">
      <c r="B9" s="19"/>
      <c r="C9" s="19"/>
      <c r="D9" s="19"/>
      <c r="E9" s="19"/>
      <c r="F9" s="19"/>
      <c r="M9" s="19"/>
      <c r="N9" s="19"/>
      <c r="O9" s="19"/>
      <c r="P9" s="19"/>
      <c r="Q9" s="19"/>
    </row>
    <row r="10" spans="2:23" x14ac:dyDescent="0.3">
      <c r="B10" s="19"/>
      <c r="C10" s="19"/>
      <c r="D10" s="19"/>
      <c r="E10" s="19"/>
      <c r="F10" s="19"/>
      <c r="M10" s="19"/>
      <c r="N10" s="19"/>
      <c r="O10" s="19"/>
      <c r="P10" s="19"/>
      <c r="Q10" s="19"/>
    </row>
    <row r="11" spans="2:23" x14ac:dyDescent="0.3">
      <c r="M11" t="s">
        <v>226</v>
      </c>
    </row>
    <row r="12" spans="2:23" x14ac:dyDescent="0.3">
      <c r="B12" t="str" cm="1">
        <f t="array" aca="1" ref="B12:L66" ca="1">_xlfn._xlws.SORT(_xlfn._xlws.FILTER(staff[],staff[Department]=C4),6,-1)</f>
        <v>Tawnya Tickel</v>
      </c>
      <c r="C12" t="str">
        <f ca="1"/>
        <v>Male</v>
      </c>
      <c r="D12" t="str">
        <f ca="1"/>
        <v>Website</v>
      </c>
      <c r="E12">
        <f ca="1"/>
        <v>36</v>
      </c>
      <c r="F12" s="1">
        <f ca="1"/>
        <v>44019</v>
      </c>
      <c r="G12" s="2">
        <f ca="1"/>
        <v>118840</v>
      </c>
      <c r="H12" t="str">
        <f ca="1"/>
        <v>Average</v>
      </c>
      <c r="I12" t="str">
        <f ca="1"/>
        <v>Newz</v>
      </c>
      <c r="J12">
        <f ca="1"/>
        <v>3.882191780821918</v>
      </c>
      <c r="K12">
        <f ca="1"/>
        <v>3566</v>
      </c>
      <c r="L12">
        <f ca="1"/>
        <v>3</v>
      </c>
      <c r="M12" t="str" cm="1">
        <f t="array" aca="1" ref="M12:W40" ca="1">[1]!sql(M11,staff[#All])</f>
        <v>Name</v>
      </c>
      <c r="N12" t="str">
        <f ca="1"/>
        <v>Gender</v>
      </c>
      <c r="O12" t="str">
        <f ca="1"/>
        <v>Department</v>
      </c>
      <c r="P12" t="str">
        <f ca="1"/>
        <v>Age</v>
      </c>
      <c r="Q12" t="str">
        <f ca="1"/>
        <v>Date Joined</v>
      </c>
      <c r="R12" s="2" t="str">
        <f ca="1"/>
        <v>Salary</v>
      </c>
      <c r="S12" t="str">
        <f ca="1"/>
        <v>Rating</v>
      </c>
      <c r="T12" t="str">
        <f ca="1"/>
        <v>Country</v>
      </c>
      <c r="U12" t="str">
        <f ca="1"/>
        <v>Tenure</v>
      </c>
      <c r="V12" t="str">
        <f ca="1"/>
        <v xml:space="preserve"> Bonus</v>
      </c>
      <c r="W12" t="str">
        <f ca="1"/>
        <v>Rating2</v>
      </c>
    </row>
    <row r="13" spans="2:23" x14ac:dyDescent="0.3">
      <c r="B13" t="str">
        <f ca="1"/>
        <v>Heer Pennathur</v>
      </c>
      <c r="C13" t="str">
        <f ca="1"/>
        <v>Male</v>
      </c>
      <c r="D13" t="str">
        <f ca="1"/>
        <v>Website</v>
      </c>
      <c r="E13">
        <f ca="1"/>
        <v>36</v>
      </c>
      <c r="F13" s="1">
        <f ca="1"/>
        <v>43958</v>
      </c>
      <c r="G13" s="2">
        <f ca="1"/>
        <v>118840</v>
      </c>
      <c r="H13" t="str">
        <f ca="1"/>
        <v>Average</v>
      </c>
      <c r="I13" t="str">
        <f ca="1"/>
        <v>Ind</v>
      </c>
      <c r="J13">
        <f ca="1"/>
        <v>4.0493150684931507</v>
      </c>
      <c r="K13">
        <f ca="1"/>
        <v>3566</v>
      </c>
      <c r="L13">
        <f ca="1"/>
        <v>3</v>
      </c>
      <c r="M13" t="str">
        <f ca="1"/>
        <v>Lindy Guillet</v>
      </c>
      <c r="N13" t="str">
        <f ca="1"/>
        <v>Male</v>
      </c>
      <c r="O13" t="str">
        <f ca="1"/>
        <v>Sales</v>
      </c>
      <c r="P13">
        <f ca="1"/>
        <v>22</v>
      </c>
      <c r="Q13" t="str">
        <f ca="1"/>
        <v>2021-09-07 00:00:00</v>
      </c>
      <c r="R13" s="2">
        <f ca="1"/>
        <v>112780</v>
      </c>
      <c r="S13" t="str">
        <f ca="1"/>
        <v>Above average</v>
      </c>
      <c r="T13" t="str">
        <f ca="1"/>
        <v>Newz</v>
      </c>
      <c r="U13">
        <f ca="1"/>
        <v>2.7123287671232879</v>
      </c>
      <c r="V13">
        <f ca="1"/>
        <v>3384</v>
      </c>
      <c r="W13">
        <f ca="1"/>
        <v>4</v>
      </c>
    </row>
    <row r="14" spans="2:23" x14ac:dyDescent="0.3">
      <c r="B14" t="str">
        <f ca="1"/>
        <v>Wilone O'Kielt</v>
      </c>
      <c r="C14" t="str">
        <f ca="1"/>
        <v>Female</v>
      </c>
      <c r="D14" t="str">
        <f ca="1"/>
        <v>Website</v>
      </c>
      <c r="E14">
        <f ca="1"/>
        <v>43</v>
      </c>
      <c r="F14" s="1">
        <f ca="1"/>
        <v>45045</v>
      </c>
      <c r="G14" s="2">
        <f ca="1"/>
        <v>114870</v>
      </c>
      <c r="H14" t="str">
        <f ca="1"/>
        <v>Average</v>
      </c>
      <c r="I14" t="str">
        <f ca="1"/>
        <v>Newz</v>
      </c>
      <c r="J14">
        <f ca="1"/>
        <v>1.0712328767123287</v>
      </c>
      <c r="K14">
        <f ca="1"/>
        <v>2298</v>
      </c>
      <c r="L14">
        <f ca="1"/>
        <v>3</v>
      </c>
      <c r="M14" t="str">
        <f ca="1"/>
        <v>Tatum Hush</v>
      </c>
      <c r="N14" t="str">
        <f ca="1"/>
        <v>Female</v>
      </c>
      <c r="O14" t="str">
        <f ca="1"/>
        <v>Sales</v>
      </c>
      <c r="P14">
        <f ca="1"/>
        <v>28</v>
      </c>
      <c r="Q14" t="str">
        <f ca="1"/>
        <v>2021-06-10 00:00:00</v>
      </c>
      <c r="R14" s="2">
        <f ca="1"/>
        <v>53240</v>
      </c>
      <c r="S14" t="str">
        <f ca="1"/>
        <v>Average</v>
      </c>
      <c r="T14" t="str">
        <f ca="1"/>
        <v>Newz</v>
      </c>
      <c r="U14">
        <f ca="1"/>
        <v>2.956164383561644</v>
      </c>
      <c r="V14">
        <f ca="1"/>
        <v>1598</v>
      </c>
      <c r="W14">
        <f ca="1"/>
        <v>3</v>
      </c>
    </row>
    <row r="15" spans="2:23" x14ac:dyDescent="0.3">
      <c r="B15" t="str">
        <f ca="1"/>
        <v>Ramnath Ravuri</v>
      </c>
      <c r="C15" t="str">
        <f ca="1"/>
        <v>Female</v>
      </c>
      <c r="D15" t="str">
        <f ca="1"/>
        <v>Website</v>
      </c>
      <c r="E15">
        <f ca="1"/>
        <v>44</v>
      </c>
      <c r="F15" s="1">
        <f ca="1"/>
        <v>44985</v>
      </c>
      <c r="G15" s="2">
        <f ca="1"/>
        <v>114870</v>
      </c>
      <c r="H15" t="str">
        <f ca="1"/>
        <v>Average</v>
      </c>
      <c r="I15" t="str">
        <f ca="1"/>
        <v>Ind</v>
      </c>
      <c r="J15">
        <f ca="1"/>
        <v>1.2356164383561643</v>
      </c>
      <c r="K15">
        <f ca="1"/>
        <v>2298</v>
      </c>
      <c r="L15">
        <f ca="1"/>
        <v>3</v>
      </c>
      <c r="M15" t="str">
        <f ca="1"/>
        <v>Hoyt D'Alesco</v>
      </c>
      <c r="N15" t="str">
        <f ca="1"/>
        <v>Male</v>
      </c>
      <c r="O15" t="str">
        <f ca="1"/>
        <v>Sales</v>
      </c>
      <c r="P15">
        <f ca="1"/>
        <v>32</v>
      </c>
      <c r="Q15" t="str">
        <f ca="1"/>
        <v>2021-09-26 00:00:00</v>
      </c>
      <c r="R15" s="2">
        <f ca="1"/>
        <v>53540</v>
      </c>
      <c r="S15" t="str">
        <f ca="1"/>
        <v>Average</v>
      </c>
      <c r="T15" t="str">
        <f ca="1"/>
        <v>Newz</v>
      </c>
      <c r="U15">
        <f ca="1"/>
        <v>2.6602739726027398</v>
      </c>
      <c r="V15">
        <f ca="1"/>
        <v>1607</v>
      </c>
      <c r="W15">
        <f ca="1"/>
        <v>3</v>
      </c>
    </row>
    <row r="16" spans="2:23" x14ac:dyDescent="0.3">
      <c r="B16" t="str">
        <f ca="1"/>
        <v>Mollie Hanway</v>
      </c>
      <c r="C16" t="str">
        <f ca="1"/>
        <v>Male</v>
      </c>
      <c r="D16" t="str">
        <f ca="1"/>
        <v>Website</v>
      </c>
      <c r="E16">
        <f ca="1"/>
        <v>20</v>
      </c>
      <c r="F16" s="1">
        <f ca="1"/>
        <v>44183</v>
      </c>
      <c r="G16" s="2">
        <f ca="1"/>
        <v>112650</v>
      </c>
      <c r="H16" t="str">
        <f ca="1"/>
        <v>Average</v>
      </c>
      <c r="I16" t="str">
        <f ca="1"/>
        <v>Newz</v>
      </c>
      <c r="J16">
        <f ca="1"/>
        <v>3.4328767123287673</v>
      </c>
      <c r="K16">
        <f ca="1"/>
        <v>3380</v>
      </c>
      <c r="L16">
        <f ca="1"/>
        <v>3</v>
      </c>
      <c r="M16" t="str">
        <f ca="1"/>
        <v>Kath Bletsoe</v>
      </c>
      <c r="N16" t="str">
        <f ca="1"/>
        <v>Male</v>
      </c>
      <c r="O16" t="str">
        <f ca="1"/>
        <v>Sales</v>
      </c>
      <c r="P16">
        <f ca="1"/>
        <v>25</v>
      </c>
      <c r="Q16" t="str">
        <f ca="1"/>
        <v>2021-07-06 00:00:00</v>
      </c>
      <c r="R16" s="2">
        <f ca="1"/>
        <v>65700</v>
      </c>
      <c r="S16" t="str">
        <f ca="1"/>
        <v>Average</v>
      </c>
      <c r="T16" t="str">
        <f ca="1"/>
        <v>Newz</v>
      </c>
      <c r="U16">
        <f ca="1"/>
        <v>2.8849315068493149</v>
      </c>
      <c r="V16">
        <f ca="1"/>
        <v>1971</v>
      </c>
      <c r="W16">
        <f ca="1"/>
        <v>3</v>
      </c>
    </row>
    <row r="17" spans="2:23" x14ac:dyDescent="0.3">
      <c r="B17" t="str">
        <f ca="1"/>
        <v>Deepali Charan</v>
      </c>
      <c r="C17" t="str">
        <f ca="1"/>
        <v>Male</v>
      </c>
      <c r="D17" t="str">
        <f ca="1"/>
        <v>Website</v>
      </c>
      <c r="E17">
        <f ca="1"/>
        <v>20</v>
      </c>
      <c r="F17" s="1">
        <f ca="1"/>
        <v>44122</v>
      </c>
      <c r="G17" s="2">
        <f ca="1"/>
        <v>112650</v>
      </c>
      <c r="H17" t="str">
        <f ca="1"/>
        <v>Average</v>
      </c>
      <c r="I17" t="str">
        <f ca="1"/>
        <v>Ind</v>
      </c>
      <c r="J17">
        <f ca="1"/>
        <v>3.6</v>
      </c>
      <c r="K17">
        <f ca="1"/>
        <v>3380</v>
      </c>
      <c r="L17">
        <f ca="1"/>
        <v>3</v>
      </c>
      <c r="M17" t="str">
        <f ca="1"/>
        <v>Gray Seamon</v>
      </c>
      <c r="N17" t="str">
        <f ca="1"/>
        <v>Female</v>
      </c>
      <c r="O17" t="str">
        <f ca="1"/>
        <v>Sales</v>
      </c>
      <c r="P17">
        <f ca="1"/>
        <v>36</v>
      </c>
      <c r="Q17" t="str">
        <f ca="1"/>
        <v>2021-10-25 00:00:00</v>
      </c>
      <c r="R17" s="2">
        <f ca="1"/>
        <v>78540</v>
      </c>
      <c r="S17" t="str">
        <f ca="1"/>
        <v>Average</v>
      </c>
      <c r="T17" t="str">
        <f ca="1"/>
        <v>Newz</v>
      </c>
      <c r="U17">
        <f ca="1"/>
        <v>2.580821917808219</v>
      </c>
      <c r="V17">
        <f ca="1"/>
        <v>2357</v>
      </c>
      <c r="W17">
        <f ca="1"/>
        <v>3</v>
      </c>
    </row>
    <row r="18" spans="2:23" x14ac:dyDescent="0.3">
      <c r="B18" t="str">
        <f ca="1"/>
        <v>Bev Lashley</v>
      </c>
      <c r="C18" t="str">
        <f ca="1"/>
        <v>Male</v>
      </c>
      <c r="D18" t="str">
        <f ca="1"/>
        <v>Website</v>
      </c>
      <c r="E18">
        <f ca="1"/>
        <v>29</v>
      </c>
      <c r="F18" s="1">
        <f ca="1"/>
        <v>44180</v>
      </c>
      <c r="G18" s="2">
        <f ca="1"/>
        <v>112110</v>
      </c>
      <c r="H18" t="str">
        <f ca="1"/>
        <v>Poor</v>
      </c>
      <c r="I18" t="str">
        <f ca="1"/>
        <v>Newz</v>
      </c>
      <c r="J18">
        <f ca="1"/>
        <v>3.441095890410959</v>
      </c>
      <c r="K18">
        <f ca="1"/>
        <v>3364</v>
      </c>
      <c r="L18">
        <f ca="1"/>
        <v>2</v>
      </c>
      <c r="M18" t="str">
        <f ca="1"/>
        <v>Violante Courtonne</v>
      </c>
      <c r="N18" t="str">
        <f ca="1"/>
        <v>Female</v>
      </c>
      <c r="O18" t="str">
        <f ca="1"/>
        <v>Sales</v>
      </c>
      <c r="P18">
        <f ca="1"/>
        <v>34</v>
      </c>
      <c r="Q18" t="str">
        <f ca="1"/>
        <v>2022-06-09 00:00:00</v>
      </c>
      <c r="R18" s="2">
        <f ca="1"/>
        <v>49630</v>
      </c>
      <c r="S18" t="str">
        <f ca="1"/>
        <v>Poor</v>
      </c>
      <c r="T18" t="str">
        <f ca="1"/>
        <v>Newz</v>
      </c>
      <c r="U18">
        <f ca="1"/>
        <v>1.9589041095890412</v>
      </c>
      <c r="V18">
        <f ca="1"/>
        <v>993</v>
      </c>
      <c r="W18">
        <f ca="1"/>
        <v>2</v>
      </c>
    </row>
    <row r="19" spans="2:23" x14ac:dyDescent="0.3">
      <c r="B19" t="str">
        <f ca="1"/>
        <v>Narois Motiwala</v>
      </c>
      <c r="C19" t="str">
        <f ca="1"/>
        <v>Male</v>
      </c>
      <c r="D19" t="str">
        <f ca="1"/>
        <v>Website</v>
      </c>
      <c r="E19">
        <f ca="1"/>
        <v>29</v>
      </c>
      <c r="F19" s="1">
        <f ca="1"/>
        <v>44119</v>
      </c>
      <c r="G19" s="2">
        <f ca="1"/>
        <v>112110</v>
      </c>
      <c r="H19" t="str">
        <f ca="1"/>
        <v>Poor</v>
      </c>
      <c r="I19" t="str">
        <f ca="1"/>
        <v>Ind</v>
      </c>
      <c r="J19">
        <f ca="1"/>
        <v>3.6082191780821917</v>
      </c>
      <c r="K19">
        <f ca="1"/>
        <v>3364</v>
      </c>
      <c r="L19">
        <f ca="1"/>
        <v>2</v>
      </c>
      <c r="M19" t="str">
        <f ca="1"/>
        <v>Hyacinthie Braybrooke</v>
      </c>
      <c r="N19" t="str">
        <f ca="1"/>
        <v>Female</v>
      </c>
      <c r="O19" t="str">
        <f ca="1"/>
        <v>Sales</v>
      </c>
      <c r="P19">
        <f ca="1"/>
        <v>20</v>
      </c>
      <c r="Q19" t="str">
        <f ca="1"/>
        <v>2021-12-07 00:00:00</v>
      </c>
      <c r="R19" s="2">
        <f ca="1"/>
        <v>68900</v>
      </c>
      <c r="S19" t="str">
        <f ca="1"/>
        <v>Poor</v>
      </c>
      <c r="T19" t="str">
        <f ca="1"/>
        <v>Newz</v>
      </c>
      <c r="U19">
        <f ca="1"/>
        <v>2.463013698630137</v>
      </c>
      <c r="V19">
        <f ca="1"/>
        <v>2067</v>
      </c>
      <c r="W19">
        <f ca="1"/>
        <v>2</v>
      </c>
    </row>
    <row r="20" spans="2:23" x14ac:dyDescent="0.3">
      <c r="B20" t="str">
        <f ca="1"/>
        <v>Kaine Padly</v>
      </c>
      <c r="C20" t="str">
        <f ca="1"/>
        <v>Male</v>
      </c>
      <c r="D20" t="str">
        <f ca="1"/>
        <v>Website</v>
      </c>
      <c r="E20">
        <f ca="1"/>
        <v>20</v>
      </c>
      <c r="F20" s="1">
        <f ca="1"/>
        <v>44459</v>
      </c>
      <c r="G20" s="2">
        <f ca="1"/>
        <v>107700</v>
      </c>
      <c r="H20" t="str">
        <f ca="1"/>
        <v>Average</v>
      </c>
      <c r="I20" t="str">
        <f ca="1"/>
        <v>Newz</v>
      </c>
      <c r="J20">
        <f ca="1"/>
        <v>2.6767123287671235</v>
      </c>
      <c r="K20">
        <f ca="1"/>
        <v>3231</v>
      </c>
      <c r="L20">
        <f ca="1"/>
        <v>3</v>
      </c>
      <c r="M20" t="str">
        <f ca="1"/>
        <v>Rafaelita Blaksland</v>
      </c>
      <c r="N20" t="str">
        <f ca="1"/>
        <v>Female</v>
      </c>
      <c r="O20" t="str">
        <f ca="1"/>
        <v>Sales</v>
      </c>
      <c r="P20">
        <f ca="1"/>
        <v>38</v>
      </c>
      <c r="Q20" t="str">
        <f ca="1"/>
        <v>2021-06-30 00:00:00</v>
      </c>
      <c r="R20" s="2">
        <f ca="1"/>
        <v>109160</v>
      </c>
      <c r="S20" t="str">
        <f ca="1"/>
        <v>Exceptional</v>
      </c>
      <c r="T20" t="str">
        <f ca="1"/>
        <v>Newz</v>
      </c>
      <c r="U20">
        <f ca="1"/>
        <v>2.9013698630136986</v>
      </c>
      <c r="V20">
        <f ca="1"/>
        <v>3275</v>
      </c>
      <c r="W20">
        <f ca="1"/>
        <v>5</v>
      </c>
    </row>
    <row r="21" spans="2:23" x14ac:dyDescent="0.3">
      <c r="B21" t="str">
        <f ca="1"/>
        <v>Hridaynath Tendulkar</v>
      </c>
      <c r="C21" t="str">
        <f ca="1"/>
        <v>Male</v>
      </c>
      <c r="D21" t="str">
        <f ca="1"/>
        <v>Website</v>
      </c>
      <c r="E21">
        <f ca="1"/>
        <v>20</v>
      </c>
      <c r="F21" s="1">
        <f ca="1"/>
        <v>44397</v>
      </c>
      <c r="G21" s="2">
        <f ca="1"/>
        <v>107700</v>
      </c>
      <c r="H21" t="str">
        <f ca="1"/>
        <v>Average</v>
      </c>
      <c r="I21" t="str">
        <f ca="1"/>
        <v>Ind</v>
      </c>
      <c r="J21">
        <f ca="1"/>
        <v>2.8465753424657536</v>
      </c>
      <c r="K21">
        <f ca="1"/>
        <v>3231</v>
      </c>
      <c r="L21">
        <f ca="1"/>
        <v>3</v>
      </c>
      <c r="M21" t="str">
        <f ca="1"/>
        <v>Alta Kaszper</v>
      </c>
      <c r="N21" t="str">
        <f ca="1"/>
        <v>Male</v>
      </c>
      <c r="O21" t="str">
        <f ca="1"/>
        <v>Sales</v>
      </c>
      <c r="P21">
        <f ca="1"/>
        <v>27</v>
      </c>
      <c r="Q21" t="str">
        <f ca="1"/>
        <v>2020-10-30 00:00:00</v>
      </c>
      <c r="R21" s="2">
        <f ca="1"/>
        <v>54970</v>
      </c>
      <c r="S21" t="str">
        <f ca="1"/>
        <v>Average</v>
      </c>
      <c r="T21" t="str">
        <f ca="1"/>
        <v>Newz</v>
      </c>
      <c r="U21">
        <f ca="1"/>
        <v>3.5671232876712327</v>
      </c>
      <c r="V21">
        <f ca="1"/>
        <v>1650</v>
      </c>
      <c r="W21">
        <f ca="1"/>
        <v>3</v>
      </c>
    </row>
    <row r="22" spans="2:23" x14ac:dyDescent="0.3">
      <c r="B22" t="str">
        <f ca="1"/>
        <v>Caro Chappel</v>
      </c>
      <c r="C22" t="str">
        <f ca="1"/>
        <v>Female</v>
      </c>
      <c r="D22" t="str">
        <f ca="1"/>
        <v>Website</v>
      </c>
      <c r="E22">
        <f ca="1"/>
        <v>40</v>
      </c>
      <c r="F22" s="1">
        <f ca="1"/>
        <v>44381</v>
      </c>
      <c r="G22" s="2">
        <f ca="1"/>
        <v>104410</v>
      </c>
      <c r="H22" t="str">
        <f ca="1"/>
        <v>Average</v>
      </c>
      <c r="I22" t="str">
        <f ca="1"/>
        <v>Newz</v>
      </c>
      <c r="J22">
        <f ca="1"/>
        <v>2.8904109589041096</v>
      </c>
      <c r="K22">
        <f ca="1"/>
        <v>3133</v>
      </c>
      <c r="L22">
        <f ca="1"/>
        <v>3</v>
      </c>
      <c r="M22" t="str">
        <f ca="1"/>
        <v>Oran Buxcy</v>
      </c>
      <c r="N22" t="str">
        <f ca="1"/>
        <v>Female</v>
      </c>
      <c r="O22" t="str">
        <f ca="1"/>
        <v>Sales</v>
      </c>
      <c r="P22">
        <f ca="1"/>
        <v>38</v>
      </c>
      <c r="Q22" t="str">
        <f ca="1"/>
        <v>2021-05-13 00:00:00</v>
      </c>
      <c r="R22" s="2">
        <f ca="1"/>
        <v>56870</v>
      </c>
      <c r="S22" t="str">
        <f ca="1"/>
        <v>Above average</v>
      </c>
      <c r="T22" t="str">
        <f ca="1"/>
        <v>Newz</v>
      </c>
      <c r="U22">
        <f ca="1"/>
        <v>3.032876712328767</v>
      </c>
      <c r="V22">
        <f ca="1"/>
        <v>1707</v>
      </c>
      <c r="W22">
        <f ca="1"/>
        <v>4</v>
      </c>
    </row>
    <row r="23" spans="2:23" x14ac:dyDescent="0.3">
      <c r="B23" t="str">
        <f ca="1"/>
        <v>Manjusri Ruchi</v>
      </c>
      <c r="C23" t="str">
        <f ca="1"/>
        <v>Female</v>
      </c>
      <c r="D23" t="str">
        <f ca="1"/>
        <v>Website</v>
      </c>
      <c r="E23">
        <f ca="1"/>
        <v>40</v>
      </c>
      <c r="F23" s="1">
        <f ca="1"/>
        <v>44320</v>
      </c>
      <c r="G23" s="2">
        <f ca="1"/>
        <v>104410</v>
      </c>
      <c r="H23" t="str">
        <f ca="1"/>
        <v>Average</v>
      </c>
      <c r="I23" t="str">
        <f ca="1"/>
        <v>Ind</v>
      </c>
      <c r="J23">
        <f ca="1"/>
        <v>3.0575342465753423</v>
      </c>
      <c r="K23">
        <f ca="1"/>
        <v>3133</v>
      </c>
      <c r="L23">
        <f ca="1"/>
        <v>3</v>
      </c>
      <c r="M23" t="str">
        <f ca="1"/>
        <v>Hinda Label</v>
      </c>
      <c r="N23" t="str">
        <f ca="1"/>
        <v>Female</v>
      </c>
      <c r="O23" t="str">
        <f ca="1"/>
        <v>Sales</v>
      </c>
      <c r="P23">
        <f ca="1"/>
        <v>25</v>
      </c>
      <c r="Q23" t="str">
        <f ca="1"/>
        <v>2021-01-09 00:00:00</v>
      </c>
      <c r="R23" s="2">
        <f ca="1"/>
        <v>92700</v>
      </c>
      <c r="S23" t="str">
        <f ca="1"/>
        <v>Average</v>
      </c>
      <c r="T23" t="str">
        <f ca="1"/>
        <v>Newz</v>
      </c>
      <c r="U23">
        <f ca="1"/>
        <v>3.3726027397260272</v>
      </c>
      <c r="V23">
        <f ca="1"/>
        <v>2781</v>
      </c>
      <c r="W23">
        <f ca="1"/>
        <v>3</v>
      </c>
    </row>
    <row r="24" spans="2:23" x14ac:dyDescent="0.3">
      <c r="B24" t="str">
        <f ca="1"/>
        <v>Collin Jagson</v>
      </c>
      <c r="C24" t="str">
        <f ca="1"/>
        <v>Male</v>
      </c>
      <c r="D24" t="str">
        <f ca="1"/>
        <v>Website</v>
      </c>
      <c r="E24">
        <f ca="1"/>
        <v>24</v>
      </c>
      <c r="F24" s="1">
        <f ca="1"/>
        <v>44686</v>
      </c>
      <c r="G24" s="2">
        <f ca="1"/>
        <v>100420</v>
      </c>
      <c r="H24" t="str">
        <f ca="1"/>
        <v>Average</v>
      </c>
      <c r="I24" t="str">
        <f ca="1"/>
        <v>Newz</v>
      </c>
      <c r="J24">
        <f ca="1"/>
        <v>2.0547945205479454</v>
      </c>
      <c r="K24">
        <f ca="1"/>
        <v>3013</v>
      </c>
      <c r="L24">
        <f ca="1"/>
        <v>3</v>
      </c>
      <c r="M24" t="str">
        <f ca="1"/>
        <v>Bili Sizey</v>
      </c>
      <c r="N24" t="str">
        <f ca="1"/>
        <v>Male</v>
      </c>
      <c r="O24" t="str">
        <f ca="1"/>
        <v>Sales</v>
      </c>
      <c r="P24">
        <f ca="1"/>
        <v>43</v>
      </c>
      <c r="Q24" t="str">
        <f ca="1"/>
        <v>2022-02-28 00:00:00</v>
      </c>
      <c r="R24" s="2">
        <f ca="1"/>
        <v>36040</v>
      </c>
      <c r="S24" t="str">
        <f ca="1"/>
        <v>Average</v>
      </c>
      <c r="T24" t="str">
        <f ca="1"/>
        <v>Newz</v>
      </c>
      <c r="U24">
        <f ca="1"/>
        <v>2.2356164383561645</v>
      </c>
      <c r="V24">
        <f ca="1"/>
        <v>1082</v>
      </c>
      <c r="W24">
        <f ca="1"/>
        <v>3</v>
      </c>
    </row>
    <row r="25" spans="2:23" x14ac:dyDescent="0.3">
      <c r="B25" t="str">
        <f ca="1"/>
        <v>Amlankusum Rajabhushan</v>
      </c>
      <c r="C25" t="str">
        <f ca="1"/>
        <v>Male</v>
      </c>
      <c r="D25" t="str">
        <f ca="1"/>
        <v>Website</v>
      </c>
      <c r="E25">
        <f ca="1"/>
        <v>24</v>
      </c>
      <c r="F25" s="1">
        <f ca="1"/>
        <v>44625</v>
      </c>
      <c r="G25" s="2">
        <f ca="1"/>
        <v>100420</v>
      </c>
      <c r="H25" t="str">
        <f ca="1"/>
        <v>Average</v>
      </c>
      <c r="I25" t="str">
        <f ca="1"/>
        <v>Ind</v>
      </c>
      <c r="J25">
        <f ca="1"/>
        <v>2.2219178082191782</v>
      </c>
      <c r="K25">
        <f ca="1"/>
        <v>3013</v>
      </c>
      <c r="L25">
        <f ca="1"/>
        <v>3</v>
      </c>
      <c r="M25" t="str">
        <f ca="1"/>
        <v>Drusy MacCombe</v>
      </c>
      <c r="N25" t="str">
        <f ca="1"/>
        <v>Male</v>
      </c>
      <c r="O25" t="str">
        <f ca="1"/>
        <v>Sales</v>
      </c>
      <c r="P25">
        <f ca="1"/>
        <v>28</v>
      </c>
      <c r="Q25" t="str">
        <f ca="1"/>
        <v>2022-09-16 00:00:00</v>
      </c>
      <c r="R25" s="2">
        <f ca="1"/>
        <v>43510</v>
      </c>
      <c r="S25" t="str">
        <f ca="1"/>
        <v>Very poor</v>
      </c>
      <c r="T25" t="str">
        <f ca="1"/>
        <v>Newz</v>
      </c>
      <c r="U25">
        <f ca="1"/>
        <v>1.6876712328767123</v>
      </c>
      <c r="V25">
        <f ca="1"/>
        <v>871</v>
      </c>
      <c r="W25">
        <f ca="1"/>
        <v>1</v>
      </c>
    </row>
    <row r="26" spans="2:23" x14ac:dyDescent="0.3">
      <c r="B26" t="str">
        <f ca="1"/>
        <v>Torrance Collier</v>
      </c>
      <c r="C26" t="str">
        <f ca="1"/>
        <v>Female</v>
      </c>
      <c r="D26" t="str">
        <f ca="1"/>
        <v>Website</v>
      </c>
      <c r="E26">
        <f ca="1"/>
        <v>33</v>
      </c>
      <c r="F26" s="1">
        <f ca="1"/>
        <v>44190</v>
      </c>
      <c r="G26" s="2">
        <f ca="1"/>
        <v>96140</v>
      </c>
      <c r="H26" t="str">
        <f ca="1"/>
        <v>Average</v>
      </c>
      <c r="I26" t="str">
        <f ca="1"/>
        <v>Newz</v>
      </c>
      <c r="J26">
        <f ca="1"/>
        <v>3.4136986301369863</v>
      </c>
      <c r="K26">
        <f ca="1"/>
        <v>2885</v>
      </c>
      <c r="L26">
        <f ca="1"/>
        <v>3</v>
      </c>
      <c r="M26" t="str">
        <f ca="1"/>
        <v>Gigi Bohling</v>
      </c>
      <c r="N26" t="str">
        <f ca="1"/>
        <v>Male</v>
      </c>
      <c r="O26" t="str">
        <f ca="1"/>
        <v>Sales</v>
      </c>
      <c r="P26">
        <f ca="1"/>
        <v>33</v>
      </c>
      <c r="Q26" t="str">
        <f ca="1"/>
        <v>2021-07-08 00:00:00</v>
      </c>
      <c r="R26" s="2">
        <f ca="1"/>
        <v>74550</v>
      </c>
      <c r="S26" t="str">
        <f ca="1"/>
        <v>Average</v>
      </c>
      <c r="T26" t="str">
        <f ca="1"/>
        <v>Newz</v>
      </c>
      <c r="U26">
        <f ca="1"/>
        <v>2.8794520547945206</v>
      </c>
      <c r="V26">
        <f ca="1"/>
        <v>2237</v>
      </c>
      <c r="W26">
        <f ca="1"/>
        <v>3</v>
      </c>
    </row>
    <row r="27" spans="2:23" x14ac:dyDescent="0.3">
      <c r="B27" t="str">
        <f ca="1"/>
        <v>Sukhdev Nageshwar</v>
      </c>
      <c r="C27" t="str">
        <f ca="1"/>
        <v>Female</v>
      </c>
      <c r="D27" t="str">
        <f ca="1"/>
        <v>Website</v>
      </c>
      <c r="E27">
        <f ca="1"/>
        <v>33</v>
      </c>
      <c r="F27" s="1">
        <f ca="1"/>
        <v>44129</v>
      </c>
      <c r="G27" s="2">
        <f ca="1"/>
        <v>96140</v>
      </c>
      <c r="H27" t="str">
        <f ca="1"/>
        <v>Average</v>
      </c>
      <c r="I27" t="str">
        <f ca="1"/>
        <v>Ind</v>
      </c>
      <c r="J27">
        <f ca="1"/>
        <v>3.580821917808219</v>
      </c>
      <c r="K27">
        <f ca="1"/>
        <v>2885</v>
      </c>
      <c r="L27">
        <f ca="1"/>
        <v>3</v>
      </c>
      <c r="M27" t="str">
        <f ca="1"/>
        <v>Mirium Seemantini Shivakumar</v>
      </c>
      <c r="N27" t="str">
        <f ca="1"/>
        <v>Female</v>
      </c>
      <c r="O27" t="str">
        <f ca="1"/>
        <v>Sales</v>
      </c>
      <c r="P27">
        <f ca="1"/>
        <v>38</v>
      </c>
      <c r="Q27" t="str">
        <f ca="1"/>
        <v>2021-03-13 00:00:00</v>
      </c>
      <c r="R27" s="2">
        <f ca="1"/>
        <v>56870</v>
      </c>
      <c r="S27" t="str">
        <f ca="1"/>
        <v>Above average</v>
      </c>
      <c r="T27" t="str">
        <f ca="1"/>
        <v>Ind</v>
      </c>
      <c r="U27">
        <f ca="1"/>
        <v>3.2</v>
      </c>
      <c r="V27">
        <f ca="1"/>
        <v>1707</v>
      </c>
      <c r="W27">
        <f ca="1"/>
        <v>4</v>
      </c>
    </row>
    <row r="28" spans="2:23" x14ac:dyDescent="0.3">
      <c r="B28" t="str">
        <f ca="1"/>
        <v>Madge McCloughen</v>
      </c>
      <c r="C28" t="str">
        <f ca="1"/>
        <v>others</v>
      </c>
      <c r="D28" t="str">
        <f ca="1"/>
        <v>Website</v>
      </c>
      <c r="E28">
        <f ca="1"/>
        <v>32</v>
      </c>
      <c r="F28" s="1">
        <f ca="1"/>
        <v>44774</v>
      </c>
      <c r="G28" s="2">
        <f ca="1"/>
        <v>91310</v>
      </c>
      <c r="H28" t="str">
        <f ca="1"/>
        <v>Average</v>
      </c>
      <c r="I28" t="str">
        <f ca="1"/>
        <v>Newz</v>
      </c>
      <c r="J28">
        <f ca="1"/>
        <v>1.8136986301369864</v>
      </c>
      <c r="K28">
        <f ca="1"/>
        <v>1827</v>
      </c>
      <c r="L28">
        <f ca="1"/>
        <v>3</v>
      </c>
      <c r="M28" t="str">
        <f ca="1"/>
        <v>Purnendu Vijayarangan</v>
      </c>
      <c r="N28" t="str">
        <f ca="1"/>
        <v>Female</v>
      </c>
      <c r="O28" t="str">
        <f ca="1"/>
        <v>Sales</v>
      </c>
      <c r="P28">
        <f ca="1"/>
        <v>25</v>
      </c>
      <c r="Q28" t="str">
        <f ca="1"/>
        <v>2020-11-09 00:00:00</v>
      </c>
      <c r="R28" s="2">
        <f ca="1"/>
        <v>92700</v>
      </c>
      <c r="S28" t="str">
        <f ca="1"/>
        <v>Average</v>
      </c>
      <c r="T28" t="str">
        <f ca="1"/>
        <v>Ind</v>
      </c>
      <c r="U28">
        <f ca="1"/>
        <v>3.5397260273972604</v>
      </c>
      <c r="V28">
        <f ca="1"/>
        <v>2781</v>
      </c>
      <c r="W28">
        <f ca="1"/>
        <v>3</v>
      </c>
    </row>
    <row r="29" spans="2:23" x14ac:dyDescent="0.3">
      <c r="B29" t="str">
        <f ca="1"/>
        <v>Rukma Vinita</v>
      </c>
      <c r="C29" t="str">
        <f ca="1"/>
        <v>others</v>
      </c>
      <c r="D29" t="str">
        <f ca="1"/>
        <v>Website</v>
      </c>
      <c r="E29">
        <f ca="1"/>
        <v>32</v>
      </c>
      <c r="F29" s="1">
        <f ca="1"/>
        <v>44713</v>
      </c>
      <c r="G29" s="2">
        <f ca="1"/>
        <v>91310</v>
      </c>
      <c r="H29" t="str">
        <f ca="1"/>
        <v>Average</v>
      </c>
      <c r="I29" t="str">
        <f ca="1"/>
        <v>Ind</v>
      </c>
      <c r="J29">
        <f ca="1"/>
        <v>1.9808219178082191</v>
      </c>
      <c r="K29">
        <f ca="1"/>
        <v>1827</v>
      </c>
      <c r="L29">
        <f ca="1"/>
        <v>3</v>
      </c>
      <c r="M29" t="str">
        <f ca="1"/>
        <v>Yauvani Tarpa</v>
      </c>
      <c r="N29" t="str">
        <f ca="1"/>
        <v>Male</v>
      </c>
      <c r="O29" t="str">
        <f ca="1"/>
        <v>Sales</v>
      </c>
      <c r="P29">
        <f ca="1"/>
        <v>33</v>
      </c>
      <c r="Q29" t="str">
        <f ca="1"/>
        <v>2021-05-08 00:00:00</v>
      </c>
      <c r="R29" s="2">
        <f ca="1"/>
        <v>74550</v>
      </c>
      <c r="S29" t="str">
        <f ca="1"/>
        <v>Average</v>
      </c>
      <c r="T29" t="str">
        <f ca="1"/>
        <v>Ind</v>
      </c>
      <c r="U29">
        <f ca="1"/>
        <v>3.0465753424657533</v>
      </c>
      <c r="V29">
        <f ca="1"/>
        <v>2237</v>
      </c>
      <c r="W29">
        <f ca="1"/>
        <v>3</v>
      </c>
    </row>
    <row r="30" spans="2:23" x14ac:dyDescent="0.3">
      <c r="B30" t="str">
        <f ca="1"/>
        <v>Dennison Crosswaite</v>
      </c>
      <c r="C30" t="str">
        <f ca="1"/>
        <v>others</v>
      </c>
      <c r="D30" t="str">
        <f ca="1"/>
        <v>Website</v>
      </c>
      <c r="E30">
        <f ca="1"/>
        <v>26</v>
      </c>
      <c r="F30" s="1">
        <f ca="1"/>
        <v>44271</v>
      </c>
      <c r="G30" s="2">
        <f ca="1"/>
        <v>90700</v>
      </c>
      <c r="H30" t="str">
        <f ca="1"/>
        <v>Above average</v>
      </c>
      <c r="I30" t="str">
        <f ca="1"/>
        <v>Newz</v>
      </c>
      <c r="J30">
        <f ca="1"/>
        <v>3.1917808219178081</v>
      </c>
      <c r="K30">
        <f ca="1"/>
        <v>2721</v>
      </c>
      <c r="L30">
        <f ca="1"/>
        <v>4</v>
      </c>
      <c r="M30" t="str">
        <f ca="1"/>
        <v>Daruka Ghazali</v>
      </c>
      <c r="N30" t="str">
        <f ca="1"/>
        <v>Female</v>
      </c>
      <c r="O30" t="str">
        <f ca="1"/>
        <v>Sales</v>
      </c>
      <c r="P30">
        <f ca="1"/>
        <v>34</v>
      </c>
      <c r="Q30" t="str">
        <f ca="1"/>
        <v>2022-04-09 00:00:00</v>
      </c>
      <c r="R30" s="2">
        <f ca="1"/>
        <v>49630</v>
      </c>
      <c r="S30" t="str">
        <f ca="1"/>
        <v>Poor</v>
      </c>
      <c r="T30" t="str">
        <f ca="1"/>
        <v>Ind</v>
      </c>
      <c r="U30">
        <f ca="1"/>
        <v>2.1260273972602741</v>
      </c>
      <c r="V30">
        <f ca="1"/>
        <v>1489</v>
      </c>
      <c r="W30">
        <f ca="1"/>
        <v>2</v>
      </c>
    </row>
    <row r="31" spans="2:23" x14ac:dyDescent="0.3">
      <c r="B31" t="str">
        <f ca="1"/>
        <v>Karuna Pashupathy</v>
      </c>
      <c r="C31" t="str">
        <f ca="1"/>
        <v>others</v>
      </c>
      <c r="D31" t="str">
        <f ca="1"/>
        <v>Website</v>
      </c>
      <c r="E31">
        <f ca="1"/>
        <v>27</v>
      </c>
      <c r="F31" s="1">
        <f ca="1"/>
        <v>44212</v>
      </c>
      <c r="G31" s="2">
        <f ca="1"/>
        <v>90700</v>
      </c>
      <c r="H31" t="str">
        <f ca="1"/>
        <v>Above average</v>
      </c>
      <c r="I31" t="str">
        <f ca="1"/>
        <v>Ind</v>
      </c>
      <c r="J31">
        <f ca="1"/>
        <v>3.3534246575342466</v>
      </c>
      <c r="K31">
        <f ca="1"/>
        <v>2721</v>
      </c>
      <c r="L31">
        <f ca="1"/>
        <v>4</v>
      </c>
      <c r="M31" t="str">
        <f ca="1"/>
        <v>Sanchali Shirish</v>
      </c>
      <c r="N31" t="str">
        <f ca="1"/>
        <v>Male</v>
      </c>
      <c r="O31" t="str">
        <f ca="1"/>
        <v>Sales</v>
      </c>
      <c r="P31">
        <f ca="1"/>
        <v>27</v>
      </c>
      <c r="Q31" t="str">
        <f ca="1"/>
        <v>2020-08-30 00:00:00</v>
      </c>
      <c r="R31" s="2">
        <f ca="1"/>
        <v>54970</v>
      </c>
      <c r="S31" t="str">
        <f ca="1"/>
        <v>Average</v>
      </c>
      <c r="T31" t="str">
        <f ca="1"/>
        <v>Ind</v>
      </c>
      <c r="U31">
        <f ca="1"/>
        <v>3.7342465753424658</v>
      </c>
      <c r="V31">
        <f ca="1"/>
        <v>1650</v>
      </c>
      <c r="W31">
        <f ca="1"/>
        <v>3</v>
      </c>
    </row>
    <row r="32" spans="2:23" x14ac:dyDescent="0.3">
      <c r="B32" t="str">
        <f ca="1"/>
        <v>Ches Bonnell</v>
      </c>
      <c r="C32" t="str">
        <f ca="1"/>
        <v>Male</v>
      </c>
      <c r="D32" t="str">
        <f ca="1"/>
        <v>Website</v>
      </c>
      <c r="E32">
        <f ca="1"/>
        <v>37</v>
      </c>
      <c r="F32" s="1">
        <f ca="1"/>
        <v>44338</v>
      </c>
      <c r="G32" s="2">
        <f ca="1"/>
        <v>88050</v>
      </c>
      <c r="H32" t="str">
        <f ca="1"/>
        <v>Poor</v>
      </c>
      <c r="I32" t="str">
        <f ca="1"/>
        <v>Newz</v>
      </c>
      <c r="J32">
        <f ca="1"/>
        <v>3.0082191780821916</v>
      </c>
      <c r="K32">
        <f ca="1"/>
        <v>2642</v>
      </c>
      <c r="L32">
        <f ca="1"/>
        <v>2</v>
      </c>
      <c r="M32" t="str">
        <f ca="1"/>
        <v>Waheeda Vasuman</v>
      </c>
      <c r="N32" t="str">
        <f ca="1"/>
        <v>Male</v>
      </c>
      <c r="O32" t="str">
        <f ca="1"/>
        <v>Sales</v>
      </c>
      <c r="P32">
        <f ca="1"/>
        <v>43</v>
      </c>
      <c r="Q32" t="str">
        <f ca="1"/>
        <v>2021-12-28 00:00:00</v>
      </c>
      <c r="R32" s="2">
        <f ca="1"/>
        <v>36040</v>
      </c>
      <c r="S32" t="str">
        <f ca="1"/>
        <v>Average</v>
      </c>
      <c r="T32" t="str">
        <f ca="1"/>
        <v>Ind</v>
      </c>
      <c r="U32">
        <f ca="1"/>
        <v>2.4054794520547946</v>
      </c>
      <c r="V32">
        <f ca="1"/>
        <v>1082</v>
      </c>
      <c r="W32">
        <f ca="1"/>
        <v>3</v>
      </c>
    </row>
    <row r="33" spans="2:23" x14ac:dyDescent="0.3">
      <c r="B33" t="str">
        <f ca="1"/>
        <v>Gangadutt Ragha</v>
      </c>
      <c r="C33" t="str">
        <f ca="1"/>
        <v>Male</v>
      </c>
      <c r="D33" t="str">
        <f ca="1"/>
        <v>Website</v>
      </c>
      <c r="E33">
        <f ca="1"/>
        <v>37</v>
      </c>
      <c r="F33" s="1">
        <f ca="1"/>
        <v>44277</v>
      </c>
      <c r="G33" s="2">
        <f ca="1"/>
        <v>88050</v>
      </c>
      <c r="H33" t="str">
        <f ca="1"/>
        <v>Poor</v>
      </c>
      <c r="I33" t="str">
        <f ca="1"/>
        <v>Ind</v>
      </c>
      <c r="J33">
        <f ca="1"/>
        <v>3.1753424657534248</v>
      </c>
      <c r="K33">
        <f ca="1"/>
        <v>2642</v>
      </c>
      <c r="L33">
        <f ca="1"/>
        <v>2</v>
      </c>
      <c r="M33" t="str">
        <f ca="1"/>
        <v>Krishnakanta Vellanki</v>
      </c>
      <c r="N33" t="str">
        <f ca="1"/>
        <v>Male</v>
      </c>
      <c r="O33" t="str">
        <f ca="1"/>
        <v>Sales</v>
      </c>
      <c r="P33">
        <f ca="1"/>
        <v>22</v>
      </c>
      <c r="Q33" t="str">
        <f ca="1"/>
        <v>2021-07-07 00:00:00</v>
      </c>
      <c r="R33" s="2">
        <f ca="1"/>
        <v>112780</v>
      </c>
      <c r="S33" t="str">
        <f ca="1"/>
        <v>Above average</v>
      </c>
      <c r="T33" t="str">
        <f ca="1"/>
        <v>Ind</v>
      </c>
      <c r="U33">
        <f ca="1"/>
        <v>2.882191780821918</v>
      </c>
      <c r="V33">
        <f ca="1"/>
        <v>3384</v>
      </c>
      <c r="W33">
        <f ca="1"/>
        <v>4</v>
      </c>
    </row>
    <row r="34" spans="2:23" x14ac:dyDescent="0.3">
      <c r="B34" t="str">
        <f ca="1"/>
        <v>Merrilee Plenty</v>
      </c>
      <c r="C34" t="str">
        <f ca="1"/>
        <v>Female</v>
      </c>
      <c r="D34" t="str">
        <f ca="1"/>
        <v>Website</v>
      </c>
      <c r="E34">
        <f ca="1"/>
        <v>40</v>
      </c>
      <c r="F34" s="1">
        <f ca="1"/>
        <v>44337</v>
      </c>
      <c r="G34" s="2">
        <f ca="1"/>
        <v>87620</v>
      </c>
      <c r="H34" t="str">
        <f ca="1"/>
        <v>Average</v>
      </c>
      <c r="I34" t="str">
        <f ca="1"/>
        <v>Newz</v>
      </c>
      <c r="J34">
        <f ca="1"/>
        <v>3.010958904109589</v>
      </c>
      <c r="K34">
        <f ca="1"/>
        <v>2629</v>
      </c>
      <c r="L34">
        <f ca="1"/>
        <v>3</v>
      </c>
      <c r="M34" t="str">
        <f ca="1"/>
        <v>Anumati Shyamari Meherhomji</v>
      </c>
      <c r="N34" t="str">
        <f ca="1"/>
        <v>Female</v>
      </c>
      <c r="O34" t="str">
        <f ca="1"/>
        <v>Sales</v>
      </c>
      <c r="P34">
        <f ca="1"/>
        <v>28</v>
      </c>
      <c r="Q34" t="str">
        <f ca="1"/>
        <v>2021-04-10 00:00:00</v>
      </c>
      <c r="R34" s="2">
        <f ca="1"/>
        <v>53240</v>
      </c>
      <c r="S34" t="str">
        <f ca="1"/>
        <v>Average</v>
      </c>
      <c r="T34" t="str">
        <f ca="1"/>
        <v>Ind</v>
      </c>
      <c r="U34">
        <f ca="1"/>
        <v>3.1232876712328768</v>
      </c>
      <c r="V34">
        <f ca="1"/>
        <v>1598</v>
      </c>
      <c r="W34">
        <f ca="1"/>
        <v>3</v>
      </c>
    </row>
    <row r="35" spans="2:23" x14ac:dyDescent="0.3">
      <c r="B35" t="str">
        <f ca="1"/>
        <v>Godavari Veena</v>
      </c>
      <c r="C35" t="str">
        <f ca="1"/>
        <v>Female</v>
      </c>
      <c r="D35" t="str">
        <f ca="1"/>
        <v>Website</v>
      </c>
      <c r="E35">
        <f ca="1"/>
        <v>40</v>
      </c>
      <c r="F35" s="1">
        <f ca="1"/>
        <v>44276</v>
      </c>
      <c r="G35" s="2">
        <f ca="1"/>
        <v>87620</v>
      </c>
      <c r="H35" t="str">
        <f ca="1"/>
        <v>Average</v>
      </c>
      <c r="I35" t="str">
        <f ca="1"/>
        <v>Ind</v>
      </c>
      <c r="J35">
        <f ca="1"/>
        <v>3.1780821917808217</v>
      </c>
      <c r="K35">
        <f ca="1"/>
        <v>2629</v>
      </c>
      <c r="L35">
        <f ca="1"/>
        <v>3</v>
      </c>
      <c r="M35" t="str">
        <f ca="1"/>
        <v>Devasree Fullara Saurin</v>
      </c>
      <c r="N35" t="str">
        <f ca="1"/>
        <v>Female</v>
      </c>
      <c r="O35" t="str">
        <f ca="1"/>
        <v>Sales</v>
      </c>
      <c r="P35">
        <f ca="1"/>
        <v>20</v>
      </c>
      <c r="Q35" t="str">
        <f ca="1"/>
        <v>2021-10-07 00:00:00</v>
      </c>
      <c r="R35" s="2">
        <f ca="1"/>
        <v>68900</v>
      </c>
      <c r="S35" t="str">
        <f ca="1"/>
        <v>Poor</v>
      </c>
      <c r="T35" t="str">
        <f ca="1"/>
        <v>Ind</v>
      </c>
      <c r="U35">
        <f ca="1"/>
        <v>2.6301369863013697</v>
      </c>
      <c r="V35">
        <f ca="1"/>
        <v>2067</v>
      </c>
      <c r="W35">
        <f ca="1"/>
        <v>2</v>
      </c>
    </row>
    <row r="36" spans="2:23" x14ac:dyDescent="0.3">
      <c r="B36" t="str">
        <f ca="1"/>
        <v>Agnes Collicott</v>
      </c>
      <c r="C36" t="str">
        <f ca="1"/>
        <v>Female</v>
      </c>
      <c r="D36" t="str">
        <f ca="1"/>
        <v>Website</v>
      </c>
      <c r="E36">
        <f ca="1"/>
        <v>27</v>
      </c>
      <c r="F36" s="1">
        <f ca="1"/>
        <v>44686</v>
      </c>
      <c r="G36" s="2">
        <f ca="1"/>
        <v>83750</v>
      </c>
      <c r="H36" t="str">
        <f ca="1"/>
        <v>Average</v>
      </c>
      <c r="I36" t="str">
        <f ca="1"/>
        <v>Newz</v>
      </c>
      <c r="J36">
        <f ca="1"/>
        <v>2.0547945205479454</v>
      </c>
      <c r="K36">
        <f ca="1"/>
        <v>2513</v>
      </c>
      <c r="L36">
        <f ca="1"/>
        <v>3</v>
      </c>
      <c r="M36" t="str">
        <f ca="1"/>
        <v>Geena Raghavanpillai</v>
      </c>
      <c r="N36" t="str">
        <f ca="1"/>
        <v>Male</v>
      </c>
      <c r="O36" t="str">
        <f ca="1"/>
        <v>Sales</v>
      </c>
      <c r="P36">
        <f ca="1"/>
        <v>32</v>
      </c>
      <c r="Q36" t="str">
        <f ca="1"/>
        <v>2021-07-26 00:00:00</v>
      </c>
      <c r="R36" s="2">
        <f ca="1"/>
        <v>53540</v>
      </c>
      <c r="S36" t="str">
        <f ca="1"/>
        <v>Average</v>
      </c>
      <c r="T36" t="str">
        <f ca="1"/>
        <v>Ind</v>
      </c>
      <c r="U36">
        <f ca="1"/>
        <v>2.8301369863013699</v>
      </c>
      <c r="V36">
        <f ca="1"/>
        <v>1607</v>
      </c>
      <c r="W36">
        <f ca="1"/>
        <v>3</v>
      </c>
    </row>
    <row r="37" spans="2:23" x14ac:dyDescent="0.3">
      <c r="B37" t="str">
        <f ca="1"/>
        <v>Kunja Prashanta Vibha</v>
      </c>
      <c r="C37" t="str">
        <f ca="1"/>
        <v>Female</v>
      </c>
      <c r="D37" t="str">
        <f ca="1"/>
        <v>Website</v>
      </c>
      <c r="E37">
        <f ca="1"/>
        <v>27</v>
      </c>
      <c r="F37" s="1">
        <f ca="1"/>
        <v>44625</v>
      </c>
      <c r="G37" s="2">
        <f ca="1"/>
        <v>83750</v>
      </c>
      <c r="H37" t="str">
        <f ca="1"/>
        <v>Average</v>
      </c>
      <c r="I37" t="str">
        <f ca="1"/>
        <v>Ind</v>
      </c>
      <c r="J37">
        <f ca="1"/>
        <v>2.2219178082191782</v>
      </c>
      <c r="K37">
        <f ca="1"/>
        <v>2513</v>
      </c>
      <c r="L37">
        <f ca="1"/>
        <v>3</v>
      </c>
      <c r="M37" t="str">
        <f ca="1"/>
        <v>Rupak Mehra</v>
      </c>
      <c r="N37" t="str">
        <f ca="1"/>
        <v>Male</v>
      </c>
      <c r="O37" t="str">
        <f ca="1"/>
        <v>Sales</v>
      </c>
      <c r="P37">
        <f ca="1"/>
        <v>28</v>
      </c>
      <c r="Q37" t="str">
        <f ca="1"/>
        <v>2022-07-16 00:00:00</v>
      </c>
      <c r="R37" s="2">
        <f ca="1"/>
        <v>43510</v>
      </c>
      <c r="S37" t="str">
        <f ca="1"/>
        <v>Very poor</v>
      </c>
      <c r="T37" t="str">
        <f ca="1"/>
        <v>Ind</v>
      </c>
      <c r="U37">
        <f ca="1"/>
        <v>1.8575342465753424</v>
      </c>
      <c r="V37">
        <f ca="1"/>
        <v>871</v>
      </c>
      <c r="W37">
        <f ca="1"/>
        <v>1</v>
      </c>
    </row>
    <row r="38" spans="2:23" x14ac:dyDescent="0.3">
      <c r="B38" t="str">
        <f ca="1"/>
        <v>Van Tuxwell</v>
      </c>
      <c r="C38" t="str">
        <f ca="1"/>
        <v>Female</v>
      </c>
      <c r="D38" t="str">
        <f ca="1"/>
        <v>Website</v>
      </c>
      <c r="E38">
        <f ca="1"/>
        <v>25</v>
      </c>
      <c r="F38" s="1">
        <f ca="1"/>
        <v>44694</v>
      </c>
      <c r="G38" s="2">
        <f ca="1"/>
        <v>80700</v>
      </c>
      <c r="H38" t="str">
        <f ca="1"/>
        <v>Above average</v>
      </c>
      <c r="I38" t="str">
        <f ca="1"/>
        <v>Newz</v>
      </c>
      <c r="J38">
        <f ca="1"/>
        <v>2.032876712328767</v>
      </c>
      <c r="K38">
        <f ca="1"/>
        <v>2421</v>
      </c>
      <c r="L38">
        <f ca="1"/>
        <v>4</v>
      </c>
      <c r="M38" t="str">
        <f ca="1"/>
        <v>Sawini Chandan</v>
      </c>
      <c r="N38" t="str">
        <f ca="1"/>
        <v>Female</v>
      </c>
      <c r="O38" t="str">
        <f ca="1"/>
        <v>Sales</v>
      </c>
      <c r="P38">
        <f ca="1"/>
        <v>38</v>
      </c>
      <c r="Q38" t="str">
        <f ca="1"/>
        <v>2021-04-30 00:00:00</v>
      </c>
      <c r="R38" s="2">
        <f ca="1"/>
        <v>109160</v>
      </c>
      <c r="S38" t="str">
        <f ca="1"/>
        <v>Exceptional</v>
      </c>
      <c r="T38" t="str">
        <f ca="1"/>
        <v>Ind</v>
      </c>
      <c r="U38">
        <f ca="1"/>
        <v>3.0684931506849313</v>
      </c>
      <c r="V38">
        <f ca="1"/>
        <v>3275</v>
      </c>
      <c r="W38">
        <f ca="1"/>
        <v>5</v>
      </c>
    </row>
    <row r="39" spans="2:23" x14ac:dyDescent="0.3">
      <c r="B39" t="str">
        <f ca="1"/>
        <v>Bhuvan Pals</v>
      </c>
      <c r="C39" t="str">
        <f ca="1"/>
        <v>Female</v>
      </c>
      <c r="D39" t="str">
        <f ca="1"/>
        <v>Website</v>
      </c>
      <c r="E39">
        <f ca="1"/>
        <v>25</v>
      </c>
      <c r="F39" s="1">
        <f ca="1"/>
        <v>44633</v>
      </c>
      <c r="G39" s="2">
        <f ca="1"/>
        <v>80700</v>
      </c>
      <c r="H39" t="str">
        <f ca="1"/>
        <v>Above average</v>
      </c>
      <c r="I39" t="str">
        <f ca="1"/>
        <v>Ind</v>
      </c>
      <c r="J39">
        <f ca="1"/>
        <v>2.2000000000000002</v>
      </c>
      <c r="K39">
        <f ca="1"/>
        <v>2421</v>
      </c>
      <c r="L39">
        <f ca="1"/>
        <v>4</v>
      </c>
      <c r="M39" t="str">
        <f ca="1"/>
        <v>Abhaya Priyavardhan</v>
      </c>
      <c r="N39" t="str">
        <f ca="1"/>
        <v>Male</v>
      </c>
      <c r="O39" t="str">
        <f ca="1"/>
        <v>Sales</v>
      </c>
      <c r="P39">
        <f ca="1"/>
        <v>25</v>
      </c>
      <c r="Q39" t="str">
        <f ca="1"/>
        <v>2021-05-06 00:00:00</v>
      </c>
      <c r="R39" s="2">
        <f ca="1"/>
        <v>65700</v>
      </c>
      <c r="S39" t="str">
        <f ca="1"/>
        <v>Average</v>
      </c>
      <c r="T39" t="str">
        <f ca="1"/>
        <v>Ind</v>
      </c>
      <c r="U39">
        <f ca="1"/>
        <v>3.0520547945205481</v>
      </c>
      <c r="V39">
        <f ca="1"/>
        <v>1971</v>
      </c>
      <c r="W39">
        <f ca="1"/>
        <v>3</v>
      </c>
    </row>
    <row r="40" spans="2:23" x14ac:dyDescent="0.3">
      <c r="B40" t="str">
        <f ca="1"/>
        <v>sabari</v>
      </c>
      <c r="C40" t="str">
        <f ca="1"/>
        <v>Male</v>
      </c>
      <c r="D40" t="str">
        <f ca="1"/>
        <v>Website</v>
      </c>
      <c r="E40">
        <f ca="1"/>
        <v>20</v>
      </c>
      <c r="F40">
        <f ca="1"/>
        <v>43958</v>
      </c>
      <c r="G40">
        <f ca="1"/>
        <v>79570</v>
      </c>
      <c r="H40" t="str">
        <f ca="1"/>
        <v>Average</v>
      </c>
      <c r="I40" t="str">
        <f ca="1"/>
        <v>Ind</v>
      </c>
      <c r="J40">
        <f ca="1"/>
        <v>4.0493150684931507</v>
      </c>
      <c r="K40">
        <f ca="1"/>
        <v>2388</v>
      </c>
      <c r="L40">
        <f ca="1"/>
        <v>3</v>
      </c>
      <c r="M40" t="str">
        <f ca="1"/>
        <v>Shulabh Qutub Sundaramoorthy</v>
      </c>
      <c r="N40" t="str">
        <f ca="1"/>
        <v>Female</v>
      </c>
      <c r="O40" t="str">
        <f ca="1"/>
        <v>Sales</v>
      </c>
      <c r="P40">
        <f ca="1"/>
        <v>36</v>
      </c>
      <c r="Q40" t="str">
        <f ca="1"/>
        <v>2021-08-25 00:00:00</v>
      </c>
      <c r="R40" s="2">
        <f ca="1"/>
        <v>78540</v>
      </c>
      <c r="S40" t="str">
        <f ca="1"/>
        <v>Average</v>
      </c>
      <c r="T40" t="str">
        <f ca="1"/>
        <v>Ind</v>
      </c>
      <c r="U40">
        <f ca="1"/>
        <v>2.7479452054794522</v>
      </c>
      <c r="V40">
        <f ca="1"/>
        <v>2357</v>
      </c>
      <c r="W40">
        <f ca="1"/>
        <v>3</v>
      </c>
    </row>
    <row r="41" spans="2:23" x14ac:dyDescent="0.3">
      <c r="B41" t="str">
        <f ca="1"/>
        <v>Camilla Castle</v>
      </c>
      <c r="C41" t="str">
        <f ca="1"/>
        <v>Female</v>
      </c>
      <c r="D41" t="str">
        <f ca="1"/>
        <v>Website</v>
      </c>
      <c r="E41">
        <f ca="1"/>
        <v>33</v>
      </c>
      <c r="F41">
        <f ca="1"/>
        <v>44374</v>
      </c>
      <c r="G41">
        <f ca="1"/>
        <v>75480</v>
      </c>
      <c r="H41" t="str">
        <f ca="1"/>
        <v>Very poor</v>
      </c>
      <c r="I41" t="str">
        <f ca="1"/>
        <v>Newz</v>
      </c>
      <c r="J41">
        <f ca="1"/>
        <v>2.9095890410958902</v>
      </c>
      <c r="K41">
        <f ca="1"/>
        <v>2265</v>
      </c>
      <c r="L41">
        <f ca="1"/>
        <v>1</v>
      </c>
      <c r="R41" s="2"/>
    </row>
    <row r="42" spans="2:23" x14ac:dyDescent="0.3">
      <c r="B42" t="str">
        <f ca="1"/>
        <v>Ayog Chakrabarti</v>
      </c>
      <c r="C42" t="str">
        <f ca="1"/>
        <v>Female</v>
      </c>
      <c r="D42" t="str">
        <f ca="1"/>
        <v>Website</v>
      </c>
      <c r="E42">
        <f ca="1"/>
        <v>33</v>
      </c>
      <c r="F42">
        <f ca="1"/>
        <v>44313</v>
      </c>
      <c r="G42">
        <f ca="1"/>
        <v>75480</v>
      </c>
      <c r="H42" t="str">
        <f ca="1"/>
        <v>Very poor</v>
      </c>
      <c r="I42" t="str">
        <f ca="1"/>
        <v>Ind</v>
      </c>
      <c r="J42">
        <f ca="1"/>
        <v>3.0767123287671234</v>
      </c>
      <c r="K42">
        <f ca="1"/>
        <v>2265</v>
      </c>
      <c r="L42">
        <f ca="1"/>
        <v>1</v>
      </c>
      <c r="R42" s="2"/>
    </row>
    <row r="43" spans="2:23" x14ac:dyDescent="0.3">
      <c r="B43" t="str">
        <f ca="1"/>
        <v>Elia Cockton</v>
      </c>
      <c r="C43" t="str">
        <f ca="1"/>
        <v>Female</v>
      </c>
      <c r="D43" t="str">
        <f ca="1"/>
        <v>Website</v>
      </c>
      <c r="E43">
        <f ca="1"/>
        <v>33</v>
      </c>
      <c r="F43">
        <f ca="1"/>
        <v>44312</v>
      </c>
      <c r="G43">
        <f ca="1"/>
        <v>75280</v>
      </c>
      <c r="H43" t="str">
        <f ca="1"/>
        <v>Average</v>
      </c>
      <c r="I43" t="str">
        <f ca="1"/>
        <v>Newz</v>
      </c>
      <c r="J43">
        <f ca="1"/>
        <v>3.0794520547945203</v>
      </c>
      <c r="K43">
        <f ca="1"/>
        <v>2259</v>
      </c>
      <c r="L43">
        <f ca="1"/>
        <v>3</v>
      </c>
      <c r="R43" s="2"/>
    </row>
    <row r="44" spans="2:23" x14ac:dyDescent="0.3">
      <c r="B44" t="str">
        <f ca="1"/>
        <v>Hemavati Muthiah</v>
      </c>
      <c r="C44" t="str">
        <f ca="1"/>
        <v>Female</v>
      </c>
      <c r="D44" t="str">
        <f ca="1"/>
        <v>Website</v>
      </c>
      <c r="E44">
        <f ca="1"/>
        <v>33</v>
      </c>
      <c r="F44">
        <f ca="1"/>
        <v>44253</v>
      </c>
      <c r="G44">
        <f ca="1"/>
        <v>75280</v>
      </c>
      <c r="H44" t="str">
        <f ca="1"/>
        <v>Average</v>
      </c>
      <c r="I44" t="str">
        <f ca="1"/>
        <v>Ind</v>
      </c>
      <c r="J44">
        <f ca="1"/>
        <v>3.2410958904109588</v>
      </c>
      <c r="K44">
        <f ca="1"/>
        <v>2259</v>
      </c>
      <c r="L44">
        <f ca="1"/>
        <v>3</v>
      </c>
      <c r="R44" s="2"/>
    </row>
    <row r="45" spans="2:23" x14ac:dyDescent="0.3">
      <c r="B45" t="str">
        <f ca="1"/>
        <v>Myer McCory</v>
      </c>
      <c r="C45" t="str">
        <f ca="1"/>
        <v>Male</v>
      </c>
      <c r="D45" t="str">
        <f ca="1"/>
        <v>Website</v>
      </c>
      <c r="E45">
        <f ca="1"/>
        <v>30</v>
      </c>
      <c r="F45">
        <f ca="1"/>
        <v>44850</v>
      </c>
      <c r="G45">
        <f ca="1"/>
        <v>69710</v>
      </c>
      <c r="H45" t="str">
        <f ca="1"/>
        <v>Average</v>
      </c>
      <c r="I45" t="str">
        <f ca="1"/>
        <v>Newz</v>
      </c>
      <c r="J45">
        <f ca="1"/>
        <v>1.6054794520547946</v>
      </c>
      <c r="K45">
        <f ca="1"/>
        <v>1395</v>
      </c>
      <c r="L45">
        <f ca="1"/>
        <v>3</v>
      </c>
      <c r="R45" s="2"/>
    </row>
    <row r="46" spans="2:23" x14ac:dyDescent="0.3">
      <c r="B46" t="str">
        <f ca="1"/>
        <v>Shekhar Eswara</v>
      </c>
      <c r="C46" t="str">
        <f ca="1"/>
        <v>Male</v>
      </c>
      <c r="D46" t="str">
        <f ca="1"/>
        <v>Website</v>
      </c>
      <c r="E46">
        <f ca="1"/>
        <v>30</v>
      </c>
      <c r="F46">
        <f ca="1"/>
        <v>44789</v>
      </c>
      <c r="G46">
        <f ca="1"/>
        <v>69710</v>
      </c>
      <c r="H46" t="str">
        <f ca="1"/>
        <v>Average</v>
      </c>
      <c r="I46" t="str">
        <f ca="1"/>
        <v>Ind</v>
      </c>
      <c r="J46">
        <f ca="1"/>
        <v>1.7726027397260273</v>
      </c>
      <c r="K46">
        <f ca="1"/>
        <v>1395</v>
      </c>
      <c r="L46">
        <f ca="1"/>
        <v>3</v>
      </c>
      <c r="R46" s="2"/>
    </row>
    <row r="47" spans="2:23" x14ac:dyDescent="0.3">
      <c r="B47" t="str">
        <f ca="1"/>
        <v>Andria Kimpton</v>
      </c>
      <c r="C47" t="str">
        <f ca="1"/>
        <v>Male</v>
      </c>
      <c r="D47" t="str">
        <f ca="1"/>
        <v>Website</v>
      </c>
      <c r="E47">
        <f ca="1"/>
        <v>30</v>
      </c>
      <c r="F47">
        <f ca="1"/>
        <v>44273</v>
      </c>
      <c r="G47">
        <f ca="1"/>
        <v>69120</v>
      </c>
      <c r="H47" t="str">
        <f ca="1"/>
        <v>Average</v>
      </c>
      <c r="I47" t="str">
        <f ca="1"/>
        <v>Newz</v>
      </c>
      <c r="J47">
        <f ca="1"/>
        <v>3.1863013698630138</v>
      </c>
      <c r="K47">
        <f ca="1"/>
        <v>2074</v>
      </c>
      <c r="L47">
        <f ca="1"/>
        <v>3</v>
      </c>
      <c r="R47" s="2"/>
    </row>
    <row r="48" spans="2:23" x14ac:dyDescent="0.3">
      <c r="B48" t="str">
        <f ca="1"/>
        <v>Rameshwari Chikodi</v>
      </c>
      <c r="C48" t="str">
        <f ca="1"/>
        <v>Male</v>
      </c>
      <c r="D48" t="str">
        <f ca="1"/>
        <v>Website</v>
      </c>
      <c r="E48">
        <f ca="1"/>
        <v>30</v>
      </c>
      <c r="F48">
        <f ca="1"/>
        <v>44214</v>
      </c>
      <c r="G48">
        <f ca="1"/>
        <v>69120</v>
      </c>
      <c r="H48" t="str">
        <f ca="1"/>
        <v>Average</v>
      </c>
      <c r="I48" t="str">
        <f ca="1"/>
        <v>Ind</v>
      </c>
      <c r="J48">
        <f ca="1"/>
        <v>3.3479452054794518</v>
      </c>
      <c r="K48">
        <f ca="1"/>
        <v>2074</v>
      </c>
      <c r="L48">
        <f ca="1"/>
        <v>3</v>
      </c>
      <c r="R48" s="2"/>
    </row>
    <row r="49" spans="2:18" x14ac:dyDescent="0.3">
      <c r="B49" t="str">
        <f ca="1"/>
        <v>Murry Dryburgh</v>
      </c>
      <c r="C49" t="str">
        <f ca="1"/>
        <v>Male</v>
      </c>
      <c r="D49" t="str">
        <f ca="1"/>
        <v>Website</v>
      </c>
      <c r="E49">
        <f ca="1"/>
        <v>37</v>
      </c>
      <c r="F49">
        <f ca="1"/>
        <v>44701</v>
      </c>
      <c r="G49">
        <f ca="1"/>
        <v>69070</v>
      </c>
      <c r="H49" t="str">
        <f ca="1"/>
        <v>Average</v>
      </c>
      <c r="I49" t="str">
        <f ca="1"/>
        <v>Newz</v>
      </c>
      <c r="J49">
        <f ca="1"/>
        <v>2.0136986301369864</v>
      </c>
      <c r="K49">
        <f ca="1"/>
        <v>2073</v>
      </c>
      <c r="L49">
        <f ca="1"/>
        <v>3</v>
      </c>
      <c r="R49" s="2"/>
    </row>
    <row r="50" spans="2:18" x14ac:dyDescent="0.3">
      <c r="B50" t="str">
        <f ca="1"/>
        <v>Jaishree Atasi Yavatkar</v>
      </c>
      <c r="C50" t="str">
        <f ca="1"/>
        <v>Male</v>
      </c>
      <c r="D50" t="str">
        <f ca="1"/>
        <v>Website</v>
      </c>
      <c r="E50">
        <f ca="1"/>
        <v>37</v>
      </c>
      <c r="F50">
        <f ca="1"/>
        <v>44640</v>
      </c>
      <c r="G50">
        <f ca="1"/>
        <v>69070</v>
      </c>
      <c r="H50" t="str">
        <f ca="1"/>
        <v>Average</v>
      </c>
      <c r="I50" t="str">
        <f ca="1"/>
        <v>Ind</v>
      </c>
      <c r="J50">
        <f ca="1"/>
        <v>2.1808219178082191</v>
      </c>
      <c r="K50">
        <f ca="1"/>
        <v>2073</v>
      </c>
      <c r="L50">
        <f ca="1"/>
        <v>3</v>
      </c>
      <c r="R50" s="2"/>
    </row>
    <row r="51" spans="2:18" x14ac:dyDescent="0.3">
      <c r="B51" t="str">
        <f ca="1"/>
        <v>Vic Radolf</v>
      </c>
      <c r="C51" t="str">
        <f ca="1"/>
        <v>Female</v>
      </c>
      <c r="D51" t="str">
        <f ca="1"/>
        <v>Website</v>
      </c>
      <c r="E51">
        <f ca="1"/>
        <v>24</v>
      </c>
      <c r="F51">
        <f ca="1"/>
        <v>44148</v>
      </c>
      <c r="G51">
        <f ca="1"/>
        <v>62780</v>
      </c>
      <c r="H51" t="str">
        <f ca="1"/>
        <v>Average</v>
      </c>
      <c r="I51" t="str">
        <f ca="1"/>
        <v>Newz</v>
      </c>
      <c r="J51">
        <f ca="1"/>
        <v>3.5287671232876714</v>
      </c>
      <c r="K51">
        <f ca="1"/>
        <v>1884</v>
      </c>
      <c r="L51">
        <f ca="1"/>
        <v>3</v>
      </c>
      <c r="R51" s="2"/>
    </row>
    <row r="52" spans="2:18" x14ac:dyDescent="0.3">
      <c r="B52" t="str">
        <f ca="1"/>
        <v>Fullara Sushanti Mokate</v>
      </c>
      <c r="C52" t="str">
        <f ca="1"/>
        <v>Female</v>
      </c>
      <c r="D52" t="str">
        <f ca="1"/>
        <v>Website</v>
      </c>
      <c r="E52">
        <f ca="1"/>
        <v>24</v>
      </c>
      <c r="F52">
        <f ca="1"/>
        <v>44087</v>
      </c>
      <c r="G52">
        <f ca="1"/>
        <v>62780</v>
      </c>
      <c r="H52" t="str">
        <f ca="1"/>
        <v>Average</v>
      </c>
      <c r="I52" t="str">
        <f ca="1"/>
        <v>Ind</v>
      </c>
      <c r="J52">
        <f ca="1"/>
        <v>3.6958904109589041</v>
      </c>
      <c r="K52">
        <f ca="1"/>
        <v>1884</v>
      </c>
      <c r="L52">
        <f ca="1"/>
        <v>3</v>
      </c>
      <c r="R52" s="2"/>
    </row>
    <row r="53" spans="2:18" x14ac:dyDescent="0.3">
      <c r="B53" t="str">
        <f ca="1"/>
        <v>Brien Boise</v>
      </c>
      <c r="C53" t="str">
        <f ca="1"/>
        <v>Female</v>
      </c>
      <c r="D53" t="str">
        <f ca="1"/>
        <v>Website</v>
      </c>
      <c r="E53">
        <f ca="1"/>
        <v>31</v>
      </c>
      <c r="F53">
        <f ca="1"/>
        <v>44663</v>
      </c>
      <c r="G53">
        <f ca="1"/>
        <v>58100</v>
      </c>
      <c r="H53" t="str">
        <f ca="1"/>
        <v>Average</v>
      </c>
      <c r="I53" t="str">
        <f ca="1"/>
        <v>Newz</v>
      </c>
      <c r="J53">
        <f ca="1"/>
        <v>2.117808219178082</v>
      </c>
      <c r="K53">
        <f ca="1"/>
        <v>1743</v>
      </c>
      <c r="L53">
        <f ca="1"/>
        <v>3</v>
      </c>
      <c r="R53" s="2"/>
    </row>
    <row r="54" spans="2:18" x14ac:dyDescent="0.3">
      <c r="B54" t="str">
        <f ca="1"/>
        <v>Pratigya Rema</v>
      </c>
      <c r="C54" t="str">
        <f ca="1"/>
        <v>Female</v>
      </c>
      <c r="D54" t="str">
        <f ca="1"/>
        <v>Website</v>
      </c>
      <c r="E54">
        <f ca="1"/>
        <v>31</v>
      </c>
      <c r="F54">
        <f ca="1"/>
        <v>44604</v>
      </c>
      <c r="G54">
        <f ca="1"/>
        <v>58100</v>
      </c>
      <c r="H54" t="str">
        <f ca="1"/>
        <v>Average</v>
      </c>
      <c r="I54" t="str">
        <f ca="1"/>
        <v>Ind</v>
      </c>
      <c r="J54">
        <f ca="1"/>
        <v>2.2794520547945205</v>
      </c>
      <c r="K54">
        <f ca="1"/>
        <v>1743</v>
      </c>
      <c r="L54">
        <f ca="1"/>
        <v>3</v>
      </c>
      <c r="R54" s="2"/>
    </row>
    <row r="55" spans="2:18" x14ac:dyDescent="0.3">
      <c r="B55" t="str">
        <f ca="1"/>
        <v>William Reeveley</v>
      </c>
      <c r="C55" t="str">
        <f ca="1"/>
        <v>Male</v>
      </c>
      <c r="D55" t="str">
        <f ca="1"/>
        <v>Website</v>
      </c>
      <c r="E55">
        <f ca="1"/>
        <v>33</v>
      </c>
      <c r="F55">
        <f ca="1"/>
        <v>44509</v>
      </c>
      <c r="G55">
        <f ca="1"/>
        <v>53870</v>
      </c>
      <c r="H55" t="str">
        <f ca="1"/>
        <v>Average</v>
      </c>
      <c r="I55" t="str">
        <f ca="1"/>
        <v>Newz</v>
      </c>
      <c r="J55">
        <f ca="1"/>
        <v>2.5397260273972604</v>
      </c>
      <c r="K55">
        <f ca="1"/>
        <v>1617</v>
      </c>
      <c r="L55">
        <f ca="1"/>
        <v>3</v>
      </c>
      <c r="R55" s="2"/>
    </row>
    <row r="56" spans="2:18" x14ac:dyDescent="0.3">
      <c r="B56" t="str">
        <f ca="1"/>
        <v>Pragya Nilufar</v>
      </c>
      <c r="C56" t="str">
        <f ca="1"/>
        <v>Male</v>
      </c>
      <c r="D56" t="str">
        <f ca="1"/>
        <v>Website</v>
      </c>
      <c r="E56">
        <f ca="1"/>
        <v>33</v>
      </c>
      <c r="F56">
        <f ca="1"/>
        <v>44448</v>
      </c>
      <c r="G56">
        <f ca="1"/>
        <v>53870</v>
      </c>
      <c r="H56" t="str">
        <f ca="1"/>
        <v>Average</v>
      </c>
      <c r="I56" t="str">
        <f ca="1"/>
        <v>Ind</v>
      </c>
      <c r="J56">
        <f ca="1"/>
        <v>2.7068493150684931</v>
      </c>
      <c r="K56">
        <f ca="1"/>
        <v>1617</v>
      </c>
      <c r="L56">
        <f ca="1"/>
        <v>3</v>
      </c>
      <c r="R56" s="2"/>
    </row>
    <row r="57" spans="2:18" x14ac:dyDescent="0.3">
      <c r="B57" t="str">
        <f ca="1"/>
        <v>Gunar Cockshoot</v>
      </c>
      <c r="C57" t="str">
        <f ca="1"/>
        <v>Male</v>
      </c>
      <c r="D57" t="str">
        <f ca="1"/>
        <v>Website</v>
      </c>
      <c r="E57">
        <f ca="1"/>
        <v>31</v>
      </c>
      <c r="F57">
        <f ca="1"/>
        <v>44511</v>
      </c>
      <c r="G57">
        <f ca="1"/>
        <v>48950</v>
      </c>
      <c r="H57" t="str">
        <f ca="1"/>
        <v>Average</v>
      </c>
      <c r="I57" t="str">
        <f ca="1"/>
        <v>Newz</v>
      </c>
      <c r="J57">
        <f ca="1"/>
        <v>2.5342465753424657</v>
      </c>
      <c r="K57">
        <f ca="1"/>
        <v>1469</v>
      </c>
      <c r="L57">
        <f ca="1"/>
        <v>3</v>
      </c>
      <c r="R57" s="2"/>
    </row>
    <row r="58" spans="2:18" x14ac:dyDescent="0.3">
      <c r="B58" t="str">
        <f ca="1"/>
        <v>Amal Nimesh</v>
      </c>
      <c r="C58" t="str">
        <f ca="1"/>
        <v>Male</v>
      </c>
      <c r="D58" t="str">
        <f ca="1"/>
        <v>Website</v>
      </c>
      <c r="E58">
        <f ca="1"/>
        <v>31</v>
      </c>
      <c r="F58">
        <f ca="1"/>
        <v>44450</v>
      </c>
      <c r="G58">
        <f ca="1"/>
        <v>48950</v>
      </c>
      <c r="H58" t="str">
        <f ca="1"/>
        <v>Average</v>
      </c>
      <c r="I58" t="str">
        <f ca="1"/>
        <v>Ind</v>
      </c>
      <c r="J58">
        <f ca="1"/>
        <v>2.7013698630136984</v>
      </c>
      <c r="K58">
        <f ca="1"/>
        <v>1469</v>
      </c>
      <c r="L58">
        <f ca="1"/>
        <v>3</v>
      </c>
      <c r="R58" s="2"/>
    </row>
    <row r="59" spans="2:18" x14ac:dyDescent="0.3">
      <c r="B59" t="str">
        <f ca="1"/>
        <v>Kassi Jonson</v>
      </c>
      <c r="C59" t="str">
        <f ca="1"/>
        <v>Female</v>
      </c>
      <c r="D59" t="str">
        <f ca="1"/>
        <v>Website</v>
      </c>
      <c r="E59">
        <f ca="1"/>
        <v>32</v>
      </c>
      <c r="F59">
        <f ca="1"/>
        <v>44354</v>
      </c>
      <c r="G59">
        <f ca="1"/>
        <v>43840</v>
      </c>
      <c r="H59" t="str">
        <f ca="1"/>
        <v>Above average</v>
      </c>
      <c r="I59" t="str">
        <f ca="1"/>
        <v>Newz</v>
      </c>
      <c r="J59">
        <f ca="1"/>
        <v>2.9643835616438357</v>
      </c>
      <c r="K59">
        <f ca="1"/>
        <v>1316</v>
      </c>
      <c r="L59">
        <f ca="1"/>
        <v>4</v>
      </c>
      <c r="R59" s="2"/>
    </row>
    <row r="60" spans="2:18" x14ac:dyDescent="0.3">
      <c r="B60" t="str">
        <f ca="1"/>
        <v>Yagna Sujeev</v>
      </c>
      <c r="C60" t="str">
        <f ca="1"/>
        <v>Female</v>
      </c>
      <c r="D60" t="str">
        <f ca="1"/>
        <v>Website</v>
      </c>
      <c r="E60">
        <f ca="1"/>
        <v>32</v>
      </c>
      <c r="F60">
        <f ca="1"/>
        <v>44293</v>
      </c>
      <c r="G60">
        <f ca="1"/>
        <v>43840</v>
      </c>
      <c r="H60" t="str">
        <f ca="1"/>
        <v>Above average</v>
      </c>
      <c r="I60" t="str">
        <f ca="1"/>
        <v>Ind</v>
      </c>
      <c r="J60">
        <f ca="1"/>
        <v>3.1315068493150684</v>
      </c>
      <c r="K60">
        <f ca="1"/>
        <v>1316</v>
      </c>
      <c r="L60">
        <f ca="1"/>
        <v>4</v>
      </c>
      <c r="R60" s="2"/>
    </row>
    <row r="61" spans="2:18" x14ac:dyDescent="0.3">
      <c r="B61" t="str">
        <f ca="1"/>
        <v>Dotty Strutley</v>
      </c>
      <c r="C61" t="str">
        <f ca="1"/>
        <v>Female</v>
      </c>
      <c r="D61" t="str">
        <f ca="1"/>
        <v>Website</v>
      </c>
      <c r="E61">
        <f ca="1"/>
        <v>31</v>
      </c>
      <c r="F61">
        <f ca="1"/>
        <v>44145</v>
      </c>
      <c r="G61">
        <f ca="1"/>
        <v>41980</v>
      </c>
      <c r="H61" t="str">
        <f ca="1"/>
        <v>Average</v>
      </c>
      <c r="I61" t="str">
        <f ca="1"/>
        <v>Newz</v>
      </c>
      <c r="J61">
        <f ca="1"/>
        <v>3.536986301369863</v>
      </c>
      <c r="K61">
        <f ca="1"/>
        <v>1260</v>
      </c>
      <c r="L61">
        <f ca="1"/>
        <v>3</v>
      </c>
      <c r="R61" s="2"/>
    </row>
    <row r="62" spans="2:18" x14ac:dyDescent="0.3">
      <c r="B62" t="str">
        <f ca="1"/>
        <v>Jagajeet Viraj</v>
      </c>
      <c r="C62" t="str">
        <f ca="1"/>
        <v>Female</v>
      </c>
      <c r="D62" t="str">
        <f ca="1"/>
        <v>Website</v>
      </c>
      <c r="E62">
        <f ca="1"/>
        <v>31</v>
      </c>
      <c r="F62">
        <f ca="1"/>
        <v>44084</v>
      </c>
      <c r="G62">
        <f ca="1"/>
        <v>41980</v>
      </c>
      <c r="H62" t="str">
        <f ca="1"/>
        <v>Average</v>
      </c>
      <c r="I62" t="str">
        <f ca="1"/>
        <v>Ind</v>
      </c>
      <c r="J62">
        <f ca="1"/>
        <v>3.7041095890410958</v>
      </c>
      <c r="K62">
        <f ca="1"/>
        <v>1260</v>
      </c>
      <c r="L62">
        <f ca="1"/>
        <v>3</v>
      </c>
      <c r="R62" s="2"/>
    </row>
    <row r="63" spans="2:18" x14ac:dyDescent="0.3">
      <c r="B63" t="str">
        <f ca="1"/>
        <v>Niall Selesnick</v>
      </c>
      <c r="C63" t="str">
        <f ca="1"/>
        <v>Female</v>
      </c>
      <c r="D63" t="str">
        <f ca="1"/>
        <v>Website</v>
      </c>
      <c r="E63">
        <f ca="1"/>
        <v>29</v>
      </c>
      <c r="F63">
        <f ca="1"/>
        <v>44023</v>
      </c>
      <c r="G63">
        <f ca="1"/>
        <v>34980</v>
      </c>
      <c r="H63" t="str">
        <f ca="1"/>
        <v>Average</v>
      </c>
      <c r="I63" t="str">
        <f ca="1"/>
        <v>Newz</v>
      </c>
      <c r="J63">
        <f ca="1"/>
        <v>3.871232876712329</v>
      </c>
      <c r="K63">
        <f ca="1"/>
        <v>1050</v>
      </c>
      <c r="L63">
        <f ca="1"/>
        <v>3</v>
      </c>
      <c r="R63" s="2"/>
    </row>
    <row r="64" spans="2:18" x14ac:dyDescent="0.3">
      <c r="B64" t="str">
        <f ca="1"/>
        <v>Suchira Bhanupriya Tapti</v>
      </c>
      <c r="C64" t="str">
        <f ca="1"/>
        <v>Female</v>
      </c>
      <c r="D64" t="str">
        <f ca="1"/>
        <v>Website</v>
      </c>
      <c r="E64">
        <f ca="1"/>
        <v>29</v>
      </c>
      <c r="F64">
        <f ca="1"/>
        <v>43962</v>
      </c>
      <c r="G64">
        <f ca="1"/>
        <v>34980</v>
      </c>
      <c r="H64" t="str">
        <f ca="1"/>
        <v>Average</v>
      </c>
      <c r="I64" t="str">
        <f ca="1"/>
        <v>Ind</v>
      </c>
      <c r="J64">
        <f ca="1"/>
        <v>4.0383561643835613</v>
      </c>
      <c r="K64">
        <f ca="1"/>
        <v>1050</v>
      </c>
      <c r="L64">
        <f ca="1"/>
        <v>3</v>
      </c>
      <c r="R64" s="2"/>
    </row>
    <row r="65" spans="2:18" x14ac:dyDescent="0.3">
      <c r="B65" t="str">
        <f ca="1"/>
        <v>Gretchen Callow</v>
      </c>
      <c r="C65" t="str">
        <f ca="1"/>
        <v>Female</v>
      </c>
      <c r="D65" t="str">
        <f ca="1"/>
        <v>Website</v>
      </c>
      <c r="E65">
        <f ca="1"/>
        <v>21</v>
      </c>
      <c r="F65">
        <f ca="1"/>
        <v>44678</v>
      </c>
      <c r="G65">
        <f ca="1"/>
        <v>33920</v>
      </c>
      <c r="H65" t="str">
        <f ca="1"/>
        <v>Average</v>
      </c>
      <c r="I65" t="str">
        <f ca="1"/>
        <v>Newz</v>
      </c>
      <c r="J65">
        <f ca="1"/>
        <v>2.0767123287671234</v>
      </c>
      <c r="K65">
        <f ca="1"/>
        <v>1018</v>
      </c>
      <c r="L65">
        <f ca="1"/>
        <v>3</v>
      </c>
      <c r="R65" s="2"/>
    </row>
    <row r="66" spans="2:18" x14ac:dyDescent="0.3">
      <c r="B66" t="str">
        <f ca="1"/>
        <v>Shubhra Potla</v>
      </c>
      <c r="C66" t="str">
        <f ca="1"/>
        <v>Female</v>
      </c>
      <c r="D66" t="str">
        <f ca="1"/>
        <v>Website</v>
      </c>
      <c r="E66">
        <f ca="1"/>
        <v>21</v>
      </c>
      <c r="F66">
        <f ca="1"/>
        <v>44619</v>
      </c>
      <c r="G66">
        <f ca="1"/>
        <v>33920</v>
      </c>
      <c r="H66" t="str">
        <f ca="1"/>
        <v>Average</v>
      </c>
      <c r="I66" t="str">
        <f ca="1"/>
        <v>Ind</v>
      </c>
      <c r="J66">
        <f ca="1"/>
        <v>2.2383561643835614</v>
      </c>
      <c r="K66">
        <f ca="1"/>
        <v>1018</v>
      </c>
      <c r="L66">
        <f ca="1"/>
        <v>3</v>
      </c>
      <c r="R66" s="2"/>
    </row>
    <row r="67" spans="2:18" x14ac:dyDescent="0.3">
      <c r="R67" s="2"/>
    </row>
    <row r="68" spans="2:18" x14ac:dyDescent="0.3">
      <c r="R68" s="2"/>
    </row>
    <row r="69" spans="2:18" x14ac:dyDescent="0.3">
      <c r="R69" s="2"/>
    </row>
    <row r="70" spans="2:18" x14ac:dyDescent="0.3">
      <c r="R70" s="2"/>
    </row>
    <row r="71" spans="2:18" x14ac:dyDescent="0.3">
      <c r="R71" s="2"/>
    </row>
    <row r="72" spans="2:18" x14ac:dyDescent="0.3">
      <c r="R72" s="2"/>
    </row>
    <row r="73" spans="2:18" x14ac:dyDescent="0.3">
      <c r="R73" s="2"/>
    </row>
    <row r="74" spans="2:18" x14ac:dyDescent="0.3">
      <c r="R74" s="2"/>
    </row>
    <row r="75" spans="2:18" x14ac:dyDescent="0.3">
      <c r="R75" s="2"/>
    </row>
    <row r="76" spans="2:18" x14ac:dyDescent="0.3">
      <c r="R76" s="2"/>
    </row>
    <row r="77" spans="2:18" x14ac:dyDescent="0.3">
      <c r="R77" s="2"/>
    </row>
    <row r="78" spans="2:18" x14ac:dyDescent="0.3">
      <c r="R78" s="2"/>
    </row>
    <row r="79" spans="2:18" x14ac:dyDescent="0.3">
      <c r="R79" s="2"/>
    </row>
    <row r="80" spans="2:18" x14ac:dyDescent="0.3">
      <c r="R80" s="2"/>
    </row>
    <row r="81" spans="18:18" x14ac:dyDescent="0.3">
      <c r="R81" s="2"/>
    </row>
    <row r="82" spans="18:18" x14ac:dyDescent="0.3">
      <c r="R82" s="2"/>
    </row>
    <row r="83" spans="18:18" x14ac:dyDescent="0.3">
      <c r="R83" s="2"/>
    </row>
    <row r="84" spans="18:18" x14ac:dyDescent="0.3">
      <c r="R84" s="2"/>
    </row>
    <row r="85" spans="18:18" x14ac:dyDescent="0.3">
      <c r="R85" s="2"/>
    </row>
    <row r="86" spans="18:18" x14ac:dyDescent="0.3">
      <c r="R86" s="2"/>
    </row>
    <row r="87" spans="18:18" x14ac:dyDescent="0.3">
      <c r="R87" s="2"/>
    </row>
    <row r="88" spans="18:18" x14ac:dyDescent="0.3">
      <c r="R88" s="2"/>
    </row>
    <row r="89" spans="18:18" x14ac:dyDescent="0.3">
      <c r="R89" s="2"/>
    </row>
    <row r="90" spans="18:18" x14ac:dyDescent="0.3">
      <c r="R90" s="2"/>
    </row>
    <row r="91" spans="18:18" x14ac:dyDescent="0.3">
      <c r="R91" s="2"/>
    </row>
    <row r="92" spans="18:18" x14ac:dyDescent="0.3">
      <c r="R92" s="2"/>
    </row>
    <row r="93" spans="18:18" x14ac:dyDescent="0.3">
      <c r="R93" s="2"/>
    </row>
    <row r="94" spans="18:18" x14ac:dyDescent="0.3">
      <c r="R94" s="2"/>
    </row>
    <row r="95" spans="18:18" x14ac:dyDescent="0.3">
      <c r="R95" s="2"/>
    </row>
    <row r="96" spans="18:18" x14ac:dyDescent="0.3">
      <c r="R96" s="2"/>
    </row>
    <row r="97" spans="18:18" x14ac:dyDescent="0.3">
      <c r="R97" s="2"/>
    </row>
    <row r="98" spans="18:18" x14ac:dyDescent="0.3">
      <c r="R98" s="2"/>
    </row>
    <row r="99" spans="18:18" x14ac:dyDescent="0.3">
      <c r="R99" s="2"/>
    </row>
    <row r="100" spans="18:18" x14ac:dyDescent="0.3">
      <c r="R100" s="2"/>
    </row>
    <row r="101" spans="18:18" x14ac:dyDescent="0.3">
      <c r="R101" s="2"/>
    </row>
    <row r="102" spans="18:18" x14ac:dyDescent="0.3">
      <c r="R102" s="2"/>
    </row>
    <row r="103" spans="18:18" x14ac:dyDescent="0.3">
      <c r="R103" s="2"/>
    </row>
    <row r="104" spans="18:18" x14ac:dyDescent="0.3">
      <c r="R104" s="2"/>
    </row>
    <row r="105" spans="18:18" x14ac:dyDescent="0.3">
      <c r="R105" s="2"/>
    </row>
    <row r="106" spans="18:18" x14ac:dyDescent="0.3">
      <c r="R106" s="2"/>
    </row>
    <row r="107" spans="18:18" x14ac:dyDescent="0.3">
      <c r="R107" s="2"/>
    </row>
    <row r="108" spans="18:18" x14ac:dyDescent="0.3">
      <c r="R108" s="2"/>
    </row>
    <row r="109" spans="18:18" x14ac:dyDescent="0.3">
      <c r="R109" s="2"/>
    </row>
    <row r="110" spans="18:18" x14ac:dyDescent="0.3">
      <c r="R110" s="2"/>
    </row>
    <row r="111" spans="18:18" x14ac:dyDescent="0.3">
      <c r="R111" s="2"/>
    </row>
    <row r="112" spans="18:18" x14ac:dyDescent="0.3">
      <c r="R112" s="2"/>
    </row>
    <row r="113" spans="18:18" x14ac:dyDescent="0.3">
      <c r="R113" s="2"/>
    </row>
    <row r="114" spans="18:18" x14ac:dyDescent="0.3">
      <c r="R114" s="2"/>
    </row>
    <row r="115" spans="18:18" x14ac:dyDescent="0.3">
      <c r="R115" s="2"/>
    </row>
    <row r="116" spans="18:18" x14ac:dyDescent="0.3">
      <c r="R116" s="2"/>
    </row>
    <row r="117" spans="18:18" x14ac:dyDescent="0.3">
      <c r="R117" s="2"/>
    </row>
    <row r="118" spans="18:18" x14ac:dyDescent="0.3">
      <c r="R118" s="2"/>
    </row>
    <row r="119" spans="18:18" x14ac:dyDescent="0.3">
      <c r="R119" s="2"/>
    </row>
    <row r="120" spans="18:18" x14ac:dyDescent="0.3">
      <c r="R120" s="2"/>
    </row>
    <row r="121" spans="18:18" x14ac:dyDescent="0.3">
      <c r="R121" s="2"/>
    </row>
    <row r="122" spans="18:18" x14ac:dyDescent="0.3">
      <c r="R122" s="2"/>
    </row>
    <row r="123" spans="18:18" x14ac:dyDescent="0.3">
      <c r="R123" s="2"/>
    </row>
    <row r="124" spans="18:18" x14ac:dyDescent="0.3">
      <c r="R124" s="2"/>
    </row>
    <row r="125" spans="18:18" x14ac:dyDescent="0.3">
      <c r="R125" s="2"/>
    </row>
    <row r="126" spans="18:18" x14ac:dyDescent="0.3">
      <c r="R126" s="2"/>
    </row>
    <row r="127" spans="18:18" x14ac:dyDescent="0.3">
      <c r="R127" s="2"/>
    </row>
    <row r="128" spans="18:18" x14ac:dyDescent="0.3">
      <c r="R128" s="2"/>
    </row>
    <row r="129" spans="18:18" x14ac:dyDescent="0.3">
      <c r="R129" s="2"/>
    </row>
    <row r="130" spans="18:18" x14ac:dyDescent="0.3">
      <c r="R130" s="2"/>
    </row>
    <row r="131" spans="18:18" x14ac:dyDescent="0.3">
      <c r="R131" s="2"/>
    </row>
    <row r="132" spans="18:18" x14ac:dyDescent="0.3">
      <c r="R132" s="2"/>
    </row>
    <row r="133" spans="18:18" x14ac:dyDescent="0.3">
      <c r="R133" s="2"/>
    </row>
    <row r="134" spans="18:18" x14ac:dyDescent="0.3">
      <c r="R134" s="2"/>
    </row>
    <row r="135" spans="18:18" x14ac:dyDescent="0.3">
      <c r="R135" s="2"/>
    </row>
    <row r="136" spans="18:18" x14ac:dyDescent="0.3">
      <c r="R136" s="2"/>
    </row>
    <row r="137" spans="18:18" x14ac:dyDescent="0.3">
      <c r="R137" s="2"/>
    </row>
    <row r="138" spans="18:18" x14ac:dyDescent="0.3">
      <c r="R138" s="2"/>
    </row>
    <row r="139" spans="18:18" x14ac:dyDescent="0.3">
      <c r="R139" s="2"/>
    </row>
    <row r="140" spans="18:18" x14ac:dyDescent="0.3">
      <c r="R140" s="2"/>
    </row>
    <row r="141" spans="18:18" x14ac:dyDescent="0.3">
      <c r="R141" s="2"/>
    </row>
    <row r="142" spans="18:18" x14ac:dyDescent="0.3">
      <c r="R142" s="2"/>
    </row>
    <row r="143" spans="18:18" x14ac:dyDescent="0.3">
      <c r="R143" s="2"/>
    </row>
    <row r="144" spans="18:18" x14ac:dyDescent="0.3">
      <c r="R144" s="2"/>
    </row>
    <row r="145" spans="18:18" x14ac:dyDescent="0.3">
      <c r="R145" s="2"/>
    </row>
    <row r="146" spans="18:18" x14ac:dyDescent="0.3">
      <c r="R146" s="2"/>
    </row>
    <row r="147" spans="18:18" x14ac:dyDescent="0.3">
      <c r="R147" s="2"/>
    </row>
    <row r="148" spans="18:18" x14ac:dyDescent="0.3">
      <c r="R148" s="2"/>
    </row>
    <row r="149" spans="18:18" x14ac:dyDescent="0.3">
      <c r="R149" s="2"/>
    </row>
    <row r="150" spans="18:18" x14ac:dyDescent="0.3">
      <c r="R150" s="2"/>
    </row>
    <row r="151" spans="18:18" x14ac:dyDescent="0.3">
      <c r="R151" s="2"/>
    </row>
    <row r="152" spans="18:18" x14ac:dyDescent="0.3">
      <c r="R152" s="2"/>
    </row>
    <row r="153" spans="18:18" x14ac:dyDescent="0.3">
      <c r="R153" s="2"/>
    </row>
    <row r="154" spans="18:18" x14ac:dyDescent="0.3">
      <c r="R154" s="2"/>
    </row>
    <row r="155" spans="18:18" x14ac:dyDescent="0.3">
      <c r="R155" s="2"/>
    </row>
    <row r="156" spans="18:18" x14ac:dyDescent="0.3">
      <c r="R156" s="2"/>
    </row>
    <row r="157" spans="18:18" x14ac:dyDescent="0.3">
      <c r="R157" s="2"/>
    </row>
    <row r="158" spans="18:18" x14ac:dyDescent="0.3">
      <c r="R158" s="2"/>
    </row>
    <row r="159" spans="18:18" x14ac:dyDescent="0.3">
      <c r="R159" s="2"/>
    </row>
    <row r="160" spans="18:18" x14ac:dyDescent="0.3">
      <c r="R160" s="2"/>
    </row>
    <row r="161" spans="18:18" x14ac:dyDescent="0.3">
      <c r="R161" s="2"/>
    </row>
    <row r="162" spans="18:18" x14ac:dyDescent="0.3">
      <c r="R162" s="2"/>
    </row>
    <row r="163" spans="18:18" x14ac:dyDescent="0.3">
      <c r="R163" s="2"/>
    </row>
    <row r="164" spans="18:18" x14ac:dyDescent="0.3">
      <c r="R164" s="2"/>
    </row>
    <row r="165" spans="18:18" x14ac:dyDescent="0.3">
      <c r="R165" s="2"/>
    </row>
    <row r="166" spans="18:18" x14ac:dyDescent="0.3">
      <c r="R166" s="2"/>
    </row>
    <row r="167" spans="18:18" x14ac:dyDescent="0.3">
      <c r="R167" s="2"/>
    </row>
    <row r="168" spans="18:18" x14ac:dyDescent="0.3">
      <c r="R168" s="2"/>
    </row>
    <row r="169" spans="18:18" x14ac:dyDescent="0.3">
      <c r="R169" s="2"/>
    </row>
    <row r="170" spans="18:18" x14ac:dyDescent="0.3">
      <c r="R170" s="2"/>
    </row>
    <row r="171" spans="18:18" x14ac:dyDescent="0.3">
      <c r="R171" s="2"/>
    </row>
    <row r="172" spans="18:18" x14ac:dyDescent="0.3">
      <c r="R172" s="2"/>
    </row>
    <row r="173" spans="18:18" x14ac:dyDescent="0.3">
      <c r="R173" s="2"/>
    </row>
    <row r="174" spans="18:18" x14ac:dyDescent="0.3">
      <c r="R174" s="2"/>
    </row>
    <row r="175" spans="18:18" x14ac:dyDescent="0.3">
      <c r="R175" s="2"/>
    </row>
    <row r="176" spans="18:18" x14ac:dyDescent="0.3">
      <c r="R176" s="2"/>
    </row>
    <row r="177" spans="18:18" x14ac:dyDescent="0.3">
      <c r="R177" s="2"/>
    </row>
    <row r="178" spans="18:18" x14ac:dyDescent="0.3">
      <c r="R178" s="2"/>
    </row>
    <row r="179" spans="18:18" x14ac:dyDescent="0.3">
      <c r="R179" s="2"/>
    </row>
    <row r="180" spans="18:18" x14ac:dyDescent="0.3">
      <c r="R180" s="2"/>
    </row>
    <row r="181" spans="18:18" x14ac:dyDescent="0.3">
      <c r="R181" s="2"/>
    </row>
    <row r="182" spans="18:18" x14ac:dyDescent="0.3">
      <c r="R182" s="2"/>
    </row>
    <row r="183" spans="18:18" x14ac:dyDescent="0.3">
      <c r="R183" s="2"/>
    </row>
    <row r="184" spans="18:18" x14ac:dyDescent="0.3">
      <c r="R184" s="2"/>
    </row>
    <row r="185" spans="18:18" x14ac:dyDescent="0.3">
      <c r="R185" s="2"/>
    </row>
    <row r="186" spans="18:18" x14ac:dyDescent="0.3">
      <c r="R186" s="2"/>
    </row>
    <row r="187" spans="18:18" x14ac:dyDescent="0.3">
      <c r="R187" s="2"/>
    </row>
    <row r="188" spans="18:18" x14ac:dyDescent="0.3">
      <c r="R188" s="2"/>
    </row>
    <row r="189" spans="18:18" x14ac:dyDescent="0.3">
      <c r="R189" s="2"/>
    </row>
    <row r="190" spans="18:18" x14ac:dyDescent="0.3">
      <c r="R190" s="2"/>
    </row>
    <row r="191" spans="18:18" x14ac:dyDescent="0.3">
      <c r="R191" s="2"/>
    </row>
    <row r="192" spans="18:18" x14ac:dyDescent="0.3">
      <c r="R192" s="2"/>
    </row>
    <row r="193" spans="18:18" x14ac:dyDescent="0.3">
      <c r="R193" s="2"/>
    </row>
    <row r="194" spans="18:18" x14ac:dyDescent="0.3">
      <c r="R194" s="2"/>
    </row>
    <row r="195" spans="18:18" x14ac:dyDescent="0.3">
      <c r="R195" s="2"/>
    </row>
  </sheetData>
  <mergeCells count="2">
    <mergeCell ref="B8:F10"/>
    <mergeCell ref="M8:Q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50EBD-8593-41E0-A421-BF4EE1437EF9}">
  <dimension ref="F4:I41"/>
  <sheetViews>
    <sheetView topLeftCell="H24" workbookViewId="0">
      <selection activeCell="O24" sqref="O24"/>
    </sheetView>
  </sheetViews>
  <sheetFormatPr defaultRowHeight="14.4" x14ac:dyDescent="0.3"/>
  <cols>
    <col min="4" max="4" width="20.5546875" bestFit="1" customWidth="1"/>
    <col min="5" max="6" width="12.5546875" bestFit="1" customWidth="1"/>
    <col min="7" max="7" width="15.77734375" bestFit="1" customWidth="1"/>
    <col min="8" max="74" width="10.5546875" bestFit="1" customWidth="1"/>
    <col min="75" max="96" width="12.109375" bestFit="1" customWidth="1"/>
    <col min="97" max="97" width="10.77734375" bestFit="1" customWidth="1"/>
    <col min="98" max="164" width="10.5546875" bestFit="1" customWidth="1"/>
    <col min="165" max="186" width="12.109375" bestFit="1" customWidth="1"/>
    <col min="187" max="188" width="18.6640625" bestFit="1" customWidth="1"/>
  </cols>
  <sheetData>
    <row r="4" spans="6:9" x14ac:dyDescent="0.3">
      <c r="G4" s="20" t="s">
        <v>230</v>
      </c>
    </row>
    <row r="5" spans="6:9" x14ac:dyDescent="0.3">
      <c r="F5" s="20" t="s">
        <v>234</v>
      </c>
      <c r="G5" t="s">
        <v>8</v>
      </c>
      <c r="H5" t="s">
        <v>15</v>
      </c>
      <c r="I5" t="s">
        <v>229</v>
      </c>
    </row>
    <row r="6" spans="6:9" x14ac:dyDescent="0.3">
      <c r="F6" s="21" t="s">
        <v>232</v>
      </c>
      <c r="G6" s="22">
        <v>43</v>
      </c>
      <c r="H6" s="22">
        <v>46</v>
      </c>
      <c r="I6" s="22">
        <v>89</v>
      </c>
    </row>
    <row r="7" spans="6:9" x14ac:dyDescent="0.3">
      <c r="F7" s="21" t="s">
        <v>233</v>
      </c>
      <c r="G7" s="3">
        <v>31.418604651162791</v>
      </c>
      <c r="H7" s="3">
        <v>29.239130434782609</v>
      </c>
      <c r="I7" s="3">
        <v>30.292134831460675</v>
      </c>
    </row>
    <row r="8" spans="6:9" x14ac:dyDescent="0.3">
      <c r="F8" s="21" t="s">
        <v>231</v>
      </c>
      <c r="G8" s="2">
        <v>3366220</v>
      </c>
      <c r="H8" s="2">
        <v>3469620</v>
      </c>
      <c r="I8" s="2">
        <v>6835840</v>
      </c>
    </row>
    <row r="14" spans="6:9" x14ac:dyDescent="0.3">
      <c r="F14" s="20" t="s">
        <v>228</v>
      </c>
      <c r="G14" t="s">
        <v>236</v>
      </c>
    </row>
    <row r="15" spans="6:9" x14ac:dyDescent="0.3">
      <c r="F15" s="21" t="s">
        <v>21</v>
      </c>
      <c r="G15" s="2">
        <v>72472.631578947374</v>
      </c>
    </row>
    <row r="16" spans="6:9" x14ac:dyDescent="0.3">
      <c r="F16" s="21" t="s">
        <v>56</v>
      </c>
      <c r="G16" s="2">
        <v>89650</v>
      </c>
    </row>
    <row r="17" spans="6:7" x14ac:dyDescent="0.3">
      <c r="F17" s="21" t="s">
        <v>9</v>
      </c>
      <c r="G17" s="2">
        <v>82345</v>
      </c>
    </row>
    <row r="18" spans="6:7" x14ac:dyDescent="0.3">
      <c r="F18" s="21" t="s">
        <v>19</v>
      </c>
      <c r="G18" s="2">
        <v>67866.428571428565</v>
      </c>
    </row>
    <row r="19" spans="6:7" x14ac:dyDescent="0.3">
      <c r="F19" s="21" t="s">
        <v>12</v>
      </c>
      <c r="G19" s="2">
        <v>78782.857142857145</v>
      </c>
    </row>
    <row r="20" spans="6:7" x14ac:dyDescent="0.3">
      <c r="F20" s="21" t="s">
        <v>229</v>
      </c>
      <c r="G20" s="2">
        <v>77390.215053763444</v>
      </c>
    </row>
    <row r="35" spans="6:7" x14ac:dyDescent="0.3">
      <c r="F35" s="20" t="s">
        <v>228</v>
      </c>
      <c r="G35" t="s">
        <v>236</v>
      </c>
    </row>
    <row r="36" spans="6:7" x14ac:dyDescent="0.3">
      <c r="F36" s="21" t="s">
        <v>21</v>
      </c>
      <c r="G36" s="2">
        <v>72472.631578947374</v>
      </c>
    </row>
    <row r="37" spans="6:7" x14ac:dyDescent="0.3">
      <c r="F37" s="21" t="s">
        <v>56</v>
      </c>
      <c r="G37" s="2">
        <v>89650</v>
      </c>
    </row>
    <row r="38" spans="6:7" x14ac:dyDescent="0.3">
      <c r="F38" s="21" t="s">
        <v>9</v>
      </c>
      <c r="G38" s="2">
        <v>81222.592592592599</v>
      </c>
    </row>
    <row r="39" spans="6:7" x14ac:dyDescent="0.3">
      <c r="F39" s="21" t="s">
        <v>19</v>
      </c>
      <c r="G39" s="2">
        <v>67866.428571428565</v>
      </c>
    </row>
    <row r="40" spans="6:7" x14ac:dyDescent="0.3">
      <c r="F40" s="21" t="s">
        <v>12</v>
      </c>
      <c r="G40" s="2">
        <v>78753.703703703708</v>
      </c>
    </row>
    <row r="41" spans="6:7" x14ac:dyDescent="0.3">
      <c r="F41" s="21" t="s">
        <v>229</v>
      </c>
      <c r="G41" s="2">
        <v>76978.791208791212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4C757-B441-4C48-AD02-772D36DADD0A}">
  <dimension ref="A1"/>
  <sheetViews>
    <sheetView topLeftCell="B1" zoomScale="87" workbookViewId="0">
      <selection activeCell="X7" sqref="X7"/>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D9847-CE26-4FB5-8D04-49A6476F83D8}">
  <dimension ref="B4:I12"/>
  <sheetViews>
    <sheetView topLeftCell="B10" workbookViewId="0">
      <selection activeCell="M26" sqref="M26"/>
    </sheetView>
  </sheetViews>
  <sheetFormatPr defaultRowHeight="14.4" x14ac:dyDescent="0.3"/>
  <cols>
    <col min="2" max="2" width="13.109375" bestFit="1" customWidth="1"/>
    <col min="3" max="3" width="13.88671875" bestFit="1" customWidth="1"/>
    <col min="4" max="4" width="15.77734375" bestFit="1" customWidth="1"/>
    <col min="5" max="6" width="15.5546875" bestFit="1" customWidth="1"/>
    <col min="7" max="7" width="12.5546875" bestFit="1" customWidth="1"/>
    <col min="8" max="8" width="13.88671875" bestFit="1" customWidth="1"/>
    <col min="9" max="9" width="15.77734375" bestFit="1" customWidth="1"/>
  </cols>
  <sheetData>
    <row r="4" spans="2:9" x14ac:dyDescent="0.3">
      <c r="B4" s="25" t="s">
        <v>237</v>
      </c>
      <c r="C4" s="25"/>
      <c r="D4" s="25"/>
      <c r="G4" s="25" t="s">
        <v>238</v>
      </c>
      <c r="H4" s="25"/>
      <c r="I4" s="25"/>
    </row>
    <row r="5" spans="2:9" x14ac:dyDescent="0.3">
      <c r="B5" s="25"/>
      <c r="C5" s="25"/>
      <c r="D5" s="25"/>
      <c r="G5" s="25"/>
      <c r="H5" s="25"/>
      <c r="I5" s="25"/>
    </row>
    <row r="6" spans="2:9" x14ac:dyDescent="0.3">
      <c r="B6" s="20" t="s">
        <v>228</v>
      </c>
      <c r="C6" t="s">
        <v>232</v>
      </c>
      <c r="D6" t="s">
        <v>236</v>
      </c>
      <c r="G6" s="20" t="s">
        <v>228</v>
      </c>
      <c r="H6" t="s">
        <v>232</v>
      </c>
      <c r="I6" t="s">
        <v>236</v>
      </c>
    </row>
    <row r="7" spans="2:9" x14ac:dyDescent="0.3">
      <c r="B7" s="21" t="s">
        <v>10</v>
      </c>
      <c r="C7" s="22">
        <v>4</v>
      </c>
      <c r="D7" s="2">
        <v>92080</v>
      </c>
      <c r="G7" s="21" t="s">
        <v>56</v>
      </c>
      <c r="H7" s="22">
        <v>8</v>
      </c>
      <c r="I7" s="2">
        <v>89650</v>
      </c>
    </row>
    <row r="8" spans="2:9" x14ac:dyDescent="0.3">
      <c r="B8" s="21" t="s">
        <v>13</v>
      </c>
      <c r="C8" s="22">
        <v>20</v>
      </c>
      <c r="D8" s="2">
        <v>75933</v>
      </c>
      <c r="G8" s="21" t="s">
        <v>21</v>
      </c>
      <c r="H8" s="22">
        <v>38</v>
      </c>
      <c r="I8" s="2">
        <v>72472.631578947374</v>
      </c>
    </row>
    <row r="9" spans="2:9" x14ac:dyDescent="0.3">
      <c r="B9" s="21" t="s">
        <v>16</v>
      </c>
      <c r="C9" s="22">
        <v>138</v>
      </c>
      <c r="D9" s="2">
        <v>76818.840579710144</v>
      </c>
      <c r="G9" s="21" t="s">
        <v>9</v>
      </c>
      <c r="H9" s="22">
        <v>55</v>
      </c>
      <c r="I9" s="2">
        <v>81794</v>
      </c>
    </row>
    <row r="10" spans="2:9" x14ac:dyDescent="0.3">
      <c r="B10" s="21" t="s">
        <v>24</v>
      </c>
      <c r="C10" s="22">
        <v>16</v>
      </c>
      <c r="D10" s="2">
        <v>78115</v>
      </c>
      <c r="G10" s="21" t="s">
        <v>19</v>
      </c>
      <c r="H10" s="22">
        <v>28</v>
      </c>
      <c r="I10" s="2">
        <v>67866.428571428565</v>
      </c>
    </row>
    <row r="11" spans="2:9" x14ac:dyDescent="0.3">
      <c r="B11" s="21" t="s">
        <v>42</v>
      </c>
      <c r="C11" s="22">
        <v>6</v>
      </c>
      <c r="D11" s="2">
        <v>77423.333333333328</v>
      </c>
      <c r="G11" s="21" t="s">
        <v>12</v>
      </c>
      <c r="H11" s="22">
        <v>55</v>
      </c>
      <c r="I11" s="2">
        <v>78768.545454545456</v>
      </c>
    </row>
    <row r="12" spans="2:9" x14ac:dyDescent="0.3">
      <c r="B12" s="21" t="s">
        <v>229</v>
      </c>
      <c r="C12" s="22">
        <v>184</v>
      </c>
      <c r="D12" s="2">
        <v>77186.739130434784</v>
      </c>
      <c r="G12" s="21" t="s">
        <v>229</v>
      </c>
      <c r="H12" s="22">
        <v>184</v>
      </c>
      <c r="I12" s="22">
        <v>77186.739130434784</v>
      </c>
    </row>
  </sheetData>
  <mergeCells count="2">
    <mergeCell ref="B4:D5"/>
    <mergeCell ref="G4:I5"/>
  </mergeCells>
  <conditionalFormatting pivot="1" sqref="D7:D12">
    <cfRule type="dataBar" priority="2">
      <dataBar>
        <cfvo type="min"/>
        <cfvo type="max"/>
        <color rgb="FFFFB628"/>
      </dataBar>
      <extLst>
        <ext xmlns:x14="http://schemas.microsoft.com/office/spreadsheetml/2009/9/main" uri="{B025F937-C7B1-47D3-B67F-A62EFF666E3E}">
          <x14:id>{D476C9E4-C8CC-4952-9A92-D1AF9E3BABBF}</x14:id>
        </ext>
      </extLst>
    </cfRule>
  </conditionalFormatting>
  <conditionalFormatting pivot="1" sqref="I7:I12">
    <cfRule type="dataBar" priority="1">
      <dataBar>
        <cfvo type="min"/>
        <cfvo type="max"/>
        <color rgb="FF008AEF"/>
      </dataBar>
      <extLst>
        <ext xmlns:x14="http://schemas.microsoft.com/office/spreadsheetml/2009/9/main" uri="{B025F937-C7B1-47D3-B67F-A62EFF666E3E}">
          <x14:id>{50458D79-37F4-4AFD-9202-47A58E0BC6AB}</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D476C9E4-C8CC-4952-9A92-D1AF9E3BABBF}">
            <x14:dataBar minLength="0" maxLength="100" gradient="0">
              <x14:cfvo type="autoMin"/>
              <x14:cfvo type="autoMax"/>
              <x14:negativeFillColor rgb="FFFF0000"/>
              <x14:axisColor rgb="FF000000"/>
            </x14:dataBar>
          </x14:cfRule>
          <xm:sqref>D7:D12</xm:sqref>
        </x14:conditionalFormatting>
        <x14:conditionalFormatting xmlns:xm="http://schemas.microsoft.com/office/excel/2006/main" pivot="1">
          <x14:cfRule type="dataBar" id="{50458D79-37F4-4AFD-9202-47A58E0BC6AB}">
            <x14:dataBar minLength="0" maxLength="100" gradient="0">
              <x14:cfvo type="autoMin"/>
              <x14:cfvo type="autoMax"/>
              <x14:negativeFillColor rgb="FFFF0000"/>
              <x14:axisColor rgb="FF000000"/>
            </x14:dataBar>
          </x14:cfRule>
          <xm:sqref>I7:I12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3684-BE51-42A3-AA38-82333DA7630D}">
  <dimension ref="D3:E40"/>
  <sheetViews>
    <sheetView zoomScale="80" workbookViewId="0">
      <selection activeCell="O27" sqref="O27"/>
    </sheetView>
  </sheetViews>
  <sheetFormatPr defaultRowHeight="14.4" x14ac:dyDescent="0.3"/>
  <cols>
    <col min="4" max="4" width="13.33203125" bestFit="1" customWidth="1"/>
    <col min="5" max="5" width="14" bestFit="1" customWidth="1"/>
  </cols>
  <sheetData>
    <row r="3" spans="4:5" x14ac:dyDescent="0.3">
      <c r="D3" s="20" t="s">
        <v>228</v>
      </c>
      <c r="E3" t="s">
        <v>232</v>
      </c>
    </row>
    <row r="4" spans="4:5" x14ac:dyDescent="0.3">
      <c r="D4" s="21" t="s">
        <v>240</v>
      </c>
      <c r="E4" s="22"/>
    </row>
    <row r="5" spans="4:5" x14ac:dyDescent="0.3">
      <c r="D5" s="23" t="s">
        <v>241</v>
      </c>
      <c r="E5" s="22">
        <v>4</v>
      </c>
    </row>
    <row r="6" spans="4:5" x14ac:dyDescent="0.3">
      <c r="D6" s="23" t="s">
        <v>242</v>
      </c>
      <c r="E6" s="22">
        <v>5</v>
      </c>
    </row>
    <row r="7" spans="4:5" x14ac:dyDescent="0.3">
      <c r="D7" s="23" t="s">
        <v>243</v>
      </c>
      <c r="E7" s="22">
        <v>10</v>
      </c>
    </row>
    <row r="8" spans="4:5" x14ac:dyDescent="0.3">
      <c r="D8" s="23" t="s">
        <v>244</v>
      </c>
      <c r="E8" s="22">
        <v>13</v>
      </c>
    </row>
    <row r="9" spans="4:5" x14ac:dyDescent="0.3">
      <c r="D9" s="23" t="s">
        <v>245</v>
      </c>
      <c r="E9" s="22">
        <v>19</v>
      </c>
    </row>
    <row r="10" spans="4:5" x14ac:dyDescent="0.3">
      <c r="D10" s="23" t="s">
        <v>246</v>
      </c>
      <c r="E10" s="22">
        <v>25</v>
      </c>
    </row>
    <row r="11" spans="4:5" x14ac:dyDescent="0.3">
      <c r="D11" s="23" t="s">
        <v>247</v>
      </c>
      <c r="E11" s="22">
        <v>31</v>
      </c>
    </row>
    <row r="12" spans="4:5" x14ac:dyDescent="0.3">
      <c r="D12" s="23" t="s">
        <v>248</v>
      </c>
      <c r="E12" s="22">
        <v>38</v>
      </c>
    </row>
    <row r="13" spans="4:5" x14ac:dyDescent="0.3">
      <c r="D13" s="21" t="s">
        <v>249</v>
      </c>
      <c r="E13" s="22"/>
    </row>
    <row r="14" spans="4:5" x14ac:dyDescent="0.3">
      <c r="D14" s="23" t="s">
        <v>250</v>
      </c>
      <c r="E14" s="22">
        <v>6</v>
      </c>
    </row>
    <row r="15" spans="4:5" x14ac:dyDescent="0.3">
      <c r="D15" s="23" t="s">
        <v>251</v>
      </c>
      <c r="E15" s="22">
        <v>10</v>
      </c>
    </row>
    <row r="16" spans="4:5" x14ac:dyDescent="0.3">
      <c r="D16" s="23" t="s">
        <v>252</v>
      </c>
      <c r="E16" s="22">
        <v>19</v>
      </c>
    </row>
    <row r="17" spans="4:5" x14ac:dyDescent="0.3">
      <c r="D17" s="23" t="s">
        <v>253</v>
      </c>
      <c r="E17" s="22">
        <v>24</v>
      </c>
    </row>
    <row r="18" spans="4:5" x14ac:dyDescent="0.3">
      <c r="D18" s="23" t="s">
        <v>241</v>
      </c>
      <c r="E18" s="22">
        <v>34</v>
      </c>
    </row>
    <row r="19" spans="4:5" x14ac:dyDescent="0.3">
      <c r="D19" s="23" t="s">
        <v>242</v>
      </c>
      <c r="E19" s="22">
        <v>40</v>
      </c>
    </row>
    <row r="20" spans="4:5" x14ac:dyDescent="0.3">
      <c r="D20" s="23" t="s">
        <v>243</v>
      </c>
      <c r="E20" s="22">
        <v>53</v>
      </c>
    </row>
    <row r="21" spans="4:5" x14ac:dyDescent="0.3">
      <c r="D21" s="23" t="s">
        <v>244</v>
      </c>
      <c r="E21" s="22">
        <v>57</v>
      </c>
    </row>
    <row r="22" spans="4:5" x14ac:dyDescent="0.3">
      <c r="D22" s="23" t="s">
        <v>245</v>
      </c>
      <c r="E22" s="22">
        <v>68</v>
      </c>
    </row>
    <row r="23" spans="4:5" x14ac:dyDescent="0.3">
      <c r="D23" s="23" t="s">
        <v>246</v>
      </c>
      <c r="E23" s="22">
        <v>71</v>
      </c>
    </row>
    <row r="24" spans="4:5" x14ac:dyDescent="0.3">
      <c r="D24" s="23" t="s">
        <v>247</v>
      </c>
      <c r="E24" s="22">
        <v>75</v>
      </c>
    </row>
    <row r="25" spans="4:5" x14ac:dyDescent="0.3">
      <c r="D25" s="23" t="s">
        <v>248</v>
      </c>
      <c r="E25" s="22">
        <v>82</v>
      </c>
    </row>
    <row r="26" spans="4:5" x14ac:dyDescent="0.3">
      <c r="D26" s="21" t="s">
        <v>254</v>
      </c>
      <c r="E26" s="22"/>
    </row>
    <row r="27" spans="4:5" x14ac:dyDescent="0.3">
      <c r="D27" s="23" t="s">
        <v>250</v>
      </c>
      <c r="E27" s="22">
        <v>3</v>
      </c>
    </row>
    <row r="28" spans="4:5" x14ac:dyDescent="0.3">
      <c r="D28" s="23" t="s">
        <v>251</v>
      </c>
      <c r="E28" s="22">
        <v>13</v>
      </c>
    </row>
    <row r="29" spans="4:5" x14ac:dyDescent="0.3">
      <c r="D29" s="23" t="s">
        <v>252</v>
      </c>
      <c r="E29" s="22">
        <v>22</v>
      </c>
    </row>
    <row r="30" spans="4:5" x14ac:dyDescent="0.3">
      <c r="D30" s="23" t="s">
        <v>253</v>
      </c>
      <c r="E30" s="22">
        <v>31</v>
      </c>
    </row>
    <row r="31" spans="4:5" x14ac:dyDescent="0.3">
      <c r="D31" s="23" t="s">
        <v>241</v>
      </c>
      <c r="E31" s="22">
        <v>40</v>
      </c>
    </row>
    <row r="32" spans="4:5" x14ac:dyDescent="0.3">
      <c r="D32" s="23" t="s">
        <v>242</v>
      </c>
      <c r="E32" s="22">
        <v>47</v>
      </c>
    </row>
    <row r="33" spans="4:5" x14ac:dyDescent="0.3">
      <c r="D33" s="23" t="s">
        <v>243</v>
      </c>
      <c r="E33" s="22">
        <v>52</v>
      </c>
    </row>
    <row r="34" spans="4:5" x14ac:dyDescent="0.3">
      <c r="D34" s="23" t="s">
        <v>244</v>
      </c>
      <c r="E34" s="22">
        <v>57</v>
      </c>
    </row>
    <row r="35" spans="4:5" x14ac:dyDescent="0.3">
      <c r="D35" s="23" t="s">
        <v>245</v>
      </c>
      <c r="E35" s="22">
        <v>59</v>
      </c>
    </row>
    <row r="36" spans="4:5" x14ac:dyDescent="0.3">
      <c r="D36" s="23" t="s">
        <v>246</v>
      </c>
      <c r="E36" s="22">
        <v>62</v>
      </c>
    </row>
    <row r="37" spans="4:5" x14ac:dyDescent="0.3">
      <c r="D37" s="21" t="s">
        <v>255</v>
      </c>
      <c r="E37" s="22"/>
    </row>
    <row r="38" spans="4:5" x14ac:dyDescent="0.3">
      <c r="D38" s="23" t="s">
        <v>251</v>
      </c>
      <c r="E38" s="22">
        <v>1</v>
      </c>
    </row>
    <row r="39" spans="4:5" x14ac:dyDescent="0.3">
      <c r="D39" s="23" t="s">
        <v>253</v>
      </c>
      <c r="E39" s="22">
        <v>2</v>
      </c>
    </row>
    <row r="40" spans="4:5" x14ac:dyDescent="0.3">
      <c r="D40" s="21" t="s">
        <v>229</v>
      </c>
      <c r="E40" s="22"/>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FBB4-BE1E-4D4E-BA62-E2466C8BB818}">
  <dimension ref="A1:S10"/>
  <sheetViews>
    <sheetView topLeftCell="A4" zoomScaleNormal="100" workbookViewId="0">
      <selection activeCell="W17" sqref="W17"/>
    </sheetView>
  </sheetViews>
  <sheetFormatPr defaultRowHeight="14.4" x14ac:dyDescent="0.3"/>
  <cols>
    <col min="2" max="2" width="11.6640625" style="27" bestFit="1" customWidth="1"/>
    <col min="3" max="4" width="8.88671875" style="27"/>
    <col min="5" max="5" width="11.6640625" style="27" bestFit="1" customWidth="1"/>
    <col min="6" max="7" width="8.88671875" style="27"/>
    <col min="8" max="8" width="12.88671875" style="27" bestFit="1" customWidth="1"/>
    <col min="9" max="11" width="8.88671875" style="27"/>
    <col min="12" max="12" width="11.6640625" style="27" bestFit="1" customWidth="1"/>
    <col min="13" max="14" width="8.88671875" style="27"/>
    <col min="15" max="15" width="11.6640625" style="27" bestFit="1" customWidth="1"/>
    <col min="16" max="17" width="8.88671875" style="27"/>
    <col min="18" max="18" width="12.88671875" style="27" bestFit="1" customWidth="1"/>
    <col min="19" max="19" width="8.88671875" style="27"/>
  </cols>
  <sheetData>
    <row r="1" spans="1:19" x14ac:dyDescent="0.3">
      <c r="A1" t="s">
        <v>202</v>
      </c>
    </row>
    <row r="2" spans="1:19" x14ac:dyDescent="0.3">
      <c r="B2" s="28" t="s">
        <v>204</v>
      </c>
      <c r="C2" s="28"/>
      <c r="D2" s="28"/>
      <c r="E2" s="28"/>
      <c r="F2" s="28"/>
      <c r="G2" s="28"/>
      <c r="H2" s="28"/>
      <c r="I2" s="28"/>
      <c r="L2" s="28" t="s">
        <v>206</v>
      </c>
      <c r="M2" s="28"/>
      <c r="N2" s="28"/>
      <c r="O2" s="28"/>
      <c r="P2" s="28"/>
      <c r="Q2" s="28"/>
      <c r="R2" s="28"/>
      <c r="S2" s="28"/>
    </row>
    <row r="3" spans="1:19" x14ac:dyDescent="0.3">
      <c r="B3" s="28"/>
      <c r="C3" s="28"/>
      <c r="D3" s="28"/>
      <c r="E3" s="28"/>
      <c r="F3" s="28"/>
      <c r="G3" s="28"/>
      <c r="H3" s="28"/>
      <c r="I3" s="28"/>
      <c r="L3" s="28"/>
      <c r="M3" s="28"/>
      <c r="N3" s="28"/>
      <c r="O3" s="28"/>
      <c r="P3" s="28"/>
      <c r="Q3" s="28"/>
      <c r="R3" s="28"/>
      <c r="S3" s="28"/>
    </row>
    <row r="5" spans="1:19" x14ac:dyDescent="0.3">
      <c r="B5" s="27" t="s">
        <v>256</v>
      </c>
      <c r="E5" s="27" t="s">
        <v>257</v>
      </c>
      <c r="H5" s="27" t="s">
        <v>258</v>
      </c>
      <c r="L5" s="27" t="s">
        <v>256</v>
      </c>
      <c r="O5" s="27" t="s">
        <v>257</v>
      </c>
      <c r="R5" s="27" t="s">
        <v>258</v>
      </c>
    </row>
    <row r="6" spans="1:19" x14ac:dyDescent="0.3">
      <c r="B6" s="24">
        <f>COUNTIFS(staff[Country],"Newz")</f>
        <v>91</v>
      </c>
      <c r="C6" s="24"/>
      <c r="E6" s="29">
        <f>COUNTIFS(staff[Country],"Newz",staff[Gender],"Female")/B6</f>
        <v>0.47252747252747251</v>
      </c>
      <c r="F6" s="29"/>
      <c r="H6" s="30">
        <f>AVERAGEIFS(staff[Salary],staff[Country],"Newz")</f>
        <v>76978.791208791212</v>
      </c>
      <c r="I6" s="30"/>
      <c r="L6" s="24">
        <f>COUNTIFS(staff[Country],"Ind")</f>
        <v>93</v>
      </c>
      <c r="M6" s="24"/>
      <c r="O6" s="29">
        <f>COUNTIFS(staff[Country],"Ind",staff[Gender],"Female")/B6</f>
        <v>0.47252747252747251</v>
      </c>
      <c r="P6" s="29"/>
      <c r="R6" s="30">
        <f>AVERAGEIFS(staff[Salary],staff[Country],"Ind")</f>
        <v>77390.215053763444</v>
      </c>
      <c r="S6" s="30"/>
    </row>
    <row r="7" spans="1:19" x14ac:dyDescent="0.3">
      <c r="B7" s="24"/>
      <c r="C7" s="24"/>
      <c r="E7" s="29"/>
      <c r="F7" s="29"/>
      <c r="H7" s="30"/>
      <c r="I7" s="30"/>
      <c r="L7" s="24"/>
      <c r="M7" s="24"/>
      <c r="O7" s="29"/>
      <c r="P7" s="29"/>
      <c r="R7" s="30"/>
      <c r="S7" s="30"/>
    </row>
    <row r="10" spans="1:19" x14ac:dyDescent="0.3">
      <c r="B10" s="24" t="s">
        <v>259</v>
      </c>
      <c r="C10" s="24"/>
      <c r="K10" s="24" t="s">
        <v>259</v>
      </c>
      <c r="L10" s="24"/>
    </row>
  </sheetData>
  <mergeCells count="10">
    <mergeCell ref="B10:C10"/>
    <mergeCell ref="K10:L10"/>
    <mergeCell ref="B2:I3"/>
    <mergeCell ref="L2:S3"/>
    <mergeCell ref="B6:C7"/>
    <mergeCell ref="E6:F7"/>
    <mergeCell ref="H6:I7"/>
    <mergeCell ref="L6:M7"/>
    <mergeCell ref="O6:P7"/>
    <mergeCell ref="R6:S7"/>
  </mergeCells>
  <pageMargins left="0.7" right="0.7" top="0.75" bottom="0.75" header="0.3" footer="0.3"/>
  <pageSetup orientation="portrait" r:id="rId1"/>
  <headerFooter>
    <oddHeader xml:space="preserve">&amp;Cnewz
</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C41282-D022-47AC-A86C-24028EC9D1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data</vt:lpstr>
      <vt:lpstr>Analysis</vt:lpstr>
      <vt:lpstr>Employee analysis</vt:lpstr>
      <vt:lpstr>Information finder</vt:lpstr>
      <vt:lpstr>Male vs Female analysis</vt:lpstr>
      <vt:lpstr>Salary analysis</vt:lpstr>
      <vt:lpstr>Salary VS rating,Department</vt:lpstr>
      <vt:lpstr>People analysis</vt:lpstr>
      <vt:lpstr>Final report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SELVAKUMAR S</cp:lastModifiedBy>
  <dcterms:created xsi:type="dcterms:W3CDTF">2021-03-14T20:21:32Z</dcterms:created>
  <dcterms:modified xsi:type="dcterms:W3CDTF">2024-05-24T06:01:14Z</dcterms:modified>
</cp:coreProperties>
</file>