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988b46573bb98d/Documents/BAFE Y3S1/FINM3422/"/>
    </mc:Choice>
  </mc:AlternateContent>
  <xr:revisionPtr revIDLastSave="43" documentId="8_{A5C86528-24FF-4A01-9238-0220A8601AAC}" xr6:coauthVersionLast="47" xr6:coauthVersionMax="47" xr10:uidLastSave="{7812539E-26AB-4A0E-BBAB-9DE8C00E3F62}"/>
  <bookViews>
    <workbookView xWindow="-110" yWindow="-110" windowWidth="19420" windowHeight="10300" xr2:uid="{B13D7E6C-C113-48AB-98E8-7711575AE3FA}"/>
  </bookViews>
  <sheets>
    <sheet name="Cover Page" sheetId="3" r:id="rId1"/>
    <sheet name="DCF" sheetId="1" r:id="rId2"/>
    <sheet name="Trading Multiples" sheetId="2" r:id="rId3"/>
  </sheets>
  <externalReferences>
    <externalReference r:id="rId4"/>
    <externalReference r:id="rId5"/>
  </externalReferences>
  <definedNames>
    <definedName name="_xlnm.Print_Titles" localSheetId="2">'Trading Multiples'!$1:$3</definedName>
  </definedNames>
  <calcPr calcId="191029" iterate="1" iterateCount="3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H6" i="3"/>
  <c r="D2" i="3"/>
  <c r="B2" i="3"/>
  <c r="C22" i="1"/>
  <c r="C23" i="1"/>
  <c r="C2" i="3" l="1"/>
  <c r="B10" i="2"/>
  <c r="C24" i="2"/>
  <c r="D24" i="2"/>
  <c r="B25" i="2"/>
  <c r="C25" i="2"/>
  <c r="D25" i="2"/>
  <c r="B26" i="2"/>
  <c r="C26" i="2"/>
  <c r="D26" i="2"/>
  <c r="B27" i="2"/>
  <c r="C27" i="2"/>
  <c r="D27" i="2"/>
  <c r="B30" i="2"/>
  <c r="B36" i="2" s="1"/>
  <c r="B42" i="2" s="1"/>
  <c r="D3" i="3" s="1"/>
  <c r="C30" i="2"/>
  <c r="C36" i="2" s="1"/>
  <c r="C42" i="2" s="1"/>
  <c r="D4" i="3" s="1"/>
  <c r="D30" i="2"/>
  <c r="D36" i="2" s="1"/>
  <c r="D42" i="2" s="1"/>
  <c r="D5" i="3" s="1"/>
  <c r="B31" i="2"/>
  <c r="C31" i="2"/>
  <c r="C37" i="2" s="1"/>
  <c r="C43" i="2" s="1"/>
  <c r="B4" i="3" s="1"/>
  <c r="D31" i="2"/>
  <c r="D37" i="2" s="1"/>
  <c r="D43" i="2" s="1"/>
  <c r="B5" i="3" s="1"/>
  <c r="B32" i="2"/>
  <c r="B38" i="2" s="1"/>
  <c r="B44" i="2" s="1"/>
  <c r="C32" i="2"/>
  <c r="C38" i="2" s="1"/>
  <c r="C44" i="2" s="1"/>
  <c r="D32" i="2"/>
  <c r="D38" i="2" s="1"/>
  <c r="D44" i="2" s="1"/>
  <c r="B33" i="2"/>
  <c r="B39" i="2" s="1"/>
  <c r="B45" i="2" s="1"/>
  <c r="G3" i="3" s="1"/>
  <c r="I3" i="3" s="1"/>
  <c r="C33" i="2"/>
  <c r="C39" i="2" s="1"/>
  <c r="C45" i="2" s="1"/>
  <c r="G4" i="3" s="1"/>
  <c r="I4" i="3" s="1"/>
  <c r="D33" i="2"/>
  <c r="D39" i="2" s="1"/>
  <c r="D45" i="2" s="1"/>
  <c r="G5" i="3" s="1"/>
  <c r="I5" i="3" s="1"/>
  <c r="B37" i="2"/>
  <c r="B43" i="2" s="1"/>
  <c r="B3" i="3" s="1"/>
  <c r="C21" i="1"/>
  <c r="C3" i="3" l="1"/>
  <c r="C4" i="3"/>
  <c r="C5" i="3"/>
  <c r="C24" i="1"/>
  <c r="C25" i="1" s="1"/>
  <c r="C36" i="1"/>
  <c r="H6" i="1"/>
  <c r="H7" i="1" s="1"/>
  <c r="G6" i="1"/>
  <c r="G7" i="1" s="1"/>
  <c r="F6" i="1"/>
  <c r="F7" i="1" s="1"/>
  <c r="E6" i="1"/>
  <c r="E7" i="1" s="1"/>
  <c r="D6" i="1"/>
  <c r="D7" i="1" s="1"/>
  <c r="C31" i="1"/>
  <c r="C32" i="1" s="1"/>
  <c r="H15" i="1"/>
  <c r="H16" i="1" s="1"/>
  <c r="H17" i="1" s="1"/>
  <c r="G15" i="1"/>
  <c r="G16" i="1" s="1"/>
  <c r="G17" i="1" s="1"/>
  <c r="F15" i="1"/>
  <c r="F16" i="1" s="1"/>
  <c r="F17" i="1" s="1"/>
  <c r="E15" i="1"/>
  <c r="E16" i="1" s="1"/>
  <c r="E17" i="1" s="1"/>
  <c r="D15" i="1"/>
  <c r="D16" i="1" s="1"/>
  <c r="D17" i="1" s="1"/>
  <c r="H3" i="1"/>
  <c r="G3" i="1"/>
  <c r="F3" i="1"/>
  <c r="E3" i="1"/>
  <c r="D3" i="1"/>
  <c r="B1" i="1"/>
  <c r="B2" i="1" l="1"/>
  <c r="D13" i="1" l="1"/>
  <c r="D18" i="1" s="1"/>
  <c r="E13" i="1" l="1"/>
  <c r="E18" i="1" s="1"/>
  <c r="F13" i="1" l="1"/>
  <c r="F18" i="1" s="1"/>
  <c r="G13" i="1" l="1"/>
  <c r="G18" i="1" s="1"/>
  <c r="H13" i="1" l="1"/>
  <c r="H18" i="1" l="1"/>
  <c r="C26" i="1" s="1"/>
  <c r="C27" i="1" l="1"/>
  <c r="C33" i="1" l="1"/>
  <c r="C39" i="1" l="1"/>
  <c r="F21" i="1" l="1"/>
  <c r="G2" i="3"/>
  <c r="I2" i="3" s="1"/>
  <c r="I6" i="3" s="1"/>
</calcChain>
</file>

<file path=xl/sharedStrings.xml><?xml version="1.0" encoding="utf-8"?>
<sst xmlns="http://schemas.openxmlformats.org/spreadsheetml/2006/main" count="108" uniqueCount="74">
  <si>
    <t>Financial Year</t>
  </si>
  <si>
    <t>EBITDA</t>
  </si>
  <si>
    <t xml:space="preserve">Assumptions </t>
  </si>
  <si>
    <t>EBIT</t>
  </si>
  <si>
    <t>WACC</t>
  </si>
  <si>
    <t>Tax Expense</t>
  </si>
  <si>
    <t>Terminal Growth Rate</t>
  </si>
  <si>
    <t>EBIAT</t>
  </si>
  <si>
    <t xml:space="preserve">Shares Outstanding </t>
  </si>
  <si>
    <t>Adjustments non-cash Expenses:</t>
  </si>
  <si>
    <t>D&amp;A</t>
  </si>
  <si>
    <t>Net working Capital</t>
  </si>
  <si>
    <t>Other Assets/(liabilities)</t>
  </si>
  <si>
    <t>Capex</t>
  </si>
  <si>
    <t>Free Cash Flow (FCF)</t>
  </si>
  <si>
    <t>Date</t>
  </si>
  <si>
    <t>Difference in Days</t>
  </si>
  <si>
    <t>Discount Period</t>
  </si>
  <si>
    <t>Discounted Free Cash Flow</t>
  </si>
  <si>
    <t>x</t>
  </si>
  <si>
    <t>Calculating EV</t>
  </si>
  <si>
    <t>Unlevered FCF in last forecast period (t)</t>
  </si>
  <si>
    <r>
      <t>FCF</t>
    </r>
    <r>
      <rPr>
        <vertAlign val="superscript"/>
        <sz val="10"/>
        <color theme="1"/>
        <rFont val="Segoe UI"/>
        <family val="2"/>
      </rPr>
      <t xml:space="preserve">t+1 </t>
    </r>
  </si>
  <si>
    <t xml:space="preserve">Terminal value </t>
  </si>
  <si>
    <t>Present value of Terminal value</t>
  </si>
  <si>
    <t xml:space="preserve">Enterprise value </t>
  </si>
  <si>
    <t>Calculating Equity Value</t>
  </si>
  <si>
    <t>Cash and cash equivalents</t>
  </si>
  <si>
    <t>Borrowings &amp; Minority Interest</t>
  </si>
  <si>
    <t>Net debt</t>
  </si>
  <si>
    <t>Equity value</t>
  </si>
  <si>
    <t xml:space="preserve">Shares outstanding </t>
  </si>
  <si>
    <t>Valuation</t>
  </si>
  <si>
    <t>Share price</t>
  </si>
  <si>
    <t>Present value of cash flows</t>
  </si>
  <si>
    <t>Median</t>
  </si>
  <si>
    <t>Mean</t>
  </si>
  <si>
    <t>Low</t>
  </si>
  <si>
    <t>High</t>
  </si>
  <si>
    <t>P/Diluted EPS Before Extra LTM - Latest</t>
  </si>
  <si>
    <t>TEV/EBIT LTM - Latest</t>
  </si>
  <si>
    <t>TEV/EBITDA LTM - Latest</t>
  </si>
  <si>
    <t>Share Price</t>
  </si>
  <si>
    <t>EV</t>
  </si>
  <si>
    <t>TEV</t>
  </si>
  <si>
    <t>Multiples</t>
  </si>
  <si>
    <t>Qube Holdings Limited (ASX:QUB)</t>
  </si>
  <si>
    <t>Xiamen Port Development Co., Ltd. (SZSE:000905)</t>
  </si>
  <si>
    <t>Guangzhou Port Company Limited (SHSE:601228)</t>
  </si>
  <si>
    <t>Adani Ports and Special Economic Zone Limited (NSEI:ADANIPORTS)</t>
  </si>
  <si>
    <t>China Merchants Port Group Co., Ltd. (SZSE:001872)</t>
  </si>
  <si>
    <t>Company Name</t>
  </si>
  <si>
    <t>Company Comp Set</t>
  </si>
  <si>
    <t>As-Of Date:</t>
  </si>
  <si>
    <t>AUD</t>
  </si>
  <si>
    <t>Currency:</t>
  </si>
  <si>
    <t>CAPIQ</t>
  </si>
  <si>
    <t>Template:</t>
  </si>
  <si>
    <t>Details</t>
  </si>
  <si>
    <t>Qube Holdings Limited (ASX:QUB) &gt;  Quick Comparable Analysis &gt; Trading Multiples</t>
  </si>
  <si>
    <t>DCF</t>
  </si>
  <si>
    <t>Min</t>
  </si>
  <si>
    <t>Max</t>
  </si>
  <si>
    <t>Sensitivity Analysis</t>
  </si>
  <si>
    <t>TGR</t>
  </si>
  <si>
    <t>Difference</t>
  </si>
  <si>
    <t>LTM EV/EBITDA (x)</t>
  </si>
  <si>
    <t>LTM EV/EBIT (x)</t>
  </si>
  <si>
    <t>LTM P/E (x)</t>
  </si>
  <si>
    <t>Valuation_Method</t>
  </si>
  <si>
    <t>Valuation.Method</t>
  </si>
  <si>
    <t>Price</t>
  </si>
  <si>
    <t>Weightings</t>
  </si>
  <si>
    <t>Weighted_Price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</si>
</sst>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0.0%"/>
    <numFmt numFmtId="165" formatCode="#,##0;\(#,##0\)"/>
    <numFmt numFmtId="166" formatCode="&quot;$&quot;#,##0.00"/>
    <numFmt numFmtId="167" formatCode="#,##0.0\x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Aptos Narrow"/>
      <family val="2"/>
      <scheme val="minor"/>
    </font>
    <font>
      <sz val="10"/>
      <color rgb="FF008000"/>
      <name val="Segoe UI"/>
      <family val="2"/>
    </font>
    <font>
      <b/>
      <i/>
      <sz val="10"/>
      <color theme="1"/>
      <name val="Segoe UI"/>
      <family val="2"/>
    </font>
    <font>
      <b/>
      <sz val="10"/>
      <color theme="1"/>
      <name val="Segoe UI"/>
      <family val="2"/>
    </font>
    <font>
      <vertAlign val="superscript"/>
      <sz val="10"/>
      <color theme="1"/>
      <name val="Segoe UI"/>
      <family val="2"/>
    </font>
    <font>
      <sz val="10"/>
      <color rgb="FF0000FF"/>
      <name val="Segoe UI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sz val="8"/>
      <color indexed="9"/>
      <name val="Verdana"/>
      <family val="2"/>
    </font>
    <font>
      <b/>
      <sz val="8"/>
      <name val="Arial"/>
      <family val="2"/>
    </font>
    <font>
      <b/>
      <sz val="13"/>
      <color indexed="8"/>
      <name val="Verdana"/>
      <family val="2"/>
    </font>
    <font>
      <sz val="10"/>
      <color theme="0"/>
      <name val="Segoe UI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DD108"/>
        <bgColor indexed="64"/>
      </patternFill>
    </fill>
    <fill>
      <patternFill patternType="solid">
        <fgColor rgb="FFFDD10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8" fillId="0" borderId="0" applyAlignment="0"/>
  </cellStyleXfs>
  <cellXfs count="1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 applyAlignment="1">
      <alignment horizontal="left"/>
    </xf>
    <xf numFmtId="0" fontId="4" fillId="2" borderId="4" xfId="0" applyFont="1" applyFill="1" applyBorder="1"/>
    <xf numFmtId="0" fontId="5" fillId="2" borderId="4" xfId="0" applyFont="1" applyFill="1" applyBorder="1"/>
    <xf numFmtId="0" fontId="6" fillId="2" borderId="4" xfId="0" applyFont="1" applyFill="1" applyBorder="1"/>
    <xf numFmtId="0" fontId="2" fillId="0" borderId="4" xfId="0" applyFont="1" applyBorder="1"/>
    <xf numFmtId="0" fontId="7" fillId="4" borderId="4" xfId="0" applyFont="1" applyFill="1" applyBorder="1" applyAlignment="1">
      <alignment horizontal="right"/>
    </xf>
    <xf numFmtId="0" fontId="7" fillId="4" borderId="5" xfId="0" applyFont="1" applyFill="1" applyBorder="1" applyAlignment="1">
      <alignment horizontal="right"/>
    </xf>
    <xf numFmtId="0" fontId="7" fillId="4" borderId="0" xfId="0" applyFont="1" applyFill="1" applyAlignment="1">
      <alignment horizontal="right"/>
    </xf>
    <xf numFmtId="0" fontId="8" fillId="0" borderId="0" xfId="0" applyFont="1"/>
    <xf numFmtId="0" fontId="2" fillId="0" borderId="6" xfId="0" applyFont="1" applyBorder="1"/>
    <xf numFmtId="3" fontId="2" fillId="0" borderId="0" xfId="0" applyNumberFormat="1" applyFont="1"/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left" indent="1"/>
    </xf>
    <xf numFmtId="1" fontId="2" fillId="0" borderId="0" xfId="0" applyNumberFormat="1" applyFont="1"/>
    <xf numFmtId="1" fontId="2" fillId="0" borderId="7" xfId="0" applyNumberFormat="1" applyFont="1" applyBorder="1"/>
    <xf numFmtId="0" fontId="10" fillId="0" borderId="12" xfId="0" applyFont="1" applyBorder="1"/>
    <xf numFmtId="3" fontId="2" fillId="0" borderId="4" xfId="0" applyNumberFormat="1" applyFont="1" applyBorder="1"/>
    <xf numFmtId="1" fontId="2" fillId="0" borderId="4" xfId="0" applyNumberFormat="1" applyFont="1" applyBorder="1"/>
    <xf numFmtId="1" fontId="2" fillId="0" borderId="13" xfId="0" applyNumberFormat="1" applyFont="1" applyBorder="1"/>
    <xf numFmtId="0" fontId="2" fillId="0" borderId="3" xfId="0" applyFont="1" applyBorder="1"/>
    <xf numFmtId="0" fontId="2" fillId="0" borderId="10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2" fillId="0" borderId="9" xfId="0" applyFont="1" applyBorder="1"/>
    <xf numFmtId="1" fontId="11" fillId="0" borderId="9" xfId="0" applyNumberFormat="1" applyFont="1" applyBorder="1"/>
    <xf numFmtId="1" fontId="11" fillId="0" borderId="15" xfId="0" applyNumberFormat="1" applyFont="1" applyBorder="1"/>
    <xf numFmtId="0" fontId="2" fillId="0" borderId="2" xfId="0" applyFont="1" applyBorder="1"/>
    <xf numFmtId="0" fontId="2" fillId="0" borderId="15" xfId="0" applyFont="1" applyBorder="1"/>
    <xf numFmtId="14" fontId="2" fillId="0" borderId="0" xfId="0" applyNumberFormat="1" applyFont="1"/>
    <xf numFmtId="14" fontId="2" fillId="0" borderId="7" xfId="0" applyNumberFormat="1" applyFont="1" applyBorder="1"/>
    <xf numFmtId="0" fontId="2" fillId="0" borderId="7" xfId="0" applyFont="1" applyBorder="1"/>
    <xf numFmtId="2" fontId="2" fillId="0" borderId="0" xfId="0" applyNumberFormat="1" applyFont="1"/>
    <xf numFmtId="2" fontId="2" fillId="0" borderId="7" xfId="0" applyNumberFormat="1" applyFont="1" applyBorder="1"/>
    <xf numFmtId="1" fontId="11" fillId="0" borderId="5" xfId="0" applyNumberFormat="1" applyFont="1" applyBorder="1"/>
    <xf numFmtId="0" fontId="3" fillId="2" borderId="8" xfId="0" applyFont="1" applyFill="1" applyBorder="1"/>
    <xf numFmtId="0" fontId="4" fillId="2" borderId="5" xfId="0" applyFont="1" applyFill="1" applyBorder="1"/>
    <xf numFmtId="165" fontId="2" fillId="5" borderId="10" xfId="0" applyNumberFormat="1" applyFont="1" applyFill="1" applyBorder="1"/>
    <xf numFmtId="0" fontId="4" fillId="2" borderId="15" xfId="0" applyFont="1" applyFill="1" applyBorder="1"/>
    <xf numFmtId="164" fontId="2" fillId="5" borderId="10" xfId="1" applyNumberFormat="1" applyFont="1" applyFill="1" applyBorder="1"/>
    <xf numFmtId="165" fontId="2" fillId="5" borderId="12" xfId="0" applyNumberFormat="1" applyFont="1" applyFill="1" applyBorder="1"/>
    <xf numFmtId="0" fontId="11" fillId="0" borderId="8" xfId="0" applyFont="1" applyBorder="1"/>
    <xf numFmtId="165" fontId="11" fillId="5" borderId="14" xfId="0" applyNumberFormat="1" applyFont="1" applyFill="1" applyBorder="1"/>
    <xf numFmtId="165" fontId="9" fillId="5" borderId="6" xfId="0" applyNumberFormat="1" applyFont="1" applyFill="1" applyBorder="1"/>
    <xf numFmtId="0" fontId="2" fillId="0" borderId="1" xfId="0" applyFont="1" applyBorder="1"/>
    <xf numFmtId="1" fontId="2" fillId="5" borderId="14" xfId="1" applyNumberFormat="1" applyFont="1" applyFill="1" applyBorder="1"/>
    <xf numFmtId="0" fontId="11" fillId="0" borderId="0" xfId="0" applyFont="1"/>
    <xf numFmtId="0" fontId="3" fillId="2" borderId="5" xfId="0" applyFont="1" applyFill="1" applyBorder="1"/>
    <xf numFmtId="0" fontId="11" fillId="0" borderId="12" xfId="0" applyFont="1" applyBorder="1"/>
    <xf numFmtId="166" fontId="11" fillId="5" borderId="12" xfId="0" applyNumberFormat="1" applyFont="1" applyFill="1" applyBorder="1"/>
    <xf numFmtId="166" fontId="2" fillId="0" borderId="0" xfId="0" applyNumberFormat="1" applyFont="1"/>
    <xf numFmtId="3" fontId="13" fillId="0" borderId="0" xfId="0" applyNumberFormat="1" applyFont="1"/>
    <xf numFmtId="3" fontId="13" fillId="0" borderId="7" xfId="0" applyNumberFormat="1" applyFont="1" applyBorder="1"/>
    <xf numFmtId="1" fontId="13" fillId="0" borderId="0" xfId="0" applyNumberFormat="1" applyFont="1"/>
    <xf numFmtId="1" fontId="13" fillId="0" borderId="7" xfId="0" applyNumberFormat="1" applyFont="1" applyBorder="1"/>
    <xf numFmtId="14" fontId="13" fillId="0" borderId="0" xfId="0" applyNumberFormat="1" applyFont="1"/>
    <xf numFmtId="10" fontId="13" fillId="0" borderId="7" xfId="0" applyNumberFormat="1" applyFont="1" applyBorder="1"/>
    <xf numFmtId="3" fontId="13" fillId="0" borderId="13" xfId="0" applyNumberFormat="1" applyFont="1" applyBorder="1"/>
    <xf numFmtId="0" fontId="15" fillId="0" borderId="0" xfId="2" applyFont="1"/>
    <xf numFmtId="2" fontId="16" fillId="0" borderId="0" xfId="2" applyNumberFormat="1" applyFont="1" applyAlignment="1">
      <alignment horizontal="right" vertical="top" wrapText="1"/>
    </xf>
    <xf numFmtId="0" fontId="15" fillId="0" borderId="0" xfId="2" applyFont="1" applyAlignment="1">
      <alignment vertical="top" wrapText="1"/>
    </xf>
    <xf numFmtId="167" fontId="16" fillId="0" borderId="0" xfId="2" applyNumberFormat="1" applyFont="1" applyAlignment="1">
      <alignment horizontal="right" vertical="top" wrapText="1"/>
    </xf>
    <xf numFmtId="0" fontId="17" fillId="0" borderId="0" xfId="2" applyFont="1" applyAlignment="1">
      <alignment vertical="top" wrapText="1"/>
    </xf>
    <xf numFmtId="0" fontId="18" fillId="0" borderId="0" xfId="3" applyAlignment="1"/>
    <xf numFmtId="0" fontId="19" fillId="6" borderId="0" xfId="2" applyFont="1" applyFill="1"/>
    <xf numFmtId="0" fontId="16" fillId="0" borderId="0" xfId="2" applyFont="1" applyAlignment="1">
      <alignment horizontal="left" vertical="top"/>
    </xf>
    <xf numFmtId="14" fontId="15" fillId="0" borderId="0" xfId="2" applyNumberFormat="1" applyFont="1" applyAlignment="1">
      <alignment horizontal="left"/>
    </xf>
    <xf numFmtId="0" fontId="20" fillId="0" borderId="0" xfId="2" applyFont="1"/>
    <xf numFmtId="0" fontId="21" fillId="0" borderId="0" xfId="2" applyFont="1"/>
    <xf numFmtId="0" fontId="17" fillId="7" borderId="0" xfId="2" applyFont="1" applyFill="1" applyAlignment="1">
      <alignment horizontal="left" vertical="top" wrapText="1"/>
    </xf>
    <xf numFmtId="0" fontId="17" fillId="7" borderId="0" xfId="2" applyFont="1" applyFill="1" applyAlignment="1">
      <alignment horizontal="right" vertical="top" wrapText="1"/>
    </xf>
    <xf numFmtId="0" fontId="17" fillId="7" borderId="0" xfId="2" applyFont="1" applyFill="1" applyAlignment="1">
      <alignment vertical="top" wrapText="1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166" fontId="22" fillId="0" borderId="1" xfId="0" applyNumberFormat="1" applyFont="1" applyBorder="1"/>
    <xf numFmtId="10" fontId="2" fillId="0" borderId="2" xfId="0" applyNumberFormat="1" applyFont="1" applyBorder="1"/>
    <xf numFmtId="10" fontId="2" fillId="0" borderId="15" xfId="0" applyNumberFormat="1" applyFont="1" applyBorder="1"/>
    <xf numFmtId="10" fontId="2" fillId="0" borderId="11" xfId="0" applyNumberFormat="1" applyFont="1" applyBorder="1"/>
    <xf numFmtId="44" fontId="2" fillId="0" borderId="0" xfId="0" applyNumberFormat="1" applyFont="1"/>
    <xf numFmtId="44" fontId="2" fillId="0" borderId="7" xfId="0" applyNumberFormat="1" applyFont="1" applyBorder="1"/>
    <xf numFmtId="44" fontId="2" fillId="0" borderId="1" xfId="0" applyNumberFormat="1" applyFont="1" applyBorder="1"/>
    <xf numFmtId="44" fontId="2" fillId="0" borderId="2" xfId="0" applyNumberFormat="1" applyFont="1" applyBorder="1"/>
    <xf numFmtId="44" fontId="2" fillId="0" borderId="15" xfId="0" applyNumberFormat="1" applyFont="1" applyBorder="1"/>
    <xf numFmtId="44" fontId="2" fillId="0" borderId="11" xfId="0" applyNumberFormat="1" applyFont="1" applyBorder="1"/>
    <xf numFmtId="44" fontId="2" fillId="0" borderId="14" xfId="0" applyNumberFormat="1" applyFont="1" applyBorder="1"/>
    <xf numFmtId="44" fontId="2" fillId="0" borderId="3" xfId="0" applyNumberFormat="1" applyFont="1" applyBorder="1"/>
    <xf numFmtId="44" fontId="2" fillId="0" borderId="4" xfId="0" applyNumberFormat="1" applyFont="1" applyBorder="1"/>
    <xf numFmtId="44" fontId="2" fillId="0" borderId="13" xfId="0" applyNumberFormat="1" applyFont="1" applyBorder="1"/>
    <xf numFmtId="10" fontId="2" fillId="0" borderId="3" xfId="0" applyNumberFormat="1" applyFont="1" applyBorder="1"/>
    <xf numFmtId="0" fontId="4" fillId="2" borderId="1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4" xfId="0" applyNumberFormat="1" applyFon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16" xfId="0" applyBorder="1"/>
    <xf numFmtId="9" fontId="0" fillId="0" borderId="0" xfId="0" applyNumberFormat="1"/>
    <xf numFmtId="9" fontId="0" fillId="0" borderId="4" xfId="0" applyNumberFormat="1" applyBorder="1"/>
    <xf numFmtId="9" fontId="0" fillId="0" borderId="16" xfId="0" applyNumberFormat="1" applyBorder="1"/>
    <xf numFmtId="2" fontId="23" fillId="0" borderId="16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distributed" textRotation="90"/>
    </xf>
    <xf numFmtId="0" fontId="4" fillId="2" borderId="12" xfId="0" applyFont="1" applyFill="1" applyBorder="1" applyAlignment="1">
      <alignment horizontal="center" vertical="distributed" textRotation="90"/>
    </xf>
  </cellXfs>
  <cellStyles count="4">
    <cellStyle name="Invisible" xfId="3" xr:uid="{99FB908F-6D95-4E24-BDA4-228749324FA7}"/>
    <cellStyle name="Normal" xfId="0" builtinId="0"/>
    <cellStyle name="Normal 2" xfId="2" xr:uid="{7E28B717-0729-4EE0-A701-9187F62259F6}"/>
    <cellStyle name="Percent" xfId="1" builtinId="5"/>
  </cellStyles>
  <dxfs count="0"/>
  <tableStyles count="0" defaultTableStyle="TableStyleMedium2" defaultPivotStyle="PivotStyleLight16"/>
  <colors>
    <mruColors>
      <color rgb="FF0000FF"/>
      <color rgb="FF0000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958850</xdr:colOff>
      <xdr:row>2</xdr:row>
      <xdr:rowOff>88900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DBE8978-6734-4737-87F0-72B60A5F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nxga\Downloads\QUB%20model.xlsb" TargetMode="External"/><Relationship Id="rId1" Type="http://schemas.openxmlformats.org/officeDocument/2006/relationships/externalLinkPath" Target="file:///C:\Users\Lnxga\Downloads\QUB%20model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9988b46573bb98d/Documents/BAFE%20Y3S1/FINM3422/Company%20Comparable%20Analysis%20Qube%20Holdings%20Limited.xls" TargetMode="External"/><Relationship Id="rId1" Type="http://schemas.openxmlformats.org/officeDocument/2006/relationships/externalLinkPath" Target="Company%20Comparable%20Analysis%20Qube%20Holdings%20Limi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Financials &gt;&gt;"/>
      <sheetName val="FSM"/>
      <sheetName val="Supporting Schedules"/>
      <sheetName val="Revenue Build"/>
      <sheetName val="Valuation &gt;&gt;"/>
      <sheetName val="TGR"/>
      <sheetName val="WACC"/>
      <sheetName val="DCF"/>
      <sheetName val="RV"/>
      <sheetName val="Taget EV on EBITDA (x)"/>
      <sheetName val="Appendix &gt;&gt;"/>
      <sheetName val="Trading Data"/>
      <sheetName val="ESG Analysis"/>
      <sheetName val="Graphs"/>
      <sheetName val="Revenue Per Store Calcs"/>
      <sheetName val="Cap Rate Data"/>
      <sheetName val="Market Share price influence"/>
    </sheetNames>
    <sheetDataSet>
      <sheetData sheetId="0">
        <row r="1">
          <cell r="B1" t="str">
            <v>Qube Holdings Ltd</v>
          </cell>
        </row>
        <row r="14">
          <cell r="H14" t="str">
            <v xml:space="preserve">Base </v>
          </cell>
        </row>
      </sheetData>
      <sheetData sheetId="1"/>
      <sheetData sheetId="2">
        <row r="6">
          <cell r="G6" t="str">
            <v>FY2025E</v>
          </cell>
          <cell r="H6" t="str">
            <v>FY2026E</v>
          </cell>
          <cell r="I6" t="str">
            <v>FY2027E</v>
          </cell>
          <cell r="J6" t="str">
            <v>FY2028E</v>
          </cell>
          <cell r="K6" t="str">
            <v>FY2029E</v>
          </cell>
        </row>
        <row r="7">
          <cell r="G7">
            <v>45838</v>
          </cell>
          <cell r="H7">
            <v>46203</v>
          </cell>
          <cell r="I7">
            <v>46568</v>
          </cell>
          <cell r="J7">
            <v>46934</v>
          </cell>
          <cell r="K7">
            <v>47299</v>
          </cell>
        </row>
        <row r="67">
          <cell r="F67">
            <v>92.6</v>
          </cell>
        </row>
        <row r="75">
          <cell r="F75">
            <v>1361.3</v>
          </cell>
        </row>
        <row r="76">
          <cell r="F76">
            <v>825.7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Data"/>
      <sheetName val="Trading Multiples"/>
      <sheetName val="Operating Statistics"/>
      <sheetName val="Business Description"/>
      <sheetName val="Implied Valuation"/>
      <sheetName val="Valuation Chart"/>
      <sheetName val="Credit Health Panel"/>
      <sheetName val="Disclaimer"/>
    </sheetNames>
    <sheetDataSet>
      <sheetData sheetId="0">
        <row r="27">
          <cell r="C27">
            <v>1768.6</v>
          </cell>
          <cell r="E27">
            <v>2698.8</v>
          </cell>
          <cell r="L27">
            <v>573.1</v>
          </cell>
          <cell r="M27">
            <v>333.3</v>
          </cell>
          <cell r="N27">
            <v>0.13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4E1A-7BFD-4E83-9EBA-7AC375ECE5AD}">
  <dimension ref="A1:I7"/>
  <sheetViews>
    <sheetView tabSelected="1" zoomScale="89" workbookViewId="0">
      <selection activeCell="I6" sqref="I6"/>
    </sheetView>
  </sheetViews>
  <sheetFormatPr defaultRowHeight="14.5" x14ac:dyDescent="0.35"/>
  <cols>
    <col min="1" max="1" width="15.90625" bestFit="1" customWidth="1"/>
    <col min="2" max="4" width="12.6328125" customWidth="1"/>
    <col min="6" max="6" width="15.453125" bestFit="1" customWidth="1"/>
    <col min="8" max="8" width="9.81640625" bestFit="1" customWidth="1"/>
    <col min="9" max="9" width="13.6328125" bestFit="1" customWidth="1"/>
  </cols>
  <sheetData>
    <row r="1" spans="1:9" x14ac:dyDescent="0.35">
      <c r="A1" t="s">
        <v>69</v>
      </c>
      <c r="B1" s="96" t="s">
        <v>61</v>
      </c>
      <c r="C1" s="96" t="s">
        <v>65</v>
      </c>
      <c r="D1" s="96" t="s">
        <v>62</v>
      </c>
      <c r="F1" s="96" t="s">
        <v>70</v>
      </c>
      <c r="G1" s="96" t="s">
        <v>71</v>
      </c>
      <c r="H1" s="96" t="s">
        <v>72</v>
      </c>
      <c r="I1" s="96" t="s">
        <v>73</v>
      </c>
    </row>
    <row r="2" spans="1:9" x14ac:dyDescent="0.35">
      <c r="A2" t="s">
        <v>60</v>
      </c>
      <c r="B2" s="97">
        <f>MIN(DCF!G22:M28)</f>
        <v>2.6448132278806726</v>
      </c>
      <c r="C2" s="97">
        <f>D2-B2</f>
        <v>1.8649796130858292</v>
      </c>
      <c r="D2" s="97">
        <f>MAX(DCF!G22:M28)</f>
        <v>4.5097928409665018</v>
      </c>
      <c r="F2" t="s">
        <v>60</v>
      </c>
      <c r="G2">
        <f>DCF!C39</f>
        <v>3.5918306230835624</v>
      </c>
      <c r="H2" s="103">
        <v>0.5</v>
      </c>
      <c r="I2">
        <f>H2*G2</f>
        <v>1.7959153115417812</v>
      </c>
    </row>
    <row r="3" spans="1:9" x14ac:dyDescent="0.35">
      <c r="A3" t="s">
        <v>66</v>
      </c>
      <c r="B3" s="97">
        <f>'Trading Multiples'!B43</f>
        <v>2.5569716159674321</v>
      </c>
      <c r="C3" s="97">
        <f t="shared" ref="C3:C5" si="0">D3-B3</f>
        <v>1.879441366052244</v>
      </c>
      <c r="D3" s="97">
        <f>'Trading Multiples'!B42</f>
        <v>4.436412982019676</v>
      </c>
      <c r="F3" t="s">
        <v>66</v>
      </c>
      <c r="G3" s="99">
        <f>'Trading Multiples'!B45</f>
        <v>3.5452985412190432</v>
      </c>
      <c r="H3" s="103">
        <v>0.1</v>
      </c>
      <c r="I3">
        <f t="shared" ref="I3:I5" si="1">H3*G3</f>
        <v>0.35452985412190435</v>
      </c>
    </row>
    <row r="4" spans="1:9" x14ac:dyDescent="0.35">
      <c r="A4" t="s">
        <v>67</v>
      </c>
      <c r="B4" s="97">
        <f>'Trading Multiples'!C43</f>
        <v>2.808492593011422</v>
      </c>
      <c r="C4" s="97">
        <f t="shared" si="0"/>
        <v>1.4982104489426669</v>
      </c>
      <c r="D4" s="97">
        <f>'Trading Multiples'!C42</f>
        <v>4.3067030419540888</v>
      </c>
      <c r="F4" t="s">
        <v>67</v>
      </c>
      <c r="G4" s="99">
        <f>'Trading Multiples'!C45</f>
        <v>3.6094227072260554</v>
      </c>
      <c r="H4" s="103">
        <v>0.1</v>
      </c>
      <c r="I4">
        <f t="shared" si="1"/>
        <v>0.36094227072260554</v>
      </c>
    </row>
    <row r="5" spans="1:9" x14ac:dyDescent="0.35">
      <c r="A5" t="s">
        <v>68</v>
      </c>
      <c r="B5" s="97">
        <f>'Trading Multiples'!D43</f>
        <v>2.7657500000000002</v>
      </c>
      <c r="C5" s="97">
        <f t="shared" si="0"/>
        <v>0.80925000000000002</v>
      </c>
      <c r="D5" s="97">
        <f>'Trading Multiples'!D42</f>
        <v>3.5750000000000002</v>
      </c>
      <c r="F5" s="100" t="s">
        <v>68</v>
      </c>
      <c r="G5" s="101">
        <f>'Trading Multiples'!D45</f>
        <v>3.3605</v>
      </c>
      <c r="H5" s="104">
        <v>0.3</v>
      </c>
      <c r="I5">
        <f t="shared" si="1"/>
        <v>1.0081499999999999</v>
      </c>
    </row>
    <row r="6" spans="1:9" ht="15" thickBot="1" x14ac:dyDescent="0.4">
      <c r="F6" s="102" t="s">
        <v>42</v>
      </c>
      <c r="G6" s="102"/>
      <c r="H6" s="105">
        <f>SUM(H2:H5)</f>
        <v>1</v>
      </c>
      <c r="I6" s="106">
        <f>SUM(I2:I5)</f>
        <v>3.5195374363862904</v>
      </c>
    </row>
    <row r="7" spans="1:9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4A6A-49C7-486D-AB48-DF729632B214}">
  <sheetPr>
    <tabColor theme="8" tint="-0.249977111117893"/>
  </sheetPr>
  <dimension ref="A1:FC49"/>
  <sheetViews>
    <sheetView showGridLines="0" topLeftCell="A3" zoomScale="73" zoomScaleNormal="70" workbookViewId="0">
      <selection activeCell="M13" sqref="M13"/>
    </sheetView>
  </sheetViews>
  <sheetFormatPr defaultRowHeight="14.5" x14ac:dyDescent="0.35"/>
  <cols>
    <col min="1" max="1" width="2.81640625" customWidth="1"/>
    <col min="2" max="2" width="36.81640625" bestFit="1" customWidth="1"/>
    <col min="3" max="3" width="11.81640625" customWidth="1"/>
    <col min="4" max="4" width="11.1796875" bestFit="1" customWidth="1"/>
    <col min="5" max="5" width="10.7265625" customWidth="1"/>
    <col min="6" max="8" width="10.81640625" bestFit="1" customWidth="1"/>
    <col min="9" max="12" width="10.453125" bestFit="1" customWidth="1"/>
    <col min="13" max="13" width="9.1796875" bestFit="1" customWidth="1"/>
    <col min="18" max="18" width="10.1796875" customWidth="1"/>
  </cols>
  <sheetData>
    <row r="1" spans="1:159" s="6" customFormat="1" ht="16" x14ac:dyDescent="0.45">
      <c r="A1" s="1"/>
      <c r="B1" s="2" t="str">
        <f>'[1]Cover Page'!B1&amp;": Discounted Cash Flow Valuation"</f>
        <v>Qube Holdings Ltd: Discounted Cash Flow Valuation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59" s="10" customFormat="1" ht="16" x14ac:dyDescent="0.45">
      <c r="A2" s="1"/>
      <c r="B2" s="7" t="str">
        <f>"Active Scenario: "&amp;'[1]Cover Page'!H14</f>
        <v xml:space="preserve">Active Scenario: Base 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59" ht="16" x14ac:dyDescent="0.45">
      <c r="A3" s="1"/>
      <c r="B3" s="11" t="s">
        <v>0</v>
      </c>
      <c r="C3" s="11"/>
      <c r="D3" s="12" t="str">
        <f>[1]FSM!G6</f>
        <v>FY2025E</v>
      </c>
      <c r="E3" s="12" t="str">
        <f>[1]FSM!H6</f>
        <v>FY2026E</v>
      </c>
      <c r="F3" s="12" t="str">
        <f>[1]FSM!I6</f>
        <v>FY2027E</v>
      </c>
      <c r="G3" s="12" t="str">
        <f>[1]FSM!J6</f>
        <v>FY2028E</v>
      </c>
      <c r="H3" s="13" t="str">
        <f>[1]FSM!K6</f>
        <v>FY2029E</v>
      </c>
      <c r="I3" s="14"/>
      <c r="J3" s="14"/>
      <c r="K3" s="14"/>
      <c r="L3" s="14"/>
      <c r="M3" s="14"/>
      <c r="N3" s="1"/>
      <c r="O3" s="1"/>
      <c r="P3" s="1"/>
      <c r="Q3" s="1"/>
      <c r="R3" s="15"/>
    </row>
    <row r="4" spans="1:159" ht="16" x14ac:dyDescent="0.45">
      <c r="A4" s="1"/>
      <c r="B4" s="16" t="s">
        <v>1</v>
      </c>
      <c r="C4" s="17"/>
      <c r="D4" s="57">
        <v>624.23</v>
      </c>
      <c r="E4" s="57">
        <v>680.47</v>
      </c>
      <c r="F4" s="57">
        <v>717.85</v>
      </c>
      <c r="G4" s="57">
        <v>768.48</v>
      </c>
      <c r="H4" s="58">
        <v>789.46</v>
      </c>
      <c r="I4" s="1"/>
      <c r="J4" s="107" t="s">
        <v>2</v>
      </c>
      <c r="K4" s="108"/>
      <c r="L4" s="109"/>
      <c r="M4" s="1"/>
      <c r="N4" s="1"/>
      <c r="O4" s="1"/>
      <c r="P4" s="1"/>
    </row>
    <row r="5" spans="1:159" ht="16" x14ac:dyDescent="0.45">
      <c r="A5" s="1"/>
      <c r="B5" s="18" t="s">
        <v>3</v>
      </c>
      <c r="C5" s="17"/>
      <c r="D5" s="57">
        <v>368.63</v>
      </c>
      <c r="E5" s="57">
        <v>410.49</v>
      </c>
      <c r="F5" s="57">
        <v>447.47</v>
      </c>
      <c r="G5" s="57">
        <v>516.46</v>
      </c>
      <c r="H5" s="58">
        <v>584.16</v>
      </c>
      <c r="I5" s="1"/>
      <c r="J5" s="19" t="s">
        <v>4</v>
      </c>
      <c r="K5" s="1"/>
      <c r="L5" s="62">
        <v>7.3999999999999996E-2</v>
      </c>
      <c r="M5" s="1"/>
      <c r="N5" s="1"/>
      <c r="O5" s="1"/>
      <c r="P5" s="1"/>
    </row>
    <row r="6" spans="1:159" ht="16" x14ac:dyDescent="0.45">
      <c r="A6" s="1"/>
      <c r="B6" s="20" t="s">
        <v>5</v>
      </c>
      <c r="C6" s="17"/>
      <c r="D6" s="59">
        <f>-26.78%*298.65</f>
        <v>-79.978470000000002</v>
      </c>
      <c r="E6" s="59">
        <f>-26.78%*350.67</f>
        <v>-93.909426000000011</v>
      </c>
      <c r="F6" s="59">
        <f>-26.7%*392.7</f>
        <v>-104.85090000000001</v>
      </c>
      <c r="G6" s="59">
        <f>-30.7%*427.46</f>
        <v>-131.23022</v>
      </c>
      <c r="H6" s="60">
        <f>-30.6%*480.95</f>
        <v>-147.17069999999998</v>
      </c>
      <c r="I6" s="1"/>
      <c r="J6" s="19" t="s">
        <v>6</v>
      </c>
      <c r="K6" s="1"/>
      <c r="L6" s="62">
        <v>2.8000000000000001E-2</v>
      </c>
      <c r="M6" s="1"/>
      <c r="N6" s="1"/>
      <c r="O6" s="1"/>
      <c r="P6" s="1"/>
    </row>
    <row r="7" spans="1:159" ht="16" x14ac:dyDescent="0.45">
      <c r="A7" s="1"/>
      <c r="B7" s="18" t="s">
        <v>7</v>
      </c>
      <c r="C7" s="17"/>
      <c r="D7" s="21">
        <f>SUM(D5:D6)</f>
        <v>288.65152999999998</v>
      </c>
      <c r="E7" s="21">
        <f t="shared" ref="E7:H7" si="0">SUM(E5:E6)</f>
        <v>316.58057400000001</v>
      </c>
      <c r="F7" s="21">
        <f t="shared" si="0"/>
        <v>342.6191</v>
      </c>
      <c r="G7" s="21">
        <f t="shared" si="0"/>
        <v>385.22978000000001</v>
      </c>
      <c r="H7" s="22">
        <f t="shared" si="0"/>
        <v>436.98929999999996</v>
      </c>
      <c r="I7" s="1"/>
      <c r="J7" s="27" t="s">
        <v>8</v>
      </c>
      <c r="K7" s="11"/>
      <c r="L7" s="63">
        <v>1700</v>
      </c>
      <c r="M7" s="1"/>
      <c r="N7" s="1"/>
      <c r="O7" s="1"/>
      <c r="P7" s="1"/>
    </row>
    <row r="8" spans="1:159" ht="16" x14ac:dyDescent="0.45">
      <c r="A8" s="1"/>
      <c r="B8" s="23" t="s">
        <v>9</v>
      </c>
      <c r="C8" s="24"/>
      <c r="D8" s="25"/>
      <c r="E8" s="98"/>
      <c r="F8" s="98"/>
      <c r="G8" s="25"/>
      <c r="H8" s="26"/>
      <c r="I8" s="1"/>
      <c r="M8" s="1"/>
      <c r="N8" s="1"/>
      <c r="O8" s="1"/>
      <c r="P8" s="1"/>
      <c r="T8" s="1"/>
    </row>
    <row r="9" spans="1:159" ht="16" x14ac:dyDescent="0.45">
      <c r="A9" s="1"/>
      <c r="B9" s="28" t="s">
        <v>10</v>
      </c>
      <c r="C9" s="1"/>
      <c r="D9" s="57">
        <v>251.71</v>
      </c>
      <c r="E9" s="57">
        <v>267.70999999999998</v>
      </c>
      <c r="F9" s="57">
        <v>275.54000000000002</v>
      </c>
      <c r="G9" s="57">
        <v>286</v>
      </c>
      <c r="H9" s="58">
        <v>297</v>
      </c>
      <c r="I9" s="1"/>
      <c r="J9" s="1"/>
      <c r="K9" s="1"/>
      <c r="L9" s="1"/>
      <c r="M9" s="1"/>
      <c r="N9" s="1"/>
      <c r="O9" s="1"/>
      <c r="P9" s="1"/>
    </row>
    <row r="10" spans="1:159" ht="16" x14ac:dyDescent="0.45">
      <c r="A10" s="1"/>
      <c r="B10" s="28" t="s">
        <v>11</v>
      </c>
      <c r="C10" s="1"/>
      <c r="D10" s="57">
        <v>-59</v>
      </c>
      <c r="E10" s="57">
        <v>-29</v>
      </c>
      <c r="F10" s="57">
        <v>-21</v>
      </c>
      <c r="G10" s="57">
        <v>-15</v>
      </c>
      <c r="H10" s="58">
        <v>-2</v>
      </c>
      <c r="I10" s="1"/>
      <c r="J10" s="1"/>
      <c r="K10" s="1"/>
      <c r="L10" s="1"/>
      <c r="M10" s="1"/>
      <c r="N10" s="1"/>
      <c r="O10" s="1"/>
      <c r="P10" s="1"/>
    </row>
    <row r="11" spans="1:159" ht="16" x14ac:dyDescent="0.45">
      <c r="A11" s="1"/>
      <c r="B11" s="28" t="s">
        <v>12</v>
      </c>
      <c r="C11" s="1"/>
      <c r="D11" s="57">
        <v>0</v>
      </c>
      <c r="E11" s="57">
        <v>0</v>
      </c>
      <c r="F11" s="57">
        <v>0</v>
      </c>
      <c r="G11" s="57">
        <v>0</v>
      </c>
      <c r="H11" s="58">
        <v>0</v>
      </c>
      <c r="I11" s="1"/>
      <c r="J11" s="1"/>
      <c r="K11" s="1"/>
      <c r="L11" s="1"/>
      <c r="M11" s="1"/>
      <c r="N11" s="1"/>
      <c r="O11" s="1"/>
      <c r="P11" s="1"/>
    </row>
    <row r="12" spans="1:159" ht="16" x14ac:dyDescent="0.45">
      <c r="A12" s="1"/>
      <c r="B12" s="28" t="s">
        <v>13</v>
      </c>
      <c r="C12" s="1"/>
      <c r="D12" s="57">
        <v>-584.38</v>
      </c>
      <c r="E12" s="57">
        <v>-385.13</v>
      </c>
      <c r="F12" s="57">
        <v>-368.93</v>
      </c>
      <c r="G12" s="57">
        <v>-381.91</v>
      </c>
      <c r="H12" s="58">
        <v>-284.81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</row>
    <row r="13" spans="1:159" ht="16" x14ac:dyDescent="0.45">
      <c r="A13" s="1"/>
      <c r="B13" s="29" t="s">
        <v>14</v>
      </c>
      <c r="C13" s="30"/>
      <c r="D13" s="31">
        <f>SUM(D7:D12)</f>
        <v>-103.01846999999998</v>
      </c>
      <c r="E13" s="31">
        <f>SUM(E7:E12)</f>
        <v>170.160574</v>
      </c>
      <c r="F13" s="31">
        <f>SUM(F7:F12)</f>
        <v>228.22910000000007</v>
      </c>
      <c r="G13" s="31">
        <f>SUM(G7:G12)</f>
        <v>274.31977999999998</v>
      </c>
      <c r="H13" s="32">
        <f>SUM(H7:H12)</f>
        <v>447.17929999999996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</row>
    <row r="14" spans="1:159" ht="16" x14ac:dyDescent="0.45">
      <c r="A14" s="1"/>
      <c r="B14" s="18"/>
      <c r="C14" s="1"/>
      <c r="D14" s="1"/>
      <c r="E14" s="1"/>
      <c r="F14" s="1"/>
      <c r="G14" s="33"/>
      <c r="H14" s="3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59" ht="16" x14ac:dyDescent="0.45">
      <c r="A15" s="1"/>
      <c r="B15" s="18" t="s">
        <v>15</v>
      </c>
      <c r="C15" s="61">
        <v>45764</v>
      </c>
      <c r="D15" s="35">
        <f>[1]FSM!G7</f>
        <v>45838</v>
      </c>
      <c r="E15" s="35">
        <f>[1]FSM!H7</f>
        <v>46203</v>
      </c>
      <c r="F15" s="35">
        <f>[1]FSM!I7</f>
        <v>46568</v>
      </c>
      <c r="G15" s="35">
        <f>[1]FSM!J7</f>
        <v>46934</v>
      </c>
      <c r="H15" s="36">
        <f>[1]FSM!K7</f>
        <v>47299</v>
      </c>
      <c r="I15" s="1"/>
      <c r="J15" s="1"/>
      <c r="K15" s="1"/>
      <c r="L15" s="1"/>
      <c r="M15" s="1"/>
      <c r="N15" s="1"/>
      <c r="O15" s="1"/>
      <c r="P15" s="1"/>
      <c r="Q15" s="1"/>
      <c r="R15" s="15"/>
    </row>
    <row r="16" spans="1:159" ht="16" x14ac:dyDescent="0.45">
      <c r="A16" s="1"/>
      <c r="B16" s="18" t="s">
        <v>16</v>
      </c>
      <c r="C16" s="1"/>
      <c r="D16" s="1">
        <f>D15-$C$15</f>
        <v>74</v>
      </c>
      <c r="E16" s="1">
        <f>E15-$C$15</f>
        <v>439</v>
      </c>
      <c r="F16" s="1">
        <f>F15-$C$15</f>
        <v>804</v>
      </c>
      <c r="G16" s="1">
        <f>G15-$C$15</f>
        <v>1170</v>
      </c>
      <c r="H16" s="37">
        <f>H15-$C$15</f>
        <v>1535</v>
      </c>
      <c r="I16" s="1"/>
      <c r="J16" s="1"/>
      <c r="K16" s="1"/>
      <c r="L16" s="21"/>
      <c r="M16" s="1"/>
      <c r="N16" s="1"/>
      <c r="O16" s="1"/>
      <c r="P16" s="1"/>
      <c r="Q16" s="1"/>
      <c r="R16" s="15"/>
    </row>
    <row r="17" spans="1:18" ht="16" x14ac:dyDescent="0.45">
      <c r="A17" s="1"/>
      <c r="B17" s="28" t="s">
        <v>17</v>
      </c>
      <c r="C17" s="11"/>
      <c r="D17" s="38">
        <f>D16/365</f>
        <v>0.20273972602739726</v>
      </c>
      <c r="E17" s="38">
        <f>E16/365</f>
        <v>1.2027397260273973</v>
      </c>
      <c r="F17" s="38">
        <f>F16/365</f>
        <v>2.2027397260273971</v>
      </c>
      <c r="G17" s="38">
        <f>G16/365</f>
        <v>3.2054794520547945</v>
      </c>
      <c r="H17" s="39">
        <f>H16/365</f>
        <v>4.2054794520547949</v>
      </c>
      <c r="I17" s="1"/>
      <c r="J17" s="1"/>
      <c r="K17" s="1"/>
      <c r="L17" s="1"/>
      <c r="M17" s="1"/>
      <c r="N17" s="1"/>
      <c r="O17" s="1"/>
      <c r="P17" s="1"/>
      <c r="Q17" s="1"/>
      <c r="R17" s="15"/>
    </row>
    <row r="18" spans="1:18" ht="16" x14ac:dyDescent="0.45">
      <c r="A18" s="1"/>
      <c r="B18" s="29" t="s">
        <v>18</v>
      </c>
      <c r="C18" s="30"/>
      <c r="D18" s="31">
        <f>D13/(1+$L$5)^D17</f>
        <v>-101.53816161210071</v>
      </c>
      <c r="E18" s="31">
        <f>E13/(1+$L$5)^E17</f>
        <v>156.15966225483899</v>
      </c>
      <c r="F18" s="31">
        <f>F13/(1+$L$5)^F17</f>
        <v>195.01887887020737</v>
      </c>
      <c r="G18" s="31">
        <f>G13/(1+$L$5)^G17</f>
        <v>218.20944111474313</v>
      </c>
      <c r="H18" s="40">
        <f>H13/(1+$L$5)^H17</f>
        <v>331.20266571346451</v>
      </c>
      <c r="I18" s="1"/>
      <c r="J18" s="1"/>
      <c r="K18" s="1"/>
      <c r="L18" s="1"/>
      <c r="M18" s="1"/>
      <c r="N18" s="1"/>
      <c r="O18" s="1"/>
      <c r="P18" s="1"/>
      <c r="Q18" s="1"/>
      <c r="R18" s="15"/>
    </row>
    <row r="19" spans="1:18" ht="1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</row>
    <row r="20" spans="1:18" ht="16" x14ac:dyDescent="0.45">
      <c r="A20" s="1" t="s">
        <v>19</v>
      </c>
      <c r="B20" s="41" t="s">
        <v>20</v>
      </c>
      <c r="C20" s="42"/>
      <c r="E20" s="78" t="s">
        <v>63</v>
      </c>
      <c r="F20" s="4"/>
      <c r="G20" s="4"/>
      <c r="H20" s="4"/>
      <c r="I20" s="79" t="s">
        <v>4</v>
      </c>
      <c r="J20" s="4"/>
      <c r="K20" s="4"/>
      <c r="L20" s="4"/>
      <c r="M20" s="44"/>
      <c r="O20" s="1"/>
      <c r="P20" s="1"/>
      <c r="Q20" s="1"/>
      <c r="R20" s="15"/>
    </row>
    <row r="21" spans="1:18" ht="16" x14ac:dyDescent="0.45">
      <c r="A21" s="1"/>
      <c r="B21" s="19" t="s">
        <v>21</v>
      </c>
      <c r="C21" s="43">
        <f>H13</f>
        <v>447.17929999999996</v>
      </c>
      <c r="E21" s="95"/>
      <c r="F21" s="80">
        <f>$C$39</f>
        <v>3.5918306230835624</v>
      </c>
      <c r="G21" s="81">
        <v>6.7999999999999991E-2</v>
      </c>
      <c r="H21" s="81">
        <v>6.9999999999999993E-2</v>
      </c>
      <c r="I21" s="81">
        <v>7.1999999999999995E-2</v>
      </c>
      <c r="J21" s="81">
        <v>7.3999999999999996E-2</v>
      </c>
      <c r="K21" s="81">
        <v>7.5999999999999998E-2</v>
      </c>
      <c r="L21" s="81">
        <v>7.8E-2</v>
      </c>
      <c r="M21" s="82">
        <v>0.08</v>
      </c>
      <c r="O21" s="1"/>
      <c r="P21" s="1"/>
      <c r="Q21" s="1"/>
      <c r="R21" s="15"/>
    </row>
    <row r="22" spans="1:18" ht="16.5" x14ac:dyDescent="0.45">
      <c r="A22" s="1"/>
      <c r="B22" s="19" t="s">
        <v>22</v>
      </c>
      <c r="C22" s="43">
        <f>C21*(1+L6)</f>
        <v>459.70032039999995</v>
      </c>
      <c r="E22" s="110" t="s">
        <v>64</v>
      </c>
      <c r="F22" s="83">
        <v>2.2999999999999996E-2</v>
      </c>
      <c r="G22" s="84">
        <f t="dataTable" ref="G22:M28" dt2D="1" dtr="1" r1="L5" r2="L6"/>
        <v>3.7814726723940701</v>
      </c>
      <c r="H22" s="84">
        <v>3.5514766361143439</v>
      </c>
      <c r="I22" s="84">
        <v>3.3403512040618475</v>
      </c>
      <c r="J22" s="84">
        <v>3.1458754766813497</v>
      </c>
      <c r="K22" s="84">
        <v>2.9661637933933687</v>
      </c>
      <c r="L22" s="84">
        <v>2.7996047799418355</v>
      </c>
      <c r="M22" s="85">
        <v>2.6448132278806726</v>
      </c>
      <c r="O22" s="1"/>
      <c r="P22" s="1"/>
      <c r="Q22" s="1"/>
      <c r="R22" s="15"/>
    </row>
    <row r="23" spans="1:18" ht="17.5" customHeight="1" x14ac:dyDescent="0.45">
      <c r="A23" s="1"/>
      <c r="B23" s="19" t="s">
        <v>6</v>
      </c>
      <c r="C23" s="45">
        <f>L6</f>
        <v>2.8000000000000001E-2</v>
      </c>
      <c r="E23" s="110"/>
      <c r="F23" s="83">
        <v>2.3999999999999997E-2</v>
      </c>
      <c r="G23" s="84">
        <v>3.889065424569544</v>
      </c>
      <c r="H23" s="86">
        <v>3.6494229249227121</v>
      </c>
      <c r="I23" s="87">
        <v>3.4298478354502722</v>
      </c>
      <c r="J23" s="87">
        <v>3.2279312236193567</v>
      </c>
      <c r="K23" s="87">
        <v>3.0416347709086562</v>
      </c>
      <c r="L23" s="88">
        <v>2.8692221404709155</v>
      </c>
      <c r="M23" s="85">
        <v>2.7092050517265189</v>
      </c>
      <c r="O23" s="1"/>
      <c r="P23" s="1"/>
      <c r="Q23" s="1"/>
      <c r="R23" s="15"/>
    </row>
    <row r="24" spans="1:18" ht="16" x14ac:dyDescent="0.45">
      <c r="A24" s="1"/>
      <c r="B24" s="19" t="s">
        <v>23</v>
      </c>
      <c r="C24" s="43">
        <f>C22/(L5-L6)</f>
        <v>9993.4852260869557</v>
      </c>
      <c r="E24" s="110"/>
      <c r="F24" s="83">
        <v>2.4999999999999998E-2</v>
      </c>
      <c r="G24" s="84">
        <v>4.0016624907996885</v>
      </c>
      <c r="H24" s="89">
        <v>3.7517223821225634</v>
      </c>
      <c r="I24" s="84">
        <v>3.5231528341318206</v>
      </c>
      <c r="J24" s="84">
        <v>3.3133361847180982</v>
      </c>
      <c r="K24" s="84">
        <v>3.1200653946010135</v>
      </c>
      <c r="L24" s="85">
        <v>2.941466571208641</v>
      </c>
      <c r="M24" s="85">
        <v>2.7759383964394875</v>
      </c>
      <c r="O24" s="1"/>
      <c r="P24" s="1"/>
      <c r="Q24" s="1"/>
      <c r="R24" s="15"/>
    </row>
    <row r="25" spans="1:18" ht="16" x14ac:dyDescent="0.45">
      <c r="A25" s="1"/>
      <c r="B25" s="19" t="s">
        <v>24</v>
      </c>
      <c r="C25" s="43">
        <f>C24/((1+L5)^H17)</f>
        <v>7401.6595729009032</v>
      </c>
      <c r="E25" s="110"/>
      <c r="F25" s="83">
        <v>2.8000000000000001E-2</v>
      </c>
      <c r="G25" s="84">
        <v>4.3732328093591724</v>
      </c>
      <c r="H25" s="89">
        <v>4.0878491700649313</v>
      </c>
      <c r="I25" s="84">
        <v>3.8285146479987069</v>
      </c>
      <c r="J25" s="90">
        <v>3.5918306230835624</v>
      </c>
      <c r="K25" s="84">
        <v>3.3749649216011761</v>
      </c>
      <c r="L25" s="85">
        <v>3.1755385267988703</v>
      </c>
      <c r="M25" s="85">
        <v>2.9915384332044628</v>
      </c>
      <c r="O25" s="1"/>
      <c r="P25" s="1"/>
      <c r="Q25" s="1"/>
      <c r="R25" s="15"/>
    </row>
    <row r="26" spans="1:18" ht="16" x14ac:dyDescent="0.45">
      <c r="A26" s="1"/>
      <c r="B26" s="19" t="s">
        <v>34</v>
      </c>
      <c r="C26" s="46">
        <f>SUM(D18:H18)</f>
        <v>799.05248634115333</v>
      </c>
      <c r="E26" s="110"/>
      <c r="F26" s="83">
        <v>2.7E-2</v>
      </c>
      <c r="G26" s="84">
        <v>4.2433342427082961</v>
      </c>
      <c r="H26" s="89">
        <v>3.970595639387362</v>
      </c>
      <c r="I26" s="84">
        <v>3.7222034979857903</v>
      </c>
      <c r="J26" s="84">
        <v>3.4950488679069114</v>
      </c>
      <c r="K26" s="84">
        <v>3.2865303918256092</v>
      </c>
      <c r="L26" s="85">
        <v>3.094454777476765</v>
      </c>
      <c r="M26" s="85">
        <v>2.9169598041348164</v>
      </c>
      <c r="O26" s="1"/>
      <c r="P26" s="1"/>
      <c r="Q26" s="1"/>
      <c r="R26" s="15"/>
    </row>
    <row r="27" spans="1:18" ht="16" x14ac:dyDescent="0.45">
      <c r="A27" s="1"/>
      <c r="B27" s="47" t="s">
        <v>25</v>
      </c>
      <c r="C27" s="48">
        <f>C25+C26</f>
        <v>8200.7120592420561</v>
      </c>
      <c r="E27" s="110"/>
      <c r="F27" s="83">
        <v>2.8000000000000001E-2</v>
      </c>
      <c r="G27" s="84">
        <v>4.3732328093591724</v>
      </c>
      <c r="H27" s="91">
        <v>4.0878491700649313</v>
      </c>
      <c r="I27" s="92">
        <v>3.8285146479987069</v>
      </c>
      <c r="J27" s="92">
        <v>3.5918306230835624</v>
      </c>
      <c r="K27" s="92">
        <v>3.3749649216011761</v>
      </c>
      <c r="L27" s="93">
        <v>3.1755385267988703</v>
      </c>
      <c r="M27" s="85">
        <v>2.9915384332044628</v>
      </c>
      <c r="O27" s="1"/>
      <c r="P27" s="1"/>
      <c r="Q27" s="1"/>
      <c r="R27" s="15"/>
    </row>
    <row r="28" spans="1:18" ht="16" x14ac:dyDescent="0.45">
      <c r="A28" s="1"/>
      <c r="B28" s="1"/>
      <c r="C28" s="1"/>
      <c r="E28" s="111"/>
      <c r="F28" s="94">
        <v>2.9000000000000001E-2</v>
      </c>
      <c r="G28" s="92">
        <v>4.5097928409665018</v>
      </c>
      <c r="H28" s="92">
        <v>4.2108223851657982</v>
      </c>
      <c r="I28" s="92">
        <v>3.9397705026633849</v>
      </c>
      <c r="J28" s="92">
        <v>3.6929137896013966</v>
      </c>
      <c r="K28" s="92">
        <v>3.4671626228565531</v>
      </c>
      <c r="L28" s="92">
        <v>3.2599318169096327</v>
      </c>
      <c r="M28" s="93">
        <v>3.0690417143944861</v>
      </c>
      <c r="O28" s="1"/>
      <c r="P28" s="1"/>
      <c r="Q28" s="1"/>
      <c r="R28" s="15"/>
    </row>
    <row r="29" spans="1:18" ht="16" x14ac:dyDescent="0.45">
      <c r="A29" s="1" t="s">
        <v>19</v>
      </c>
      <c r="B29" s="41" t="s">
        <v>26</v>
      </c>
      <c r="C29" s="44"/>
      <c r="O29" s="1"/>
      <c r="P29" s="1"/>
      <c r="Q29" s="1"/>
      <c r="R29" s="15"/>
    </row>
    <row r="30" spans="1:18" ht="16" x14ac:dyDescent="0.45">
      <c r="A30" s="1"/>
      <c r="B30" s="19" t="s">
        <v>27</v>
      </c>
      <c r="C30" s="49">
        <v>185</v>
      </c>
      <c r="O30" s="1"/>
      <c r="P30" s="1"/>
      <c r="Q30" s="1"/>
      <c r="R30" s="15"/>
    </row>
    <row r="31" spans="1:18" ht="16" customHeight="1" x14ac:dyDescent="0.45">
      <c r="A31" s="1"/>
      <c r="B31" s="19" t="s">
        <v>28</v>
      </c>
      <c r="C31" s="43">
        <f>SUM([1]FSM!F67,[1]FSM!F75:F76)</f>
        <v>2279.6</v>
      </c>
      <c r="O31" s="1"/>
      <c r="P31" s="1"/>
      <c r="Q31" s="1"/>
      <c r="R31" s="15"/>
    </row>
    <row r="32" spans="1:18" ht="16" x14ac:dyDescent="0.45">
      <c r="A32" s="1"/>
      <c r="B32" s="50" t="s">
        <v>29</v>
      </c>
      <c r="C32" s="51">
        <f>C31-C30</f>
        <v>2094.6</v>
      </c>
      <c r="O32" s="1"/>
      <c r="P32" s="1"/>
      <c r="Q32" s="1"/>
      <c r="R32" s="15"/>
    </row>
    <row r="33" spans="1:18" ht="16" x14ac:dyDescent="0.45">
      <c r="A33" s="1"/>
      <c r="B33" s="47" t="s">
        <v>30</v>
      </c>
      <c r="C33" s="48">
        <f>C27-C32</f>
        <v>6106.1120592420557</v>
      </c>
      <c r="O33" s="1"/>
      <c r="P33" s="1"/>
      <c r="Q33" s="1"/>
      <c r="R33" s="15"/>
    </row>
    <row r="34" spans="1:18" ht="16" x14ac:dyDescent="0.45">
      <c r="A34" s="1"/>
      <c r="B34" s="52"/>
      <c r="C34" s="52"/>
      <c r="O34" s="1"/>
      <c r="P34" s="1"/>
      <c r="Q34" s="1"/>
      <c r="R34" s="15"/>
    </row>
    <row r="35" spans="1:18" ht="16" x14ac:dyDescent="0.45">
      <c r="A35" s="1"/>
      <c r="B35" s="41" t="s">
        <v>31</v>
      </c>
      <c r="C35" s="53"/>
      <c r="O35" s="1"/>
      <c r="P35" s="1"/>
      <c r="Q35" s="1"/>
      <c r="R35" s="15"/>
    </row>
    <row r="36" spans="1:18" ht="16" x14ac:dyDescent="0.45">
      <c r="A36" s="1"/>
      <c r="B36" s="27" t="s">
        <v>31</v>
      </c>
      <c r="C36" s="46">
        <f>L7</f>
        <v>1700</v>
      </c>
      <c r="O36" s="1"/>
      <c r="P36" s="1"/>
      <c r="Q36" s="1"/>
      <c r="R36" s="15"/>
    </row>
    <row r="37" spans="1:18" ht="16" x14ac:dyDescent="0.45">
      <c r="A37" s="1"/>
      <c r="B37" s="1"/>
      <c r="C37" s="1"/>
      <c r="O37" s="1"/>
      <c r="P37" s="1"/>
      <c r="Q37" s="1"/>
      <c r="R37" s="15"/>
    </row>
    <row r="38" spans="1:18" ht="16" x14ac:dyDescent="0.45">
      <c r="A38" s="1" t="s">
        <v>19</v>
      </c>
      <c r="B38" s="41" t="s">
        <v>32</v>
      </c>
      <c r="C38" s="53"/>
      <c r="O38" s="1"/>
      <c r="P38" s="1"/>
      <c r="Q38" s="1"/>
      <c r="R38" s="15"/>
    </row>
    <row r="39" spans="1:18" ht="16" x14ac:dyDescent="0.45">
      <c r="A39" s="1"/>
      <c r="B39" s="54" t="s">
        <v>33</v>
      </c>
      <c r="C39" s="55">
        <f>C33/C36</f>
        <v>3.5918306230835624</v>
      </c>
      <c r="D39" s="5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5"/>
    </row>
    <row r="40" spans="1:18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</sheetData>
  <mergeCells count="2">
    <mergeCell ref="J4:L4"/>
    <mergeCell ref="E22:E28"/>
  </mergeCells>
  <conditionalFormatting sqref="G22:M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49B3-1DFA-41E4-8043-E6B9BE2E7366}">
  <sheetPr>
    <outlinePr summaryBelow="0" summaryRight="0"/>
    <pageSetUpPr autoPageBreaks="0"/>
  </sheetPr>
  <dimension ref="A4:IP45"/>
  <sheetViews>
    <sheetView topLeftCell="A10" workbookViewId="0">
      <selection activeCell="B17" sqref="B17"/>
    </sheetView>
  </sheetViews>
  <sheetFormatPr defaultRowHeight="10" x14ac:dyDescent="0.2"/>
  <cols>
    <col min="1" max="1" width="47.81640625" style="64" customWidth="1"/>
    <col min="2" max="4" width="20.81640625" style="64" customWidth="1"/>
    <col min="5" max="16384" width="8.7265625" style="64"/>
  </cols>
  <sheetData>
    <row r="4" spans="1:250" ht="17" x14ac:dyDescent="0.35">
      <c r="A4" s="74" t="s">
        <v>59</v>
      </c>
    </row>
    <row r="7" spans="1:250" x14ac:dyDescent="0.2">
      <c r="A7" s="70" t="s">
        <v>58</v>
      </c>
      <c r="B7" s="70"/>
      <c r="C7" s="70"/>
      <c r="D7" s="70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  <c r="IA7" s="69"/>
      <c r="IB7" s="69"/>
      <c r="IC7" s="69"/>
      <c r="ID7" s="69"/>
      <c r="IE7" s="69"/>
      <c r="IF7" s="69"/>
      <c r="IG7" s="69"/>
      <c r="IH7" s="69"/>
      <c r="II7" s="69"/>
      <c r="IJ7" s="69"/>
      <c r="IK7" s="69"/>
      <c r="IL7" s="69"/>
      <c r="IM7" s="69"/>
      <c r="IN7" s="69"/>
      <c r="IO7" s="69"/>
      <c r="IP7" s="69"/>
    </row>
    <row r="8" spans="1:250" ht="10.5" x14ac:dyDescent="0.25">
      <c r="A8" s="73" t="s">
        <v>57</v>
      </c>
      <c r="B8" s="64" t="s">
        <v>56</v>
      </c>
    </row>
    <row r="9" spans="1:250" ht="10.5" x14ac:dyDescent="0.25">
      <c r="A9" s="73" t="s">
        <v>55</v>
      </c>
      <c r="B9" s="64" t="s">
        <v>54</v>
      </c>
    </row>
    <row r="10" spans="1:250" ht="10.5" x14ac:dyDescent="0.25">
      <c r="A10" s="73" t="s">
        <v>53</v>
      </c>
      <c r="B10" s="72">
        <f ca="1">TODAY()</f>
        <v>45769</v>
      </c>
    </row>
    <row r="11" spans="1:250" x14ac:dyDescent="0.2">
      <c r="A11" s="71"/>
    </row>
    <row r="13" spans="1:250" x14ac:dyDescent="0.2">
      <c r="A13" s="70" t="s">
        <v>52</v>
      </c>
      <c r="B13" s="70"/>
      <c r="C13" s="70"/>
      <c r="D13" s="70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  <c r="IA13" s="69"/>
      <c r="IB13" s="69"/>
      <c r="IC13" s="69"/>
      <c r="ID13" s="69"/>
      <c r="IE13" s="69"/>
      <c r="IF13" s="69"/>
      <c r="IG13" s="69"/>
      <c r="IH13" s="69"/>
      <c r="II13" s="69"/>
      <c r="IJ13" s="69"/>
      <c r="IK13" s="69"/>
      <c r="IL13" s="69"/>
      <c r="IM13" s="69"/>
      <c r="IN13" s="69"/>
      <c r="IO13" s="69"/>
      <c r="IP13" s="69"/>
    </row>
    <row r="14" spans="1:250" ht="21" x14ac:dyDescent="0.2">
      <c r="A14" s="75" t="s">
        <v>51</v>
      </c>
      <c r="B14" s="76" t="s">
        <v>41</v>
      </c>
      <c r="C14" s="76" t="s">
        <v>40</v>
      </c>
      <c r="D14" s="76" t="s">
        <v>39</v>
      </c>
    </row>
    <row r="15" spans="1:250" ht="12" customHeight="1" x14ac:dyDescent="0.2">
      <c r="A15" s="75" t="s">
        <v>50</v>
      </c>
      <c r="B15" s="67">
        <v>19</v>
      </c>
      <c r="C15" s="67">
        <v>32</v>
      </c>
      <c r="D15" s="67">
        <v>10.7</v>
      </c>
    </row>
    <row r="16" spans="1:250" ht="12" customHeight="1" x14ac:dyDescent="0.2">
      <c r="A16" s="75" t="s">
        <v>49</v>
      </c>
      <c r="B16" s="67">
        <v>18.2</v>
      </c>
      <c r="C16" s="67">
        <v>23.9</v>
      </c>
      <c r="D16" s="67">
        <v>26.9</v>
      </c>
    </row>
    <row r="17" spans="1:4" ht="12" customHeight="1" x14ac:dyDescent="0.2">
      <c r="A17" s="75" t="s">
        <v>48</v>
      </c>
      <c r="B17" s="67">
        <v>11.1</v>
      </c>
      <c r="C17" s="67">
        <v>20.3</v>
      </c>
      <c r="D17" s="67">
        <v>24.8</v>
      </c>
    </row>
    <row r="18" spans="1:4" ht="12" customHeight="1" x14ac:dyDescent="0.2">
      <c r="A18" s="75" t="s">
        <v>47</v>
      </c>
      <c r="B18" s="67">
        <v>13.1</v>
      </c>
      <c r="C18" s="67">
        <v>30.6</v>
      </c>
      <c r="D18" s="67">
        <v>29.3</v>
      </c>
    </row>
    <row r="19" spans="1:4" ht="10.5" x14ac:dyDescent="0.2">
      <c r="A19" s="68"/>
      <c r="B19" s="68"/>
      <c r="C19" s="68"/>
      <c r="D19" s="68"/>
    </row>
    <row r="20" spans="1:4" ht="10.5" x14ac:dyDescent="0.2">
      <c r="A20" s="77"/>
      <c r="B20" s="77"/>
      <c r="C20" s="77"/>
      <c r="D20" s="77"/>
    </row>
    <row r="21" spans="1:4" ht="12" customHeight="1" x14ac:dyDescent="0.2">
      <c r="A21" s="75" t="s">
        <v>46</v>
      </c>
      <c r="B21" s="67">
        <v>13.2</v>
      </c>
      <c r="C21" s="67">
        <v>24.2</v>
      </c>
      <c r="D21" s="67">
        <v>30.8</v>
      </c>
    </row>
    <row r="22" spans="1:4" ht="10.5" x14ac:dyDescent="0.2">
      <c r="A22" s="68"/>
      <c r="B22" s="68"/>
      <c r="C22" s="68"/>
      <c r="D22" s="68"/>
    </row>
    <row r="23" spans="1:4" ht="21" x14ac:dyDescent="0.2">
      <c r="A23" s="75" t="s">
        <v>45</v>
      </c>
      <c r="B23" s="76" t="s">
        <v>41</v>
      </c>
      <c r="C23" s="76" t="s">
        <v>40</v>
      </c>
      <c r="D23" s="76" t="s">
        <v>39</v>
      </c>
    </row>
    <row r="24" spans="1:4" ht="10.5" x14ac:dyDescent="0.2">
      <c r="A24" s="75" t="s">
        <v>38</v>
      </c>
      <c r="B24" s="67">
        <f>_xlfn.QUARTILE.INC(B15:B18,3)</f>
        <v>18.399999999999999</v>
      </c>
      <c r="C24" s="67">
        <f>_xlfn.QUARTILE.INC(C15:C18,3)</f>
        <v>30.950000000000003</v>
      </c>
      <c r="D24" s="67">
        <f>_xlfn.QUARTILE.INC(D15:D18,3)</f>
        <v>27.5</v>
      </c>
    </row>
    <row r="25" spans="1:4" ht="10.5" x14ac:dyDescent="0.2">
      <c r="A25" s="75" t="s">
        <v>37</v>
      </c>
      <c r="B25" s="67">
        <f>_xlfn.QUARTILE.INC(B15:B18,1)</f>
        <v>12.6</v>
      </c>
      <c r="C25" s="67">
        <f>_xlfn.QUARTILE.INC(C15:C18,1)</f>
        <v>23</v>
      </c>
      <c r="D25" s="67">
        <f>_xlfn.QUARTILE.INC(D15:D18,1)</f>
        <v>21.274999999999999</v>
      </c>
    </row>
    <row r="26" spans="1:4" ht="10.5" x14ac:dyDescent="0.2">
      <c r="A26" s="75" t="s">
        <v>36</v>
      </c>
      <c r="B26" s="67">
        <f>AVERAGE(B15:B18)</f>
        <v>15.350000000000001</v>
      </c>
      <c r="C26" s="67">
        <f>AVERAGE(C15:C18)</f>
        <v>26.700000000000003</v>
      </c>
      <c r="D26" s="67">
        <f>AVERAGE(D15:D18)</f>
        <v>22.924999999999997</v>
      </c>
    </row>
    <row r="27" spans="1:4" ht="10.5" x14ac:dyDescent="0.2">
      <c r="A27" s="75" t="s">
        <v>35</v>
      </c>
      <c r="B27" s="67">
        <f>MEDIAN(B15:B18)</f>
        <v>15.649999999999999</v>
      </c>
      <c r="C27" s="67">
        <f>MEDIAN(C15:C18)</f>
        <v>27.25</v>
      </c>
      <c r="D27" s="67">
        <f>MEDIAN(D15:D18)</f>
        <v>25.85</v>
      </c>
    </row>
    <row r="28" spans="1:4" x14ac:dyDescent="0.2">
      <c r="A28" s="66"/>
      <c r="B28" s="66"/>
      <c r="C28" s="66"/>
      <c r="D28" s="66"/>
    </row>
    <row r="29" spans="1:4" ht="21" x14ac:dyDescent="0.2">
      <c r="A29" s="75" t="s">
        <v>44</v>
      </c>
      <c r="B29" s="76" t="s">
        <v>41</v>
      </c>
      <c r="C29" s="76" t="s">
        <v>40</v>
      </c>
      <c r="D29" s="76" t="s">
        <v>39</v>
      </c>
    </row>
    <row r="30" spans="1:4" ht="10.5" x14ac:dyDescent="0.2">
      <c r="A30" s="75" t="s">
        <v>38</v>
      </c>
      <c r="B30" s="65">
        <f>B24*'[2]Financial Data'!L$27</f>
        <v>10545.039999999999</v>
      </c>
      <c r="C30" s="65">
        <f>C24*'[2]Financial Data'!M$27</f>
        <v>10315.635000000002</v>
      </c>
      <c r="D30" s="65">
        <f>D24*'[2]Financial Data'!N$27*'[2]Financial Data'!$C$27+'[2]Financial Data'!$E$27</f>
        <v>9021.5450000000001</v>
      </c>
    </row>
    <row r="31" spans="1:4" ht="10.5" x14ac:dyDescent="0.2">
      <c r="A31" s="75" t="s">
        <v>37</v>
      </c>
      <c r="B31" s="65">
        <f>B25*'[2]Financial Data'!L$27</f>
        <v>7221.06</v>
      </c>
      <c r="C31" s="65">
        <f>C25*'[2]Financial Data'!M$27</f>
        <v>7665.9000000000005</v>
      </c>
      <c r="D31" s="65">
        <f>D25*'[2]Financial Data'!N$27*'[2]Financial Data'!$C$27+'[2]Financial Data'!$E$27</f>
        <v>7590.3054499999998</v>
      </c>
    </row>
    <row r="32" spans="1:4" ht="10.5" x14ac:dyDescent="0.2">
      <c r="A32" s="75" t="s">
        <v>36</v>
      </c>
      <c r="B32" s="65">
        <f>B26*'[2]Financial Data'!L$27</f>
        <v>8797.0850000000009</v>
      </c>
      <c r="C32" s="65">
        <f>C26*'[2]Financial Data'!M$27</f>
        <v>8899.11</v>
      </c>
      <c r="D32" s="65">
        <f>D26*'[2]Financial Data'!N$27*'[2]Financial Data'!$C$27+'[2]Financial Data'!$E$27</f>
        <v>7969.6701499999999</v>
      </c>
    </row>
    <row r="33" spans="1:4" ht="10.5" x14ac:dyDescent="0.2">
      <c r="A33" s="75" t="s">
        <v>35</v>
      </c>
      <c r="B33" s="65">
        <f>B27*'[2]Financial Data'!L$27</f>
        <v>8969.0149999999994</v>
      </c>
      <c r="C33" s="65">
        <f>C27*'[2]Financial Data'!M$27</f>
        <v>9082.4250000000011</v>
      </c>
      <c r="D33" s="65">
        <f>D27*'[2]Financial Data'!N$27*'[2]Financial Data'!$C$27+'[2]Financial Data'!$E$27</f>
        <v>8642.1803</v>
      </c>
    </row>
    <row r="35" spans="1:4" ht="21" x14ac:dyDescent="0.2">
      <c r="A35" s="75" t="s">
        <v>43</v>
      </c>
      <c r="B35" s="76" t="s">
        <v>41</v>
      </c>
      <c r="C35" s="76" t="s">
        <v>40</v>
      </c>
      <c r="D35" s="76" t="s">
        <v>39</v>
      </c>
    </row>
    <row r="36" spans="1:4" ht="10.5" x14ac:dyDescent="0.2">
      <c r="A36" s="75" t="s">
        <v>38</v>
      </c>
      <c r="B36" s="65">
        <f>B30-'[2]Financial Data'!$E$27</f>
        <v>7846.2399999999989</v>
      </c>
      <c r="C36" s="65">
        <f>C30-'[2]Financial Data'!$E$27</f>
        <v>7616.8350000000019</v>
      </c>
      <c r="D36" s="65">
        <f>D30-'[2]Financial Data'!$E$27</f>
        <v>6322.7449999999999</v>
      </c>
    </row>
    <row r="37" spans="1:4" ht="10.5" x14ac:dyDescent="0.2">
      <c r="A37" s="75" t="s">
        <v>37</v>
      </c>
      <c r="B37" s="65">
        <f>B31-'[2]Financial Data'!$E$27</f>
        <v>4522.26</v>
      </c>
      <c r="C37" s="65">
        <f>C31-'[2]Financial Data'!$E$27</f>
        <v>4967.1000000000004</v>
      </c>
      <c r="D37" s="65">
        <f>D31-'[2]Financial Data'!$E$27</f>
        <v>4891.5054499999997</v>
      </c>
    </row>
    <row r="38" spans="1:4" ht="10.5" x14ac:dyDescent="0.2">
      <c r="A38" s="75" t="s">
        <v>36</v>
      </c>
      <c r="B38" s="65">
        <f>B32-'[2]Financial Data'!$E$27</f>
        <v>6098.2850000000008</v>
      </c>
      <c r="C38" s="65">
        <f>C32-'[2]Financial Data'!$E$27</f>
        <v>6200.31</v>
      </c>
      <c r="D38" s="65">
        <f>D32-'[2]Financial Data'!$E$27</f>
        <v>5270.8701499999997</v>
      </c>
    </row>
    <row r="39" spans="1:4" ht="10.5" x14ac:dyDescent="0.2">
      <c r="A39" s="75" t="s">
        <v>35</v>
      </c>
      <c r="B39" s="65">
        <f>B33-'[2]Financial Data'!$E$27</f>
        <v>6270.2149999999992</v>
      </c>
      <c r="C39" s="65">
        <f>C33-'[2]Financial Data'!$E$27</f>
        <v>6383.6250000000009</v>
      </c>
      <c r="D39" s="65">
        <f>D33-'[2]Financial Data'!$E$27</f>
        <v>5943.3802999999998</v>
      </c>
    </row>
    <row r="41" spans="1:4" ht="21" x14ac:dyDescent="0.2">
      <c r="A41" s="75" t="s">
        <v>42</v>
      </c>
      <c r="B41" s="76" t="s">
        <v>41</v>
      </c>
      <c r="C41" s="76" t="s">
        <v>40</v>
      </c>
      <c r="D41" s="76" t="s">
        <v>39</v>
      </c>
    </row>
    <row r="42" spans="1:4" ht="10.5" x14ac:dyDescent="0.2">
      <c r="A42" s="75" t="s">
        <v>38</v>
      </c>
      <c r="B42" s="65">
        <f>B36/'[2]Financial Data'!$C$27</f>
        <v>4.436412982019676</v>
      </c>
      <c r="C42" s="65">
        <f>C36/'[2]Financial Data'!$C$27</f>
        <v>4.3067030419540888</v>
      </c>
      <c r="D42" s="65">
        <f>D36/'[2]Financial Data'!$C$27</f>
        <v>3.5750000000000002</v>
      </c>
    </row>
    <row r="43" spans="1:4" ht="10.5" x14ac:dyDescent="0.2">
      <c r="A43" s="75" t="s">
        <v>37</v>
      </c>
      <c r="B43" s="65">
        <f>B37/'[2]Financial Data'!$C$27</f>
        <v>2.5569716159674321</v>
      </c>
      <c r="C43" s="65">
        <f>C37/'[2]Financial Data'!$C$27</f>
        <v>2.808492593011422</v>
      </c>
      <c r="D43" s="65">
        <f>D37/'[2]Financial Data'!$C$27</f>
        <v>2.7657500000000002</v>
      </c>
    </row>
    <row r="44" spans="1:4" ht="10.5" x14ac:dyDescent="0.2">
      <c r="A44" s="75" t="s">
        <v>36</v>
      </c>
      <c r="B44" s="65">
        <f>B38/'[2]Financial Data'!$C$27</f>
        <v>3.4480860567680658</v>
      </c>
      <c r="C44" s="65">
        <f>C38/'[2]Financial Data'!$C$27</f>
        <v>3.5057729277394554</v>
      </c>
      <c r="D44" s="65">
        <f>D38/'[2]Financial Data'!$C$27</f>
        <v>2.9802499999999998</v>
      </c>
    </row>
    <row r="45" spans="1:4" ht="10.5" x14ac:dyDescent="0.2">
      <c r="A45" s="75" t="s">
        <v>35</v>
      </c>
      <c r="B45" s="65">
        <f>B39/'[2]Financial Data'!$C$27</f>
        <v>3.5452985412190432</v>
      </c>
      <c r="C45" s="65">
        <f>C39/'[2]Financial Data'!$C$27</f>
        <v>3.6094227072260554</v>
      </c>
      <c r="D45" s="65">
        <f>D39/'[2]Financial Data'!$C$27</f>
        <v>3.3605</v>
      </c>
    </row>
  </sheetData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DCF</vt:lpstr>
      <vt:lpstr>Trading Multiples</vt:lpstr>
      <vt:lpstr>'Trading Multiples'!Print_Titles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Patel</dc:creator>
  <cp:lastModifiedBy>Riley Muller</cp:lastModifiedBy>
  <dcterms:created xsi:type="dcterms:W3CDTF">2025-04-17T13:04:39Z</dcterms:created>
  <dcterms:modified xsi:type="dcterms:W3CDTF">2025-04-22T02:50:01Z</dcterms:modified>
</cp:coreProperties>
</file>