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Desktop\ИТМО\Лабораторные - Физика\"/>
    </mc:Choice>
  </mc:AlternateContent>
  <xr:revisionPtr revIDLastSave="0" documentId="13_ncr:1_{5B52B096-F929-4592-960C-C3F2DB5357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K6" i="1"/>
  <c r="T9" i="1" l="1"/>
  <c r="S16" i="1" s="1"/>
  <c r="T8" i="1"/>
  <c r="S15" i="1"/>
  <c r="S14" i="1"/>
  <c r="K21" i="1"/>
  <c r="L27" i="1"/>
  <c r="M27" i="1"/>
  <c r="N27" i="1"/>
  <c r="O27" i="1"/>
  <c r="P27" i="1"/>
  <c r="Q27" i="1"/>
  <c r="K27" i="1"/>
  <c r="L24" i="1"/>
  <c r="M24" i="1"/>
  <c r="M25" i="1" s="1"/>
  <c r="N24" i="1"/>
  <c r="O24" i="1"/>
  <c r="P24" i="1"/>
  <c r="Q24" i="1"/>
  <c r="K24" i="1"/>
  <c r="L21" i="1"/>
  <c r="M21" i="1"/>
  <c r="N21" i="1"/>
  <c r="O21" i="1"/>
  <c r="P21" i="1"/>
  <c r="Q21" i="1"/>
  <c r="O14" i="1"/>
  <c r="L19" i="1"/>
  <c r="M19" i="1"/>
  <c r="N19" i="1"/>
  <c r="O19" i="1"/>
  <c r="P19" i="1"/>
  <c r="Q19" i="1"/>
  <c r="K19" i="1"/>
  <c r="S21" i="1"/>
  <c r="K26" i="1"/>
  <c r="L26" i="1"/>
  <c r="L28" i="1" s="1"/>
  <c r="M26" i="1"/>
  <c r="M28" i="1" s="1"/>
  <c r="N26" i="1"/>
  <c r="N28" i="1" s="1"/>
  <c r="O26" i="1"/>
  <c r="P26" i="1"/>
  <c r="Q26" i="1"/>
  <c r="K23" i="1"/>
  <c r="K25" i="1" s="1"/>
  <c r="L23" i="1"/>
  <c r="M23" i="1"/>
  <c r="N23" i="1"/>
  <c r="O23" i="1"/>
  <c r="P23" i="1"/>
  <c r="Q23" i="1"/>
  <c r="K20" i="1"/>
  <c r="L20" i="1"/>
  <c r="M20" i="1"/>
  <c r="N20" i="1"/>
  <c r="O20" i="1"/>
  <c r="P20" i="1"/>
  <c r="Q20" i="1"/>
  <c r="L25" i="1"/>
  <c r="N25" i="1"/>
  <c r="O25" i="1"/>
  <c r="P25" i="1"/>
  <c r="Q14" i="1"/>
  <c r="Q15" i="1"/>
  <c r="L8" i="1"/>
  <c r="M8" i="1"/>
  <c r="N8" i="1"/>
  <c r="O8" i="1"/>
  <c r="P8" i="1"/>
  <c r="Q8" i="1"/>
  <c r="L7" i="1"/>
  <c r="M7" i="1"/>
  <c r="N7" i="1"/>
  <c r="O7" i="1"/>
  <c r="P7" i="1"/>
  <c r="Q7" i="1"/>
  <c r="L6" i="1"/>
  <c r="M6" i="1"/>
  <c r="N6" i="1"/>
  <c r="O6" i="1"/>
  <c r="P6" i="1"/>
  <c r="Q6" i="1"/>
  <c r="K7" i="1"/>
  <c r="K8" i="1"/>
  <c r="O22" i="1"/>
  <c r="O15" i="1"/>
  <c r="M15" i="1"/>
  <c r="K17" i="1"/>
  <c r="L16" i="1"/>
  <c r="M16" i="1"/>
  <c r="N16" i="1"/>
  <c r="O16" i="1"/>
  <c r="P16" i="1"/>
  <c r="Q16" i="1"/>
  <c r="K16" i="1"/>
  <c r="K15" i="1"/>
  <c r="M14" i="1"/>
  <c r="K14" i="1"/>
  <c r="L13" i="1"/>
  <c r="M13" i="1"/>
  <c r="N13" i="1"/>
  <c r="O13" i="1"/>
  <c r="P13" i="1"/>
  <c r="Q13" i="1"/>
  <c r="K13" i="1"/>
  <c r="L12" i="1"/>
  <c r="M12" i="1"/>
  <c r="N12" i="1"/>
  <c r="O12" i="1"/>
  <c r="P12" i="1"/>
  <c r="Q12" i="1"/>
  <c r="K12" i="1"/>
  <c r="C10" i="1"/>
  <c r="D10" i="1"/>
  <c r="E10" i="1"/>
  <c r="F10" i="1"/>
  <c r="G10" i="1"/>
  <c r="H10" i="1"/>
  <c r="B10" i="1"/>
  <c r="C8" i="1"/>
  <c r="D8" i="1"/>
  <c r="E8" i="1"/>
  <c r="F8" i="1"/>
  <c r="G8" i="1"/>
  <c r="H8" i="1"/>
  <c r="B8" i="1"/>
  <c r="B9" i="1"/>
  <c r="C9" i="1"/>
  <c r="D9" i="1"/>
  <c r="E9" i="1"/>
  <c r="F9" i="1"/>
  <c r="G9" i="1"/>
  <c r="H9" i="1"/>
  <c r="L2" i="1"/>
  <c r="M2" i="1" s="1"/>
  <c r="N2" i="1" s="1"/>
  <c r="O2" i="1" s="1"/>
  <c r="P2" i="1" s="1"/>
  <c r="Q2" i="1" s="1"/>
  <c r="G2" i="1"/>
  <c r="H2" i="1" s="1"/>
  <c r="D2" i="1"/>
  <c r="E2" i="1" s="1"/>
  <c r="F2" i="1" s="1"/>
  <c r="C2" i="1"/>
  <c r="S17" i="1" l="1"/>
  <c r="S18" i="1" s="1"/>
  <c r="O28" i="1"/>
  <c r="Q28" i="1"/>
  <c r="P28" i="1"/>
  <c r="K28" i="1"/>
  <c r="Q25" i="1"/>
  <c r="K22" i="1"/>
  <c r="P22" i="1"/>
  <c r="M22" i="1"/>
  <c r="L22" i="1"/>
  <c r="Q22" i="1"/>
  <c r="N22" i="1"/>
</calcChain>
</file>

<file path=xl/sharedStrings.xml><?xml version="1.0" encoding="utf-8"?>
<sst xmlns="http://schemas.openxmlformats.org/spreadsheetml/2006/main" count="52" uniqueCount="51">
  <si>
    <t>hi</t>
  </si>
  <si>
    <t>h0=10см</t>
  </si>
  <si>
    <t>t1, мс</t>
  </si>
  <si>
    <t>t2, мс</t>
  </si>
  <si>
    <t>t3, мс</t>
  </si>
  <si>
    <t>t4, мс</t>
  </si>
  <si>
    <t>t5, мс</t>
  </si>
  <si>
    <t>hi, см</t>
  </si>
  <si>
    <t>deltahi, м</t>
  </si>
  <si>
    <t>&lt;t&gt;, мс</t>
  </si>
  <si>
    <t>1/2*(g&lt;ti&gt;^2), м</t>
  </si>
  <si>
    <t>t1,мс</t>
  </si>
  <si>
    <t>t2,мс</t>
  </si>
  <si>
    <t>t3,мс</t>
  </si>
  <si>
    <t>v1,м/c</t>
  </si>
  <si>
    <t>v2,м/c</t>
  </si>
  <si>
    <t>v3,м/c</t>
  </si>
  <si>
    <t>alpha</t>
  </si>
  <si>
    <t>СКОalpha</t>
  </si>
  <si>
    <t>(Yi-alphaXi)^2</t>
  </si>
  <si>
    <t>Sum(yi-alpha(xi))^2</t>
  </si>
  <si>
    <t>delta(alpha)</t>
  </si>
  <si>
    <t>m, гр</t>
  </si>
  <si>
    <t>r(вала), мм</t>
  </si>
  <si>
    <t>R, мм</t>
  </si>
  <si>
    <t>H</t>
  </si>
  <si>
    <t>delta(m)</t>
  </si>
  <si>
    <t>delta r</t>
  </si>
  <si>
    <t>eps r, %</t>
  </si>
  <si>
    <t>eps m, %</t>
  </si>
  <si>
    <t>eps(Ic), %</t>
  </si>
  <si>
    <t>eps(m), %</t>
  </si>
  <si>
    <t>eps(r^2), %</t>
  </si>
  <si>
    <t>eps(alpha-1), %</t>
  </si>
  <si>
    <t>Ек1, Дж</t>
  </si>
  <si>
    <t>Епот1, Дж</t>
  </si>
  <si>
    <t>Еполн1, Дж</t>
  </si>
  <si>
    <t>Ек2, Дж</t>
  </si>
  <si>
    <t>Епот2, Дж</t>
  </si>
  <si>
    <t>Еполн2, Дж</t>
  </si>
  <si>
    <t>Ек3, Дж</t>
  </si>
  <si>
    <t>Епот3, Дж</t>
  </si>
  <si>
    <t>Еполн3, Дж</t>
  </si>
  <si>
    <t>eps(alpha),%</t>
  </si>
  <si>
    <t>Ic(теор), кг·м²</t>
  </si>
  <si>
    <t>Ic, кг·м²</t>
  </si>
  <si>
    <t>xi*xi, m^2</t>
  </si>
  <si>
    <t>xi*yi, m^2</t>
  </si>
  <si>
    <t>Sumxi*yi, m^2</t>
  </si>
  <si>
    <t>Sumxi*xi, m^2</t>
  </si>
  <si>
    <t>delta(Ic), кг·м²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</si>
</sst>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2" xfId="0" applyNumberFormat="1" applyFill="1" applyBorder="1"/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0" borderId="1" xfId="0" applyNumberFormat="1" applyBorder="1"/>
    <xf numFmtId="2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="85" zoomScaleNormal="85" workbookViewId="0">
      <selection activeCell="U14" sqref="U14"/>
    </sheetView>
  </sheetViews>
  <sheetFormatPr defaultRowHeight="14.4" x14ac:dyDescent="0.3"/>
  <cols>
    <col min="1" max="1" width="14" customWidth="1"/>
    <col min="6" max="6" width="9" customWidth="1"/>
    <col min="10" max="10" width="16.77734375" customWidth="1"/>
    <col min="12" max="12" width="13.33203125" customWidth="1"/>
    <col min="14" max="14" width="13.109375" customWidth="1"/>
    <col min="16" max="16" width="13.21875" customWidth="1"/>
    <col min="18" max="18" width="14.21875" customWidth="1"/>
    <col min="19" max="19" width="11.5546875" customWidth="1"/>
  </cols>
  <sheetData>
    <row r="1" spans="1:21" x14ac:dyDescent="0.3">
      <c r="A1" s="4" t="s">
        <v>1</v>
      </c>
      <c r="B1" s="15" t="s">
        <v>7</v>
      </c>
      <c r="C1" s="15"/>
      <c r="D1" s="15"/>
      <c r="E1" s="15"/>
      <c r="F1" s="15"/>
      <c r="G1" s="15"/>
      <c r="H1" s="15"/>
      <c r="J1" s="4" t="s">
        <v>1</v>
      </c>
      <c r="K1" s="15" t="s">
        <v>0</v>
      </c>
      <c r="L1" s="15"/>
      <c r="M1" s="15"/>
      <c r="N1" s="15"/>
      <c r="O1" s="15"/>
      <c r="P1" s="15"/>
      <c r="Q1" s="15"/>
    </row>
    <row r="2" spans="1:21" x14ac:dyDescent="0.3">
      <c r="A2" s="4"/>
      <c r="B2" s="4">
        <v>20</v>
      </c>
      <c r="C2" s="4">
        <f>B2+10</f>
        <v>30</v>
      </c>
      <c r="D2" s="4">
        <f t="shared" ref="D2:H2" si="0">C2+10</f>
        <v>40</v>
      </c>
      <c r="E2" s="4">
        <f t="shared" si="0"/>
        <v>50</v>
      </c>
      <c r="F2" s="4">
        <f t="shared" si="0"/>
        <v>60</v>
      </c>
      <c r="G2" s="4">
        <f>F2+10</f>
        <v>70</v>
      </c>
      <c r="H2" s="4">
        <f t="shared" si="0"/>
        <v>80</v>
      </c>
      <c r="J2" s="4"/>
      <c r="K2" s="4">
        <v>20</v>
      </c>
      <c r="L2" s="4">
        <f>K2+10</f>
        <v>30</v>
      </c>
      <c r="M2" s="4">
        <f t="shared" ref="M2:O2" si="1">L2+10</f>
        <v>40</v>
      </c>
      <c r="N2" s="4">
        <f t="shared" si="1"/>
        <v>50</v>
      </c>
      <c r="O2" s="4">
        <f t="shared" si="1"/>
        <v>60</v>
      </c>
      <c r="P2" s="4">
        <f>O2+10</f>
        <v>70</v>
      </c>
      <c r="Q2" s="4">
        <f t="shared" ref="Q2" si="2">P2+10</f>
        <v>80</v>
      </c>
      <c r="S2" s="3" t="s">
        <v>24</v>
      </c>
      <c r="T2" s="1">
        <v>6.5000000000000002E-2</v>
      </c>
    </row>
    <row r="3" spans="1:21" x14ac:dyDescent="0.3">
      <c r="A3" s="4" t="s">
        <v>2</v>
      </c>
      <c r="B3" s="2">
        <v>2615.6</v>
      </c>
      <c r="C3" s="2">
        <v>3716.6</v>
      </c>
      <c r="D3" s="2">
        <v>4554.6000000000004</v>
      </c>
      <c r="E3" s="2">
        <v>5271.1</v>
      </c>
      <c r="F3" s="2">
        <v>5895</v>
      </c>
      <c r="G3" s="2">
        <v>6453.2</v>
      </c>
      <c r="H3" s="2">
        <v>6971.8</v>
      </c>
      <c r="J3" s="4" t="s">
        <v>11</v>
      </c>
      <c r="K3" s="2">
        <v>52.6</v>
      </c>
      <c r="L3" s="2">
        <v>37.4</v>
      </c>
      <c r="M3" s="2">
        <v>30.6</v>
      </c>
      <c r="N3" s="2">
        <v>26.4</v>
      </c>
      <c r="O3" s="2">
        <v>23.6</v>
      </c>
      <c r="P3" s="2">
        <v>21.6</v>
      </c>
      <c r="Q3" s="2">
        <v>20.100000000000001</v>
      </c>
      <c r="S3" s="3" t="s">
        <v>22</v>
      </c>
      <c r="T3" s="1">
        <v>0.47</v>
      </c>
    </row>
    <row r="4" spans="1:21" x14ac:dyDescent="0.3">
      <c r="A4" s="4" t="s">
        <v>3</v>
      </c>
      <c r="B4" s="2">
        <v>2615.8000000000002</v>
      </c>
      <c r="C4" s="2">
        <v>3713.7</v>
      </c>
      <c r="D4" s="2">
        <v>4559</v>
      </c>
      <c r="E4" s="2">
        <v>5263.8</v>
      </c>
      <c r="F4" s="2">
        <v>5894.8</v>
      </c>
      <c r="G4" s="2">
        <v>6464.7</v>
      </c>
      <c r="H4" s="2">
        <v>6980.9</v>
      </c>
      <c r="J4" s="4" t="s">
        <v>12</v>
      </c>
      <c r="K4" s="2">
        <v>81</v>
      </c>
      <c r="L4" s="2">
        <v>44.3</v>
      </c>
      <c r="M4" s="2">
        <v>33.799999999999997</v>
      </c>
      <c r="N4" s="2">
        <v>28.4</v>
      </c>
      <c r="O4" s="2">
        <v>25</v>
      </c>
      <c r="P4" s="2">
        <v>22.5</v>
      </c>
      <c r="Q4" s="2">
        <v>20.9</v>
      </c>
      <c r="S4" s="3" t="s">
        <v>23</v>
      </c>
      <c r="T4" s="1">
        <v>2.5000000000000001E-3</v>
      </c>
    </row>
    <row r="5" spans="1:21" x14ac:dyDescent="0.3">
      <c r="A5" s="4" t="s">
        <v>4</v>
      </c>
      <c r="B5" s="2">
        <v>2616.1</v>
      </c>
      <c r="C5" s="2">
        <v>3715.1</v>
      </c>
      <c r="D5" s="2">
        <v>4562.1000000000004</v>
      </c>
      <c r="E5" s="2">
        <v>5272.2</v>
      </c>
      <c r="F5" s="2">
        <v>5892</v>
      </c>
      <c r="G5" s="2">
        <v>6455.8</v>
      </c>
      <c r="H5" s="2">
        <v>6982.4</v>
      </c>
      <c r="J5" s="4" t="s">
        <v>13</v>
      </c>
      <c r="K5" s="2">
        <v>81</v>
      </c>
      <c r="L5" s="2">
        <v>44.4</v>
      </c>
      <c r="M5" s="2">
        <v>33.799999999999997</v>
      </c>
      <c r="N5" s="2">
        <v>28.6</v>
      </c>
      <c r="O5" s="2">
        <v>25.2</v>
      </c>
      <c r="P5" s="2">
        <v>22.8</v>
      </c>
      <c r="Q5" s="2">
        <v>20.8</v>
      </c>
      <c r="S5" s="3"/>
      <c r="T5" s="1"/>
    </row>
    <row r="6" spans="1:21" x14ac:dyDescent="0.3">
      <c r="A6" s="4" t="s">
        <v>5</v>
      </c>
      <c r="B6" s="2">
        <v>2615.6</v>
      </c>
      <c r="C6" s="2">
        <v>3716.6</v>
      </c>
      <c r="D6" s="2">
        <v>4554.7</v>
      </c>
      <c r="E6" s="2">
        <v>5269.5</v>
      </c>
      <c r="F6" s="2">
        <v>5894.5</v>
      </c>
      <c r="G6" s="2">
        <v>6458.4</v>
      </c>
      <c r="H6" s="2">
        <v>6979.1</v>
      </c>
      <c r="J6" s="4" t="s">
        <v>14</v>
      </c>
      <c r="K6" s="6">
        <f>2*$T$4/K3*1000</f>
        <v>9.5057034220532313E-2</v>
      </c>
      <c r="L6" s="6">
        <f t="shared" ref="L6:Q6" si="3">2*$T$4/L3*1000</f>
        <v>0.13368983957219252</v>
      </c>
      <c r="M6" s="6">
        <f t="shared" si="3"/>
        <v>0.16339869281045752</v>
      </c>
      <c r="N6" s="6">
        <f t="shared" si="3"/>
        <v>0.18939393939393942</v>
      </c>
      <c r="O6" s="6">
        <f t="shared" si="3"/>
        <v>0.21186440677966101</v>
      </c>
      <c r="P6" s="6">
        <f t="shared" si="3"/>
        <v>0.23148148148148145</v>
      </c>
      <c r="Q6" s="6">
        <f t="shared" si="3"/>
        <v>0.24875621890547261</v>
      </c>
      <c r="S6" s="3" t="s">
        <v>27</v>
      </c>
      <c r="T6" s="1">
        <v>1E-4</v>
      </c>
    </row>
    <row r="7" spans="1:21" x14ac:dyDescent="0.3">
      <c r="A7" s="4" t="s">
        <v>6</v>
      </c>
      <c r="B7" s="2">
        <v>2616.6999999999998</v>
      </c>
      <c r="C7" s="2">
        <v>3712.6</v>
      </c>
      <c r="D7" s="2">
        <v>4561</v>
      </c>
      <c r="E7" s="2">
        <v>5273.6</v>
      </c>
      <c r="F7" s="2">
        <v>5891.8</v>
      </c>
      <c r="G7" s="2">
        <v>6462.1</v>
      </c>
      <c r="H7" s="2">
        <v>6971</v>
      </c>
      <c r="J7" s="4" t="s">
        <v>15</v>
      </c>
      <c r="K7" s="6">
        <f t="shared" ref="K7:Q8" si="4">2*$T$4/K4*1000</f>
        <v>6.1728395061728399E-2</v>
      </c>
      <c r="L7" s="6">
        <f t="shared" si="4"/>
        <v>0.11286681715575621</v>
      </c>
      <c r="M7" s="6">
        <f t="shared" si="4"/>
        <v>0.14792899408284027</v>
      </c>
      <c r="N7" s="6">
        <f t="shared" si="4"/>
        <v>0.17605633802816903</v>
      </c>
      <c r="O7" s="6">
        <f t="shared" si="4"/>
        <v>0.2</v>
      </c>
      <c r="P7" s="6">
        <f t="shared" si="4"/>
        <v>0.22222222222222224</v>
      </c>
      <c r="Q7" s="6">
        <f t="shared" si="4"/>
        <v>0.23923444976076558</v>
      </c>
      <c r="S7" s="3" t="s">
        <v>26</v>
      </c>
      <c r="T7" s="1">
        <v>0.01</v>
      </c>
    </row>
    <row r="8" spans="1:21" x14ac:dyDescent="0.3">
      <c r="A8" s="4" t="s">
        <v>8</v>
      </c>
      <c r="B8" s="2">
        <f>(B2-10)/100</f>
        <v>0.1</v>
      </c>
      <c r="C8" s="2">
        <f t="shared" ref="C8:H8" si="5">(C2-10)/100</f>
        <v>0.2</v>
      </c>
      <c r="D8" s="2">
        <f t="shared" si="5"/>
        <v>0.3</v>
      </c>
      <c r="E8" s="2">
        <f t="shared" si="5"/>
        <v>0.4</v>
      </c>
      <c r="F8" s="2">
        <f t="shared" si="5"/>
        <v>0.5</v>
      </c>
      <c r="G8" s="2">
        <f t="shared" si="5"/>
        <v>0.6</v>
      </c>
      <c r="H8" s="2">
        <f t="shared" si="5"/>
        <v>0.7</v>
      </c>
      <c r="J8" s="4" t="s">
        <v>16</v>
      </c>
      <c r="K8" s="6">
        <f t="shared" si="4"/>
        <v>6.1728395061728399E-2</v>
      </c>
      <c r="L8" s="6">
        <f t="shared" si="4"/>
        <v>0.11261261261261261</v>
      </c>
      <c r="M8" s="6">
        <f t="shared" si="4"/>
        <v>0.14792899408284027</v>
      </c>
      <c r="N8" s="6">
        <f t="shared" si="4"/>
        <v>0.17482517482517482</v>
      </c>
      <c r="O8" s="6">
        <f t="shared" si="4"/>
        <v>0.1984126984126984</v>
      </c>
      <c r="P8" s="6">
        <f t="shared" si="4"/>
        <v>0.2192982456140351</v>
      </c>
      <c r="Q8" s="6">
        <f t="shared" si="4"/>
        <v>0.24038461538461536</v>
      </c>
      <c r="S8" s="3" t="s">
        <v>28</v>
      </c>
      <c r="T8" s="1">
        <f>T6/T4*100</f>
        <v>4</v>
      </c>
    </row>
    <row r="9" spans="1:21" x14ac:dyDescent="0.3">
      <c r="A9" s="4" t="s">
        <v>9</v>
      </c>
      <c r="B9" s="2">
        <f>AVERAGE(B3:B6)</f>
        <v>2615.7750000000001</v>
      </c>
      <c r="C9" s="2">
        <f t="shared" ref="C9:H9" si="6">AVERAGE(C3:C6)</f>
        <v>3715.5</v>
      </c>
      <c r="D9" s="2">
        <f t="shared" si="6"/>
        <v>4557.6000000000004</v>
      </c>
      <c r="E9" s="2">
        <f t="shared" si="6"/>
        <v>5269.1500000000005</v>
      </c>
      <c r="F9" s="2">
        <f t="shared" si="6"/>
        <v>5894.0749999999998</v>
      </c>
      <c r="G9" s="2">
        <f t="shared" si="6"/>
        <v>6458.0249999999996</v>
      </c>
      <c r="H9" s="2">
        <f t="shared" si="6"/>
        <v>6978.5499999999993</v>
      </c>
      <c r="S9" s="3" t="s">
        <v>29</v>
      </c>
      <c r="T9" s="1">
        <f>T7/T3*100</f>
        <v>2.1276595744680855</v>
      </c>
    </row>
    <row r="10" spans="1:21" x14ac:dyDescent="0.3">
      <c r="A10" s="4" t="s">
        <v>10</v>
      </c>
      <c r="B10" s="2">
        <f>1/2*9.82*B9*B9/1000/1000</f>
        <v>33.595589156568749</v>
      </c>
      <c r="C10" s="2">
        <f t="shared" ref="C10:H10" si="7">1/2*9.82*C9*C9/1000/1000</f>
        <v>67.782256627500004</v>
      </c>
      <c r="D10" s="2">
        <f t="shared" si="7"/>
        <v>101.98913420160001</v>
      </c>
      <c r="E10" s="2">
        <f t="shared" si="7"/>
        <v>136.32095385747505</v>
      </c>
      <c r="F10" s="2">
        <f t="shared" si="7"/>
        <v>170.57398971861875</v>
      </c>
      <c r="G10" s="2">
        <f t="shared" si="7"/>
        <v>204.77688668206872</v>
      </c>
      <c r="H10" s="2">
        <f t="shared" si="7"/>
        <v>239.11778610327494</v>
      </c>
    </row>
    <row r="11" spans="1:21" x14ac:dyDescent="0.3">
      <c r="J11" s="4"/>
      <c r="K11" s="4">
        <v>1</v>
      </c>
      <c r="L11" s="4">
        <v>2</v>
      </c>
      <c r="M11" s="4">
        <v>3</v>
      </c>
      <c r="N11" s="4">
        <v>4</v>
      </c>
      <c r="O11" s="4">
        <v>5</v>
      </c>
      <c r="P11" s="4">
        <v>6</v>
      </c>
      <c r="Q11" s="4">
        <v>7</v>
      </c>
    </row>
    <row r="12" spans="1:21" x14ac:dyDescent="0.3">
      <c r="J12" s="4" t="s">
        <v>47</v>
      </c>
      <c r="K12" s="10">
        <f>B8*B10</f>
        <v>3.359558915656875</v>
      </c>
      <c r="L12" s="10">
        <f t="shared" ref="L12:Q12" si="8">C8*C10</f>
        <v>13.556451325500001</v>
      </c>
      <c r="M12" s="10">
        <f t="shared" si="8"/>
        <v>30.596740260480001</v>
      </c>
      <c r="N12" s="10">
        <f t="shared" si="8"/>
        <v>54.528381542990019</v>
      </c>
      <c r="O12" s="10">
        <f t="shared" si="8"/>
        <v>85.286994859309374</v>
      </c>
      <c r="P12" s="10">
        <f t="shared" si="8"/>
        <v>122.86613200924123</v>
      </c>
      <c r="Q12" s="10">
        <f t="shared" si="8"/>
        <v>167.38245027229246</v>
      </c>
    </row>
    <row r="13" spans="1:21" x14ac:dyDescent="0.3">
      <c r="A13" s="16">
        <v>44170.620833333334</v>
      </c>
      <c r="B13" s="17"/>
      <c r="J13" s="4" t="s">
        <v>46</v>
      </c>
      <c r="K13" s="2">
        <f>B8*B8</f>
        <v>1.0000000000000002E-2</v>
      </c>
      <c r="L13" s="2">
        <f t="shared" ref="L13:Q13" si="9">C8*C8</f>
        <v>4.0000000000000008E-2</v>
      </c>
      <c r="M13" s="2">
        <f t="shared" si="9"/>
        <v>0.09</v>
      </c>
      <c r="N13" s="2">
        <f t="shared" si="9"/>
        <v>0.16000000000000003</v>
      </c>
      <c r="O13" s="2">
        <f t="shared" si="9"/>
        <v>0.25</v>
      </c>
      <c r="P13" s="2">
        <f t="shared" si="9"/>
        <v>0.36</v>
      </c>
      <c r="Q13" s="2">
        <f t="shared" si="9"/>
        <v>0.48999999999999994</v>
      </c>
    </row>
    <row r="14" spans="1:21" x14ac:dyDescent="0.3">
      <c r="A14" s="17"/>
      <c r="B14" s="17"/>
      <c r="J14" s="4" t="s">
        <v>48</v>
      </c>
      <c r="K14" s="10">
        <f>SUM(K12:Q12)</f>
        <v>477.57670918546989</v>
      </c>
      <c r="L14" s="4" t="s">
        <v>49</v>
      </c>
      <c r="M14" s="10">
        <f>SUM(K13:Q13)</f>
        <v>1.4</v>
      </c>
      <c r="N14" s="4" t="s">
        <v>43</v>
      </c>
      <c r="O14" s="10">
        <f>O15/K15*100</f>
        <v>0.17174798127950155</v>
      </c>
      <c r="P14" s="4" t="s">
        <v>45</v>
      </c>
      <c r="Q14" s="18">
        <f>(K15-1)*T4*T4*T3</f>
        <v>9.9912077373737001E-4</v>
      </c>
      <c r="R14" s="3" t="s">
        <v>33</v>
      </c>
      <c r="S14" s="19">
        <f>M15/(K15-1)*100*2</f>
        <v>0.17225293494303248</v>
      </c>
      <c r="U14">
        <f>(Q14*2-Q15)/Q15*100</f>
        <v>0.62905942211959776</v>
      </c>
    </row>
    <row r="15" spans="1:21" x14ac:dyDescent="0.3">
      <c r="J15" s="4" t="s">
        <v>17</v>
      </c>
      <c r="K15" s="10">
        <f>K14/M14</f>
        <v>341.12622084676423</v>
      </c>
      <c r="L15" s="4" t="s">
        <v>18</v>
      </c>
      <c r="M15" s="6">
        <f>SQRT(K17/M14/6)</f>
        <v>0.29293869895968588</v>
      </c>
      <c r="N15" s="4" t="s">
        <v>21</v>
      </c>
      <c r="O15" s="10">
        <f>2*M15</f>
        <v>0.58587739791937177</v>
      </c>
      <c r="P15" s="4" t="s">
        <v>44</v>
      </c>
      <c r="Q15" s="18">
        <f>T3*T2*T2</f>
        <v>1.9857500000000001E-3</v>
      </c>
      <c r="R15" s="3" t="s">
        <v>32</v>
      </c>
      <c r="S15" s="19">
        <f>SQRT(2)*T8</f>
        <v>5.6568542494923806</v>
      </c>
    </row>
    <row r="16" spans="1:21" x14ac:dyDescent="0.3">
      <c r="J16" s="4" t="s">
        <v>19</v>
      </c>
      <c r="K16" s="10">
        <f>(B10-$K$15*B8)*(B10-$K$15*B8)</f>
        <v>0.26732304874759588</v>
      </c>
      <c r="L16" s="10">
        <f t="shared" ref="L16:Q16" si="10">(C10-$K$15*C8)*(C10-$K$15*C8)</f>
        <v>0.19623796223682516</v>
      </c>
      <c r="M16" s="10">
        <f t="shared" si="10"/>
        <v>0.12161404439152111</v>
      </c>
      <c r="N16" s="6">
        <f t="shared" si="10"/>
        <v>1.6779181827693512E-2</v>
      </c>
      <c r="O16" s="8">
        <f t="shared" si="10"/>
        <v>1.1835906484585451E-4</v>
      </c>
      <c r="P16" s="10">
        <f t="shared" si="10"/>
        <v>1.0232166919683889E-2</v>
      </c>
      <c r="Q16" s="10">
        <f t="shared" si="10"/>
        <v>0.10852512013665976</v>
      </c>
      <c r="R16" s="3" t="s">
        <v>31</v>
      </c>
      <c r="S16" s="19">
        <f>T9</f>
        <v>2.1276595744680855</v>
      </c>
    </row>
    <row r="17" spans="10:19" x14ac:dyDescent="0.3">
      <c r="J17" s="4" t="s">
        <v>20</v>
      </c>
      <c r="K17" s="10">
        <f>SUM(K16:Q16)</f>
        <v>0.72082988332482512</v>
      </c>
      <c r="L17" s="2"/>
      <c r="M17" s="2"/>
      <c r="N17" s="2"/>
      <c r="O17" s="2"/>
      <c r="P17" s="2"/>
      <c r="Q17" s="2"/>
      <c r="R17" s="3" t="s">
        <v>30</v>
      </c>
      <c r="S17" s="19">
        <f>SQRT(S16*S16+S15*S15+S14*S14)</f>
        <v>6.0462059457499633</v>
      </c>
    </row>
    <row r="18" spans="10:19" x14ac:dyDescent="0.3">
      <c r="J18" s="9"/>
      <c r="K18" s="9"/>
      <c r="L18" s="9"/>
      <c r="M18" s="9"/>
      <c r="N18" s="9"/>
      <c r="O18" s="9"/>
      <c r="P18" s="9"/>
      <c r="Q18" s="9"/>
      <c r="R18" s="3" t="s">
        <v>50</v>
      </c>
      <c r="S18" s="13">
        <f>Q14*S17/100</f>
        <v>6.0408899626931904E-5</v>
      </c>
    </row>
    <row r="19" spans="10:19" x14ac:dyDescent="0.3">
      <c r="J19" s="4" t="s">
        <v>25</v>
      </c>
      <c r="K19" s="12">
        <f>1-B8</f>
        <v>0.9</v>
      </c>
      <c r="L19" s="12">
        <f t="shared" ref="L19:Q19" si="11">1-C8</f>
        <v>0.8</v>
      </c>
      <c r="M19" s="12">
        <f t="shared" si="11"/>
        <v>0.7</v>
      </c>
      <c r="N19" s="12">
        <f t="shared" si="11"/>
        <v>0.6</v>
      </c>
      <c r="O19" s="12">
        <f t="shared" si="11"/>
        <v>0.5</v>
      </c>
      <c r="P19" s="12">
        <f t="shared" si="11"/>
        <v>0.4</v>
      </c>
      <c r="Q19" s="12">
        <f t="shared" si="11"/>
        <v>0.30000000000000004</v>
      </c>
    </row>
    <row r="20" spans="10:19" x14ac:dyDescent="0.3">
      <c r="J20" s="4" t="s">
        <v>34</v>
      </c>
      <c r="K20" s="11">
        <f t="shared" ref="K20:P20" si="12">$T$3/2*($Q$14/$T$3/$T$4/$T$4+1)*K6*K6</f>
        <v>0.72435503891726771</v>
      </c>
      <c r="L20" s="11">
        <f t="shared" si="12"/>
        <v>1.4327808540955846</v>
      </c>
      <c r="M20" s="11">
        <f t="shared" si="12"/>
        <v>2.1403269548835278</v>
      </c>
      <c r="N20" s="11">
        <f t="shared" si="12"/>
        <v>2.8755115752335003</v>
      </c>
      <c r="O20" s="11">
        <f t="shared" si="12"/>
        <v>3.5983132495596446</v>
      </c>
      <c r="P20" s="11">
        <f t="shared" si="12"/>
        <v>4.2955172913981894</v>
      </c>
      <c r="Q20" s="11">
        <f>$T$3/2*($Q$14/$T$3/$T$4/$T$4+1)*Q6*Q6</f>
        <v>4.9605617372707105</v>
      </c>
    </row>
    <row r="21" spans="10:19" x14ac:dyDescent="0.3">
      <c r="J21" s="4" t="s">
        <v>35</v>
      </c>
      <c r="K21" s="10">
        <f>$T$3*9.82*(K19)</f>
        <v>4.1538599999999999</v>
      </c>
      <c r="L21" s="10">
        <f t="shared" ref="L21:Q21" si="13">$T$3*9.82*(L19)</f>
        <v>3.6923200000000005</v>
      </c>
      <c r="M21" s="10">
        <f t="shared" si="13"/>
        <v>3.2307799999999998</v>
      </c>
      <c r="N21" s="10">
        <f t="shared" si="13"/>
        <v>2.7692399999999999</v>
      </c>
      <c r="O21" s="10">
        <f t="shared" si="13"/>
        <v>2.3077000000000001</v>
      </c>
      <c r="P21" s="10">
        <f t="shared" si="13"/>
        <v>1.8461600000000002</v>
      </c>
      <c r="Q21" s="10">
        <f t="shared" si="13"/>
        <v>1.3846200000000002</v>
      </c>
      <c r="S21" s="7">
        <f>1*9.82*T3</f>
        <v>4.6154000000000002</v>
      </c>
    </row>
    <row r="22" spans="10:19" x14ac:dyDescent="0.3">
      <c r="J22" s="5" t="s">
        <v>36</v>
      </c>
      <c r="K22" s="14">
        <f>K20+K21</f>
        <v>4.8782150389172676</v>
      </c>
      <c r="L22" s="14">
        <f t="shared" ref="L22:Q22" si="14">L20+L21</f>
        <v>5.1251008540955851</v>
      </c>
      <c r="M22" s="14">
        <f t="shared" si="14"/>
        <v>5.371106954883528</v>
      </c>
      <c r="N22" s="14">
        <f t="shared" si="14"/>
        <v>5.6447515752335002</v>
      </c>
      <c r="O22" s="14">
        <f t="shared" si="14"/>
        <v>5.9060132495596447</v>
      </c>
      <c r="P22" s="14">
        <f t="shared" si="14"/>
        <v>6.1416772913981896</v>
      </c>
      <c r="Q22" s="14">
        <f t="shared" si="14"/>
        <v>6.3451817372707104</v>
      </c>
    </row>
    <row r="23" spans="10:19" x14ac:dyDescent="0.3">
      <c r="J23" s="4" t="s">
        <v>37</v>
      </c>
      <c r="K23" s="11">
        <f>$T$3/2*($Q$14/$T$3/$T$4/$T$4+1)*K7*K7</f>
        <v>0.30545900738831577</v>
      </c>
      <c r="L23" s="11">
        <f t="shared" ref="L23:P23" si="15">$T$3/2*($Q$14/$T$3/$T$4/$T$4+1)*L7*L7</f>
        <v>1.0212110876869385</v>
      </c>
      <c r="M23" s="11">
        <f t="shared" si="15"/>
        <v>1.7542422774716755</v>
      </c>
      <c r="N23" s="11">
        <f t="shared" si="15"/>
        <v>2.4847705657046468</v>
      </c>
      <c r="O23" s="11">
        <f t="shared" si="15"/>
        <v>3.2065864759595843</v>
      </c>
      <c r="P23" s="11">
        <f t="shared" si="15"/>
        <v>3.9587487357525726</v>
      </c>
      <c r="Q23" s="11">
        <f>$T$3/2*($Q$14/$T$3/$T$4/$T$4+1)*Q7*Q7</f>
        <v>4.5880738707326767</v>
      </c>
    </row>
    <row r="24" spans="10:19" x14ac:dyDescent="0.3">
      <c r="J24" s="4" t="s">
        <v>38</v>
      </c>
      <c r="K24" s="10">
        <f>$T$3*9.82*(K19)</f>
        <v>4.1538599999999999</v>
      </c>
      <c r="L24" s="10">
        <f t="shared" ref="L24:Q24" si="16">$T$3*9.82*(L19)</f>
        <v>3.6923200000000005</v>
      </c>
      <c r="M24" s="10">
        <f t="shared" si="16"/>
        <v>3.2307799999999998</v>
      </c>
      <c r="N24" s="10">
        <f t="shared" si="16"/>
        <v>2.7692399999999999</v>
      </c>
      <c r="O24" s="10">
        <f t="shared" si="16"/>
        <v>2.3077000000000001</v>
      </c>
      <c r="P24" s="10">
        <f t="shared" si="16"/>
        <v>1.8461600000000002</v>
      </c>
      <c r="Q24" s="10">
        <f t="shared" si="16"/>
        <v>1.3846200000000002</v>
      </c>
    </row>
    <row r="25" spans="10:19" x14ac:dyDescent="0.3">
      <c r="J25" s="5" t="s">
        <v>39</v>
      </c>
      <c r="K25" s="14">
        <f>K23+K24</f>
        <v>4.4593190073883155</v>
      </c>
      <c r="L25" s="14">
        <f t="shared" ref="L25:Q25" si="17">L23+L24</f>
        <v>4.7135310876869392</v>
      </c>
      <c r="M25" s="14">
        <f t="shared" si="17"/>
        <v>4.9850222774716748</v>
      </c>
      <c r="N25" s="14">
        <f t="shared" si="17"/>
        <v>5.2540105657046468</v>
      </c>
      <c r="O25" s="14">
        <f t="shared" si="17"/>
        <v>5.5142864759595849</v>
      </c>
      <c r="P25" s="14">
        <f t="shared" si="17"/>
        <v>5.8049087357525728</v>
      </c>
      <c r="Q25" s="14">
        <f t="shared" si="17"/>
        <v>5.9726938707326767</v>
      </c>
    </row>
    <row r="26" spans="10:19" x14ac:dyDescent="0.3">
      <c r="J26" s="4" t="s">
        <v>40</v>
      </c>
      <c r="K26" s="11">
        <f t="shared" ref="K26:P26" si="18">$T$3/2*($Q$14/$T$3/$T$4/$T$4+1)*K8*K8</f>
        <v>0.30545900738831577</v>
      </c>
      <c r="L26" s="11">
        <f t="shared" si="18"/>
        <v>1.0166162179788267</v>
      </c>
      <c r="M26" s="11">
        <f t="shared" si="18"/>
        <v>1.7542422774716755</v>
      </c>
      <c r="N26" s="11">
        <f t="shared" si="18"/>
        <v>2.4501400404356444</v>
      </c>
      <c r="O26" s="11">
        <f t="shared" si="18"/>
        <v>3.1558902549047927</v>
      </c>
      <c r="P26" s="11">
        <f t="shared" si="18"/>
        <v>3.8552565163795403</v>
      </c>
      <c r="Q26" s="11">
        <f>$T$3/2*($Q$14/$T$3/$T$4/$T$4+1)*Q8*Q8</f>
        <v>4.6322960139486398</v>
      </c>
    </row>
    <row r="27" spans="10:19" x14ac:dyDescent="0.3">
      <c r="J27" s="4" t="s">
        <v>41</v>
      </c>
      <c r="K27" s="10">
        <f>$T$3*9.82*(K19)</f>
        <v>4.1538599999999999</v>
      </c>
      <c r="L27" s="10">
        <f t="shared" ref="L27:Q27" si="19">$T$3*9.82*(L19)</f>
        <v>3.6923200000000005</v>
      </c>
      <c r="M27" s="10">
        <f t="shared" si="19"/>
        <v>3.2307799999999998</v>
      </c>
      <c r="N27" s="10">
        <f t="shared" si="19"/>
        <v>2.7692399999999999</v>
      </c>
      <c r="O27" s="10">
        <f t="shared" si="19"/>
        <v>2.3077000000000001</v>
      </c>
      <c r="P27" s="10">
        <f t="shared" si="19"/>
        <v>1.8461600000000002</v>
      </c>
      <c r="Q27" s="10">
        <f t="shared" si="19"/>
        <v>1.3846200000000002</v>
      </c>
    </row>
    <row r="28" spans="10:19" x14ac:dyDescent="0.3">
      <c r="J28" s="4" t="s">
        <v>42</v>
      </c>
      <c r="K28" s="14">
        <f>K27+K26</f>
        <v>4.4593190073883155</v>
      </c>
      <c r="L28" s="14">
        <f t="shared" ref="L28:Q28" si="20">L27+L26</f>
        <v>4.7089362179788274</v>
      </c>
      <c r="M28" s="14">
        <f t="shared" si="20"/>
        <v>4.9850222774716748</v>
      </c>
      <c r="N28" s="14">
        <f t="shared" si="20"/>
        <v>5.2193800404356443</v>
      </c>
      <c r="O28" s="14">
        <f t="shared" si="20"/>
        <v>5.4635902549047923</v>
      </c>
      <c r="P28" s="14">
        <f t="shared" si="20"/>
        <v>5.7014165163795401</v>
      </c>
      <c r="Q28" s="14">
        <f t="shared" si="20"/>
        <v>6.0169160139486397</v>
      </c>
    </row>
  </sheetData>
  <mergeCells count="3">
    <mergeCell ref="B1:H1"/>
    <mergeCell ref="K1:Q1"/>
    <mergeCell ref="A13:B14"/>
  </mergeCells>
  <pageMargins left="0.7" right="0.7" top="0.75" bottom="0.75" header="0.3" footer="0.3"/>
  <pageSetup paperSize="9" orientation="portrait" horizontalDpi="4294967293" verticalDpi="0" r:id="rId1"/>
  <ignoredErrors>
    <ignoredError sqref="B9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2020-12-06T21:38:49Z</dcterms:modified>
</cp:coreProperties>
</file>